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Dropbox (Personal)\4. Hobbies\Home Automation\"/>
    </mc:Choice>
  </mc:AlternateContent>
  <bookViews>
    <workbookView xWindow="6840" yWindow="0" windowWidth="0" windowHeight="0"/>
  </bookViews>
  <sheets>
    <sheet name="Intro" sheetId="20" r:id="rId1"/>
    <sheet name="States" sheetId="6" r:id="rId2"/>
    <sheet name="Entities" sheetId="7" r:id="rId3"/>
    <sheet name="Cards and Views" sheetId="12" r:id="rId4"/>
    <sheet name="Customize code" sheetId="8" r:id="rId5"/>
    <sheet name="Group code" sheetId="9" r:id="rId6"/>
    <sheet name="Misc &gt;&gt;" sheetId="17" r:id="rId7"/>
    <sheet name="YAML Processing" sheetId="13" r:id="rId8"/>
  </sheets>
  <definedNames>
    <definedName name="_xlnm._FilterDatabase" localSheetId="7" hidden="1">'YAML Processing'!$B$6:$P$252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S9" i="12" l="1"/>
  <c r="AT9" i="12"/>
  <c r="AU9" i="12"/>
  <c r="AV9" i="12"/>
  <c r="AW9" i="12"/>
  <c r="AX9" i="12"/>
  <c r="AY9" i="12"/>
  <c r="AZ9" i="12"/>
  <c r="BA9" i="12"/>
  <c r="BB9" i="12"/>
  <c r="BC9" i="12"/>
  <c r="BD9" i="12"/>
  <c r="BE9" i="12"/>
  <c r="BF9" i="12"/>
  <c r="BG9" i="12"/>
  <c r="BH9" i="12"/>
  <c r="BI9" i="12"/>
  <c r="BJ9" i="12"/>
  <c r="BK9" i="12"/>
  <c r="BL9" i="12"/>
  <c r="BM9" i="12"/>
  <c r="BN9" i="12"/>
  <c r="AT10" i="12"/>
  <c r="AU10" i="12"/>
  <c r="AV10" i="12"/>
  <c r="AW10" i="12"/>
  <c r="AX10" i="12"/>
  <c r="AY10" i="12"/>
  <c r="AZ10" i="12"/>
  <c r="BA10" i="12"/>
  <c r="BB10" i="12"/>
  <c r="BC10" i="12"/>
  <c r="BD10" i="12"/>
  <c r="BE10" i="12"/>
  <c r="BF10" i="12"/>
  <c r="BG10" i="12"/>
  <c r="BH10" i="12"/>
  <c r="BI10" i="12"/>
  <c r="BJ10" i="12"/>
  <c r="BK10" i="12"/>
  <c r="BL10" i="12"/>
  <c r="BM10" i="12"/>
  <c r="BN10" i="12"/>
  <c r="AS11" i="12"/>
  <c r="AT11" i="12"/>
  <c r="AU11" i="12"/>
  <c r="AV11" i="12"/>
  <c r="AW11" i="12"/>
  <c r="AX11" i="12"/>
  <c r="AY11" i="12"/>
  <c r="AZ11" i="12"/>
  <c r="BA11" i="12"/>
  <c r="BB11" i="12"/>
  <c r="BC11" i="12"/>
  <c r="BD11" i="12"/>
  <c r="BE11" i="12"/>
  <c r="BF11" i="12"/>
  <c r="BG11" i="12"/>
  <c r="BH11" i="12"/>
  <c r="BI11" i="12"/>
  <c r="BJ11" i="12"/>
  <c r="BK11" i="12"/>
  <c r="BL11" i="12"/>
  <c r="BM11" i="12"/>
  <c r="BN11" i="12"/>
  <c r="AR12" i="12"/>
  <c r="AS12" i="12"/>
  <c r="AT12" i="12"/>
  <c r="AU12" i="12"/>
  <c r="AV12" i="12"/>
  <c r="AW12" i="12"/>
  <c r="AX12" i="12"/>
  <c r="AY12" i="12"/>
  <c r="AZ12" i="12"/>
  <c r="BA12" i="12"/>
  <c r="BB12" i="12"/>
  <c r="BC12" i="12"/>
  <c r="BD12" i="12"/>
  <c r="BE12" i="12"/>
  <c r="BF12" i="12"/>
  <c r="BG12" i="12"/>
  <c r="BH12" i="12"/>
  <c r="BI12" i="12"/>
  <c r="BJ12" i="12"/>
  <c r="BK12" i="12"/>
  <c r="BL12" i="12"/>
  <c r="BM12" i="12"/>
  <c r="BN12" i="12"/>
  <c r="AV13" i="12"/>
  <c r="AW13" i="12"/>
  <c r="AX13" i="12"/>
  <c r="AY13" i="12"/>
  <c r="AZ13" i="12"/>
  <c r="BA13" i="12"/>
  <c r="BB13" i="12"/>
  <c r="BC13" i="12"/>
  <c r="BD13" i="12"/>
  <c r="BE13" i="12"/>
  <c r="BF13" i="12"/>
  <c r="BG13" i="12"/>
  <c r="BH13" i="12"/>
  <c r="BI13" i="12"/>
  <c r="BJ13" i="12"/>
  <c r="BK13" i="12"/>
  <c r="BL13" i="12"/>
  <c r="BM13" i="12"/>
  <c r="BN13" i="12"/>
  <c r="AU14" i="12"/>
  <c r="AV14" i="12"/>
  <c r="AW14" i="12"/>
  <c r="AX14" i="12"/>
  <c r="AY14" i="12"/>
  <c r="AZ14" i="12"/>
  <c r="BA14" i="12"/>
  <c r="BB14" i="12"/>
  <c r="BC14" i="12"/>
  <c r="BD14" i="12"/>
  <c r="BE14" i="12"/>
  <c r="BF14" i="12"/>
  <c r="BG14" i="12"/>
  <c r="BH14" i="12"/>
  <c r="BI14" i="12"/>
  <c r="BJ14" i="12"/>
  <c r="BK14" i="12"/>
  <c r="BL14" i="12"/>
  <c r="BM14" i="12"/>
  <c r="BN14" i="12"/>
  <c r="AR15" i="12"/>
  <c r="AS15" i="12"/>
  <c r="AT15" i="12"/>
  <c r="AU15" i="12"/>
  <c r="AV15" i="12"/>
  <c r="AW15" i="12"/>
  <c r="AX15" i="12"/>
  <c r="AY15" i="12"/>
  <c r="AZ15" i="12"/>
  <c r="BA15" i="12"/>
  <c r="BB15" i="12"/>
  <c r="BC15" i="12"/>
  <c r="BD15" i="12"/>
  <c r="BE15" i="12"/>
  <c r="BF15" i="12"/>
  <c r="BG15" i="12"/>
  <c r="BH15" i="12"/>
  <c r="BI15" i="12"/>
  <c r="BJ15" i="12"/>
  <c r="BK15" i="12"/>
  <c r="BL15" i="12"/>
  <c r="BM15" i="12"/>
  <c r="BN15" i="12"/>
  <c r="AR16" i="12"/>
  <c r="AS16" i="12"/>
  <c r="AT16" i="12"/>
  <c r="AU16" i="12"/>
  <c r="AV16" i="12"/>
  <c r="AW16" i="12"/>
  <c r="AX16" i="12"/>
  <c r="AY16" i="12"/>
  <c r="AZ16" i="12"/>
  <c r="BA16" i="12"/>
  <c r="BB16" i="12"/>
  <c r="BC16" i="12"/>
  <c r="BD16" i="12"/>
  <c r="BE16" i="12"/>
  <c r="BF16" i="12"/>
  <c r="BG16" i="12"/>
  <c r="BH16" i="12"/>
  <c r="BI16" i="12"/>
  <c r="BJ16" i="12"/>
  <c r="BK16" i="12"/>
  <c r="BL16" i="12"/>
  <c r="BM16" i="12"/>
  <c r="BN16" i="12"/>
  <c r="AS17" i="12"/>
  <c r="AT17" i="12"/>
  <c r="AU17" i="12"/>
  <c r="AV17" i="12"/>
  <c r="AW17" i="12"/>
  <c r="AX17" i="12"/>
  <c r="AY17" i="12"/>
  <c r="AZ17" i="12"/>
  <c r="BA17" i="12"/>
  <c r="BB17" i="12"/>
  <c r="BC17" i="12"/>
  <c r="BD17" i="12"/>
  <c r="BE17" i="12"/>
  <c r="BF17" i="12"/>
  <c r="BG17" i="12"/>
  <c r="BH17" i="12"/>
  <c r="BI17" i="12"/>
  <c r="BJ17" i="12"/>
  <c r="BK17" i="12"/>
  <c r="BL17" i="12"/>
  <c r="BM17" i="12"/>
  <c r="BN17" i="12"/>
  <c r="AQ18" i="12"/>
  <c r="AR18" i="12"/>
  <c r="AS18" i="12"/>
  <c r="AT18" i="12"/>
  <c r="AU18" i="12"/>
  <c r="AV18" i="12"/>
  <c r="AW18" i="12"/>
  <c r="AX18" i="12"/>
  <c r="AY18" i="12"/>
  <c r="AZ18" i="12"/>
  <c r="BA18" i="12"/>
  <c r="BB18" i="12"/>
  <c r="BC18" i="12"/>
  <c r="BD18" i="12"/>
  <c r="BE18" i="12"/>
  <c r="BF18" i="12"/>
  <c r="BG18" i="12"/>
  <c r="BH18" i="12"/>
  <c r="BI18" i="12"/>
  <c r="BJ18" i="12"/>
  <c r="BK18" i="12"/>
  <c r="BL18" i="12"/>
  <c r="BM18" i="12"/>
  <c r="BN18" i="12"/>
  <c r="AV19" i="12"/>
  <c r="AW19" i="12"/>
  <c r="AX19" i="12"/>
  <c r="AY19" i="12"/>
  <c r="AZ19" i="12"/>
  <c r="BA19" i="12"/>
  <c r="BB19" i="12"/>
  <c r="BC19" i="12"/>
  <c r="BD19" i="12"/>
  <c r="BE19" i="12"/>
  <c r="BF19" i="12"/>
  <c r="BG19" i="12"/>
  <c r="BH19" i="12"/>
  <c r="BI19" i="12"/>
  <c r="BJ19" i="12"/>
  <c r="BK19" i="12"/>
  <c r="BL19" i="12"/>
  <c r="BM19" i="12"/>
  <c r="BN19" i="12"/>
  <c r="AS20" i="12"/>
  <c r="AT20" i="12"/>
  <c r="AU20" i="12"/>
  <c r="AV20" i="12"/>
  <c r="AW20" i="12"/>
  <c r="AX20" i="12"/>
  <c r="AY20" i="12"/>
  <c r="AZ20" i="12"/>
  <c r="BA20" i="12"/>
  <c r="BB20" i="12"/>
  <c r="BC20" i="12"/>
  <c r="BD20" i="12"/>
  <c r="BE20" i="12"/>
  <c r="BF20" i="12"/>
  <c r="BG20" i="12"/>
  <c r="BH20" i="12"/>
  <c r="BI20" i="12"/>
  <c r="BJ20" i="12"/>
  <c r="BK20" i="12"/>
  <c r="BL20" i="12"/>
  <c r="BM20" i="12"/>
  <c r="BN20" i="12"/>
  <c r="AR21" i="12"/>
  <c r="AS21" i="12"/>
  <c r="AT21" i="12"/>
  <c r="AU21" i="12"/>
  <c r="AV21" i="12"/>
  <c r="AW21" i="12"/>
  <c r="AX21" i="12"/>
  <c r="AY21" i="12"/>
  <c r="AZ21" i="12"/>
  <c r="BA21" i="12"/>
  <c r="BB21" i="12"/>
  <c r="BC21" i="12"/>
  <c r="BD21" i="12"/>
  <c r="BE21" i="12"/>
  <c r="BF21" i="12"/>
  <c r="BG21" i="12"/>
  <c r="BH21" i="12"/>
  <c r="BI21" i="12"/>
  <c r="BJ21" i="12"/>
  <c r="BK21" i="12"/>
  <c r="BL21" i="12"/>
  <c r="BM21" i="12"/>
  <c r="BN21" i="12"/>
  <c r="AT22" i="12"/>
  <c r="AU22" i="12"/>
  <c r="AV22" i="12"/>
  <c r="AW22" i="12"/>
  <c r="AX22" i="12"/>
  <c r="AY22" i="12"/>
  <c r="AZ22" i="12"/>
  <c r="BA22" i="12"/>
  <c r="BB22" i="12"/>
  <c r="BC22" i="12"/>
  <c r="BD22" i="12"/>
  <c r="BE22" i="12"/>
  <c r="BF22" i="12"/>
  <c r="BG22" i="12"/>
  <c r="BH22" i="12"/>
  <c r="BI22" i="12"/>
  <c r="BJ22" i="12"/>
  <c r="BK22" i="12"/>
  <c r="BL22" i="12"/>
  <c r="BM22" i="12"/>
  <c r="BN22" i="12"/>
  <c r="AU23" i="12"/>
  <c r="AV23" i="12"/>
  <c r="AW23" i="12"/>
  <c r="AX23" i="12"/>
  <c r="AY23" i="12"/>
  <c r="AZ23" i="12"/>
  <c r="BA23" i="12"/>
  <c r="BB23" i="12"/>
  <c r="BC23" i="12"/>
  <c r="BD23" i="12"/>
  <c r="BE23" i="12"/>
  <c r="BF23" i="12"/>
  <c r="BG23" i="12"/>
  <c r="BH23" i="12"/>
  <c r="BI23" i="12"/>
  <c r="BJ23" i="12"/>
  <c r="BK23" i="12"/>
  <c r="BL23" i="12"/>
  <c r="BM23" i="12"/>
  <c r="BN23" i="12"/>
  <c r="BC24" i="12"/>
  <c r="BD24" i="12"/>
  <c r="BE24" i="12"/>
  <c r="BF24" i="12"/>
  <c r="BG24" i="12"/>
  <c r="BH24" i="12"/>
  <c r="BI24" i="12"/>
  <c r="BJ24" i="12"/>
  <c r="BK24" i="12"/>
  <c r="BL24" i="12"/>
  <c r="BM24" i="12"/>
  <c r="BN24" i="12"/>
  <c r="AU25" i="12"/>
  <c r="AV25" i="12"/>
  <c r="AW25" i="12"/>
  <c r="AX25" i="12"/>
  <c r="AY25" i="12"/>
  <c r="AZ25" i="12"/>
  <c r="BA25" i="12"/>
  <c r="BB25" i="12"/>
  <c r="BC25" i="12"/>
  <c r="BD25" i="12"/>
  <c r="BE25" i="12"/>
  <c r="BF25" i="12"/>
  <c r="BG25" i="12"/>
  <c r="BH25" i="12"/>
  <c r="BI25" i="12"/>
  <c r="BJ25" i="12"/>
  <c r="BK25" i="12"/>
  <c r="BL25" i="12"/>
  <c r="BM25" i="12"/>
  <c r="BN25" i="12"/>
  <c r="AS26" i="12"/>
  <c r="AT26" i="12"/>
  <c r="AU26" i="12"/>
  <c r="AV26" i="12"/>
  <c r="AW26" i="12"/>
  <c r="AX26" i="12"/>
  <c r="AY26" i="12"/>
  <c r="AZ26" i="12"/>
  <c r="BA26" i="12"/>
  <c r="BB26" i="12"/>
  <c r="BC26" i="12"/>
  <c r="BD26" i="12"/>
  <c r="BE26" i="12"/>
  <c r="BF26" i="12"/>
  <c r="BG26" i="12"/>
  <c r="BH26" i="12"/>
  <c r="BI26" i="12"/>
  <c r="BJ26" i="12"/>
  <c r="BK26" i="12"/>
  <c r="BL26" i="12"/>
  <c r="BM26" i="12"/>
  <c r="BN26" i="12"/>
  <c r="AT27" i="12"/>
  <c r="AU27" i="12"/>
  <c r="AV27" i="12"/>
  <c r="AW27" i="12"/>
  <c r="AX27" i="12"/>
  <c r="AY27" i="12"/>
  <c r="AZ27" i="12"/>
  <c r="BA27" i="12"/>
  <c r="BB27" i="12"/>
  <c r="BC27" i="12"/>
  <c r="BD27" i="12"/>
  <c r="BE27" i="12"/>
  <c r="BF27" i="12"/>
  <c r="BG27" i="12"/>
  <c r="BH27" i="12"/>
  <c r="BI27" i="12"/>
  <c r="BJ27" i="12"/>
  <c r="BK27" i="12"/>
  <c r="BL27" i="12"/>
  <c r="BM27" i="12"/>
  <c r="BN27" i="12"/>
  <c r="AZ28" i="12"/>
  <c r="BA28" i="12"/>
  <c r="BB28" i="12"/>
  <c r="BC28" i="12"/>
  <c r="BD28" i="12"/>
  <c r="BE28" i="12"/>
  <c r="BF28" i="12"/>
  <c r="BG28" i="12"/>
  <c r="BH28" i="12"/>
  <c r="BI28" i="12"/>
  <c r="BJ28" i="12"/>
  <c r="BK28" i="12"/>
  <c r="BL28" i="12"/>
  <c r="BM28" i="12"/>
  <c r="BN28" i="12"/>
  <c r="AS29" i="12"/>
  <c r="AT29" i="12"/>
  <c r="AU29" i="12"/>
  <c r="AV29" i="12"/>
  <c r="AW29" i="12"/>
  <c r="AX29" i="12"/>
  <c r="AY29" i="12"/>
  <c r="AZ29" i="12"/>
  <c r="BA29" i="12"/>
  <c r="BB29" i="12"/>
  <c r="BC29" i="12"/>
  <c r="BD29" i="12"/>
  <c r="BE29" i="12"/>
  <c r="BF29" i="12"/>
  <c r="BG29" i="12"/>
  <c r="BH29" i="12"/>
  <c r="BI29" i="12"/>
  <c r="BJ29" i="12"/>
  <c r="BK29" i="12"/>
  <c r="BL29" i="12"/>
  <c r="BM29" i="12"/>
  <c r="BN29" i="12"/>
  <c r="AU30" i="12"/>
  <c r="AV30" i="12"/>
  <c r="AW30" i="12"/>
  <c r="AX30" i="12"/>
  <c r="AY30" i="12"/>
  <c r="AZ30" i="12"/>
  <c r="BA30" i="12"/>
  <c r="BB30" i="12"/>
  <c r="BC30" i="12"/>
  <c r="BD30" i="12"/>
  <c r="BE30" i="12"/>
  <c r="BF30" i="12"/>
  <c r="BG30" i="12"/>
  <c r="BH30" i="12"/>
  <c r="BI30" i="12"/>
  <c r="BJ30" i="12"/>
  <c r="BK30" i="12"/>
  <c r="BL30" i="12"/>
  <c r="BM30" i="12"/>
  <c r="BN30" i="12"/>
  <c r="AQ31" i="12"/>
  <c r="AR31" i="12"/>
  <c r="AS31" i="12"/>
  <c r="AT31" i="12"/>
  <c r="AU31" i="12"/>
  <c r="AV31" i="12"/>
  <c r="AW31" i="12"/>
  <c r="AX31" i="12"/>
  <c r="AY31" i="12"/>
  <c r="AZ31" i="12"/>
  <c r="BA31" i="12"/>
  <c r="BB31" i="12"/>
  <c r="BC31" i="12"/>
  <c r="BD31" i="12"/>
  <c r="BE31" i="12"/>
  <c r="BF31" i="12"/>
  <c r="BG31" i="12"/>
  <c r="BH31" i="12"/>
  <c r="BI31" i="12"/>
  <c r="BJ31" i="12"/>
  <c r="BK31" i="12"/>
  <c r="BL31" i="12"/>
  <c r="BM31" i="12"/>
  <c r="BN31" i="12"/>
  <c r="AU32" i="12"/>
  <c r="AV32" i="12"/>
  <c r="AW32" i="12"/>
  <c r="AX32" i="12"/>
  <c r="AY32" i="12"/>
  <c r="AZ32" i="12"/>
  <c r="BA32" i="12"/>
  <c r="BB32" i="12"/>
  <c r="BC32" i="12"/>
  <c r="BD32" i="12"/>
  <c r="BE32" i="12"/>
  <c r="BF32" i="12"/>
  <c r="BG32" i="12"/>
  <c r="BH32" i="12"/>
  <c r="BI32" i="12"/>
  <c r="BJ32" i="12"/>
  <c r="BK32" i="12"/>
  <c r="BL32" i="12"/>
  <c r="BM32" i="12"/>
  <c r="BN32" i="12"/>
  <c r="AS33" i="12"/>
  <c r="AT33" i="12"/>
  <c r="AU33" i="12"/>
  <c r="AV33" i="12"/>
  <c r="AW33" i="12"/>
  <c r="AX33" i="12"/>
  <c r="AY33" i="12"/>
  <c r="AZ33" i="12"/>
  <c r="BA33" i="12"/>
  <c r="BB33" i="12"/>
  <c r="BC33" i="12"/>
  <c r="BD33" i="12"/>
  <c r="BE33" i="12"/>
  <c r="BF33" i="12"/>
  <c r="BG33" i="12"/>
  <c r="BH33" i="12"/>
  <c r="BI33" i="12"/>
  <c r="BJ33" i="12"/>
  <c r="BK33" i="12"/>
  <c r="BL33" i="12"/>
  <c r="BM33" i="12"/>
  <c r="BN33" i="12"/>
  <c r="AR34" i="12"/>
  <c r="AS34" i="12"/>
  <c r="AT34" i="12"/>
  <c r="AU34" i="12"/>
  <c r="AV34" i="12"/>
  <c r="AW34" i="12"/>
  <c r="AX34" i="12"/>
  <c r="AY34" i="12"/>
  <c r="AZ34" i="12"/>
  <c r="BA34" i="12"/>
  <c r="BB34" i="12"/>
  <c r="BC34" i="12"/>
  <c r="BD34" i="12"/>
  <c r="BE34" i="12"/>
  <c r="BF34" i="12"/>
  <c r="BG34" i="12"/>
  <c r="BH34" i="12"/>
  <c r="BI34" i="12"/>
  <c r="BJ34" i="12"/>
  <c r="BK34" i="12"/>
  <c r="BL34" i="12"/>
  <c r="BM34" i="12"/>
  <c r="BN34" i="12"/>
  <c r="AR35" i="12"/>
  <c r="AS35" i="12"/>
  <c r="AT35" i="12"/>
  <c r="AU35" i="12"/>
  <c r="AV35" i="12"/>
  <c r="AW35" i="12"/>
  <c r="AX35" i="12"/>
  <c r="AY35" i="12"/>
  <c r="AZ35" i="12"/>
  <c r="BA35" i="12"/>
  <c r="BB35" i="12"/>
  <c r="BC35" i="12"/>
  <c r="BD35" i="12"/>
  <c r="BE35" i="12"/>
  <c r="BF35" i="12"/>
  <c r="BG35" i="12"/>
  <c r="BH35" i="12"/>
  <c r="BI35" i="12"/>
  <c r="BJ35" i="12"/>
  <c r="BK35" i="12"/>
  <c r="BL35" i="12"/>
  <c r="BM35" i="12"/>
  <c r="BN35" i="12"/>
  <c r="AV36" i="12"/>
  <c r="AW36" i="12"/>
  <c r="AX36" i="12"/>
  <c r="AY36" i="12"/>
  <c r="AZ36" i="12"/>
  <c r="BA36" i="12"/>
  <c r="BB36" i="12"/>
  <c r="BC36" i="12"/>
  <c r="BD36" i="12"/>
  <c r="BE36" i="12"/>
  <c r="BF36" i="12"/>
  <c r="BG36" i="12"/>
  <c r="BH36" i="12"/>
  <c r="BI36" i="12"/>
  <c r="BJ36" i="12"/>
  <c r="BK36" i="12"/>
  <c r="BL36" i="12"/>
  <c r="BM36" i="12"/>
  <c r="BN36" i="12"/>
  <c r="AR8" i="12"/>
  <c r="AS8" i="12"/>
  <c r="AT8" i="12"/>
  <c r="AU8" i="12"/>
  <c r="AV8" i="12"/>
  <c r="AW8" i="12"/>
  <c r="AX8" i="12"/>
  <c r="AY8" i="12"/>
  <c r="AZ8" i="12"/>
  <c r="BA8" i="12"/>
  <c r="BB8" i="12"/>
  <c r="BC8" i="12"/>
  <c r="BD8" i="12"/>
  <c r="BE8" i="12"/>
  <c r="BF8" i="12"/>
  <c r="BG8" i="12"/>
  <c r="BH8" i="12"/>
  <c r="BI8" i="12"/>
  <c r="BJ8" i="12"/>
  <c r="BK8" i="12"/>
  <c r="BL8" i="12"/>
  <c r="BM8" i="12"/>
  <c r="BN8" i="12"/>
  <c r="K8" i="8"/>
  <c r="E18" i="20" l="1"/>
  <c r="E21" i="20"/>
  <c r="E20" i="20"/>
  <c r="E17" i="20"/>
  <c r="E16" i="20"/>
  <c r="O9" i="9" l="1"/>
  <c r="N9" i="9"/>
  <c r="M9" i="9"/>
  <c r="L9" i="9"/>
  <c r="C10" i="9"/>
  <c r="AG32" i="12"/>
  <c r="AG33" i="12"/>
  <c r="AG34" i="12"/>
  <c r="AG35" i="12"/>
  <c r="AG36" i="12"/>
  <c r="AH32" i="12"/>
  <c r="AH33" i="12"/>
  <c r="AH34" i="12"/>
  <c r="AH35" i="12"/>
  <c r="AH36" i="12"/>
  <c r="AI32" i="12"/>
  <c r="AI33" i="12"/>
  <c r="AI34" i="12"/>
  <c r="AI35" i="12"/>
  <c r="AI36" i="12"/>
  <c r="AJ32" i="12"/>
  <c r="AJ33" i="12"/>
  <c r="AJ34" i="12"/>
  <c r="AJ35" i="12"/>
  <c r="AJ36" i="12"/>
  <c r="AK32" i="12"/>
  <c r="AK33" i="12"/>
  <c r="AK34" i="12"/>
  <c r="AK35" i="12"/>
  <c r="AK36" i="12"/>
  <c r="AN32" i="12"/>
  <c r="AN33" i="12"/>
  <c r="AN34" i="12"/>
  <c r="AN35" i="12"/>
  <c r="AN36" i="12"/>
  <c r="AO32" i="12"/>
  <c r="AO33" i="12"/>
  <c r="AO34" i="12"/>
  <c r="AO35" i="12"/>
  <c r="AO36" i="12"/>
  <c r="BR32" i="12"/>
  <c r="BR33" i="12"/>
  <c r="BR34" i="12"/>
  <c r="BR35" i="12"/>
  <c r="BR36" i="12"/>
  <c r="U9" i="9"/>
  <c r="T9" i="9"/>
  <c r="S9" i="9"/>
  <c r="P9" i="9"/>
  <c r="AN8" i="12"/>
  <c r="AO8" i="12"/>
  <c r="BO33" i="12" l="1"/>
  <c r="BO34" i="12"/>
  <c r="AL34" i="12"/>
  <c r="AM34" i="12" s="1"/>
  <c r="BO35" i="12"/>
  <c r="BO36" i="12"/>
  <c r="BO32" i="12"/>
  <c r="AL35" i="12"/>
  <c r="AM35" i="12" s="1"/>
  <c r="AL33" i="12"/>
  <c r="AM33" i="12" s="1"/>
  <c r="AL36" i="12"/>
  <c r="AM36" i="12" s="1"/>
  <c r="AL32" i="12"/>
  <c r="AM32" i="12" s="1"/>
  <c r="AO9" i="12"/>
  <c r="AO10" i="12"/>
  <c r="AO11" i="12"/>
  <c r="AO12" i="12"/>
  <c r="AO13" i="12"/>
  <c r="AO14" i="12"/>
  <c r="AO15" i="12"/>
  <c r="AO16" i="12"/>
  <c r="AO17" i="12"/>
  <c r="AO18" i="12"/>
  <c r="AO19" i="12"/>
  <c r="AO20" i="12"/>
  <c r="AO21" i="12"/>
  <c r="AO22" i="12"/>
  <c r="AO23" i="12"/>
  <c r="AO24" i="12"/>
  <c r="AO25" i="12"/>
  <c r="AO26" i="12"/>
  <c r="AO27" i="12"/>
  <c r="AO28" i="12"/>
  <c r="AO29" i="12"/>
  <c r="AO30" i="12"/>
  <c r="AO31" i="12"/>
  <c r="AK8" i="12"/>
  <c r="AK9" i="12"/>
  <c r="AK10" i="12"/>
  <c r="AK11" i="12"/>
  <c r="AK12" i="12"/>
  <c r="AK13" i="12"/>
  <c r="AK14" i="12"/>
  <c r="AK15" i="12"/>
  <c r="AK16" i="12"/>
  <c r="AK17" i="12"/>
  <c r="AK18" i="12"/>
  <c r="AK19" i="12"/>
  <c r="AK20" i="12"/>
  <c r="AK21" i="12"/>
  <c r="AK22" i="12"/>
  <c r="AK23" i="12"/>
  <c r="AK24" i="12"/>
  <c r="AK25" i="12"/>
  <c r="AK26" i="12"/>
  <c r="AK27" i="12"/>
  <c r="AK28" i="12"/>
  <c r="AK29" i="12"/>
  <c r="AK30" i="12"/>
  <c r="AK31" i="12"/>
  <c r="AJ8" i="12"/>
  <c r="AJ9" i="12"/>
  <c r="AJ10" i="12"/>
  <c r="AJ11" i="12"/>
  <c r="AJ12" i="12"/>
  <c r="AJ13" i="12"/>
  <c r="AJ14" i="12"/>
  <c r="AJ15" i="12"/>
  <c r="AJ16" i="12"/>
  <c r="AJ17" i="12"/>
  <c r="AJ18" i="12"/>
  <c r="AJ19" i="12"/>
  <c r="AJ20" i="12"/>
  <c r="AJ21" i="12"/>
  <c r="AJ22" i="12"/>
  <c r="AJ23" i="12"/>
  <c r="AJ24" i="12"/>
  <c r="AJ25" i="12"/>
  <c r="AJ26" i="12"/>
  <c r="AJ27" i="12"/>
  <c r="AJ28" i="12"/>
  <c r="AJ29" i="12"/>
  <c r="AJ30" i="12"/>
  <c r="AJ31" i="12"/>
  <c r="AI9" i="12"/>
  <c r="AI8" i="12"/>
  <c r="AI10" i="12"/>
  <c r="AI11" i="12"/>
  <c r="AI12" i="12"/>
  <c r="AI13" i="12"/>
  <c r="AI14" i="12"/>
  <c r="AI15" i="12"/>
  <c r="AI16" i="12"/>
  <c r="AI17" i="12"/>
  <c r="AI18" i="12"/>
  <c r="AI19" i="12"/>
  <c r="AI20" i="12"/>
  <c r="AI21" i="12"/>
  <c r="AI22" i="12"/>
  <c r="AI23" i="12"/>
  <c r="AI24" i="12"/>
  <c r="AI25" i="12"/>
  <c r="AI26" i="12"/>
  <c r="AI27" i="12"/>
  <c r="AI28" i="12"/>
  <c r="AI29" i="12"/>
  <c r="AI30" i="12"/>
  <c r="AI31" i="12"/>
  <c r="AH8" i="12"/>
  <c r="AH9" i="12"/>
  <c r="AH10" i="12"/>
  <c r="AH11" i="12"/>
  <c r="AH12" i="12"/>
  <c r="AH13" i="12"/>
  <c r="AH14" i="12"/>
  <c r="AH15" i="12"/>
  <c r="AH16" i="12"/>
  <c r="AL16" i="12" s="1"/>
  <c r="AM16" i="12" s="1"/>
  <c r="AH17" i="12"/>
  <c r="AH18" i="12"/>
  <c r="AH19" i="12"/>
  <c r="AL19" i="12" s="1"/>
  <c r="AM19" i="12" s="1"/>
  <c r="AH20" i="12"/>
  <c r="AH21" i="12"/>
  <c r="AH22" i="12"/>
  <c r="AH23" i="12"/>
  <c r="AL23" i="12" s="1"/>
  <c r="AM23" i="12" s="1"/>
  <c r="AH24" i="12"/>
  <c r="AH25" i="12"/>
  <c r="AH26" i="12"/>
  <c r="AH27" i="12"/>
  <c r="AL27" i="12" s="1"/>
  <c r="AM27" i="12" s="1"/>
  <c r="AH28" i="12"/>
  <c r="AL28" i="12" s="1"/>
  <c r="AM28" i="12" s="1"/>
  <c r="AH29" i="12"/>
  <c r="AH30" i="12"/>
  <c r="AH31" i="12"/>
  <c r="AL31" i="12" s="1"/>
  <c r="AM31" i="12" s="1"/>
  <c r="S7" i="7"/>
  <c r="T7" i="7" s="1"/>
  <c r="S8" i="7"/>
  <c r="S9" i="7"/>
  <c r="S10" i="7"/>
  <c r="S11" i="7"/>
  <c r="T11" i="7" s="1"/>
  <c r="S12" i="7"/>
  <c r="S13" i="7"/>
  <c r="T13" i="7" s="1"/>
  <c r="S14" i="7"/>
  <c r="T14" i="7" s="1"/>
  <c r="S15" i="7"/>
  <c r="S16" i="7"/>
  <c r="S17" i="7"/>
  <c r="S18" i="7"/>
  <c r="S19" i="7"/>
  <c r="S20" i="7"/>
  <c r="S21" i="7"/>
  <c r="T21" i="7" s="1"/>
  <c r="S22" i="7"/>
  <c r="S23" i="7"/>
  <c r="S24" i="7"/>
  <c r="S25" i="7"/>
  <c r="S26" i="7"/>
  <c r="S27" i="7"/>
  <c r="S28" i="7"/>
  <c r="S29" i="7"/>
  <c r="S30" i="7"/>
  <c r="S31" i="7"/>
  <c r="S32" i="7"/>
  <c r="S33" i="7"/>
  <c r="S34" i="7"/>
  <c r="S35" i="7"/>
  <c r="S36" i="7"/>
  <c r="S37" i="7"/>
  <c r="S38" i="7"/>
  <c r="S39" i="7"/>
  <c r="S40" i="7"/>
  <c r="S41" i="7"/>
  <c r="T41" i="7" s="1"/>
  <c r="S42" i="7"/>
  <c r="S43" i="7"/>
  <c r="T43" i="7" s="1"/>
  <c r="S44" i="7"/>
  <c r="S45" i="7"/>
  <c r="S46" i="7"/>
  <c r="S47" i="7"/>
  <c r="S48" i="7"/>
  <c r="S49" i="7"/>
  <c r="S50" i="7"/>
  <c r="S51" i="7"/>
  <c r="S52" i="7"/>
  <c r="T52" i="7" s="1"/>
  <c r="S53" i="7"/>
  <c r="S54" i="7"/>
  <c r="T54" i="7" s="1"/>
  <c r="S55" i="7"/>
  <c r="S56" i="7"/>
  <c r="S57" i="7"/>
  <c r="S58" i="7"/>
  <c r="S59" i="7"/>
  <c r="S60" i="7"/>
  <c r="S61" i="7"/>
  <c r="T61" i="7" s="1"/>
  <c r="S62" i="7"/>
  <c r="T62" i="7" s="1"/>
  <c r="S63" i="7"/>
  <c r="S64" i="7"/>
  <c r="S65" i="7"/>
  <c r="T65" i="7" s="1"/>
  <c r="S66" i="7"/>
  <c r="T66" i="7" s="1"/>
  <c r="S67" i="7"/>
  <c r="T67" i="7" s="1"/>
  <c r="S68" i="7"/>
  <c r="T68" i="7" s="1"/>
  <c r="S69" i="7"/>
  <c r="T69" i="7" s="1"/>
  <c r="S70" i="7"/>
  <c r="T70" i="7" s="1"/>
  <c r="S71" i="7"/>
  <c r="T71" i="7" s="1"/>
  <c r="S72" i="7"/>
  <c r="S73" i="7"/>
  <c r="S74" i="7"/>
  <c r="S75" i="7"/>
  <c r="S76" i="7"/>
  <c r="S77" i="7"/>
  <c r="S78" i="7"/>
  <c r="S79" i="7"/>
  <c r="S80" i="7"/>
  <c r="S81" i="7"/>
  <c r="S82" i="7"/>
  <c r="T82" i="7" s="1"/>
  <c r="S83" i="7"/>
  <c r="T83" i="7" s="1"/>
  <c r="S84" i="7"/>
  <c r="T84" i="7" s="1"/>
  <c r="S85" i="7"/>
  <c r="T85" i="7" s="1"/>
  <c r="S86" i="7"/>
  <c r="T86" i="7" s="1"/>
  <c r="S87" i="7"/>
  <c r="T87" i="7" s="1"/>
  <c r="S88" i="7"/>
  <c r="T88" i="7" s="1"/>
  <c r="S89" i="7"/>
  <c r="T89" i="7" s="1"/>
  <c r="S90" i="7"/>
  <c r="T90" i="7" s="1"/>
  <c r="S91" i="7"/>
  <c r="T91" i="7" s="1"/>
  <c r="S92" i="7"/>
  <c r="T92" i="7" s="1"/>
  <c r="S93" i="7"/>
  <c r="T93" i="7" s="1"/>
  <c r="S94" i="7"/>
  <c r="T94" i="7" s="1"/>
  <c r="S95" i="7"/>
  <c r="T95" i="7" s="1"/>
  <c r="S96" i="7"/>
  <c r="T96" i="7" s="1"/>
  <c r="S97" i="7"/>
  <c r="T97" i="7" s="1"/>
  <c r="S98" i="7"/>
  <c r="T98" i="7" s="1"/>
  <c r="S99" i="7"/>
  <c r="T99" i="7" s="1"/>
  <c r="S100" i="7"/>
  <c r="T100" i="7" s="1"/>
  <c r="S101" i="7"/>
  <c r="S102" i="7"/>
  <c r="T102" i="7" s="1"/>
  <c r="S103" i="7"/>
  <c r="T103" i="7" s="1"/>
  <c r="S104" i="7"/>
  <c r="T104" i="7" s="1"/>
  <c r="S105" i="7"/>
  <c r="S106" i="7"/>
  <c r="S107" i="7"/>
  <c r="T107" i="7" s="1"/>
  <c r="S108" i="7"/>
  <c r="S109" i="7"/>
  <c r="S110" i="7"/>
  <c r="T110" i="7" s="1"/>
  <c r="S111" i="7"/>
  <c r="T111" i="7" s="1"/>
  <c r="S112" i="7"/>
  <c r="S113" i="7"/>
  <c r="T113" i="7" s="1"/>
  <c r="S114" i="7"/>
  <c r="S115" i="7"/>
  <c r="S116" i="7"/>
  <c r="S117" i="7"/>
  <c r="S118" i="7"/>
  <c r="S119" i="7"/>
  <c r="S120" i="7"/>
  <c r="S121" i="7"/>
  <c r="S122" i="7"/>
  <c r="S123" i="7"/>
  <c r="S124" i="7"/>
  <c r="S125" i="7"/>
  <c r="S126" i="7"/>
  <c r="S127" i="7"/>
  <c r="S128" i="7"/>
  <c r="S129" i="7"/>
  <c r="T129" i="7" s="1"/>
  <c r="S130" i="7"/>
  <c r="T130" i="7" s="1"/>
  <c r="S131" i="7"/>
  <c r="T131" i="7" s="1"/>
  <c r="S132" i="7"/>
  <c r="S133" i="7"/>
  <c r="T133" i="7" s="1"/>
  <c r="S134" i="7"/>
  <c r="T134" i="7" s="1"/>
  <c r="S135" i="7"/>
  <c r="T135" i="7" s="1"/>
  <c r="S136" i="7"/>
  <c r="T136" i="7" s="1"/>
  <c r="S137" i="7"/>
  <c r="T137" i="7" s="1"/>
  <c r="S138" i="7"/>
  <c r="T138" i="7" s="1"/>
  <c r="S139" i="7"/>
  <c r="S140" i="7"/>
  <c r="S141" i="7"/>
  <c r="T141" i="7" s="1"/>
  <c r="S142" i="7"/>
  <c r="S143" i="7"/>
  <c r="T143" i="7" s="1"/>
  <c r="S144" i="7"/>
  <c r="T144" i="7" s="1"/>
  <c r="S145" i="7"/>
  <c r="S146" i="7"/>
  <c r="S147" i="7"/>
  <c r="T147" i="7" s="1"/>
  <c r="S148" i="7"/>
  <c r="S149" i="7"/>
  <c r="S150" i="7"/>
  <c r="T150" i="7" s="1"/>
  <c r="S151" i="7"/>
  <c r="S152" i="7"/>
  <c r="T152" i="7" s="1"/>
  <c r="S153" i="7"/>
  <c r="S154" i="7"/>
  <c r="S155" i="7"/>
  <c r="S156" i="7"/>
  <c r="S157" i="7"/>
  <c r="S158" i="7"/>
  <c r="S159" i="7"/>
  <c r="S160" i="7"/>
  <c r="T160" i="7" s="1"/>
  <c r="S161" i="7"/>
  <c r="S162" i="7"/>
  <c r="S163" i="7"/>
  <c r="S164" i="7"/>
  <c r="S165" i="7"/>
  <c r="S166" i="7"/>
  <c r="S167" i="7"/>
  <c r="S168" i="7"/>
  <c r="S169" i="7"/>
  <c r="T169" i="7" s="1"/>
  <c r="F9" i="8"/>
  <c r="H9" i="8" s="1"/>
  <c r="Q7" i="7"/>
  <c r="Q8" i="7"/>
  <c r="Q9" i="7"/>
  <c r="Q10" i="7"/>
  <c r="Q11" i="7"/>
  <c r="Q12" i="7"/>
  <c r="Q13" i="7"/>
  <c r="Q14" i="7"/>
  <c r="Q15" i="7"/>
  <c r="Q16" i="7"/>
  <c r="Q17" i="7"/>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Q50" i="7"/>
  <c r="Q51" i="7"/>
  <c r="Q52" i="7"/>
  <c r="Q53" i="7"/>
  <c r="Q54" i="7"/>
  <c r="Q55" i="7"/>
  <c r="Q56" i="7"/>
  <c r="Q57" i="7"/>
  <c r="Q58" i="7"/>
  <c r="Q59" i="7"/>
  <c r="Q60" i="7"/>
  <c r="Q61" i="7"/>
  <c r="Q62" i="7"/>
  <c r="Q63" i="7"/>
  <c r="Q64" i="7"/>
  <c r="Q65" i="7"/>
  <c r="Q66" i="7"/>
  <c r="Q67" i="7"/>
  <c r="Q68" i="7"/>
  <c r="Q69" i="7"/>
  <c r="Q70" i="7"/>
  <c r="Q71" i="7"/>
  <c r="Q72" i="7"/>
  <c r="Q73" i="7"/>
  <c r="Q74" i="7"/>
  <c r="Q75" i="7"/>
  <c r="Q76" i="7"/>
  <c r="Q77" i="7"/>
  <c r="Q78" i="7"/>
  <c r="Q79" i="7"/>
  <c r="Q80" i="7"/>
  <c r="Q81" i="7"/>
  <c r="Q82" i="7"/>
  <c r="Q83" i="7"/>
  <c r="Q84" i="7"/>
  <c r="Q85" i="7"/>
  <c r="Q86" i="7"/>
  <c r="Q87" i="7"/>
  <c r="Q88" i="7"/>
  <c r="Q89" i="7"/>
  <c r="Q90" i="7"/>
  <c r="Q91" i="7"/>
  <c r="Q92" i="7"/>
  <c r="Q93" i="7"/>
  <c r="Q94" i="7"/>
  <c r="Q95" i="7"/>
  <c r="Q96" i="7"/>
  <c r="Q97" i="7"/>
  <c r="Q98" i="7"/>
  <c r="Q99" i="7"/>
  <c r="Q100" i="7"/>
  <c r="Q101" i="7"/>
  <c r="Q102" i="7"/>
  <c r="Q103" i="7"/>
  <c r="Q104" i="7"/>
  <c r="Q105" i="7"/>
  <c r="Q106" i="7"/>
  <c r="Q107" i="7"/>
  <c r="Q108" i="7"/>
  <c r="Q109" i="7"/>
  <c r="Q110" i="7"/>
  <c r="Q111" i="7"/>
  <c r="Q112" i="7"/>
  <c r="Q113" i="7"/>
  <c r="Q114" i="7"/>
  <c r="Q115" i="7"/>
  <c r="Q116" i="7"/>
  <c r="Q117" i="7"/>
  <c r="Q118" i="7"/>
  <c r="Q119" i="7"/>
  <c r="Q120" i="7"/>
  <c r="Q121" i="7"/>
  <c r="Q122" i="7"/>
  <c r="Q123" i="7"/>
  <c r="Q124" i="7"/>
  <c r="Q125" i="7"/>
  <c r="Q126" i="7"/>
  <c r="Q127" i="7"/>
  <c r="Q128" i="7"/>
  <c r="Q129" i="7"/>
  <c r="Q130" i="7"/>
  <c r="Q131" i="7"/>
  <c r="Q132" i="7"/>
  <c r="Q133" i="7"/>
  <c r="Q134" i="7"/>
  <c r="Q135" i="7"/>
  <c r="Q136" i="7"/>
  <c r="Q137" i="7"/>
  <c r="Q138" i="7"/>
  <c r="Q139" i="7"/>
  <c r="Q140" i="7"/>
  <c r="Q141" i="7"/>
  <c r="Q142" i="7"/>
  <c r="Q143" i="7"/>
  <c r="Q144" i="7"/>
  <c r="Q145" i="7"/>
  <c r="Q146" i="7"/>
  <c r="Q147" i="7"/>
  <c r="Q148" i="7"/>
  <c r="Q149" i="7"/>
  <c r="Q150" i="7"/>
  <c r="Q151" i="7"/>
  <c r="Q152" i="7"/>
  <c r="Q153" i="7"/>
  <c r="Q154" i="7"/>
  <c r="Q155" i="7"/>
  <c r="Q156" i="7"/>
  <c r="Q157" i="7"/>
  <c r="Q158" i="7"/>
  <c r="Q159" i="7"/>
  <c r="Q160" i="7"/>
  <c r="Q161" i="7"/>
  <c r="Q162" i="7"/>
  <c r="Q163" i="7"/>
  <c r="Q164" i="7"/>
  <c r="Q165" i="7"/>
  <c r="Q166" i="7"/>
  <c r="Q167" i="7"/>
  <c r="Q168" i="7"/>
  <c r="Q169"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56" i="7"/>
  <c r="O57" i="7"/>
  <c r="O58" i="7"/>
  <c r="O59" i="7"/>
  <c r="O60" i="7"/>
  <c r="O61" i="7"/>
  <c r="O62" i="7"/>
  <c r="O63" i="7"/>
  <c r="O64" i="7"/>
  <c r="O65" i="7"/>
  <c r="O66" i="7"/>
  <c r="O67" i="7"/>
  <c r="O68" i="7"/>
  <c r="O69" i="7"/>
  <c r="O70" i="7"/>
  <c r="O71" i="7"/>
  <c r="O72" i="7"/>
  <c r="O73" i="7"/>
  <c r="O74" i="7"/>
  <c r="O75" i="7"/>
  <c r="O76" i="7"/>
  <c r="O77" i="7"/>
  <c r="O78" i="7"/>
  <c r="O79" i="7"/>
  <c r="O80" i="7"/>
  <c r="O81" i="7"/>
  <c r="O82" i="7"/>
  <c r="O83" i="7"/>
  <c r="O84" i="7"/>
  <c r="O85" i="7"/>
  <c r="O86" i="7"/>
  <c r="O87" i="7"/>
  <c r="O88" i="7"/>
  <c r="O89" i="7"/>
  <c r="O90" i="7"/>
  <c r="O91" i="7"/>
  <c r="O92" i="7"/>
  <c r="O93" i="7"/>
  <c r="O94" i="7"/>
  <c r="O95" i="7"/>
  <c r="O96" i="7"/>
  <c r="O97" i="7"/>
  <c r="O98" i="7"/>
  <c r="O99" i="7"/>
  <c r="O100" i="7"/>
  <c r="O101" i="7"/>
  <c r="O102" i="7"/>
  <c r="O103" i="7"/>
  <c r="O104" i="7"/>
  <c r="O105" i="7"/>
  <c r="O106" i="7"/>
  <c r="O107" i="7"/>
  <c r="O108" i="7"/>
  <c r="O109" i="7"/>
  <c r="O110" i="7"/>
  <c r="O111" i="7"/>
  <c r="O112" i="7"/>
  <c r="O113" i="7"/>
  <c r="O114" i="7"/>
  <c r="O115" i="7"/>
  <c r="O116" i="7"/>
  <c r="O117" i="7"/>
  <c r="O118" i="7"/>
  <c r="O119" i="7"/>
  <c r="O120" i="7"/>
  <c r="O121" i="7"/>
  <c r="O122" i="7"/>
  <c r="O123" i="7"/>
  <c r="O124" i="7"/>
  <c r="O125" i="7"/>
  <c r="O126" i="7"/>
  <c r="O127" i="7"/>
  <c r="O128" i="7"/>
  <c r="O129" i="7"/>
  <c r="O130" i="7"/>
  <c r="O131" i="7"/>
  <c r="O132" i="7"/>
  <c r="O133" i="7"/>
  <c r="O134" i="7"/>
  <c r="O135" i="7"/>
  <c r="O136" i="7"/>
  <c r="O137" i="7"/>
  <c r="O138" i="7"/>
  <c r="O139" i="7"/>
  <c r="O140" i="7"/>
  <c r="O141" i="7"/>
  <c r="O142" i="7"/>
  <c r="O143" i="7"/>
  <c r="O144" i="7"/>
  <c r="O145" i="7"/>
  <c r="O146" i="7"/>
  <c r="O147" i="7"/>
  <c r="O148" i="7"/>
  <c r="O149" i="7"/>
  <c r="O150" i="7"/>
  <c r="O151" i="7"/>
  <c r="O152" i="7"/>
  <c r="O153" i="7"/>
  <c r="O154" i="7"/>
  <c r="O155" i="7"/>
  <c r="O156" i="7"/>
  <c r="O157" i="7"/>
  <c r="O158" i="7"/>
  <c r="O159" i="7"/>
  <c r="O160" i="7"/>
  <c r="O161" i="7"/>
  <c r="O162" i="7"/>
  <c r="O163" i="7"/>
  <c r="O164" i="7"/>
  <c r="O165" i="7"/>
  <c r="O166" i="7"/>
  <c r="O167" i="7"/>
  <c r="O168" i="7"/>
  <c r="O169"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P102" i="7"/>
  <c r="P103" i="7"/>
  <c r="P104" i="7"/>
  <c r="P105" i="7"/>
  <c r="P106" i="7"/>
  <c r="P107" i="7"/>
  <c r="P108" i="7"/>
  <c r="P109" i="7"/>
  <c r="P110" i="7"/>
  <c r="P111" i="7"/>
  <c r="P112" i="7"/>
  <c r="P113" i="7"/>
  <c r="P114" i="7"/>
  <c r="P115" i="7"/>
  <c r="P116" i="7"/>
  <c r="P117" i="7"/>
  <c r="P118" i="7"/>
  <c r="P119" i="7"/>
  <c r="P120" i="7"/>
  <c r="P121" i="7"/>
  <c r="P122" i="7"/>
  <c r="P123" i="7"/>
  <c r="P124" i="7"/>
  <c r="P125" i="7"/>
  <c r="P126" i="7"/>
  <c r="P127" i="7"/>
  <c r="P128" i="7"/>
  <c r="P129" i="7"/>
  <c r="P130" i="7"/>
  <c r="P131" i="7"/>
  <c r="P132" i="7"/>
  <c r="P133" i="7"/>
  <c r="P134" i="7"/>
  <c r="P135" i="7"/>
  <c r="P136" i="7"/>
  <c r="P137" i="7"/>
  <c r="P138" i="7"/>
  <c r="P139" i="7"/>
  <c r="P140" i="7"/>
  <c r="P141" i="7"/>
  <c r="P142" i="7"/>
  <c r="P143" i="7"/>
  <c r="P144" i="7"/>
  <c r="P145" i="7"/>
  <c r="P146" i="7"/>
  <c r="P147" i="7"/>
  <c r="P148" i="7"/>
  <c r="P149" i="7"/>
  <c r="P150" i="7"/>
  <c r="P151" i="7"/>
  <c r="P152" i="7"/>
  <c r="P153" i="7"/>
  <c r="P154" i="7"/>
  <c r="P155" i="7"/>
  <c r="P156" i="7"/>
  <c r="P157" i="7"/>
  <c r="P158" i="7"/>
  <c r="P159" i="7"/>
  <c r="P160" i="7"/>
  <c r="P161" i="7"/>
  <c r="P162" i="7"/>
  <c r="P163" i="7"/>
  <c r="P164" i="7"/>
  <c r="P165" i="7"/>
  <c r="P166" i="7"/>
  <c r="P167" i="7"/>
  <c r="P168" i="7"/>
  <c r="P169"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102" i="7"/>
  <c r="N103" i="7"/>
  <c r="N104" i="7"/>
  <c r="N105" i="7"/>
  <c r="N106" i="7"/>
  <c r="N107" i="7"/>
  <c r="N108" i="7"/>
  <c r="N109" i="7"/>
  <c r="N110" i="7"/>
  <c r="N111" i="7"/>
  <c r="N112" i="7"/>
  <c r="N113" i="7"/>
  <c r="N114" i="7"/>
  <c r="N115" i="7"/>
  <c r="N116" i="7"/>
  <c r="N117" i="7"/>
  <c r="N118" i="7"/>
  <c r="N119" i="7"/>
  <c r="N120" i="7"/>
  <c r="N121" i="7"/>
  <c r="N122" i="7"/>
  <c r="N123" i="7"/>
  <c r="N124" i="7"/>
  <c r="N125" i="7"/>
  <c r="N126" i="7"/>
  <c r="N127" i="7"/>
  <c r="N128" i="7"/>
  <c r="N129" i="7"/>
  <c r="N130" i="7"/>
  <c r="N131" i="7"/>
  <c r="N132" i="7"/>
  <c r="N133" i="7"/>
  <c r="N134" i="7"/>
  <c r="N135" i="7"/>
  <c r="N136" i="7"/>
  <c r="N137" i="7"/>
  <c r="N138" i="7"/>
  <c r="N139" i="7"/>
  <c r="N140" i="7"/>
  <c r="N141" i="7"/>
  <c r="N142" i="7"/>
  <c r="N143" i="7"/>
  <c r="N144" i="7"/>
  <c r="N145" i="7"/>
  <c r="N146" i="7"/>
  <c r="N147" i="7"/>
  <c r="N148" i="7"/>
  <c r="N149" i="7"/>
  <c r="N150" i="7"/>
  <c r="N151" i="7"/>
  <c r="N152" i="7"/>
  <c r="N153" i="7"/>
  <c r="N154" i="7"/>
  <c r="N155" i="7"/>
  <c r="N156" i="7"/>
  <c r="N157" i="7"/>
  <c r="N158" i="7"/>
  <c r="N159" i="7"/>
  <c r="N160" i="7"/>
  <c r="N161" i="7"/>
  <c r="N162" i="7"/>
  <c r="N163" i="7"/>
  <c r="N164" i="7"/>
  <c r="N165" i="7"/>
  <c r="N166" i="7"/>
  <c r="N167" i="7"/>
  <c r="N168" i="7"/>
  <c r="N169" i="7"/>
  <c r="M7" i="7"/>
  <c r="M8" i="7"/>
  <c r="M9" i="7"/>
  <c r="M10" i="7"/>
  <c r="M11" i="7"/>
  <c r="M12" i="7"/>
  <c r="M13" i="7"/>
  <c r="M14" i="7"/>
  <c r="M15" i="7"/>
  <c r="M16" i="7"/>
  <c r="M17" i="7"/>
  <c r="M18" i="7"/>
  <c r="M19" i="7"/>
  <c r="M20" i="7"/>
  <c r="M21" i="7"/>
  <c r="M22" i="7"/>
  <c r="M23" i="7"/>
  <c r="M24" i="7"/>
  <c r="M25" i="7"/>
  <c r="M26" i="7"/>
  <c r="M27" i="7"/>
  <c r="M28" i="7"/>
  <c r="M29" i="7"/>
  <c r="M30" i="7"/>
  <c r="M31" i="7"/>
  <c r="M32" i="7"/>
  <c r="M33" i="7"/>
  <c r="M34" i="7"/>
  <c r="M35" i="7"/>
  <c r="M36" i="7"/>
  <c r="M37" i="7"/>
  <c r="M38" i="7"/>
  <c r="M39" i="7"/>
  <c r="M40" i="7"/>
  <c r="M41" i="7"/>
  <c r="M42" i="7"/>
  <c r="M43" i="7"/>
  <c r="M44" i="7"/>
  <c r="M45" i="7"/>
  <c r="M46" i="7"/>
  <c r="M47" i="7"/>
  <c r="M48" i="7"/>
  <c r="M49" i="7"/>
  <c r="M50" i="7"/>
  <c r="M51" i="7"/>
  <c r="M52" i="7"/>
  <c r="M53" i="7"/>
  <c r="M54" i="7"/>
  <c r="M55" i="7"/>
  <c r="M56" i="7"/>
  <c r="M57" i="7"/>
  <c r="M58" i="7"/>
  <c r="M59" i="7"/>
  <c r="M60" i="7"/>
  <c r="M61" i="7"/>
  <c r="M62" i="7"/>
  <c r="M63" i="7"/>
  <c r="M64" i="7"/>
  <c r="M65" i="7"/>
  <c r="M66" i="7"/>
  <c r="M67" i="7"/>
  <c r="M68" i="7"/>
  <c r="M69" i="7"/>
  <c r="M70" i="7"/>
  <c r="M71" i="7"/>
  <c r="M72" i="7"/>
  <c r="M73" i="7"/>
  <c r="M74" i="7"/>
  <c r="M75" i="7"/>
  <c r="M76" i="7"/>
  <c r="M77" i="7"/>
  <c r="M78" i="7"/>
  <c r="M79" i="7"/>
  <c r="M80" i="7"/>
  <c r="M81" i="7"/>
  <c r="M82" i="7"/>
  <c r="M83" i="7"/>
  <c r="M84" i="7"/>
  <c r="M85" i="7"/>
  <c r="M86" i="7"/>
  <c r="M87" i="7"/>
  <c r="M88" i="7"/>
  <c r="M89" i="7"/>
  <c r="M90" i="7"/>
  <c r="M91" i="7"/>
  <c r="M92" i="7"/>
  <c r="M93" i="7"/>
  <c r="M94" i="7"/>
  <c r="M95" i="7"/>
  <c r="M96" i="7"/>
  <c r="M97" i="7"/>
  <c r="M98" i="7"/>
  <c r="M99" i="7"/>
  <c r="M100" i="7"/>
  <c r="M101" i="7"/>
  <c r="M102" i="7"/>
  <c r="M103" i="7"/>
  <c r="M104" i="7"/>
  <c r="M105" i="7"/>
  <c r="M106" i="7"/>
  <c r="M107" i="7"/>
  <c r="M108" i="7"/>
  <c r="M109" i="7"/>
  <c r="M110" i="7"/>
  <c r="M111" i="7"/>
  <c r="M112" i="7"/>
  <c r="M113" i="7"/>
  <c r="M114" i="7"/>
  <c r="M115" i="7"/>
  <c r="M116" i="7"/>
  <c r="M117" i="7"/>
  <c r="M118" i="7"/>
  <c r="M119" i="7"/>
  <c r="M120" i="7"/>
  <c r="M121" i="7"/>
  <c r="M122" i="7"/>
  <c r="M123" i="7"/>
  <c r="M124" i="7"/>
  <c r="M125" i="7"/>
  <c r="M126" i="7"/>
  <c r="M127" i="7"/>
  <c r="M128" i="7"/>
  <c r="M129" i="7"/>
  <c r="M130" i="7"/>
  <c r="M131" i="7"/>
  <c r="M132" i="7"/>
  <c r="M133" i="7"/>
  <c r="M134" i="7"/>
  <c r="M135" i="7"/>
  <c r="M136" i="7"/>
  <c r="M137" i="7"/>
  <c r="M138" i="7"/>
  <c r="M139" i="7"/>
  <c r="M140" i="7"/>
  <c r="M141" i="7"/>
  <c r="M142" i="7"/>
  <c r="M143" i="7"/>
  <c r="M144" i="7"/>
  <c r="M145" i="7"/>
  <c r="M146" i="7"/>
  <c r="M147" i="7"/>
  <c r="M148" i="7"/>
  <c r="M149" i="7"/>
  <c r="M150" i="7"/>
  <c r="M151" i="7"/>
  <c r="M152" i="7"/>
  <c r="M153" i="7"/>
  <c r="M154" i="7"/>
  <c r="M155" i="7"/>
  <c r="M156" i="7"/>
  <c r="M157" i="7"/>
  <c r="M158" i="7"/>
  <c r="M159" i="7"/>
  <c r="M160" i="7"/>
  <c r="M161" i="7"/>
  <c r="M162" i="7"/>
  <c r="M163" i="7"/>
  <c r="M164" i="7"/>
  <c r="M165" i="7"/>
  <c r="M166" i="7"/>
  <c r="M167" i="7"/>
  <c r="M168" i="7"/>
  <c r="M169"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AL20" i="12" l="1"/>
  <c r="AM20" i="12" s="1"/>
  <c r="AL12" i="12"/>
  <c r="AM12" i="12" s="1"/>
  <c r="AL29" i="12"/>
  <c r="AM29" i="12" s="1"/>
  <c r="AL21" i="12"/>
  <c r="AM21" i="12" s="1"/>
  <c r="AL25" i="12"/>
  <c r="AM25" i="12" s="1"/>
  <c r="AL17" i="12"/>
  <c r="AM17" i="12" s="1"/>
  <c r="AL13" i="12"/>
  <c r="AM13" i="12" s="1"/>
  <c r="AL30" i="12"/>
  <c r="AM30" i="12" s="1"/>
  <c r="AL10" i="12"/>
  <c r="AM10" i="12" s="1"/>
  <c r="AL15" i="12"/>
  <c r="AM15" i="12" s="1"/>
  <c r="AL18" i="12"/>
  <c r="AM18" i="12" s="1"/>
  <c r="AL14" i="12"/>
  <c r="AM14" i="12" s="1"/>
  <c r="AL26" i="12"/>
  <c r="AM26" i="12" s="1"/>
  <c r="AL24" i="12"/>
  <c r="AM24" i="12" s="1"/>
  <c r="AL11" i="12"/>
  <c r="AM11" i="12" s="1"/>
  <c r="AL22" i="12"/>
  <c r="AM22" i="12" s="1"/>
  <c r="AL8" i="12"/>
  <c r="AL9" i="12"/>
  <c r="AM9" i="12" s="1"/>
  <c r="I9" i="8"/>
  <c r="R163" i="7"/>
  <c r="R155" i="7"/>
  <c r="R147" i="7"/>
  <c r="R139" i="7"/>
  <c r="R135" i="7"/>
  <c r="R131" i="7"/>
  <c r="R127" i="7"/>
  <c r="R167" i="7"/>
  <c r="R159" i="7"/>
  <c r="R151" i="7"/>
  <c r="R143" i="7"/>
  <c r="R123" i="7"/>
  <c r="R119" i="7"/>
  <c r="R115" i="7"/>
  <c r="R111" i="7"/>
  <c r="R107" i="7"/>
  <c r="R103" i="7"/>
  <c r="R99" i="7"/>
  <c r="R95" i="7"/>
  <c r="R91" i="7"/>
  <c r="R87" i="7"/>
  <c r="R83" i="7"/>
  <c r="R79" i="7"/>
  <c r="R75" i="7"/>
  <c r="R71" i="7"/>
  <c r="R67" i="7"/>
  <c r="R63" i="7"/>
  <c r="R59" i="7"/>
  <c r="R55" i="7"/>
  <c r="R51" i="7"/>
  <c r="R47" i="7"/>
  <c r="R43" i="7"/>
  <c r="R39" i="7"/>
  <c r="R35" i="7"/>
  <c r="R31" i="7"/>
  <c r="R27" i="7"/>
  <c r="R23" i="7"/>
  <c r="R19" i="7"/>
  <c r="R15" i="7"/>
  <c r="R11" i="7"/>
  <c r="R7" i="7"/>
  <c r="R168" i="7"/>
  <c r="R164" i="7"/>
  <c r="R160" i="7"/>
  <c r="R156" i="7"/>
  <c r="R152" i="7"/>
  <c r="R148" i="7"/>
  <c r="R144" i="7"/>
  <c r="R140" i="7"/>
  <c r="R136" i="7"/>
  <c r="R169" i="7"/>
  <c r="R165" i="7"/>
  <c r="R161" i="7"/>
  <c r="R157" i="7"/>
  <c r="R153" i="7"/>
  <c r="R149" i="7"/>
  <c r="R145" i="7"/>
  <c r="R141" i="7"/>
  <c r="R137" i="7"/>
  <c r="R133" i="7"/>
  <c r="R129" i="7"/>
  <c r="R125" i="7"/>
  <c r="R121" i="7"/>
  <c r="R117" i="7"/>
  <c r="R113" i="7"/>
  <c r="R109" i="7"/>
  <c r="R105" i="7"/>
  <c r="R101" i="7"/>
  <c r="R97" i="7"/>
  <c r="R93" i="7"/>
  <c r="R89" i="7"/>
  <c r="R85" i="7"/>
  <c r="R81" i="7"/>
  <c r="R77" i="7"/>
  <c r="R73" i="7"/>
  <c r="R69" i="7"/>
  <c r="R65" i="7"/>
  <c r="R61" i="7"/>
  <c r="R57" i="7"/>
  <c r="R53" i="7"/>
  <c r="R49" i="7"/>
  <c r="R45" i="7"/>
  <c r="R41" i="7"/>
  <c r="R37" i="7"/>
  <c r="R33" i="7"/>
  <c r="R29" i="7"/>
  <c r="R25" i="7"/>
  <c r="R21" i="7"/>
  <c r="R17" i="7"/>
  <c r="R13" i="7"/>
  <c r="R9" i="7"/>
  <c r="R132" i="7"/>
  <c r="R128" i="7"/>
  <c r="R124" i="7"/>
  <c r="R120" i="7"/>
  <c r="R116" i="7"/>
  <c r="R112" i="7"/>
  <c r="R108" i="7"/>
  <c r="R104" i="7"/>
  <c r="R100" i="7"/>
  <c r="R96" i="7"/>
  <c r="R92" i="7"/>
  <c r="R88" i="7"/>
  <c r="R84" i="7"/>
  <c r="R80" i="7"/>
  <c r="R76" i="7"/>
  <c r="R72" i="7"/>
  <c r="R68" i="7"/>
  <c r="R64" i="7"/>
  <c r="R60" i="7"/>
  <c r="R56" i="7"/>
  <c r="R52" i="7"/>
  <c r="R48" i="7"/>
  <c r="R44" i="7"/>
  <c r="R40" i="7"/>
  <c r="R36" i="7"/>
  <c r="R32" i="7"/>
  <c r="R28" i="7"/>
  <c r="R24" i="7"/>
  <c r="R20" i="7"/>
  <c r="R16" i="7"/>
  <c r="R12" i="7"/>
  <c r="R8" i="7"/>
  <c r="R166" i="7"/>
  <c r="R162" i="7"/>
  <c r="R158" i="7"/>
  <c r="R154" i="7"/>
  <c r="R150" i="7"/>
  <c r="R146" i="7"/>
  <c r="R142" i="7"/>
  <c r="R138" i="7"/>
  <c r="R134" i="7"/>
  <c r="R130" i="7"/>
  <c r="R126" i="7"/>
  <c r="R122" i="7"/>
  <c r="R118" i="7"/>
  <c r="R114" i="7"/>
  <c r="R110" i="7"/>
  <c r="R106" i="7"/>
  <c r="R102" i="7"/>
  <c r="R98" i="7"/>
  <c r="R94" i="7"/>
  <c r="R90" i="7"/>
  <c r="R86" i="7"/>
  <c r="R82" i="7"/>
  <c r="R78" i="7"/>
  <c r="R74" i="7"/>
  <c r="R70" i="7"/>
  <c r="R66" i="7"/>
  <c r="R62" i="7"/>
  <c r="R58" i="7"/>
  <c r="R54" i="7"/>
  <c r="R50" i="7"/>
  <c r="R46" i="7"/>
  <c r="R42" i="7"/>
  <c r="R38" i="7"/>
  <c r="R34" i="7"/>
  <c r="R30" i="7"/>
  <c r="R26" i="7"/>
  <c r="R22" i="7"/>
  <c r="R18" i="7"/>
  <c r="R14" i="7"/>
  <c r="R10" i="7"/>
  <c r="AM8" i="12" l="1"/>
  <c r="AG8" i="12"/>
  <c r="R9" i="9" l="1"/>
  <c r="F9" i="9"/>
  <c r="D9" i="9"/>
  <c r="K9" i="9" s="1"/>
  <c r="J12" i="6"/>
  <c r="I12" i="6"/>
  <c r="H10" i="9" l="1"/>
  <c r="G10" i="9"/>
  <c r="J9" i="9"/>
  <c r="Q9" i="9" s="1"/>
  <c r="E9" i="9"/>
  <c r="E11" i="6"/>
  <c r="F11" i="6" s="1"/>
  <c r="O10" i="9" l="1"/>
  <c r="U10" i="9"/>
  <c r="M10" i="9"/>
  <c r="N10" i="9"/>
  <c r="K10" i="9"/>
  <c r="C11" i="9"/>
  <c r="V9" i="9"/>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J87" i="6"/>
  <c r="J88" i="6"/>
  <c r="J89" i="6"/>
  <c r="J90" i="6"/>
  <c r="J91" i="6"/>
  <c r="J92" i="6"/>
  <c r="J93" i="6"/>
  <c r="J94" i="6"/>
  <c r="J95" i="6"/>
  <c r="J96" i="6"/>
  <c r="J97" i="6"/>
  <c r="J98" i="6"/>
  <c r="J99" i="6"/>
  <c r="J100" i="6"/>
  <c r="J101" i="6"/>
  <c r="J102" i="6"/>
  <c r="J103" i="6"/>
  <c r="J104" i="6"/>
  <c r="J105" i="6"/>
  <c r="J106" i="6"/>
  <c r="J107"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39" i="6"/>
  <c r="J140" i="6"/>
  <c r="J141" i="6"/>
  <c r="J142" i="6"/>
  <c r="J143" i="6"/>
  <c r="J144" i="6"/>
  <c r="J145" i="6"/>
  <c r="J146" i="6"/>
  <c r="J147" i="6"/>
  <c r="J148" i="6"/>
  <c r="J149" i="6"/>
  <c r="J150" i="6"/>
  <c r="J151" i="6"/>
  <c r="J152" i="6"/>
  <c r="J153" i="6"/>
  <c r="J154" i="6"/>
  <c r="J155" i="6"/>
  <c r="J156" i="6"/>
  <c r="J157" i="6"/>
  <c r="J158" i="6"/>
  <c r="J159" i="6"/>
  <c r="J160" i="6"/>
  <c r="J161" i="6"/>
  <c r="J162" i="6"/>
  <c r="J163" i="6"/>
  <c r="J164" i="6"/>
  <c r="J165" i="6"/>
  <c r="J166" i="6"/>
  <c r="J167" i="6"/>
  <c r="J168" i="6"/>
  <c r="J169" i="6"/>
  <c r="J170" i="6"/>
  <c r="J171" i="6"/>
  <c r="J172" i="6"/>
  <c r="E87" i="6"/>
  <c r="E88" i="6"/>
  <c r="E89" i="6"/>
  <c r="E90" i="6"/>
  <c r="E91" i="6"/>
  <c r="F91" i="6" s="1"/>
  <c r="E92" i="6"/>
  <c r="E93" i="6"/>
  <c r="E94" i="6"/>
  <c r="E95" i="6"/>
  <c r="F95" i="6" s="1"/>
  <c r="E96" i="6"/>
  <c r="E97" i="6"/>
  <c r="F97" i="6" s="1"/>
  <c r="E98" i="6"/>
  <c r="E99" i="6"/>
  <c r="E100" i="6"/>
  <c r="E101" i="6"/>
  <c r="E102" i="6"/>
  <c r="E103" i="6"/>
  <c r="E104" i="6"/>
  <c r="E105" i="6"/>
  <c r="E106" i="6"/>
  <c r="E107" i="6"/>
  <c r="F107" i="6" s="1"/>
  <c r="E108" i="6"/>
  <c r="E109" i="6"/>
  <c r="E110" i="6"/>
  <c r="E111" i="6"/>
  <c r="E112" i="6"/>
  <c r="E113" i="6"/>
  <c r="F113" i="6" s="1"/>
  <c r="E114" i="6"/>
  <c r="E115" i="6"/>
  <c r="E116" i="6"/>
  <c r="E117" i="6"/>
  <c r="E118" i="6"/>
  <c r="E119" i="6"/>
  <c r="F119" i="6" s="1"/>
  <c r="E120" i="6"/>
  <c r="E121" i="6"/>
  <c r="E122" i="6"/>
  <c r="E123" i="6"/>
  <c r="F123" i="6" s="1"/>
  <c r="E124" i="6"/>
  <c r="E125" i="6"/>
  <c r="E126" i="6"/>
  <c r="E127" i="6"/>
  <c r="E128" i="6"/>
  <c r="E129" i="6"/>
  <c r="E130" i="6"/>
  <c r="E131" i="6"/>
  <c r="E132" i="6"/>
  <c r="E133" i="6"/>
  <c r="E134" i="6"/>
  <c r="E135" i="6"/>
  <c r="F135" i="6" s="1"/>
  <c r="E136" i="6"/>
  <c r="E137" i="6"/>
  <c r="E138" i="6"/>
  <c r="E139" i="6"/>
  <c r="F139" i="6" s="1"/>
  <c r="E140" i="6"/>
  <c r="E141" i="6"/>
  <c r="E142" i="6"/>
  <c r="E143" i="6"/>
  <c r="E144" i="6"/>
  <c r="E145" i="6"/>
  <c r="F145" i="6" s="1"/>
  <c r="E146" i="6"/>
  <c r="E147" i="6"/>
  <c r="F147" i="6" s="1"/>
  <c r="E148" i="6"/>
  <c r="E149" i="6"/>
  <c r="E150" i="6"/>
  <c r="E151" i="6"/>
  <c r="F151" i="6" s="1"/>
  <c r="E152" i="6"/>
  <c r="E153" i="6"/>
  <c r="E154" i="6"/>
  <c r="E155" i="6"/>
  <c r="E156" i="6"/>
  <c r="E157" i="6"/>
  <c r="E158" i="6"/>
  <c r="E159" i="6"/>
  <c r="E160" i="6"/>
  <c r="E161" i="6"/>
  <c r="E162" i="6"/>
  <c r="E163" i="6"/>
  <c r="F163" i="6" s="1"/>
  <c r="E164" i="6"/>
  <c r="E165" i="6"/>
  <c r="E166" i="6"/>
  <c r="E167" i="6"/>
  <c r="F167" i="6" s="1"/>
  <c r="E168" i="6"/>
  <c r="E169" i="6"/>
  <c r="F169" i="6" s="1"/>
  <c r="E170" i="6"/>
  <c r="E171" i="6"/>
  <c r="E172" i="6"/>
  <c r="K11" i="7"/>
  <c r="K14" i="7"/>
  <c r="K21" i="7"/>
  <c r="I10" i="9" l="1"/>
  <c r="R10" i="9"/>
  <c r="T10" i="9"/>
  <c r="P10" i="9"/>
  <c r="F10" i="9"/>
  <c r="X9" i="9" s="1"/>
  <c r="D10" i="9"/>
  <c r="W9" i="9"/>
  <c r="J14" i="7"/>
  <c r="J11" i="7"/>
  <c r="J21" i="7"/>
  <c r="G135" i="6"/>
  <c r="G119" i="6"/>
  <c r="G95" i="6"/>
  <c r="G151" i="6"/>
  <c r="G147" i="6"/>
  <c r="G107" i="6"/>
  <c r="G167" i="6"/>
  <c r="G123" i="6"/>
  <c r="G163" i="6"/>
  <c r="G139" i="6"/>
  <c r="F170" i="6"/>
  <c r="G170" i="6" s="1"/>
  <c r="F166" i="6"/>
  <c r="G166" i="6" s="1"/>
  <c r="F162" i="6"/>
  <c r="G162" i="6" s="1"/>
  <c r="F158" i="6"/>
  <c r="G158" i="6" s="1"/>
  <c r="F154" i="6"/>
  <c r="G154" i="6" s="1"/>
  <c r="F150" i="6"/>
  <c r="G150" i="6" s="1"/>
  <c r="F146" i="6"/>
  <c r="G146" i="6" s="1"/>
  <c r="F142" i="6"/>
  <c r="G142" i="6" s="1"/>
  <c r="F138" i="6"/>
  <c r="G138" i="6" s="1"/>
  <c r="F134" i="6"/>
  <c r="G134" i="6" s="1"/>
  <c r="F130" i="6"/>
  <c r="G130" i="6" s="1"/>
  <c r="F126" i="6"/>
  <c r="G126" i="6" s="1"/>
  <c r="F122" i="6"/>
  <c r="G122" i="6" s="1"/>
  <c r="F118" i="6"/>
  <c r="G118" i="6" s="1"/>
  <c r="F114" i="6"/>
  <c r="G114" i="6" s="1"/>
  <c r="F110" i="6"/>
  <c r="G110" i="6" s="1"/>
  <c r="F106" i="6"/>
  <c r="G106" i="6" s="1"/>
  <c r="F102" i="6"/>
  <c r="G102" i="6" s="1"/>
  <c r="F98" i="6"/>
  <c r="G98" i="6" s="1"/>
  <c r="F94" i="6"/>
  <c r="G94" i="6" s="1"/>
  <c r="F90" i="6"/>
  <c r="G90" i="6" s="1"/>
  <c r="F165" i="6"/>
  <c r="G165" i="6" s="1"/>
  <c r="F161" i="6"/>
  <c r="G161" i="6" s="1"/>
  <c r="F157" i="6"/>
  <c r="G157" i="6" s="1"/>
  <c r="F153" i="6"/>
  <c r="G153" i="6" s="1"/>
  <c r="F149" i="6"/>
  <c r="G149" i="6" s="1"/>
  <c r="F141" i="6"/>
  <c r="G141" i="6" s="1"/>
  <c r="F137" i="6"/>
  <c r="G137" i="6" s="1"/>
  <c r="F133" i="6"/>
  <c r="G133" i="6" s="1"/>
  <c r="F129" i="6"/>
  <c r="G129" i="6" s="1"/>
  <c r="F125" i="6"/>
  <c r="G125" i="6" s="1"/>
  <c r="F121" i="6"/>
  <c r="G121" i="6" s="1"/>
  <c r="F117" i="6"/>
  <c r="G117" i="6" s="1"/>
  <c r="F109" i="6"/>
  <c r="G109" i="6" s="1"/>
  <c r="F105" i="6"/>
  <c r="G105" i="6" s="1"/>
  <c r="F101" i="6"/>
  <c r="G101" i="6" s="1"/>
  <c r="F93" i="6"/>
  <c r="G93" i="6" s="1"/>
  <c r="F89" i="6"/>
  <c r="G89" i="6" s="1"/>
  <c r="F172" i="6"/>
  <c r="G172" i="6" s="1"/>
  <c r="F168" i="6"/>
  <c r="G168" i="6" s="1"/>
  <c r="F164" i="6"/>
  <c r="G164" i="6" s="1"/>
  <c r="F160" i="6"/>
  <c r="G160" i="6" s="1"/>
  <c r="F156" i="6"/>
  <c r="G156" i="6" s="1"/>
  <c r="F152" i="6"/>
  <c r="G152" i="6" s="1"/>
  <c r="F148" i="6"/>
  <c r="G148" i="6" s="1"/>
  <c r="F144" i="6"/>
  <c r="G144" i="6" s="1"/>
  <c r="F140" i="6"/>
  <c r="G140" i="6" s="1"/>
  <c r="F136" i="6"/>
  <c r="G136" i="6" s="1"/>
  <c r="F132" i="6"/>
  <c r="G132" i="6" s="1"/>
  <c r="F128" i="6"/>
  <c r="G128" i="6" s="1"/>
  <c r="F124" i="6"/>
  <c r="G124" i="6" s="1"/>
  <c r="F120" i="6"/>
  <c r="G120" i="6" s="1"/>
  <c r="F116" i="6"/>
  <c r="G116" i="6" s="1"/>
  <c r="F112" i="6"/>
  <c r="G112" i="6" s="1"/>
  <c r="F108" i="6"/>
  <c r="G108" i="6" s="1"/>
  <c r="F104" i="6"/>
  <c r="G104" i="6" s="1"/>
  <c r="F100" i="6"/>
  <c r="G100" i="6" s="1"/>
  <c r="F96" i="6"/>
  <c r="G96" i="6" s="1"/>
  <c r="F92" i="6"/>
  <c r="G92" i="6" s="1"/>
  <c r="F88" i="6"/>
  <c r="G88" i="6" s="1"/>
  <c r="G145" i="6"/>
  <c r="F171" i="6"/>
  <c r="G171" i="6" s="1"/>
  <c r="F159" i="6"/>
  <c r="G159" i="6" s="1"/>
  <c r="F155" i="6"/>
  <c r="G155" i="6" s="1"/>
  <c r="F143" i="6"/>
  <c r="G143" i="6" s="1"/>
  <c r="F131" i="6"/>
  <c r="G131" i="6" s="1"/>
  <c r="F127" i="6"/>
  <c r="G127" i="6" s="1"/>
  <c r="F115" i="6"/>
  <c r="G115" i="6" s="1"/>
  <c r="F111" i="6"/>
  <c r="G111" i="6" s="1"/>
  <c r="F103" i="6"/>
  <c r="G103" i="6" s="1"/>
  <c r="F99" i="6"/>
  <c r="G99" i="6" s="1"/>
  <c r="F87" i="6"/>
  <c r="G87" i="6" s="1"/>
  <c r="G91" i="6"/>
  <c r="U11" i="7" a="1"/>
  <c r="U11" i="7" s="1"/>
  <c r="W11" i="7" s="1"/>
  <c r="G113" i="6"/>
  <c r="G97" i="6"/>
  <c r="G169" i="6"/>
  <c r="U14" i="7" a="1"/>
  <c r="U14" i="7" s="1"/>
  <c r="U21" i="7" a="1"/>
  <c r="U21" i="7" s="1"/>
  <c r="AG9" i="12"/>
  <c r="AG10" i="12"/>
  <c r="AG11" i="12"/>
  <c r="AG12" i="12"/>
  <c r="AG13" i="12"/>
  <c r="AG15" i="12"/>
  <c r="AG14" i="12"/>
  <c r="AG18" i="12"/>
  <c r="AG19" i="12"/>
  <c r="AG20" i="12"/>
  <c r="AG21" i="12"/>
  <c r="AG22" i="12"/>
  <c r="AG23" i="12"/>
  <c r="AG24" i="12"/>
  <c r="AG16" i="12"/>
  <c r="AG25" i="12"/>
  <c r="AG17" i="12"/>
  <c r="AG26" i="12"/>
  <c r="AG27" i="12"/>
  <c r="AG28" i="12"/>
  <c r="AG29" i="12"/>
  <c r="AG30" i="12"/>
  <c r="AG31" i="12"/>
  <c r="J10" i="9" l="1"/>
  <c r="E10" i="9"/>
  <c r="L10" i="9" s="1"/>
  <c r="V11" i="7"/>
  <c r="W14" i="7"/>
  <c r="V14" i="7"/>
  <c r="W21" i="7"/>
  <c r="V21" i="7"/>
  <c r="K123" i="7"/>
  <c r="K33" i="7"/>
  <c r="K110" i="7"/>
  <c r="K169"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32" i="7"/>
  <c r="Q10" i="9" l="1"/>
  <c r="V10" i="9"/>
  <c r="G11" i="9"/>
  <c r="O11" i="9" s="1"/>
  <c r="S10" i="9"/>
  <c r="J98" i="7"/>
  <c r="J86" i="7"/>
  <c r="J70" i="7"/>
  <c r="J97" i="7"/>
  <c r="J93" i="7"/>
  <c r="J89" i="7"/>
  <c r="J85" i="7"/>
  <c r="J69" i="7"/>
  <c r="J65" i="7"/>
  <c r="J169" i="7"/>
  <c r="J90" i="7"/>
  <c r="J66" i="7"/>
  <c r="J100" i="7"/>
  <c r="J92" i="7"/>
  <c r="J84" i="7"/>
  <c r="J68" i="7"/>
  <c r="J110" i="7"/>
  <c r="J94" i="7"/>
  <c r="J82" i="7"/>
  <c r="J96" i="7"/>
  <c r="J88" i="7"/>
  <c r="J99" i="7"/>
  <c r="J95" i="7"/>
  <c r="J91" i="7"/>
  <c r="J87" i="7"/>
  <c r="J83" i="7"/>
  <c r="J71" i="7"/>
  <c r="J67" i="7"/>
  <c r="J77" i="7"/>
  <c r="J73" i="7"/>
  <c r="J33" i="7"/>
  <c r="J32" i="7"/>
  <c r="J81" i="7"/>
  <c r="J80" i="7"/>
  <c r="J76" i="7"/>
  <c r="J72" i="7"/>
  <c r="J123" i="7"/>
  <c r="J79" i="7"/>
  <c r="J75" i="7"/>
  <c r="J78" i="7"/>
  <c r="J74" i="7"/>
  <c r="U99" i="7" a="1"/>
  <c r="U99" i="7" s="1"/>
  <c r="U91" i="7" a="1"/>
  <c r="U91" i="7" s="1"/>
  <c r="W91" i="7" s="1"/>
  <c r="U87" i="7" a="1"/>
  <c r="U87" i="7" s="1"/>
  <c r="U83" i="7" a="1"/>
  <c r="U83" i="7" s="1"/>
  <c r="W83" i="7" s="1"/>
  <c r="U79" i="7" a="1"/>
  <c r="U79" i="7" s="1"/>
  <c r="U71" i="7" a="1"/>
  <c r="U71" i="7" s="1"/>
  <c r="W71" i="7" s="1"/>
  <c r="U78" i="7" a="1"/>
  <c r="U78" i="7" s="1"/>
  <c r="W78" i="7" s="1"/>
  <c r="U74" i="7" a="1"/>
  <c r="U74" i="7" s="1"/>
  <c r="U70" i="7" a="1"/>
  <c r="U70" i="7" s="1"/>
  <c r="U66" i="7" a="1"/>
  <c r="U66" i="7" s="1"/>
  <c r="U169" i="7" a="1"/>
  <c r="U169" i="7" s="1"/>
  <c r="W169" i="7" s="1"/>
  <c r="U93" i="7" a="1"/>
  <c r="U93" i="7" s="1"/>
  <c r="W93" i="7" s="1"/>
  <c r="U89" i="7" a="1"/>
  <c r="U89" i="7" s="1"/>
  <c r="W89" i="7" s="1"/>
  <c r="U67" i="7" a="1"/>
  <c r="U67" i="7" s="1"/>
  <c r="W67" i="7" s="1"/>
  <c r="U33" i="7" a="1"/>
  <c r="U33" i="7" s="1"/>
  <c r="W33" i="7" s="1"/>
  <c r="U68" i="7" a="1"/>
  <c r="U68" i="7" s="1"/>
  <c r="U77" i="7" a="1"/>
  <c r="U77" i="7" s="1"/>
  <c r="U123" i="7" a="1"/>
  <c r="U123" i="7" s="1"/>
  <c r="W123" i="7" s="1"/>
  <c r="U95" i="7" a="1"/>
  <c r="U95" i="7" s="1"/>
  <c r="U75" i="7" a="1"/>
  <c r="U75" i="7" s="1"/>
  <c r="U97" i="7" a="1"/>
  <c r="U97" i="7" s="1"/>
  <c r="U69" i="7" a="1"/>
  <c r="U69" i="7" s="1"/>
  <c r="U85" i="7" a="1"/>
  <c r="U85" i="7" s="1"/>
  <c r="U81" i="7" a="1"/>
  <c r="U81" i="7" s="1"/>
  <c r="U73" i="7" a="1"/>
  <c r="U73" i="7" s="1"/>
  <c r="U65" i="7" a="1"/>
  <c r="U65" i="7" s="1"/>
  <c r="U76" i="7" a="1"/>
  <c r="U76" i="7" s="1"/>
  <c r="U110" i="7" a="1"/>
  <c r="U110" i="7" s="1"/>
  <c r="W110" i="7" s="1"/>
  <c r="U98" i="7" a="1"/>
  <c r="U98" i="7" s="1"/>
  <c r="U94" i="7" a="1"/>
  <c r="U94" i="7" s="1"/>
  <c r="U90" i="7" a="1"/>
  <c r="U90" i="7" s="1"/>
  <c r="U86" i="7" a="1"/>
  <c r="U86" i="7" s="1"/>
  <c r="U82" i="7" a="1"/>
  <c r="U82" i="7" s="1"/>
  <c r="U72" i="7" a="1"/>
  <c r="U72" i="7" s="1"/>
  <c r="U100" i="7" a="1"/>
  <c r="U100" i="7" s="1"/>
  <c r="U96" i="7" a="1"/>
  <c r="U96" i="7" s="1"/>
  <c r="U92" i="7" a="1"/>
  <c r="U92" i="7" s="1"/>
  <c r="U88" i="7" a="1"/>
  <c r="U88" i="7" s="1"/>
  <c r="U84" i="7" a="1"/>
  <c r="U84" i="7" s="1"/>
  <c r="U80" i="7" a="1"/>
  <c r="U80" i="7" s="1"/>
  <c r="U32" i="7" a="1"/>
  <c r="U32" i="7" s="1"/>
  <c r="W32" i="7" s="1"/>
  <c r="K111" i="7"/>
  <c r="V123" i="7" l="1"/>
  <c r="M11" i="9"/>
  <c r="N11" i="9"/>
  <c r="K11" i="9"/>
  <c r="L11" i="9"/>
  <c r="C12" i="9"/>
  <c r="V74" i="7"/>
  <c r="V87" i="7"/>
  <c r="V79" i="7"/>
  <c r="V99" i="7"/>
  <c r="V66" i="7"/>
  <c r="J111" i="7"/>
  <c r="V32" i="7"/>
  <c r="W99" i="7"/>
  <c r="V70" i="7"/>
  <c r="W66" i="7"/>
  <c r="V71" i="7"/>
  <c r="W70" i="7"/>
  <c r="V67" i="7"/>
  <c r="V89" i="7"/>
  <c r="V91" i="7"/>
  <c r="W79" i="7"/>
  <c r="V169" i="7"/>
  <c r="V78" i="7"/>
  <c r="V83" i="7"/>
  <c r="V93" i="7"/>
  <c r="W74" i="7"/>
  <c r="W87" i="7"/>
  <c r="V33" i="7"/>
  <c r="V110" i="7"/>
  <c r="W82" i="7"/>
  <c r="V82" i="7"/>
  <c r="W96" i="7"/>
  <c r="V96" i="7"/>
  <c r="W86" i="7"/>
  <c r="V86" i="7"/>
  <c r="W65" i="7"/>
  <c r="V65" i="7"/>
  <c r="W85" i="7"/>
  <c r="V85" i="7"/>
  <c r="W97" i="7"/>
  <c r="V97" i="7"/>
  <c r="W77" i="7"/>
  <c r="V77" i="7"/>
  <c r="W92" i="7"/>
  <c r="V92" i="7"/>
  <c r="W69" i="7"/>
  <c r="V69" i="7"/>
  <c r="W80" i="7"/>
  <c r="V80" i="7"/>
  <c r="W84" i="7"/>
  <c r="V84" i="7"/>
  <c r="W100" i="7"/>
  <c r="V100" i="7"/>
  <c r="W90" i="7"/>
  <c r="V90" i="7"/>
  <c r="W73" i="7"/>
  <c r="V73" i="7"/>
  <c r="W95" i="7"/>
  <c r="V95" i="7"/>
  <c r="W68" i="7"/>
  <c r="V68" i="7"/>
  <c r="W98" i="7"/>
  <c r="V98" i="7"/>
  <c r="W88" i="7"/>
  <c r="V88" i="7"/>
  <c r="W72" i="7"/>
  <c r="V72" i="7"/>
  <c r="W94" i="7"/>
  <c r="V94" i="7"/>
  <c r="W76" i="7"/>
  <c r="V76" i="7"/>
  <c r="W81" i="7"/>
  <c r="V81" i="7"/>
  <c r="W75" i="7"/>
  <c r="V75" i="7"/>
  <c r="U111" i="7" a="1"/>
  <c r="U111" i="7" s="1"/>
  <c r="K38" i="7"/>
  <c r="K113" i="7"/>
  <c r="K112" i="7"/>
  <c r="J113" i="7" l="1"/>
  <c r="J38" i="7"/>
  <c r="J112" i="7"/>
  <c r="U113" i="7" a="1"/>
  <c r="U113" i="7" s="1"/>
  <c r="U38" i="7" a="1"/>
  <c r="U38" i="7" s="1"/>
  <c r="W38" i="7" s="1"/>
  <c r="W111" i="7"/>
  <c r="V111" i="7"/>
  <c r="U112" i="7" a="1"/>
  <c r="U112" i="7" s="1"/>
  <c r="K118" i="7"/>
  <c r="V113" i="7" l="1"/>
  <c r="J118" i="7"/>
  <c r="W113" i="7"/>
  <c r="V38" i="7"/>
  <c r="W112" i="7"/>
  <c r="V112" i="7"/>
  <c r="U118" i="7" a="1"/>
  <c r="U118" i="7" s="1"/>
  <c r="BR8" i="12"/>
  <c r="BR9" i="12"/>
  <c r="BR10" i="12"/>
  <c r="BR11" i="12"/>
  <c r="BR12" i="12"/>
  <c r="BR13" i="12"/>
  <c r="BR15" i="12"/>
  <c r="BR14" i="12"/>
  <c r="BR16" i="12"/>
  <c r="BR19" i="12"/>
  <c r="BR20" i="12"/>
  <c r="BR21" i="12"/>
  <c r="BR22" i="12"/>
  <c r="BR23" i="12"/>
  <c r="BR24" i="12"/>
  <c r="BR18" i="12"/>
  <c r="BR25" i="12"/>
  <c r="BR17" i="12"/>
  <c r="BR29" i="12"/>
  <c r="BR26" i="12"/>
  <c r="BR27" i="12"/>
  <c r="BR28" i="12"/>
  <c r="BR30" i="12"/>
  <c r="BR31" i="12"/>
  <c r="W118" i="7" l="1"/>
  <c r="V118" i="7"/>
  <c r="AN20" i="12"/>
  <c r="BO20" i="12" l="1"/>
  <c r="B8" i="8"/>
  <c r="D7" i="13"/>
  <c r="F7" i="13"/>
  <c r="G7" i="13"/>
  <c r="O7" i="13" s="1"/>
  <c r="P7" i="13" s="1"/>
  <c r="AN10" i="12"/>
  <c r="AN15" i="12"/>
  <c r="AN24" i="12"/>
  <c r="AN29" i="12"/>
  <c r="AN30" i="12"/>
  <c r="AN31" i="12"/>
  <c r="AN28" i="12"/>
  <c r="AN27" i="12"/>
  <c r="AN26" i="12"/>
  <c r="AN17" i="12"/>
  <c r="AN25" i="12"/>
  <c r="AN18" i="12"/>
  <c r="AN23" i="12"/>
  <c r="AN22" i="12"/>
  <c r="AN21" i="12"/>
  <c r="AN19" i="12"/>
  <c r="AN16" i="12"/>
  <c r="AN14" i="12"/>
  <c r="AN13" i="12"/>
  <c r="AN12" i="12"/>
  <c r="AN11" i="12"/>
  <c r="AN9" i="12"/>
  <c r="G8" i="13"/>
  <c r="O8" i="13" s="1"/>
  <c r="P8" i="13" s="1"/>
  <c r="G9" i="13"/>
  <c r="O9" i="13" s="1"/>
  <c r="P9" i="13" s="1"/>
  <c r="G10" i="13"/>
  <c r="O10" i="13" s="1"/>
  <c r="P10" i="13" s="1"/>
  <c r="G11" i="13"/>
  <c r="O11" i="13" s="1"/>
  <c r="P11" i="13" s="1"/>
  <c r="G12" i="13"/>
  <c r="O12" i="13" s="1"/>
  <c r="P12" i="13" s="1"/>
  <c r="G13" i="13"/>
  <c r="O13" i="13" s="1"/>
  <c r="P13" i="13" s="1"/>
  <c r="G14" i="13"/>
  <c r="O14" i="13" s="1"/>
  <c r="P14" i="13" s="1"/>
  <c r="G15" i="13"/>
  <c r="O15" i="13" s="1"/>
  <c r="P15" i="13" s="1"/>
  <c r="G16" i="13"/>
  <c r="O16" i="13" s="1"/>
  <c r="P16" i="13" s="1"/>
  <c r="G17" i="13"/>
  <c r="O17" i="13" s="1"/>
  <c r="P17" i="13" s="1"/>
  <c r="G18" i="13"/>
  <c r="O18" i="13" s="1"/>
  <c r="P18" i="13" s="1"/>
  <c r="G19" i="13"/>
  <c r="O19" i="13" s="1"/>
  <c r="P19" i="13" s="1"/>
  <c r="G20" i="13"/>
  <c r="O20" i="13" s="1"/>
  <c r="P20" i="13" s="1"/>
  <c r="G21" i="13"/>
  <c r="O21" i="13" s="1"/>
  <c r="P21" i="13" s="1"/>
  <c r="G22" i="13"/>
  <c r="O22" i="13" s="1"/>
  <c r="P22" i="13" s="1"/>
  <c r="G23" i="13"/>
  <c r="O23" i="13" s="1"/>
  <c r="P23" i="13" s="1"/>
  <c r="G24" i="13"/>
  <c r="O24" i="13" s="1"/>
  <c r="P24" i="13" s="1"/>
  <c r="G25" i="13"/>
  <c r="O25" i="13" s="1"/>
  <c r="P25" i="13" s="1"/>
  <c r="G26" i="13"/>
  <c r="O26" i="13" s="1"/>
  <c r="P26" i="13" s="1"/>
  <c r="G27" i="13"/>
  <c r="O27" i="13" s="1"/>
  <c r="P27" i="13" s="1"/>
  <c r="G28" i="13"/>
  <c r="O28" i="13" s="1"/>
  <c r="P28" i="13" s="1"/>
  <c r="G29" i="13"/>
  <c r="O29" i="13" s="1"/>
  <c r="P29" i="13" s="1"/>
  <c r="G30" i="13"/>
  <c r="O30" i="13" s="1"/>
  <c r="P30" i="13" s="1"/>
  <c r="G31" i="13"/>
  <c r="O31" i="13" s="1"/>
  <c r="P31" i="13" s="1"/>
  <c r="G32" i="13"/>
  <c r="O32" i="13" s="1"/>
  <c r="P32" i="13" s="1"/>
  <c r="G33" i="13"/>
  <c r="O33" i="13" s="1"/>
  <c r="P33" i="13" s="1"/>
  <c r="G34" i="13"/>
  <c r="O34" i="13" s="1"/>
  <c r="P34" i="13" s="1"/>
  <c r="G35" i="13"/>
  <c r="O35" i="13" s="1"/>
  <c r="P35" i="13" s="1"/>
  <c r="G36" i="13"/>
  <c r="O36" i="13" s="1"/>
  <c r="P36" i="13" s="1"/>
  <c r="G37" i="13"/>
  <c r="O37" i="13" s="1"/>
  <c r="P37" i="13" s="1"/>
  <c r="G38" i="13"/>
  <c r="O38" i="13" s="1"/>
  <c r="P38" i="13" s="1"/>
  <c r="G39" i="13"/>
  <c r="O39" i="13" s="1"/>
  <c r="P39" i="13" s="1"/>
  <c r="G40" i="13"/>
  <c r="O40" i="13" s="1"/>
  <c r="P40" i="13" s="1"/>
  <c r="G41" i="13"/>
  <c r="O41" i="13" s="1"/>
  <c r="P41" i="13" s="1"/>
  <c r="G42" i="13"/>
  <c r="O42" i="13" s="1"/>
  <c r="P42" i="13" s="1"/>
  <c r="G43" i="13"/>
  <c r="O43" i="13" s="1"/>
  <c r="P43" i="13" s="1"/>
  <c r="G44" i="13"/>
  <c r="O44" i="13" s="1"/>
  <c r="P44" i="13" s="1"/>
  <c r="G45" i="13"/>
  <c r="O45" i="13" s="1"/>
  <c r="P45" i="13" s="1"/>
  <c r="G46" i="13"/>
  <c r="O46" i="13" s="1"/>
  <c r="P46" i="13" s="1"/>
  <c r="G47" i="13"/>
  <c r="O47" i="13" s="1"/>
  <c r="P47" i="13" s="1"/>
  <c r="G48" i="13"/>
  <c r="O48" i="13" s="1"/>
  <c r="P48" i="13" s="1"/>
  <c r="G49" i="13"/>
  <c r="O49" i="13" s="1"/>
  <c r="P49" i="13" s="1"/>
  <c r="G50" i="13"/>
  <c r="O50" i="13" s="1"/>
  <c r="P50" i="13" s="1"/>
  <c r="G51" i="13"/>
  <c r="O51" i="13" s="1"/>
  <c r="P51" i="13" s="1"/>
  <c r="G52" i="13"/>
  <c r="O52" i="13" s="1"/>
  <c r="P52" i="13" s="1"/>
  <c r="G53" i="13"/>
  <c r="O53" i="13" s="1"/>
  <c r="P53" i="13" s="1"/>
  <c r="G54" i="13"/>
  <c r="O54" i="13" s="1"/>
  <c r="P54" i="13" s="1"/>
  <c r="G55" i="13"/>
  <c r="O55" i="13" s="1"/>
  <c r="P55" i="13" s="1"/>
  <c r="G56" i="13"/>
  <c r="O56" i="13" s="1"/>
  <c r="P56" i="13" s="1"/>
  <c r="G57" i="13"/>
  <c r="O57" i="13" s="1"/>
  <c r="P57" i="13" s="1"/>
  <c r="G58" i="13"/>
  <c r="O58" i="13" s="1"/>
  <c r="P58" i="13" s="1"/>
  <c r="G59" i="13"/>
  <c r="O59" i="13" s="1"/>
  <c r="P59" i="13" s="1"/>
  <c r="G60" i="13"/>
  <c r="O60" i="13" s="1"/>
  <c r="P60" i="13" s="1"/>
  <c r="G61" i="13"/>
  <c r="O61" i="13" s="1"/>
  <c r="P61" i="13" s="1"/>
  <c r="G62" i="13"/>
  <c r="O62" i="13" s="1"/>
  <c r="P62" i="13" s="1"/>
  <c r="G63" i="13"/>
  <c r="O63" i="13" s="1"/>
  <c r="P63" i="13" s="1"/>
  <c r="G64" i="13"/>
  <c r="O64" i="13" s="1"/>
  <c r="P64" i="13" s="1"/>
  <c r="G65" i="13"/>
  <c r="O65" i="13" s="1"/>
  <c r="P65" i="13" s="1"/>
  <c r="G66" i="13"/>
  <c r="O66" i="13" s="1"/>
  <c r="P66" i="13" s="1"/>
  <c r="G67" i="13"/>
  <c r="O67" i="13" s="1"/>
  <c r="P67" i="13" s="1"/>
  <c r="G68" i="13"/>
  <c r="O68" i="13" s="1"/>
  <c r="P68" i="13" s="1"/>
  <c r="G69" i="13"/>
  <c r="O69" i="13" s="1"/>
  <c r="P69" i="13" s="1"/>
  <c r="G70" i="13"/>
  <c r="O70" i="13" s="1"/>
  <c r="P70" i="13" s="1"/>
  <c r="G71" i="13"/>
  <c r="O71" i="13" s="1"/>
  <c r="P71" i="13" s="1"/>
  <c r="G72" i="13"/>
  <c r="O72" i="13" s="1"/>
  <c r="P72" i="13" s="1"/>
  <c r="G73" i="13"/>
  <c r="O73" i="13" s="1"/>
  <c r="P73" i="13" s="1"/>
  <c r="G74" i="13"/>
  <c r="O74" i="13" s="1"/>
  <c r="P74" i="13" s="1"/>
  <c r="G75" i="13"/>
  <c r="O75" i="13" s="1"/>
  <c r="P75" i="13" s="1"/>
  <c r="G76" i="13"/>
  <c r="O76" i="13" s="1"/>
  <c r="P76" i="13" s="1"/>
  <c r="G77" i="13"/>
  <c r="O77" i="13" s="1"/>
  <c r="P77" i="13" s="1"/>
  <c r="G78" i="13"/>
  <c r="O78" i="13" s="1"/>
  <c r="P78" i="13" s="1"/>
  <c r="G79" i="13"/>
  <c r="O79" i="13" s="1"/>
  <c r="P79" i="13" s="1"/>
  <c r="G80" i="13"/>
  <c r="O80" i="13" s="1"/>
  <c r="P80" i="13" s="1"/>
  <c r="G81" i="13"/>
  <c r="O81" i="13" s="1"/>
  <c r="P81" i="13" s="1"/>
  <c r="G82" i="13"/>
  <c r="O82" i="13" s="1"/>
  <c r="P82" i="13" s="1"/>
  <c r="G83" i="13"/>
  <c r="O83" i="13" s="1"/>
  <c r="P83" i="13" s="1"/>
  <c r="G84" i="13"/>
  <c r="O84" i="13" s="1"/>
  <c r="P84" i="13" s="1"/>
  <c r="G85" i="13"/>
  <c r="O85" i="13" s="1"/>
  <c r="P85" i="13" s="1"/>
  <c r="G86" i="13"/>
  <c r="O86" i="13" s="1"/>
  <c r="P86" i="13" s="1"/>
  <c r="G87" i="13"/>
  <c r="O87" i="13" s="1"/>
  <c r="P87" i="13" s="1"/>
  <c r="G88" i="13"/>
  <c r="O88" i="13" s="1"/>
  <c r="P88" i="13" s="1"/>
  <c r="G89" i="13"/>
  <c r="O89" i="13" s="1"/>
  <c r="P89" i="13" s="1"/>
  <c r="G90" i="13"/>
  <c r="O90" i="13" s="1"/>
  <c r="P90" i="13" s="1"/>
  <c r="G91" i="13"/>
  <c r="O91" i="13" s="1"/>
  <c r="P91" i="13" s="1"/>
  <c r="G92" i="13"/>
  <c r="O92" i="13" s="1"/>
  <c r="P92" i="13" s="1"/>
  <c r="G93" i="13"/>
  <c r="O93" i="13" s="1"/>
  <c r="P93" i="13" s="1"/>
  <c r="G94" i="13"/>
  <c r="O94" i="13" s="1"/>
  <c r="P94" i="13" s="1"/>
  <c r="G95" i="13"/>
  <c r="O95" i="13" s="1"/>
  <c r="P95" i="13" s="1"/>
  <c r="G96" i="13"/>
  <c r="O96" i="13" s="1"/>
  <c r="P96" i="13" s="1"/>
  <c r="G97" i="13"/>
  <c r="O97" i="13" s="1"/>
  <c r="P97" i="13" s="1"/>
  <c r="G98" i="13"/>
  <c r="O98" i="13" s="1"/>
  <c r="P98" i="13" s="1"/>
  <c r="G99" i="13"/>
  <c r="O99" i="13" s="1"/>
  <c r="P99" i="13" s="1"/>
  <c r="G100" i="13"/>
  <c r="O100" i="13" s="1"/>
  <c r="P100" i="13" s="1"/>
  <c r="G101" i="13"/>
  <c r="O101" i="13" s="1"/>
  <c r="P101" i="13" s="1"/>
  <c r="G102" i="13"/>
  <c r="O102" i="13" s="1"/>
  <c r="P102" i="13" s="1"/>
  <c r="G103" i="13"/>
  <c r="O103" i="13" s="1"/>
  <c r="P103" i="13" s="1"/>
  <c r="G104" i="13"/>
  <c r="O104" i="13" s="1"/>
  <c r="P104" i="13" s="1"/>
  <c r="G105" i="13"/>
  <c r="O105" i="13" s="1"/>
  <c r="P105" i="13" s="1"/>
  <c r="G106" i="13"/>
  <c r="O106" i="13" s="1"/>
  <c r="P106" i="13" s="1"/>
  <c r="G107" i="13"/>
  <c r="O107" i="13" s="1"/>
  <c r="P107" i="13" s="1"/>
  <c r="G108" i="13"/>
  <c r="O108" i="13" s="1"/>
  <c r="P108" i="13" s="1"/>
  <c r="G109" i="13"/>
  <c r="O109" i="13" s="1"/>
  <c r="P109" i="13" s="1"/>
  <c r="G110" i="13"/>
  <c r="O110" i="13" s="1"/>
  <c r="P110" i="13" s="1"/>
  <c r="G111" i="13"/>
  <c r="O111" i="13" s="1"/>
  <c r="P111" i="13" s="1"/>
  <c r="G112" i="13"/>
  <c r="O112" i="13" s="1"/>
  <c r="P112" i="13" s="1"/>
  <c r="G113" i="13"/>
  <c r="O113" i="13" s="1"/>
  <c r="P113" i="13" s="1"/>
  <c r="G114" i="13"/>
  <c r="O114" i="13" s="1"/>
  <c r="P114" i="13" s="1"/>
  <c r="G115" i="13"/>
  <c r="O115" i="13" s="1"/>
  <c r="P115" i="13" s="1"/>
  <c r="G116" i="13"/>
  <c r="O116" i="13" s="1"/>
  <c r="P116" i="13" s="1"/>
  <c r="G117" i="13"/>
  <c r="O117" i="13" s="1"/>
  <c r="P117" i="13" s="1"/>
  <c r="G118" i="13"/>
  <c r="O118" i="13" s="1"/>
  <c r="P118" i="13" s="1"/>
  <c r="G119" i="13"/>
  <c r="O119" i="13" s="1"/>
  <c r="P119" i="13" s="1"/>
  <c r="G120" i="13"/>
  <c r="O120" i="13" s="1"/>
  <c r="P120" i="13" s="1"/>
  <c r="G121" i="13"/>
  <c r="O121" i="13" s="1"/>
  <c r="P121" i="13" s="1"/>
  <c r="G122" i="13"/>
  <c r="O122" i="13" s="1"/>
  <c r="P122" i="13" s="1"/>
  <c r="G123" i="13"/>
  <c r="O123" i="13" s="1"/>
  <c r="P123" i="13" s="1"/>
  <c r="G124" i="13"/>
  <c r="O124" i="13" s="1"/>
  <c r="P124" i="13" s="1"/>
  <c r="G125" i="13"/>
  <c r="O125" i="13" s="1"/>
  <c r="P125" i="13" s="1"/>
  <c r="G126" i="13"/>
  <c r="O126" i="13" s="1"/>
  <c r="P126" i="13" s="1"/>
  <c r="G127" i="13"/>
  <c r="O127" i="13" s="1"/>
  <c r="P127" i="13" s="1"/>
  <c r="G128" i="13"/>
  <c r="O128" i="13" s="1"/>
  <c r="P128" i="13" s="1"/>
  <c r="G129" i="13"/>
  <c r="O129" i="13" s="1"/>
  <c r="P129" i="13" s="1"/>
  <c r="G130" i="13"/>
  <c r="O130" i="13" s="1"/>
  <c r="P130" i="13" s="1"/>
  <c r="G131" i="13"/>
  <c r="O131" i="13" s="1"/>
  <c r="P131" i="13" s="1"/>
  <c r="G132" i="13"/>
  <c r="O132" i="13" s="1"/>
  <c r="P132" i="13" s="1"/>
  <c r="G133" i="13"/>
  <c r="O133" i="13" s="1"/>
  <c r="P133" i="13" s="1"/>
  <c r="G134" i="13"/>
  <c r="O134" i="13" s="1"/>
  <c r="P134" i="13" s="1"/>
  <c r="G135" i="13"/>
  <c r="O135" i="13" s="1"/>
  <c r="P135" i="13" s="1"/>
  <c r="G136" i="13"/>
  <c r="O136" i="13" s="1"/>
  <c r="P136" i="13" s="1"/>
  <c r="G137" i="13"/>
  <c r="O137" i="13" s="1"/>
  <c r="P137" i="13" s="1"/>
  <c r="G138" i="13"/>
  <c r="O138" i="13" s="1"/>
  <c r="P138" i="13" s="1"/>
  <c r="G139" i="13"/>
  <c r="O139" i="13" s="1"/>
  <c r="P139" i="13" s="1"/>
  <c r="G140" i="13"/>
  <c r="O140" i="13" s="1"/>
  <c r="P140" i="13" s="1"/>
  <c r="G141" i="13"/>
  <c r="O141" i="13" s="1"/>
  <c r="P141" i="13" s="1"/>
  <c r="G142" i="13"/>
  <c r="O142" i="13" s="1"/>
  <c r="P142" i="13" s="1"/>
  <c r="G143" i="13"/>
  <c r="O143" i="13" s="1"/>
  <c r="P143" i="13" s="1"/>
  <c r="G144" i="13"/>
  <c r="O144" i="13" s="1"/>
  <c r="P144" i="13" s="1"/>
  <c r="G145" i="13"/>
  <c r="O145" i="13" s="1"/>
  <c r="P145" i="13" s="1"/>
  <c r="G146" i="13"/>
  <c r="O146" i="13" s="1"/>
  <c r="P146" i="13" s="1"/>
  <c r="G147" i="13"/>
  <c r="O147" i="13" s="1"/>
  <c r="P147" i="13" s="1"/>
  <c r="G148" i="13"/>
  <c r="O148" i="13" s="1"/>
  <c r="P148" i="13" s="1"/>
  <c r="G149" i="13"/>
  <c r="O149" i="13" s="1"/>
  <c r="P149" i="13" s="1"/>
  <c r="G150" i="13"/>
  <c r="O150" i="13" s="1"/>
  <c r="P150" i="13" s="1"/>
  <c r="G151" i="13"/>
  <c r="O151" i="13" s="1"/>
  <c r="P151" i="13" s="1"/>
  <c r="G152" i="13"/>
  <c r="O152" i="13" s="1"/>
  <c r="P152" i="13" s="1"/>
  <c r="G153" i="13"/>
  <c r="O153" i="13" s="1"/>
  <c r="P153" i="13" s="1"/>
  <c r="G154" i="13"/>
  <c r="O154" i="13" s="1"/>
  <c r="P154" i="13" s="1"/>
  <c r="G155" i="13"/>
  <c r="O155" i="13" s="1"/>
  <c r="P155" i="13" s="1"/>
  <c r="G156" i="13"/>
  <c r="O156" i="13" s="1"/>
  <c r="P156" i="13" s="1"/>
  <c r="G157" i="13"/>
  <c r="O157" i="13" s="1"/>
  <c r="P157" i="13" s="1"/>
  <c r="G158" i="13"/>
  <c r="O158" i="13" s="1"/>
  <c r="P158" i="13" s="1"/>
  <c r="G159" i="13"/>
  <c r="O159" i="13" s="1"/>
  <c r="P159" i="13" s="1"/>
  <c r="G160" i="13"/>
  <c r="O160" i="13" s="1"/>
  <c r="P160" i="13" s="1"/>
  <c r="G161" i="13"/>
  <c r="O161" i="13" s="1"/>
  <c r="P161" i="13" s="1"/>
  <c r="G162" i="13"/>
  <c r="O162" i="13" s="1"/>
  <c r="P162" i="13" s="1"/>
  <c r="G163" i="13"/>
  <c r="O163" i="13" s="1"/>
  <c r="P163" i="13" s="1"/>
  <c r="G164" i="13"/>
  <c r="O164" i="13" s="1"/>
  <c r="P164" i="13" s="1"/>
  <c r="G165" i="13"/>
  <c r="O165" i="13" s="1"/>
  <c r="P165" i="13" s="1"/>
  <c r="G166" i="13"/>
  <c r="O166" i="13" s="1"/>
  <c r="P166" i="13" s="1"/>
  <c r="G167" i="13"/>
  <c r="O167" i="13" s="1"/>
  <c r="P167" i="13" s="1"/>
  <c r="G168" i="13"/>
  <c r="O168" i="13" s="1"/>
  <c r="P168" i="13" s="1"/>
  <c r="G169" i="13"/>
  <c r="O169" i="13" s="1"/>
  <c r="P169" i="13" s="1"/>
  <c r="G170" i="13"/>
  <c r="O170" i="13" s="1"/>
  <c r="P170" i="13" s="1"/>
  <c r="G171" i="13"/>
  <c r="O171" i="13" s="1"/>
  <c r="P171" i="13" s="1"/>
  <c r="G172" i="13"/>
  <c r="O172" i="13" s="1"/>
  <c r="P172" i="13" s="1"/>
  <c r="G173" i="13"/>
  <c r="O173" i="13" s="1"/>
  <c r="P173" i="13" s="1"/>
  <c r="G174" i="13"/>
  <c r="O174" i="13" s="1"/>
  <c r="P174" i="13" s="1"/>
  <c r="G175" i="13"/>
  <c r="O175" i="13" s="1"/>
  <c r="P175" i="13" s="1"/>
  <c r="G176" i="13"/>
  <c r="O176" i="13" s="1"/>
  <c r="P176" i="13" s="1"/>
  <c r="G177" i="13"/>
  <c r="O177" i="13" s="1"/>
  <c r="P177" i="13" s="1"/>
  <c r="G178" i="13"/>
  <c r="O178" i="13" s="1"/>
  <c r="P178" i="13" s="1"/>
  <c r="G179" i="13"/>
  <c r="O179" i="13" s="1"/>
  <c r="P179" i="13" s="1"/>
  <c r="G180" i="13"/>
  <c r="O180" i="13" s="1"/>
  <c r="P180" i="13" s="1"/>
  <c r="G181" i="13"/>
  <c r="O181" i="13" s="1"/>
  <c r="P181" i="13" s="1"/>
  <c r="G182" i="13"/>
  <c r="O182" i="13" s="1"/>
  <c r="P182" i="13" s="1"/>
  <c r="G183" i="13"/>
  <c r="O183" i="13" s="1"/>
  <c r="P183" i="13" s="1"/>
  <c r="G184" i="13"/>
  <c r="O184" i="13" s="1"/>
  <c r="P184" i="13" s="1"/>
  <c r="G185" i="13"/>
  <c r="O185" i="13" s="1"/>
  <c r="P185" i="13" s="1"/>
  <c r="G186" i="13"/>
  <c r="O186" i="13" s="1"/>
  <c r="P186" i="13" s="1"/>
  <c r="G187" i="13"/>
  <c r="O187" i="13" s="1"/>
  <c r="P187" i="13" s="1"/>
  <c r="G188" i="13"/>
  <c r="O188" i="13" s="1"/>
  <c r="P188" i="13" s="1"/>
  <c r="G189" i="13"/>
  <c r="O189" i="13" s="1"/>
  <c r="P189" i="13" s="1"/>
  <c r="G190" i="13"/>
  <c r="O190" i="13" s="1"/>
  <c r="P190" i="13" s="1"/>
  <c r="G191" i="13"/>
  <c r="O191" i="13" s="1"/>
  <c r="P191" i="13" s="1"/>
  <c r="G192" i="13"/>
  <c r="O192" i="13" s="1"/>
  <c r="P192" i="13" s="1"/>
  <c r="G193" i="13"/>
  <c r="O193" i="13" s="1"/>
  <c r="P193" i="13" s="1"/>
  <c r="G194" i="13"/>
  <c r="O194" i="13" s="1"/>
  <c r="P194" i="13" s="1"/>
  <c r="G195" i="13"/>
  <c r="O195" i="13" s="1"/>
  <c r="P195" i="13" s="1"/>
  <c r="G196" i="13"/>
  <c r="O196" i="13" s="1"/>
  <c r="P196" i="13" s="1"/>
  <c r="G197" i="13"/>
  <c r="O197" i="13" s="1"/>
  <c r="P197" i="13" s="1"/>
  <c r="G198" i="13"/>
  <c r="O198" i="13" s="1"/>
  <c r="P198" i="13" s="1"/>
  <c r="G199" i="13"/>
  <c r="O199" i="13" s="1"/>
  <c r="P199" i="13" s="1"/>
  <c r="G200" i="13"/>
  <c r="O200" i="13" s="1"/>
  <c r="P200" i="13" s="1"/>
  <c r="G201" i="13"/>
  <c r="O201" i="13" s="1"/>
  <c r="P201" i="13" s="1"/>
  <c r="G202" i="13"/>
  <c r="O202" i="13" s="1"/>
  <c r="P202" i="13" s="1"/>
  <c r="G203" i="13"/>
  <c r="O203" i="13" s="1"/>
  <c r="P203" i="13" s="1"/>
  <c r="G204" i="13"/>
  <c r="O204" i="13" s="1"/>
  <c r="P204" i="13" s="1"/>
  <c r="G205" i="13"/>
  <c r="O205" i="13" s="1"/>
  <c r="P205" i="13" s="1"/>
  <c r="G206" i="13"/>
  <c r="O206" i="13" s="1"/>
  <c r="P206" i="13" s="1"/>
  <c r="G207" i="13"/>
  <c r="O207" i="13" s="1"/>
  <c r="P207" i="13" s="1"/>
  <c r="G208" i="13"/>
  <c r="O208" i="13" s="1"/>
  <c r="P208" i="13" s="1"/>
  <c r="G209" i="13"/>
  <c r="O209" i="13" s="1"/>
  <c r="P209" i="13" s="1"/>
  <c r="G210" i="13"/>
  <c r="O210" i="13" s="1"/>
  <c r="P210" i="13" s="1"/>
  <c r="G211" i="13"/>
  <c r="O211" i="13" s="1"/>
  <c r="P211" i="13" s="1"/>
  <c r="G212" i="13"/>
  <c r="O212" i="13" s="1"/>
  <c r="P212" i="13" s="1"/>
  <c r="G213" i="13"/>
  <c r="O213" i="13" s="1"/>
  <c r="P213" i="13" s="1"/>
  <c r="G214" i="13"/>
  <c r="O214" i="13" s="1"/>
  <c r="P214" i="13" s="1"/>
  <c r="G215" i="13"/>
  <c r="O215" i="13" s="1"/>
  <c r="P215" i="13" s="1"/>
  <c r="G216" i="13"/>
  <c r="O216" i="13" s="1"/>
  <c r="P216" i="13" s="1"/>
  <c r="G217" i="13"/>
  <c r="O217" i="13" s="1"/>
  <c r="P217" i="13" s="1"/>
  <c r="G218" i="13"/>
  <c r="O218" i="13" s="1"/>
  <c r="P218" i="13" s="1"/>
  <c r="G219" i="13"/>
  <c r="O219" i="13" s="1"/>
  <c r="P219" i="13" s="1"/>
  <c r="G220" i="13"/>
  <c r="O220" i="13" s="1"/>
  <c r="P220" i="13" s="1"/>
  <c r="G221" i="13"/>
  <c r="O221" i="13" s="1"/>
  <c r="P221" i="13" s="1"/>
  <c r="G222" i="13"/>
  <c r="O222" i="13" s="1"/>
  <c r="P222" i="13" s="1"/>
  <c r="G223" i="13"/>
  <c r="O223" i="13" s="1"/>
  <c r="P223" i="13" s="1"/>
  <c r="G224" i="13"/>
  <c r="O224" i="13" s="1"/>
  <c r="P224" i="13" s="1"/>
  <c r="G225" i="13"/>
  <c r="O225" i="13" s="1"/>
  <c r="P225" i="13" s="1"/>
  <c r="G226" i="13"/>
  <c r="O226" i="13" s="1"/>
  <c r="P226" i="13" s="1"/>
  <c r="G227" i="13"/>
  <c r="O227" i="13" s="1"/>
  <c r="P227" i="13" s="1"/>
  <c r="G228" i="13"/>
  <c r="O228" i="13" s="1"/>
  <c r="P228" i="13" s="1"/>
  <c r="G229" i="13"/>
  <c r="O229" i="13" s="1"/>
  <c r="P229" i="13" s="1"/>
  <c r="G230" i="13"/>
  <c r="O230" i="13" s="1"/>
  <c r="P230" i="13" s="1"/>
  <c r="G231" i="13"/>
  <c r="O231" i="13" s="1"/>
  <c r="P231" i="13" s="1"/>
  <c r="G232" i="13"/>
  <c r="O232" i="13" s="1"/>
  <c r="P232" i="13" s="1"/>
  <c r="G233" i="13"/>
  <c r="O233" i="13" s="1"/>
  <c r="P233" i="13" s="1"/>
  <c r="G234" i="13"/>
  <c r="O234" i="13" s="1"/>
  <c r="P234" i="13" s="1"/>
  <c r="G235" i="13"/>
  <c r="O235" i="13" s="1"/>
  <c r="P235" i="13" s="1"/>
  <c r="G236" i="13"/>
  <c r="O236" i="13" s="1"/>
  <c r="P236" i="13" s="1"/>
  <c r="G237" i="13"/>
  <c r="O237" i="13" s="1"/>
  <c r="P237" i="13" s="1"/>
  <c r="G238" i="13"/>
  <c r="O238" i="13" s="1"/>
  <c r="P238" i="13" s="1"/>
  <c r="G239" i="13"/>
  <c r="O239" i="13" s="1"/>
  <c r="P239" i="13" s="1"/>
  <c r="G240" i="13"/>
  <c r="O240" i="13" s="1"/>
  <c r="P240" i="13" s="1"/>
  <c r="G241" i="13"/>
  <c r="O241" i="13" s="1"/>
  <c r="P241" i="13" s="1"/>
  <c r="G242" i="13"/>
  <c r="O242" i="13" s="1"/>
  <c r="P242" i="13" s="1"/>
  <c r="G243" i="13"/>
  <c r="O243" i="13" s="1"/>
  <c r="P243" i="13" s="1"/>
  <c r="G244" i="13"/>
  <c r="O244" i="13" s="1"/>
  <c r="P244" i="13" s="1"/>
  <c r="G245" i="13"/>
  <c r="O245" i="13" s="1"/>
  <c r="P245" i="13" s="1"/>
  <c r="G246" i="13"/>
  <c r="O246" i="13" s="1"/>
  <c r="P246" i="13" s="1"/>
  <c r="G247" i="13"/>
  <c r="O247" i="13" s="1"/>
  <c r="P247" i="13" s="1"/>
  <c r="G248" i="13"/>
  <c r="O248" i="13" s="1"/>
  <c r="P248" i="13" s="1"/>
  <c r="G249" i="13"/>
  <c r="O249" i="13" s="1"/>
  <c r="P249" i="13" s="1"/>
  <c r="G250" i="13"/>
  <c r="O250" i="13" s="1"/>
  <c r="P250" i="13" s="1"/>
  <c r="G251" i="13"/>
  <c r="O251" i="13" s="1"/>
  <c r="P251" i="13" s="1"/>
  <c r="G252" i="13"/>
  <c r="O252" i="13" s="1"/>
  <c r="P252" i="13" s="1"/>
  <c r="F8" i="13"/>
  <c r="F9" i="13"/>
  <c r="F10" i="13"/>
  <c r="F11" i="13"/>
  <c r="K11" i="13" s="1"/>
  <c r="L11" i="13" s="1"/>
  <c r="F12" i="13"/>
  <c r="F13" i="13"/>
  <c r="F14" i="13"/>
  <c r="F15" i="13"/>
  <c r="K15" i="13" s="1"/>
  <c r="L15" i="13" s="1"/>
  <c r="F16" i="13"/>
  <c r="F17" i="13"/>
  <c r="F18" i="13"/>
  <c r="F19" i="13"/>
  <c r="K19" i="13" s="1"/>
  <c r="L19" i="13" s="1"/>
  <c r="F20" i="13"/>
  <c r="F21" i="13"/>
  <c r="F22" i="13"/>
  <c r="K22" i="13" s="1"/>
  <c r="L22" i="13" s="1"/>
  <c r="F23" i="13"/>
  <c r="K23" i="13" s="1"/>
  <c r="L23" i="13" s="1"/>
  <c r="F24" i="13"/>
  <c r="F25" i="13"/>
  <c r="F26" i="13"/>
  <c r="F27" i="13"/>
  <c r="K27" i="13" s="1"/>
  <c r="L27" i="13" s="1"/>
  <c r="F28" i="13"/>
  <c r="F29" i="13"/>
  <c r="F30" i="13"/>
  <c r="K30" i="13" s="1"/>
  <c r="L30" i="13" s="1"/>
  <c r="F31" i="13"/>
  <c r="K31" i="13" s="1"/>
  <c r="L31" i="13" s="1"/>
  <c r="F32" i="13"/>
  <c r="F33" i="13"/>
  <c r="F34" i="13"/>
  <c r="F35" i="13"/>
  <c r="K35" i="13" s="1"/>
  <c r="L35" i="13" s="1"/>
  <c r="F36" i="13"/>
  <c r="F37" i="13"/>
  <c r="F38" i="13"/>
  <c r="K38" i="13" s="1"/>
  <c r="L38" i="13" s="1"/>
  <c r="F39" i="13"/>
  <c r="K39" i="13" s="1"/>
  <c r="L39" i="13" s="1"/>
  <c r="F40" i="13"/>
  <c r="F41" i="13"/>
  <c r="F42" i="13"/>
  <c r="F43" i="13"/>
  <c r="K43" i="13" s="1"/>
  <c r="L43" i="13" s="1"/>
  <c r="F44" i="13"/>
  <c r="F45" i="13"/>
  <c r="F46" i="13"/>
  <c r="K46" i="13" s="1"/>
  <c r="L46" i="13" s="1"/>
  <c r="F47" i="13"/>
  <c r="K47" i="13" s="1"/>
  <c r="L47" i="13" s="1"/>
  <c r="F48" i="13"/>
  <c r="F49" i="13"/>
  <c r="F50" i="13"/>
  <c r="F51" i="13"/>
  <c r="K51" i="13" s="1"/>
  <c r="L51" i="13" s="1"/>
  <c r="F52" i="13"/>
  <c r="F53" i="13"/>
  <c r="F54" i="13"/>
  <c r="K54" i="13" s="1"/>
  <c r="L54" i="13" s="1"/>
  <c r="F55" i="13"/>
  <c r="K55" i="13" s="1"/>
  <c r="F56" i="13"/>
  <c r="F57" i="13"/>
  <c r="F58" i="13"/>
  <c r="F59" i="13"/>
  <c r="K59" i="13" s="1"/>
  <c r="L59" i="13" s="1"/>
  <c r="F60" i="13"/>
  <c r="F61" i="13"/>
  <c r="F62" i="13"/>
  <c r="K62" i="13" s="1"/>
  <c r="L62" i="13" s="1"/>
  <c r="F63" i="13"/>
  <c r="K63" i="13" s="1"/>
  <c r="L63" i="13" s="1"/>
  <c r="F64" i="13"/>
  <c r="F65" i="13"/>
  <c r="F66" i="13"/>
  <c r="F67" i="13"/>
  <c r="K67" i="13" s="1"/>
  <c r="L67" i="13" s="1"/>
  <c r="F68" i="13"/>
  <c r="F69" i="13"/>
  <c r="F70" i="13"/>
  <c r="K70" i="13" s="1"/>
  <c r="L70" i="13" s="1"/>
  <c r="F71" i="13"/>
  <c r="K71" i="13" s="1"/>
  <c r="F72" i="13"/>
  <c r="F73" i="13"/>
  <c r="F74" i="13"/>
  <c r="F75" i="13"/>
  <c r="K75" i="13" s="1"/>
  <c r="L75" i="13" s="1"/>
  <c r="F76" i="13"/>
  <c r="F77" i="13"/>
  <c r="F78" i="13"/>
  <c r="K78" i="13" s="1"/>
  <c r="L78" i="13" s="1"/>
  <c r="F79" i="13"/>
  <c r="K79" i="13" s="1"/>
  <c r="L79" i="13" s="1"/>
  <c r="F80" i="13"/>
  <c r="F81" i="13"/>
  <c r="F82" i="13"/>
  <c r="F83" i="13"/>
  <c r="K83" i="13" s="1"/>
  <c r="L83" i="13" s="1"/>
  <c r="F84" i="13"/>
  <c r="F85" i="13"/>
  <c r="F86" i="13"/>
  <c r="K86" i="13" s="1"/>
  <c r="L86" i="13" s="1"/>
  <c r="F87" i="13"/>
  <c r="K87" i="13" s="1"/>
  <c r="L87" i="13" s="1"/>
  <c r="F88" i="13"/>
  <c r="F89" i="13"/>
  <c r="F90" i="13"/>
  <c r="F91" i="13"/>
  <c r="K91" i="13" s="1"/>
  <c r="L91" i="13" s="1"/>
  <c r="F92" i="13"/>
  <c r="F93" i="13"/>
  <c r="F94" i="13"/>
  <c r="K94" i="13" s="1"/>
  <c r="L94" i="13" s="1"/>
  <c r="F95" i="13"/>
  <c r="K95" i="13" s="1"/>
  <c r="L95" i="13" s="1"/>
  <c r="F96" i="13"/>
  <c r="F97" i="13"/>
  <c r="F98" i="13"/>
  <c r="F99" i="13"/>
  <c r="K99" i="13" s="1"/>
  <c r="L99" i="13" s="1"/>
  <c r="F100" i="13"/>
  <c r="F101" i="13"/>
  <c r="F102" i="13"/>
  <c r="K102" i="13" s="1"/>
  <c r="L102" i="13" s="1"/>
  <c r="F103" i="13"/>
  <c r="K103" i="13" s="1"/>
  <c r="L103" i="13" s="1"/>
  <c r="F104" i="13"/>
  <c r="F105" i="13"/>
  <c r="F106" i="13"/>
  <c r="F107" i="13"/>
  <c r="K107" i="13" s="1"/>
  <c r="L107" i="13" s="1"/>
  <c r="F108" i="13"/>
  <c r="F109" i="13"/>
  <c r="F110" i="13"/>
  <c r="K110" i="13" s="1"/>
  <c r="L110" i="13" s="1"/>
  <c r="F111" i="13"/>
  <c r="K111" i="13" s="1"/>
  <c r="L111" i="13" s="1"/>
  <c r="F112" i="13"/>
  <c r="F113" i="13"/>
  <c r="F114" i="13"/>
  <c r="F115" i="13"/>
  <c r="K115" i="13" s="1"/>
  <c r="L115" i="13" s="1"/>
  <c r="F116" i="13"/>
  <c r="F117" i="13"/>
  <c r="F118" i="13"/>
  <c r="K118" i="13" s="1"/>
  <c r="L118" i="13" s="1"/>
  <c r="F119" i="13"/>
  <c r="K119" i="13" s="1"/>
  <c r="L119" i="13" s="1"/>
  <c r="F120" i="13"/>
  <c r="F121" i="13"/>
  <c r="F122" i="13"/>
  <c r="F123" i="13"/>
  <c r="K123" i="13" s="1"/>
  <c r="L123" i="13" s="1"/>
  <c r="F124" i="13"/>
  <c r="F125" i="13"/>
  <c r="F126" i="13"/>
  <c r="K126" i="13" s="1"/>
  <c r="L126" i="13" s="1"/>
  <c r="F127" i="13"/>
  <c r="K127" i="13" s="1"/>
  <c r="L127" i="13" s="1"/>
  <c r="F128" i="13"/>
  <c r="F129" i="13"/>
  <c r="F130" i="13"/>
  <c r="F131" i="13"/>
  <c r="K131" i="13" s="1"/>
  <c r="L131" i="13" s="1"/>
  <c r="F132" i="13"/>
  <c r="F133" i="13"/>
  <c r="F134" i="13"/>
  <c r="K134" i="13" s="1"/>
  <c r="L134" i="13" s="1"/>
  <c r="F135" i="13"/>
  <c r="K135" i="13" s="1"/>
  <c r="L135" i="13" s="1"/>
  <c r="F136" i="13"/>
  <c r="F137" i="13"/>
  <c r="F138" i="13"/>
  <c r="F139" i="13"/>
  <c r="K139" i="13" s="1"/>
  <c r="L139" i="13" s="1"/>
  <c r="F140" i="13"/>
  <c r="F141" i="13"/>
  <c r="F142" i="13"/>
  <c r="K142" i="13" s="1"/>
  <c r="L142" i="13" s="1"/>
  <c r="F143" i="13"/>
  <c r="K143" i="13" s="1"/>
  <c r="L143" i="13" s="1"/>
  <c r="F144" i="13"/>
  <c r="F145" i="13"/>
  <c r="F146" i="13"/>
  <c r="F147" i="13"/>
  <c r="K147" i="13" s="1"/>
  <c r="L147" i="13" s="1"/>
  <c r="F148" i="13"/>
  <c r="F149" i="13"/>
  <c r="F150" i="13"/>
  <c r="F151" i="13"/>
  <c r="K151" i="13" s="1"/>
  <c r="L151" i="13" s="1"/>
  <c r="F152" i="13"/>
  <c r="F153" i="13"/>
  <c r="F154" i="13"/>
  <c r="F155" i="13"/>
  <c r="K155" i="13" s="1"/>
  <c r="L155" i="13" s="1"/>
  <c r="F156" i="13"/>
  <c r="F157" i="13"/>
  <c r="K157" i="13" s="1"/>
  <c r="L157" i="13" s="1"/>
  <c r="F158" i="13"/>
  <c r="F159" i="13"/>
  <c r="K159" i="13" s="1"/>
  <c r="L159" i="13" s="1"/>
  <c r="F160" i="13"/>
  <c r="F161" i="13"/>
  <c r="K161" i="13" s="1"/>
  <c r="L161" i="13" s="1"/>
  <c r="F162" i="13"/>
  <c r="F163" i="13"/>
  <c r="K163" i="13" s="1"/>
  <c r="L163" i="13" s="1"/>
  <c r="F164" i="13"/>
  <c r="F165" i="13"/>
  <c r="F166" i="13"/>
  <c r="F167" i="13"/>
  <c r="K167" i="13" s="1"/>
  <c r="L167" i="13" s="1"/>
  <c r="F168" i="13"/>
  <c r="F169" i="13"/>
  <c r="F170" i="13"/>
  <c r="F171" i="13"/>
  <c r="K171" i="13" s="1"/>
  <c r="L171" i="13" s="1"/>
  <c r="F172" i="13"/>
  <c r="F173" i="13"/>
  <c r="F174" i="13"/>
  <c r="F175" i="13"/>
  <c r="K175" i="13" s="1"/>
  <c r="L175" i="13" s="1"/>
  <c r="F176" i="13"/>
  <c r="F177" i="13"/>
  <c r="F178" i="13"/>
  <c r="F179" i="13"/>
  <c r="K179" i="13" s="1"/>
  <c r="L179" i="13" s="1"/>
  <c r="F180" i="13"/>
  <c r="F181" i="13"/>
  <c r="F182" i="13"/>
  <c r="F183" i="13"/>
  <c r="K183" i="13" s="1"/>
  <c r="L183" i="13" s="1"/>
  <c r="F184" i="13"/>
  <c r="F185" i="13"/>
  <c r="F186" i="13"/>
  <c r="F187" i="13"/>
  <c r="K187" i="13" s="1"/>
  <c r="L187" i="13" s="1"/>
  <c r="F188" i="13"/>
  <c r="F189" i="13"/>
  <c r="F190" i="13"/>
  <c r="F191" i="13"/>
  <c r="K191" i="13" s="1"/>
  <c r="L191" i="13" s="1"/>
  <c r="F192" i="13"/>
  <c r="F193" i="13"/>
  <c r="F194" i="13"/>
  <c r="F195" i="13"/>
  <c r="K195" i="13" s="1"/>
  <c r="L195" i="13" s="1"/>
  <c r="F196" i="13"/>
  <c r="F197" i="13"/>
  <c r="F198" i="13"/>
  <c r="F199" i="13"/>
  <c r="K199" i="13" s="1"/>
  <c r="L199" i="13" s="1"/>
  <c r="F200" i="13"/>
  <c r="F201" i="13"/>
  <c r="F202" i="13"/>
  <c r="F203" i="13"/>
  <c r="K203" i="13" s="1"/>
  <c r="L203" i="13" s="1"/>
  <c r="F204" i="13"/>
  <c r="F205" i="13"/>
  <c r="F206" i="13"/>
  <c r="F207" i="13"/>
  <c r="K207" i="13" s="1"/>
  <c r="L207" i="13" s="1"/>
  <c r="F208" i="13"/>
  <c r="F209" i="13"/>
  <c r="F210" i="13"/>
  <c r="F211" i="13"/>
  <c r="K211" i="13" s="1"/>
  <c r="L211" i="13" s="1"/>
  <c r="F212" i="13"/>
  <c r="F213" i="13"/>
  <c r="F214" i="13"/>
  <c r="F215" i="13"/>
  <c r="K215" i="13" s="1"/>
  <c r="L215" i="13" s="1"/>
  <c r="F216" i="13"/>
  <c r="F217" i="13"/>
  <c r="F218" i="13"/>
  <c r="F219" i="13"/>
  <c r="K219" i="13" s="1"/>
  <c r="L219" i="13" s="1"/>
  <c r="F220" i="13"/>
  <c r="F221" i="13"/>
  <c r="F222" i="13"/>
  <c r="F223" i="13"/>
  <c r="K223" i="13" s="1"/>
  <c r="L223" i="13" s="1"/>
  <c r="F224" i="13"/>
  <c r="F225" i="13"/>
  <c r="F226" i="13"/>
  <c r="F227" i="13"/>
  <c r="K227" i="13" s="1"/>
  <c r="L227" i="13" s="1"/>
  <c r="F228" i="13"/>
  <c r="F229" i="13"/>
  <c r="F230" i="13"/>
  <c r="F231" i="13"/>
  <c r="K231" i="13" s="1"/>
  <c r="L231" i="13" s="1"/>
  <c r="F232" i="13"/>
  <c r="F233" i="13"/>
  <c r="F234" i="13"/>
  <c r="F235" i="13"/>
  <c r="K235" i="13" s="1"/>
  <c r="L235" i="13" s="1"/>
  <c r="F236" i="13"/>
  <c r="F237" i="13"/>
  <c r="K237" i="13" s="1"/>
  <c r="F238" i="13"/>
  <c r="F239" i="13"/>
  <c r="K239" i="13" s="1"/>
  <c r="L239" i="13" s="1"/>
  <c r="F240" i="13"/>
  <c r="F241" i="13"/>
  <c r="F242" i="13"/>
  <c r="F243" i="13"/>
  <c r="K243" i="13" s="1"/>
  <c r="L243" i="13" s="1"/>
  <c r="F244" i="13"/>
  <c r="F245" i="13"/>
  <c r="F246" i="13"/>
  <c r="F247" i="13"/>
  <c r="K247" i="13" s="1"/>
  <c r="L247" i="13" s="1"/>
  <c r="F248" i="13"/>
  <c r="F249" i="13"/>
  <c r="F250" i="13"/>
  <c r="F251" i="13"/>
  <c r="K251" i="13" s="1"/>
  <c r="L251" i="13" s="1"/>
  <c r="F252" i="13"/>
  <c r="D252" i="13"/>
  <c r="C252" i="13"/>
  <c r="D251" i="13"/>
  <c r="C251" i="13"/>
  <c r="E251" i="13" s="1"/>
  <c r="D250" i="13"/>
  <c r="C250" i="13"/>
  <c r="D249" i="13"/>
  <c r="C249" i="13"/>
  <c r="D248" i="13"/>
  <c r="C248" i="13"/>
  <c r="D247" i="13"/>
  <c r="C247" i="13"/>
  <c r="E247" i="13" s="1"/>
  <c r="D246" i="13"/>
  <c r="C246" i="13"/>
  <c r="D245" i="13"/>
  <c r="C245" i="13"/>
  <c r="D244" i="13"/>
  <c r="C244" i="13"/>
  <c r="D243" i="13"/>
  <c r="C243" i="13"/>
  <c r="E243" i="13" s="1"/>
  <c r="D242" i="13"/>
  <c r="C242" i="13"/>
  <c r="D241" i="13"/>
  <c r="C241" i="13"/>
  <c r="D240" i="13"/>
  <c r="C240" i="13"/>
  <c r="D239" i="13"/>
  <c r="C239" i="13"/>
  <c r="E239" i="13" s="1"/>
  <c r="D238" i="13"/>
  <c r="C238" i="13"/>
  <c r="D237" i="13"/>
  <c r="C237" i="13"/>
  <c r="D236" i="13"/>
  <c r="C236" i="13"/>
  <c r="D235" i="13"/>
  <c r="C235" i="13"/>
  <c r="E235" i="13" s="1"/>
  <c r="D234" i="13"/>
  <c r="C234" i="13"/>
  <c r="D233" i="13"/>
  <c r="C233" i="13"/>
  <c r="D232" i="13"/>
  <c r="C232" i="13"/>
  <c r="D231" i="13"/>
  <c r="C231" i="13"/>
  <c r="E231" i="13" s="1"/>
  <c r="D230" i="13"/>
  <c r="C230" i="13"/>
  <c r="D229" i="13"/>
  <c r="C229" i="13"/>
  <c r="D228" i="13"/>
  <c r="C228" i="13"/>
  <c r="D227" i="13"/>
  <c r="C227" i="13"/>
  <c r="E227" i="13" s="1"/>
  <c r="D226" i="13"/>
  <c r="C226" i="13"/>
  <c r="D225" i="13"/>
  <c r="C225" i="13"/>
  <c r="D224" i="13"/>
  <c r="C224" i="13"/>
  <c r="D223" i="13"/>
  <c r="C223" i="13"/>
  <c r="E223" i="13" s="1"/>
  <c r="D222" i="13"/>
  <c r="C222" i="13"/>
  <c r="D221" i="13"/>
  <c r="C221" i="13"/>
  <c r="D220" i="13"/>
  <c r="C220" i="13"/>
  <c r="D219" i="13"/>
  <c r="C219" i="13"/>
  <c r="E219" i="13" s="1"/>
  <c r="D218" i="13"/>
  <c r="C218" i="13"/>
  <c r="D217" i="13"/>
  <c r="C217" i="13"/>
  <c r="D216" i="13"/>
  <c r="C216" i="13"/>
  <c r="D215" i="13"/>
  <c r="C215" i="13"/>
  <c r="E215" i="13" s="1"/>
  <c r="D214" i="13"/>
  <c r="C214" i="13"/>
  <c r="D213" i="13"/>
  <c r="C213" i="13"/>
  <c r="D212" i="13"/>
  <c r="C212" i="13"/>
  <c r="D211" i="13"/>
  <c r="C211" i="13"/>
  <c r="E211" i="13" s="1"/>
  <c r="D210" i="13"/>
  <c r="C210" i="13"/>
  <c r="D209" i="13"/>
  <c r="C209" i="13"/>
  <c r="D208" i="13"/>
  <c r="C208" i="13"/>
  <c r="D207" i="13"/>
  <c r="C207" i="13"/>
  <c r="E207" i="13" s="1"/>
  <c r="D206" i="13"/>
  <c r="C206" i="13"/>
  <c r="D205" i="13"/>
  <c r="C205" i="13"/>
  <c r="D204" i="13"/>
  <c r="C204" i="13"/>
  <c r="D203" i="13"/>
  <c r="C203" i="13"/>
  <c r="E203" i="13" s="1"/>
  <c r="D202" i="13"/>
  <c r="C202" i="13"/>
  <c r="D201" i="13"/>
  <c r="C201" i="13"/>
  <c r="D200" i="13"/>
  <c r="C200" i="13"/>
  <c r="D199" i="13"/>
  <c r="C199" i="13"/>
  <c r="E199" i="13" s="1"/>
  <c r="D198" i="13"/>
  <c r="C198" i="13"/>
  <c r="D197" i="13"/>
  <c r="C197" i="13"/>
  <c r="D196" i="13"/>
  <c r="C196" i="13"/>
  <c r="D195" i="13"/>
  <c r="C195" i="13"/>
  <c r="E195" i="13" s="1"/>
  <c r="D194" i="13"/>
  <c r="C194" i="13"/>
  <c r="D193" i="13"/>
  <c r="C193" i="13"/>
  <c r="D192" i="13"/>
  <c r="C192" i="13"/>
  <c r="D191" i="13"/>
  <c r="C191" i="13"/>
  <c r="E191" i="13" s="1"/>
  <c r="D190" i="13"/>
  <c r="C190" i="13"/>
  <c r="D189" i="13"/>
  <c r="C189" i="13"/>
  <c r="D188" i="13"/>
  <c r="C188" i="13"/>
  <c r="D187" i="13"/>
  <c r="C187" i="13"/>
  <c r="E187" i="13" s="1"/>
  <c r="D186" i="13"/>
  <c r="C186" i="13"/>
  <c r="D185" i="13"/>
  <c r="C185" i="13"/>
  <c r="D184" i="13"/>
  <c r="C184" i="13"/>
  <c r="D183" i="13"/>
  <c r="C183" i="13"/>
  <c r="E183" i="13" s="1"/>
  <c r="D182" i="13"/>
  <c r="C182" i="13"/>
  <c r="D181" i="13"/>
  <c r="C181" i="13"/>
  <c r="D180" i="13"/>
  <c r="C180" i="13"/>
  <c r="D179" i="13"/>
  <c r="C179" i="13"/>
  <c r="E179" i="13" s="1"/>
  <c r="D178" i="13"/>
  <c r="C178" i="13"/>
  <c r="D177" i="13"/>
  <c r="C177" i="13"/>
  <c r="D176" i="13"/>
  <c r="C176" i="13"/>
  <c r="D175" i="13"/>
  <c r="C175" i="13"/>
  <c r="E175" i="13" s="1"/>
  <c r="D174" i="13"/>
  <c r="C174" i="13"/>
  <c r="D173" i="13"/>
  <c r="C173" i="13"/>
  <c r="D172" i="13"/>
  <c r="C172" i="13"/>
  <c r="D171" i="13"/>
  <c r="C171" i="13"/>
  <c r="E171" i="13" s="1"/>
  <c r="D170" i="13"/>
  <c r="C170" i="13"/>
  <c r="D169" i="13"/>
  <c r="C169" i="13"/>
  <c r="D168" i="13"/>
  <c r="C168" i="13"/>
  <c r="D167" i="13"/>
  <c r="C167" i="13"/>
  <c r="E167" i="13" s="1"/>
  <c r="D166" i="13"/>
  <c r="C166" i="13"/>
  <c r="D165" i="13"/>
  <c r="C165" i="13"/>
  <c r="D164" i="13"/>
  <c r="C164" i="13"/>
  <c r="D163" i="13"/>
  <c r="C163" i="13"/>
  <c r="E163" i="13" s="1"/>
  <c r="D162" i="13"/>
  <c r="C162" i="13"/>
  <c r="D161" i="13"/>
  <c r="C161" i="13"/>
  <c r="D160" i="13"/>
  <c r="C160" i="13"/>
  <c r="D159" i="13"/>
  <c r="C159" i="13"/>
  <c r="E159" i="13" s="1"/>
  <c r="D158" i="13"/>
  <c r="C158" i="13"/>
  <c r="D157" i="13"/>
  <c r="C157" i="13"/>
  <c r="D156" i="13"/>
  <c r="C156" i="13"/>
  <c r="D155" i="13"/>
  <c r="C155" i="13"/>
  <c r="E155" i="13" s="1"/>
  <c r="D154" i="13"/>
  <c r="C154" i="13"/>
  <c r="D153" i="13"/>
  <c r="C153" i="13"/>
  <c r="D152" i="13"/>
  <c r="C152" i="13"/>
  <c r="D151" i="13"/>
  <c r="C151" i="13"/>
  <c r="E151" i="13" s="1"/>
  <c r="D150" i="13"/>
  <c r="C150" i="13"/>
  <c r="D149" i="13"/>
  <c r="C149" i="13"/>
  <c r="D148" i="13"/>
  <c r="C148" i="13"/>
  <c r="D147" i="13"/>
  <c r="C147" i="13"/>
  <c r="E147" i="13" s="1"/>
  <c r="D146" i="13"/>
  <c r="C146" i="13"/>
  <c r="D145" i="13"/>
  <c r="C145" i="13"/>
  <c r="D144" i="13"/>
  <c r="C144" i="13"/>
  <c r="D143" i="13"/>
  <c r="C143" i="13"/>
  <c r="E143" i="13" s="1"/>
  <c r="D142" i="13"/>
  <c r="C142" i="13"/>
  <c r="D141" i="13"/>
  <c r="C141" i="13"/>
  <c r="D140" i="13"/>
  <c r="C140" i="13"/>
  <c r="D139" i="13"/>
  <c r="C139" i="13"/>
  <c r="E139" i="13" s="1"/>
  <c r="D138" i="13"/>
  <c r="C138" i="13"/>
  <c r="D137" i="13"/>
  <c r="C137" i="13"/>
  <c r="D136" i="13"/>
  <c r="C136" i="13"/>
  <c r="D135" i="13"/>
  <c r="C135" i="13"/>
  <c r="E135" i="13" s="1"/>
  <c r="D134" i="13"/>
  <c r="C134" i="13"/>
  <c r="D133" i="13"/>
  <c r="C133" i="13"/>
  <c r="D132" i="13"/>
  <c r="C132" i="13"/>
  <c r="D131" i="13"/>
  <c r="C131" i="13"/>
  <c r="E131" i="13" s="1"/>
  <c r="D130" i="13"/>
  <c r="C130" i="13"/>
  <c r="D129" i="13"/>
  <c r="C129" i="13"/>
  <c r="D128" i="13"/>
  <c r="C128" i="13"/>
  <c r="D127" i="13"/>
  <c r="C127" i="13"/>
  <c r="E127" i="13" s="1"/>
  <c r="D126" i="13"/>
  <c r="C126" i="13"/>
  <c r="D125" i="13"/>
  <c r="C125" i="13"/>
  <c r="D124" i="13"/>
  <c r="C124" i="13"/>
  <c r="D123" i="13"/>
  <c r="C123" i="13"/>
  <c r="E123" i="13" s="1"/>
  <c r="D122" i="13"/>
  <c r="C122" i="13"/>
  <c r="D121" i="13"/>
  <c r="C121" i="13"/>
  <c r="D120" i="13"/>
  <c r="C120" i="13"/>
  <c r="D119" i="13"/>
  <c r="C119" i="13"/>
  <c r="E119" i="13" s="1"/>
  <c r="D118" i="13"/>
  <c r="C118" i="13"/>
  <c r="D117" i="13"/>
  <c r="C117" i="13"/>
  <c r="D116" i="13"/>
  <c r="C116" i="13"/>
  <c r="D115" i="13"/>
  <c r="C115" i="13"/>
  <c r="E115" i="13" s="1"/>
  <c r="D114" i="13"/>
  <c r="C114" i="13"/>
  <c r="D113" i="13"/>
  <c r="C113" i="13"/>
  <c r="D112" i="13"/>
  <c r="C112" i="13"/>
  <c r="D111" i="13"/>
  <c r="C111" i="13"/>
  <c r="E111" i="13" s="1"/>
  <c r="D110" i="13"/>
  <c r="C110" i="13"/>
  <c r="D109" i="13"/>
  <c r="C109" i="13"/>
  <c r="D108" i="13"/>
  <c r="C108" i="13"/>
  <c r="D107" i="13"/>
  <c r="C107" i="13"/>
  <c r="E107" i="13" s="1"/>
  <c r="D106" i="13"/>
  <c r="C106" i="13"/>
  <c r="D105" i="13"/>
  <c r="C105" i="13"/>
  <c r="D104" i="13"/>
  <c r="C104" i="13"/>
  <c r="D103" i="13"/>
  <c r="C103" i="13"/>
  <c r="E103" i="13" s="1"/>
  <c r="D102" i="13"/>
  <c r="C102" i="13"/>
  <c r="D101" i="13"/>
  <c r="C101" i="13"/>
  <c r="D100" i="13"/>
  <c r="C100" i="13"/>
  <c r="D99" i="13"/>
  <c r="C99" i="13"/>
  <c r="E99" i="13" s="1"/>
  <c r="D98" i="13"/>
  <c r="C98" i="13"/>
  <c r="D97" i="13"/>
  <c r="C97" i="13"/>
  <c r="D96" i="13"/>
  <c r="C96" i="13"/>
  <c r="D95" i="13"/>
  <c r="C95" i="13"/>
  <c r="E95" i="13" s="1"/>
  <c r="D94" i="13"/>
  <c r="C94" i="13"/>
  <c r="D93" i="13"/>
  <c r="C93" i="13"/>
  <c r="D92" i="13"/>
  <c r="C92" i="13"/>
  <c r="D91" i="13"/>
  <c r="C91" i="13"/>
  <c r="E91" i="13" s="1"/>
  <c r="D90" i="13"/>
  <c r="C90" i="13"/>
  <c r="D89" i="13"/>
  <c r="C89" i="13"/>
  <c r="D88" i="13"/>
  <c r="C88" i="13"/>
  <c r="D87" i="13"/>
  <c r="C87" i="13"/>
  <c r="E87" i="13" s="1"/>
  <c r="D86" i="13"/>
  <c r="C86" i="13"/>
  <c r="D85" i="13"/>
  <c r="C85" i="13"/>
  <c r="D84" i="13"/>
  <c r="C84" i="13"/>
  <c r="D83" i="13"/>
  <c r="C83" i="13"/>
  <c r="E83" i="13" s="1"/>
  <c r="D82" i="13"/>
  <c r="C82" i="13"/>
  <c r="D81" i="13"/>
  <c r="C81" i="13"/>
  <c r="D80" i="13"/>
  <c r="C80" i="13"/>
  <c r="D79" i="13"/>
  <c r="C79" i="13"/>
  <c r="E79" i="13" s="1"/>
  <c r="D78" i="13"/>
  <c r="C78" i="13"/>
  <c r="D77" i="13"/>
  <c r="C77" i="13"/>
  <c r="D76" i="13"/>
  <c r="C76" i="13"/>
  <c r="D75" i="13"/>
  <c r="C75" i="13"/>
  <c r="E75" i="13" s="1"/>
  <c r="D74" i="13"/>
  <c r="C74" i="13"/>
  <c r="D73" i="13"/>
  <c r="C73" i="13"/>
  <c r="D72" i="13"/>
  <c r="C72" i="13"/>
  <c r="D71" i="13"/>
  <c r="C71" i="13"/>
  <c r="E71" i="13" s="1"/>
  <c r="D70" i="13"/>
  <c r="C70" i="13"/>
  <c r="D69" i="13"/>
  <c r="C69" i="13"/>
  <c r="D68" i="13"/>
  <c r="C68" i="13"/>
  <c r="D67" i="13"/>
  <c r="C67" i="13"/>
  <c r="E67" i="13" s="1"/>
  <c r="D66" i="13"/>
  <c r="C66" i="13"/>
  <c r="D65" i="13"/>
  <c r="C65" i="13"/>
  <c r="D64" i="13"/>
  <c r="C64" i="13"/>
  <c r="D63" i="13"/>
  <c r="C63" i="13"/>
  <c r="E63" i="13" s="1"/>
  <c r="D62" i="13"/>
  <c r="C62" i="13"/>
  <c r="D61" i="13"/>
  <c r="C61" i="13"/>
  <c r="D60" i="13"/>
  <c r="C60" i="13"/>
  <c r="D59" i="13"/>
  <c r="C59" i="13"/>
  <c r="E59" i="13" s="1"/>
  <c r="D58" i="13"/>
  <c r="C58" i="13"/>
  <c r="D57" i="13"/>
  <c r="C57" i="13"/>
  <c r="D56" i="13"/>
  <c r="C56" i="13"/>
  <c r="D55" i="13"/>
  <c r="C55" i="13"/>
  <c r="E55" i="13" s="1"/>
  <c r="D54" i="13"/>
  <c r="C54" i="13"/>
  <c r="D53" i="13"/>
  <c r="C53" i="13"/>
  <c r="D52" i="13"/>
  <c r="C52" i="13"/>
  <c r="D51" i="13"/>
  <c r="C51" i="13"/>
  <c r="E51" i="13" s="1"/>
  <c r="D50" i="13"/>
  <c r="C50" i="13"/>
  <c r="D49" i="13"/>
  <c r="C49" i="13"/>
  <c r="D48" i="13"/>
  <c r="C48" i="13"/>
  <c r="D47" i="13"/>
  <c r="C47" i="13"/>
  <c r="E47" i="13" s="1"/>
  <c r="D46" i="13"/>
  <c r="C46" i="13"/>
  <c r="D45" i="13"/>
  <c r="C45" i="13"/>
  <c r="D44" i="13"/>
  <c r="C44" i="13"/>
  <c r="D43" i="13"/>
  <c r="C43" i="13"/>
  <c r="E43" i="13" s="1"/>
  <c r="D42" i="13"/>
  <c r="C42" i="13"/>
  <c r="D41" i="13"/>
  <c r="C41" i="13"/>
  <c r="D40" i="13"/>
  <c r="C40" i="13"/>
  <c r="D39" i="13"/>
  <c r="C39" i="13"/>
  <c r="E39" i="13" s="1"/>
  <c r="D38" i="13"/>
  <c r="C38" i="13"/>
  <c r="D37" i="13"/>
  <c r="C37" i="13"/>
  <c r="D36" i="13"/>
  <c r="C36" i="13"/>
  <c r="D35" i="13"/>
  <c r="C35" i="13"/>
  <c r="E35" i="13" s="1"/>
  <c r="D34" i="13"/>
  <c r="C34" i="13"/>
  <c r="D33" i="13"/>
  <c r="C33" i="13"/>
  <c r="D32" i="13"/>
  <c r="C32" i="13"/>
  <c r="D31" i="13"/>
  <c r="C31" i="13"/>
  <c r="E31" i="13" s="1"/>
  <c r="D30" i="13"/>
  <c r="C30" i="13"/>
  <c r="D29" i="13"/>
  <c r="C29" i="13"/>
  <c r="D28" i="13"/>
  <c r="C28" i="13"/>
  <c r="D27" i="13"/>
  <c r="C27" i="13"/>
  <c r="E27" i="13" s="1"/>
  <c r="D26" i="13"/>
  <c r="C26" i="13"/>
  <c r="D25" i="13"/>
  <c r="C25" i="13"/>
  <c r="D24" i="13"/>
  <c r="C24" i="13"/>
  <c r="D23" i="13"/>
  <c r="C23" i="13"/>
  <c r="E23" i="13" s="1"/>
  <c r="D22" i="13"/>
  <c r="C22" i="13"/>
  <c r="D21" i="13"/>
  <c r="C21" i="13"/>
  <c r="D20" i="13"/>
  <c r="C20" i="13"/>
  <c r="D19" i="13"/>
  <c r="C19" i="13"/>
  <c r="E19" i="13" s="1"/>
  <c r="D18" i="13"/>
  <c r="C18" i="13"/>
  <c r="D17" i="13"/>
  <c r="C17" i="13"/>
  <c r="D16" i="13"/>
  <c r="C16" i="13"/>
  <c r="D15" i="13"/>
  <c r="C15" i="13"/>
  <c r="E15" i="13" s="1"/>
  <c r="D14" i="13"/>
  <c r="C14" i="13"/>
  <c r="D13" i="13"/>
  <c r="C13" i="13"/>
  <c r="D12" i="13"/>
  <c r="C12" i="13"/>
  <c r="D11" i="13"/>
  <c r="C11" i="13"/>
  <c r="D10" i="13"/>
  <c r="C10" i="13"/>
  <c r="D9" i="13"/>
  <c r="C9" i="13"/>
  <c r="D8" i="13"/>
  <c r="C8" i="13"/>
  <c r="C7" i="13"/>
  <c r="E7" i="13" s="1"/>
  <c r="B8" i="9"/>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 r="B43" i="9" s="1"/>
  <c r="B44" i="9" s="1"/>
  <c r="B45" i="9" s="1"/>
  <c r="B46" i="9" s="1"/>
  <c r="B47" i="9" s="1"/>
  <c r="B48" i="9" s="1"/>
  <c r="B49" i="9" s="1"/>
  <c r="B50" i="9" s="1"/>
  <c r="B51" i="9" s="1"/>
  <c r="B52" i="9" s="1"/>
  <c r="B53" i="9" s="1"/>
  <c r="B54" i="9" s="1"/>
  <c r="B55" i="9" s="1"/>
  <c r="B56" i="9" s="1"/>
  <c r="B57" i="9" s="1"/>
  <c r="B58" i="9" s="1"/>
  <c r="B59" i="9" s="1"/>
  <c r="B60" i="9" s="1"/>
  <c r="B61" i="9" s="1"/>
  <c r="B62" i="9" s="1"/>
  <c r="B63" i="9" s="1"/>
  <c r="B64" i="9" s="1"/>
  <c r="B65" i="9" s="1"/>
  <c r="B66" i="9" s="1"/>
  <c r="B67" i="9" s="1"/>
  <c r="B68" i="9" s="1"/>
  <c r="B69" i="9" s="1"/>
  <c r="B70" i="9" s="1"/>
  <c r="B71" i="9" s="1"/>
  <c r="B72" i="9" s="1"/>
  <c r="B73" i="9" s="1"/>
  <c r="B74" i="9" s="1"/>
  <c r="B75" i="9" s="1"/>
  <c r="B76" i="9" s="1"/>
  <c r="B77" i="9" s="1"/>
  <c r="B78" i="9" s="1"/>
  <c r="B79" i="9" s="1"/>
  <c r="B80" i="9" s="1"/>
  <c r="B81" i="9" s="1"/>
  <c r="B82" i="9" s="1"/>
  <c r="B83" i="9" s="1"/>
  <c r="B84" i="9" s="1"/>
  <c r="B85" i="9" s="1"/>
  <c r="B86" i="9" s="1"/>
  <c r="B87" i="9" s="1"/>
  <c r="B88" i="9" s="1"/>
  <c r="B89" i="9" s="1"/>
  <c r="B90" i="9" s="1"/>
  <c r="B91" i="9" s="1"/>
  <c r="B92" i="9" s="1"/>
  <c r="B93" i="9" s="1"/>
  <c r="B94" i="9" s="1"/>
  <c r="B95" i="9" s="1"/>
  <c r="B96" i="9" s="1"/>
  <c r="B97" i="9" s="1"/>
  <c r="B98" i="9" s="1"/>
  <c r="B99" i="9" s="1"/>
  <c r="B100" i="9" s="1"/>
  <c r="B101" i="9" s="1"/>
  <c r="B102" i="9" s="1"/>
  <c r="B103" i="9" s="1"/>
  <c r="B104" i="9" s="1"/>
  <c r="B105" i="9" s="1"/>
  <c r="B106" i="9" s="1"/>
  <c r="B107" i="9" s="1"/>
  <c r="B108" i="9" s="1"/>
  <c r="B109" i="9" s="1"/>
  <c r="B110" i="9" s="1"/>
  <c r="B111" i="9" s="1"/>
  <c r="B112" i="9" s="1"/>
  <c r="B113" i="9" s="1"/>
  <c r="B114" i="9" s="1"/>
  <c r="B115" i="9" s="1"/>
  <c r="B116" i="9" s="1"/>
  <c r="B117" i="9" s="1"/>
  <c r="B118" i="9" s="1"/>
  <c r="B119" i="9" s="1"/>
  <c r="B120" i="9" s="1"/>
  <c r="B121" i="9" s="1"/>
  <c r="B122" i="9" s="1"/>
  <c r="B123" i="9" s="1"/>
  <c r="B124" i="9" s="1"/>
  <c r="B125" i="9" s="1"/>
  <c r="B126" i="9" s="1"/>
  <c r="B127" i="9" s="1"/>
  <c r="B128" i="9" s="1"/>
  <c r="B129" i="9" s="1"/>
  <c r="B130" i="9" s="1"/>
  <c r="B131" i="9" s="1"/>
  <c r="B132" i="9" s="1"/>
  <c r="B133" i="9" s="1"/>
  <c r="B134" i="9" s="1"/>
  <c r="B135" i="9" s="1"/>
  <c r="B136" i="9" s="1"/>
  <c r="B137" i="9" s="1"/>
  <c r="B138" i="9" s="1"/>
  <c r="B139" i="9" s="1"/>
  <c r="B140" i="9" s="1"/>
  <c r="B141" i="9" s="1"/>
  <c r="B142" i="9" s="1"/>
  <c r="B143" i="9" s="1"/>
  <c r="B144" i="9" s="1"/>
  <c r="B145" i="9" s="1"/>
  <c r="B146" i="9" s="1"/>
  <c r="B147" i="9" s="1"/>
  <c r="B148" i="9" s="1"/>
  <c r="B149" i="9" s="1"/>
  <c r="B150" i="9" s="1"/>
  <c r="B151" i="9" s="1"/>
  <c r="B152" i="9" s="1"/>
  <c r="B153" i="9" s="1"/>
  <c r="B154" i="9" s="1"/>
  <c r="B155" i="9" s="1"/>
  <c r="B156" i="9" s="1"/>
  <c r="B157" i="9" s="1"/>
  <c r="B158" i="9" s="1"/>
  <c r="B159" i="9" s="1"/>
  <c r="B160" i="9" s="1"/>
  <c r="B161" i="9" s="1"/>
  <c r="B162" i="9" s="1"/>
  <c r="B163" i="9" s="1"/>
  <c r="B164" i="9" s="1"/>
  <c r="B165" i="9" s="1"/>
  <c r="B166" i="9" s="1"/>
  <c r="B167" i="9" s="1"/>
  <c r="B168" i="9" s="1"/>
  <c r="B169" i="9" s="1"/>
  <c r="B170" i="9" s="1"/>
  <c r="B171" i="9" s="1"/>
  <c r="B172" i="9" s="1"/>
  <c r="B173" i="9" s="1"/>
  <c r="B174" i="9" s="1"/>
  <c r="B175" i="9" s="1"/>
  <c r="B176" i="9" s="1"/>
  <c r="B177" i="9" s="1"/>
  <c r="B178" i="9" s="1"/>
  <c r="B179" i="9" s="1"/>
  <c r="B180" i="9" s="1"/>
  <c r="B181" i="9" s="1"/>
  <c r="B182" i="9" s="1"/>
  <c r="B183" i="9" s="1"/>
  <c r="B184" i="9" s="1"/>
  <c r="B185" i="9" s="1"/>
  <c r="B186" i="9" s="1"/>
  <c r="B187" i="9" s="1"/>
  <c r="B188" i="9" s="1"/>
  <c r="B189" i="9" s="1"/>
  <c r="B190" i="9" s="1"/>
  <c r="B191" i="9" s="1"/>
  <c r="B192" i="9" s="1"/>
  <c r="B193" i="9" s="1"/>
  <c r="B194" i="9" s="1"/>
  <c r="B195" i="9" s="1"/>
  <c r="B196" i="9" s="1"/>
  <c r="B197" i="9" s="1"/>
  <c r="B198" i="9" s="1"/>
  <c r="B199" i="9" s="1"/>
  <c r="B200" i="9" s="1"/>
  <c r="B201" i="9" s="1"/>
  <c r="B202" i="9" s="1"/>
  <c r="B203" i="9" s="1"/>
  <c r="B204" i="9" s="1"/>
  <c r="B205" i="9" s="1"/>
  <c r="B206" i="9" s="1"/>
  <c r="B207" i="9" s="1"/>
  <c r="B208" i="9" s="1"/>
  <c r="B209" i="9" s="1"/>
  <c r="B210" i="9" s="1"/>
  <c r="B211" i="9" s="1"/>
  <c r="B212" i="9" s="1"/>
  <c r="B213" i="9" s="1"/>
  <c r="B214" i="9" s="1"/>
  <c r="B215" i="9" s="1"/>
  <c r="B216" i="9" s="1"/>
  <c r="B217" i="9" s="1"/>
  <c r="B218" i="9" s="1"/>
  <c r="B219" i="9" s="1"/>
  <c r="B220" i="9" s="1"/>
  <c r="B221" i="9" s="1"/>
  <c r="B222" i="9" s="1"/>
  <c r="B223" i="9" s="1"/>
  <c r="B224" i="9" s="1"/>
  <c r="B225" i="9" s="1"/>
  <c r="B226" i="9" s="1"/>
  <c r="B227" i="9" s="1"/>
  <c r="B228" i="9" s="1"/>
  <c r="B229" i="9" s="1"/>
  <c r="B230" i="9" s="1"/>
  <c r="B231" i="9" s="1"/>
  <c r="B232" i="9" s="1"/>
  <c r="B233" i="9" s="1"/>
  <c r="B234" i="9" s="1"/>
  <c r="B235" i="9" s="1"/>
  <c r="B236" i="9" s="1"/>
  <c r="B237" i="9" s="1"/>
  <c r="B238" i="9" s="1"/>
  <c r="B239" i="9" s="1"/>
  <c r="B240" i="9" s="1"/>
  <c r="B241" i="9" s="1"/>
  <c r="B242" i="9" s="1"/>
  <c r="B243" i="9" s="1"/>
  <c r="B244" i="9" s="1"/>
  <c r="B245" i="9" s="1"/>
  <c r="B246" i="9" s="1"/>
  <c r="B247" i="9" s="1"/>
  <c r="B248" i="9" s="1"/>
  <c r="B249" i="9" s="1"/>
  <c r="B250" i="9" s="1"/>
  <c r="B251" i="9" s="1"/>
  <c r="B252" i="9" s="1"/>
  <c r="B253" i="9" s="1"/>
  <c r="B254" i="9" s="1"/>
  <c r="B255" i="9" s="1"/>
  <c r="B256" i="9" s="1"/>
  <c r="B257" i="9" s="1"/>
  <c r="B258" i="9" s="1"/>
  <c r="B259" i="9" s="1"/>
  <c r="B260" i="9" s="1"/>
  <c r="B261" i="9" s="1"/>
  <c r="B262" i="9" s="1"/>
  <c r="B263" i="9" s="1"/>
  <c r="B264" i="9" s="1"/>
  <c r="B265" i="9" s="1"/>
  <c r="B266" i="9" s="1"/>
  <c r="B267" i="9" s="1"/>
  <c r="B268" i="9" s="1"/>
  <c r="B269" i="9" s="1"/>
  <c r="B270" i="9" s="1"/>
  <c r="B271" i="9" s="1"/>
  <c r="B272" i="9" s="1"/>
  <c r="B273" i="9" s="1"/>
  <c r="B274" i="9" s="1"/>
  <c r="B275" i="9" s="1"/>
  <c r="B276" i="9" s="1"/>
  <c r="B277" i="9" s="1"/>
  <c r="B278" i="9" s="1"/>
  <c r="B279" i="9" s="1"/>
  <c r="B280" i="9" s="1"/>
  <c r="B281" i="9" s="1"/>
  <c r="B282" i="9" s="1"/>
  <c r="B283" i="9" s="1"/>
  <c r="B284" i="9" s="1"/>
  <c r="B285" i="9" s="1"/>
  <c r="B286" i="9" s="1"/>
  <c r="B287" i="9" s="1"/>
  <c r="B288" i="9" s="1"/>
  <c r="B289" i="9" s="1"/>
  <c r="B290" i="9" s="1"/>
  <c r="B291" i="9" s="1"/>
  <c r="B292" i="9" s="1"/>
  <c r="B293" i="9" s="1"/>
  <c r="B294" i="9" s="1"/>
  <c r="B295" i="9" s="1"/>
  <c r="B296" i="9" s="1"/>
  <c r="B297" i="9" s="1"/>
  <c r="B298" i="9" s="1"/>
  <c r="B299" i="9" s="1"/>
  <c r="B300" i="9" s="1"/>
  <c r="B301" i="9" s="1"/>
  <c r="B302" i="9" s="1"/>
  <c r="B303" i="9" s="1"/>
  <c r="B304" i="9" s="1"/>
  <c r="B305" i="9" s="1"/>
  <c r="B306" i="9" s="1"/>
  <c r="B307" i="9" s="1"/>
  <c r="B308" i="9" s="1"/>
  <c r="B309" i="9" s="1"/>
  <c r="B310" i="9" s="1"/>
  <c r="B311" i="9" s="1"/>
  <c r="B312" i="9" s="1"/>
  <c r="B313" i="9" s="1"/>
  <c r="B314" i="9" s="1"/>
  <c r="B315" i="9" s="1"/>
  <c r="B316" i="9" s="1"/>
  <c r="B317" i="9" s="1"/>
  <c r="B318" i="9" s="1"/>
  <c r="B319" i="9" s="1"/>
  <c r="B320" i="9" s="1"/>
  <c r="B321" i="9" s="1"/>
  <c r="B322" i="9" s="1"/>
  <c r="B323" i="9" s="1"/>
  <c r="B324" i="9" s="1"/>
  <c r="B325" i="9" s="1"/>
  <c r="B326" i="9" s="1"/>
  <c r="B327" i="9" s="1"/>
  <c r="B328" i="9" s="1"/>
  <c r="B329" i="9" s="1"/>
  <c r="B330" i="9" s="1"/>
  <c r="B331" i="9" s="1"/>
  <c r="B332" i="9" s="1"/>
  <c r="B333" i="9" s="1"/>
  <c r="B334" i="9" s="1"/>
  <c r="B335" i="9" s="1"/>
  <c r="B336" i="9" s="1"/>
  <c r="B337" i="9" s="1"/>
  <c r="B338" i="9" s="1"/>
  <c r="B339" i="9" s="1"/>
  <c r="B340" i="9" s="1"/>
  <c r="B341" i="9" s="1"/>
  <c r="B342" i="9" s="1"/>
  <c r="B343" i="9" s="1"/>
  <c r="B344" i="9" s="1"/>
  <c r="B345" i="9" s="1"/>
  <c r="B346" i="9" s="1"/>
  <c r="B347" i="9" s="1"/>
  <c r="B348" i="9" s="1"/>
  <c r="B349" i="9" s="1"/>
  <c r="B350" i="9" s="1"/>
  <c r="B351" i="9" s="1"/>
  <c r="B352" i="9" s="1"/>
  <c r="B353" i="9" s="1"/>
  <c r="B354" i="9" s="1"/>
  <c r="B355" i="9" s="1"/>
  <c r="B356" i="9" s="1"/>
  <c r="B357" i="9" s="1"/>
  <c r="B358" i="9" s="1"/>
  <c r="B359" i="9" s="1"/>
  <c r="B360" i="9" s="1"/>
  <c r="B361" i="9" s="1"/>
  <c r="B362" i="9" s="1"/>
  <c r="B363" i="9" s="1"/>
  <c r="B364" i="9" s="1"/>
  <c r="B365" i="9" s="1"/>
  <c r="B366" i="9" s="1"/>
  <c r="B367" i="9" s="1"/>
  <c r="B368" i="9" s="1"/>
  <c r="B369" i="9" s="1"/>
  <c r="B370" i="9" s="1"/>
  <c r="B371" i="9" s="1"/>
  <c r="B372" i="9" s="1"/>
  <c r="B373" i="9" s="1"/>
  <c r="B374" i="9" s="1"/>
  <c r="B375" i="9" s="1"/>
  <c r="B376" i="9" s="1"/>
  <c r="B377" i="9" s="1"/>
  <c r="B378" i="9" s="1"/>
  <c r="B379" i="9" s="1"/>
  <c r="B380" i="9" s="1"/>
  <c r="B381" i="9" s="1"/>
  <c r="B382" i="9" s="1"/>
  <c r="B383" i="9" s="1"/>
  <c r="B384" i="9" s="1"/>
  <c r="B385" i="9" s="1"/>
  <c r="B386" i="9" s="1"/>
  <c r="B387" i="9" s="1"/>
  <c r="B388" i="9" s="1"/>
  <c r="B389" i="9" s="1"/>
  <c r="B390" i="9" s="1"/>
  <c r="B391" i="9" s="1"/>
  <c r="B392" i="9" s="1"/>
  <c r="B393" i="9" s="1"/>
  <c r="B394" i="9" s="1"/>
  <c r="B395" i="9" s="1"/>
  <c r="B396" i="9" s="1"/>
  <c r="B397" i="9" s="1"/>
  <c r="B398" i="9" s="1"/>
  <c r="B399" i="9" s="1"/>
  <c r="B400" i="9" s="1"/>
  <c r="B401" i="9" s="1"/>
  <c r="B402" i="9" s="1"/>
  <c r="B403" i="9" s="1"/>
  <c r="B404" i="9" s="1"/>
  <c r="B405" i="9" s="1"/>
  <c r="B406" i="9" s="1"/>
  <c r="B407" i="9" s="1"/>
  <c r="B408" i="9" s="1"/>
  <c r="B409" i="9" s="1"/>
  <c r="B410" i="9" s="1"/>
  <c r="B411" i="9" s="1"/>
  <c r="B412" i="9" s="1"/>
  <c r="B413" i="9" s="1"/>
  <c r="B414" i="9" s="1"/>
  <c r="B415" i="9" s="1"/>
  <c r="B416" i="9" s="1"/>
  <c r="B417" i="9" s="1"/>
  <c r="B418" i="9" s="1"/>
  <c r="B419" i="9" s="1"/>
  <c r="B420" i="9" s="1"/>
  <c r="B421" i="9" s="1"/>
  <c r="B422" i="9" s="1"/>
  <c r="B423" i="9" s="1"/>
  <c r="B424" i="9" s="1"/>
  <c r="B425" i="9" s="1"/>
  <c r="B426" i="9" s="1"/>
  <c r="B427" i="9" s="1"/>
  <c r="B428" i="9" s="1"/>
  <c r="B429" i="9" s="1"/>
  <c r="B430" i="9" s="1"/>
  <c r="B431" i="9" s="1"/>
  <c r="B432" i="9" s="1"/>
  <c r="B433" i="9" s="1"/>
  <c r="B434" i="9" s="1"/>
  <c r="B435" i="9" s="1"/>
  <c r="B436" i="9" s="1"/>
  <c r="B437" i="9" s="1"/>
  <c r="B438" i="9" s="1"/>
  <c r="B439" i="9" s="1"/>
  <c r="B440" i="9" s="1"/>
  <c r="B441" i="9" s="1"/>
  <c r="B442" i="9" s="1"/>
  <c r="B443" i="9" s="1"/>
  <c r="B444" i="9" s="1"/>
  <c r="B445" i="9" s="1"/>
  <c r="B446" i="9" s="1"/>
  <c r="B447" i="9" s="1"/>
  <c r="B448" i="9" s="1"/>
  <c r="B449" i="9" s="1"/>
  <c r="B450" i="9" s="1"/>
  <c r="B451" i="9" s="1"/>
  <c r="B452" i="9" s="1"/>
  <c r="B453" i="9" s="1"/>
  <c r="B454" i="9" s="1"/>
  <c r="B455" i="9" s="1"/>
  <c r="B456" i="9" s="1"/>
  <c r="B457" i="9" s="1"/>
  <c r="B458" i="9" s="1"/>
  <c r="B459" i="9" s="1"/>
  <c r="B460" i="9" s="1"/>
  <c r="B461" i="9" s="1"/>
  <c r="B462" i="9" s="1"/>
  <c r="B463" i="9" s="1"/>
  <c r="B464" i="9" s="1"/>
  <c r="B465" i="9" s="1"/>
  <c r="B466" i="9" s="1"/>
  <c r="B467" i="9" s="1"/>
  <c r="B468" i="9" s="1"/>
  <c r="B469" i="9" s="1"/>
  <c r="B470" i="9" s="1"/>
  <c r="B471" i="9" s="1"/>
  <c r="B472" i="9" s="1"/>
  <c r="B473" i="9" s="1"/>
  <c r="B474" i="9" s="1"/>
  <c r="B475" i="9" s="1"/>
  <c r="B476" i="9" s="1"/>
  <c r="B477" i="9" s="1"/>
  <c r="B478" i="9" s="1"/>
  <c r="B479" i="9" s="1"/>
  <c r="B480" i="9" s="1"/>
  <c r="B481" i="9" s="1"/>
  <c r="B482" i="9" s="1"/>
  <c r="B483" i="9" s="1"/>
  <c r="B484" i="9" s="1"/>
  <c r="B485" i="9" s="1"/>
  <c r="B486" i="9" s="1"/>
  <c r="B487" i="9" s="1"/>
  <c r="B488" i="9" s="1"/>
  <c r="B489" i="9" s="1"/>
  <c r="B490" i="9" s="1"/>
  <c r="B491" i="9" s="1"/>
  <c r="B492" i="9" s="1"/>
  <c r="B493" i="9" s="1"/>
  <c r="B494" i="9" s="1"/>
  <c r="B495" i="9" s="1"/>
  <c r="B496" i="9" s="1"/>
  <c r="B497" i="9" s="1"/>
  <c r="B498" i="9" s="1"/>
  <c r="B499" i="9" s="1"/>
  <c r="B500" i="9" s="1"/>
  <c r="B501" i="9" s="1"/>
  <c r="B502" i="9" s="1"/>
  <c r="B503" i="9" s="1"/>
  <c r="B504" i="9" s="1"/>
  <c r="B505" i="9" s="1"/>
  <c r="B506" i="9" s="1"/>
  <c r="K7" i="7"/>
  <c r="K8" i="7"/>
  <c r="K9" i="7"/>
  <c r="K10" i="7"/>
  <c r="K12" i="7"/>
  <c r="K13" i="7"/>
  <c r="K15" i="7"/>
  <c r="K16" i="7"/>
  <c r="K17" i="7"/>
  <c r="K18" i="7"/>
  <c r="K19" i="7"/>
  <c r="K20" i="7"/>
  <c r="K24" i="7"/>
  <c r="K22" i="7"/>
  <c r="K23" i="7"/>
  <c r="K25" i="7"/>
  <c r="K26" i="7"/>
  <c r="K27" i="7"/>
  <c r="K28" i="7"/>
  <c r="K29" i="7"/>
  <c r="K30" i="7"/>
  <c r="K31" i="7"/>
  <c r="K34" i="7"/>
  <c r="K35" i="7"/>
  <c r="J13" i="7" l="1"/>
  <c r="J26" i="7"/>
  <c r="J17" i="7"/>
  <c r="J12" i="7"/>
  <c r="J35" i="7"/>
  <c r="J29" i="7"/>
  <c r="J25" i="7"/>
  <c r="J20" i="7"/>
  <c r="J16" i="7"/>
  <c r="J10" i="7"/>
  <c r="J34" i="7"/>
  <c r="J28" i="7"/>
  <c r="J23" i="7"/>
  <c r="J19" i="7"/>
  <c r="J15" i="7"/>
  <c r="J9" i="7"/>
  <c r="J31" i="7"/>
  <c r="J27" i="7"/>
  <c r="J22" i="7"/>
  <c r="J18" i="7"/>
  <c r="J8" i="7"/>
  <c r="J30" i="7"/>
  <c r="J24" i="7"/>
  <c r="J7" i="7"/>
  <c r="U31" i="7" a="1"/>
  <c r="U31" i="7" s="1"/>
  <c r="W31" i="7" s="1"/>
  <c r="U18" i="7" a="1"/>
  <c r="U18" i="7" s="1"/>
  <c r="W18" i="7" s="1"/>
  <c r="U8" i="7" a="1"/>
  <c r="U8" i="7" s="1"/>
  <c r="W8" i="7" s="1"/>
  <c r="U34" i="7" a="1"/>
  <c r="U34" i="7" s="1"/>
  <c r="W34" i="7" s="1"/>
  <c r="U28" i="7" a="1"/>
  <c r="U28" i="7" s="1"/>
  <c r="W28" i="7" s="1"/>
  <c r="U23" i="7" a="1"/>
  <c r="U23" i="7" s="1"/>
  <c r="W23" i="7" s="1"/>
  <c r="U19" i="7" a="1"/>
  <c r="U19" i="7" s="1"/>
  <c r="W19" i="7" s="1"/>
  <c r="U15" i="7" a="1"/>
  <c r="U15" i="7" s="1"/>
  <c r="W15" i="7" s="1"/>
  <c r="U9" i="7" a="1"/>
  <c r="U9" i="7" s="1"/>
  <c r="W9" i="7" s="1"/>
  <c r="U27" i="7" a="1"/>
  <c r="U27" i="7" s="1"/>
  <c r="W27" i="7" s="1"/>
  <c r="U22" i="7" a="1"/>
  <c r="U22" i="7" s="1"/>
  <c r="W22" i="7" s="1"/>
  <c r="U13" i="7" a="1"/>
  <c r="U13" i="7" s="1"/>
  <c r="U30" i="7" a="1"/>
  <c r="U30" i="7" s="1"/>
  <c r="W30" i="7" s="1"/>
  <c r="U26" i="7" a="1"/>
  <c r="U26" i="7" s="1"/>
  <c r="W26" i="7" s="1"/>
  <c r="U24" i="7" a="1"/>
  <c r="U24" i="7" s="1"/>
  <c r="W24" i="7" s="1"/>
  <c r="U17" i="7" a="1"/>
  <c r="U17" i="7" s="1"/>
  <c r="W17" i="7" s="1"/>
  <c r="U12" i="7" a="1"/>
  <c r="U12" i="7" s="1"/>
  <c r="W12" i="7" s="1"/>
  <c r="U35" i="7" a="1"/>
  <c r="U35" i="7" s="1"/>
  <c r="W35" i="7" s="1"/>
  <c r="U29" i="7" a="1"/>
  <c r="U29" i="7" s="1"/>
  <c r="W29" i="7" s="1"/>
  <c r="U25" i="7" a="1"/>
  <c r="U25" i="7" s="1"/>
  <c r="W25" i="7" s="1"/>
  <c r="U20" i="7" a="1"/>
  <c r="U20" i="7" s="1"/>
  <c r="W20" i="7" s="1"/>
  <c r="U16" i="7" a="1"/>
  <c r="U16" i="7" s="1"/>
  <c r="W16" i="7" s="1"/>
  <c r="U10" i="7" a="1"/>
  <c r="U10" i="7" s="1"/>
  <c r="W10" i="7" s="1"/>
  <c r="U7" i="7" a="1"/>
  <c r="U7" i="7" s="1"/>
  <c r="W7" i="7" s="1"/>
  <c r="BO10" i="12"/>
  <c r="BO15" i="12"/>
  <c r="BO24" i="12"/>
  <c r="BO29" i="12"/>
  <c r="BO30" i="12"/>
  <c r="L71" i="13"/>
  <c r="M71" i="13" s="1"/>
  <c r="L55" i="13"/>
  <c r="M55" i="13" s="1"/>
  <c r="L237" i="13"/>
  <c r="M237" i="13" s="1"/>
  <c r="BO31" i="12"/>
  <c r="BO28" i="12"/>
  <c r="BO27" i="12"/>
  <c r="BO26" i="12"/>
  <c r="BO17" i="12"/>
  <c r="BO25" i="12"/>
  <c r="BO18" i="12"/>
  <c r="BO23" i="12"/>
  <c r="BO22" i="12"/>
  <c r="BO21" i="12"/>
  <c r="BO19" i="12"/>
  <c r="BO16" i="12"/>
  <c r="BO14" i="12"/>
  <c r="BO13" i="12"/>
  <c r="BO12" i="12"/>
  <c r="BO11" i="12"/>
  <c r="BO9" i="12"/>
  <c r="E12" i="13"/>
  <c r="H12" i="13" s="1"/>
  <c r="I12" i="13" s="1"/>
  <c r="J12" i="13" s="1"/>
  <c r="E18" i="13"/>
  <c r="H18" i="13" s="1"/>
  <c r="I18" i="13" s="1"/>
  <c r="E24" i="13"/>
  <c r="H24" i="13" s="1"/>
  <c r="I24" i="13" s="1"/>
  <c r="J24" i="13" s="1"/>
  <c r="E32" i="13"/>
  <c r="H32" i="13" s="1"/>
  <c r="I32" i="13" s="1"/>
  <c r="E40" i="13"/>
  <c r="H40" i="13" s="1"/>
  <c r="I40" i="13" s="1"/>
  <c r="E48" i="13"/>
  <c r="H48" i="13" s="1"/>
  <c r="I48" i="13" s="1"/>
  <c r="E54" i="13"/>
  <c r="H54" i="13" s="1"/>
  <c r="I54" i="13" s="1"/>
  <c r="E64" i="13"/>
  <c r="H64" i="13" s="1"/>
  <c r="I64" i="13" s="1"/>
  <c r="E72" i="13"/>
  <c r="H72" i="13" s="1"/>
  <c r="I72" i="13" s="1"/>
  <c r="E80" i="13"/>
  <c r="H80" i="13" s="1"/>
  <c r="I80" i="13" s="1"/>
  <c r="E86" i="13"/>
  <c r="H86" i="13" s="1"/>
  <c r="I86" i="13" s="1"/>
  <c r="E94" i="13"/>
  <c r="H94" i="13" s="1"/>
  <c r="I94" i="13" s="1"/>
  <c r="E102" i="13"/>
  <c r="H102" i="13" s="1"/>
  <c r="I102" i="13" s="1"/>
  <c r="E108" i="13"/>
  <c r="H108" i="13" s="1"/>
  <c r="I108" i="13" s="1"/>
  <c r="J108" i="13" s="1"/>
  <c r="E114" i="13"/>
  <c r="H114" i="13" s="1"/>
  <c r="I114" i="13" s="1"/>
  <c r="E122" i="13"/>
  <c r="H122" i="13" s="1"/>
  <c r="I122" i="13" s="1"/>
  <c r="E130" i="13"/>
  <c r="H130" i="13" s="1"/>
  <c r="I130" i="13" s="1"/>
  <c r="E136" i="13"/>
  <c r="H136" i="13" s="1"/>
  <c r="I136" i="13" s="1"/>
  <c r="E146" i="13"/>
  <c r="H146" i="13" s="1"/>
  <c r="I146" i="13" s="1"/>
  <c r="E152" i="13"/>
  <c r="H152" i="13" s="1"/>
  <c r="I152" i="13" s="1"/>
  <c r="E158" i="13"/>
  <c r="H158" i="13" s="1"/>
  <c r="I158" i="13" s="1"/>
  <c r="E168" i="13"/>
  <c r="H168" i="13" s="1"/>
  <c r="I168" i="13" s="1"/>
  <c r="E174" i="13"/>
  <c r="H174" i="13" s="1"/>
  <c r="I174" i="13" s="1"/>
  <c r="E180" i="13"/>
  <c r="H180" i="13" s="1"/>
  <c r="I180" i="13" s="1"/>
  <c r="E188" i="13"/>
  <c r="H188" i="13" s="1"/>
  <c r="I188" i="13" s="1"/>
  <c r="E196" i="13"/>
  <c r="H196" i="13" s="1"/>
  <c r="I196" i="13" s="1"/>
  <c r="E204" i="13"/>
  <c r="H204" i="13" s="1"/>
  <c r="I204" i="13" s="1"/>
  <c r="J204" i="13" s="1"/>
  <c r="E212" i="13"/>
  <c r="H212" i="13" s="1"/>
  <c r="I212" i="13" s="1"/>
  <c r="E218" i="13"/>
  <c r="H218" i="13" s="1"/>
  <c r="I218" i="13" s="1"/>
  <c r="E224" i="13"/>
  <c r="H224" i="13" s="1"/>
  <c r="I224" i="13" s="1"/>
  <c r="E230" i="13"/>
  <c r="H230" i="13" s="1"/>
  <c r="I230" i="13" s="1"/>
  <c r="E236" i="13"/>
  <c r="H236" i="13" s="1"/>
  <c r="I236" i="13" s="1"/>
  <c r="E240" i="13"/>
  <c r="H240" i="13" s="1"/>
  <c r="I240" i="13" s="1"/>
  <c r="E246" i="13"/>
  <c r="H246" i="13" s="1"/>
  <c r="I246" i="13" s="1"/>
  <c r="E250" i="13"/>
  <c r="H250" i="13" s="1"/>
  <c r="I250" i="13" s="1"/>
  <c r="E252" i="13"/>
  <c r="H252" i="13" s="1"/>
  <c r="I252" i="13" s="1"/>
  <c r="E8" i="13"/>
  <c r="H8" i="13" s="1"/>
  <c r="I8" i="13" s="1"/>
  <c r="E16" i="13"/>
  <c r="H16" i="13" s="1"/>
  <c r="I16" i="13" s="1"/>
  <c r="E22" i="13"/>
  <c r="H22" i="13" s="1"/>
  <c r="I22" i="13" s="1"/>
  <c r="E28" i="13"/>
  <c r="H28" i="13" s="1"/>
  <c r="I28" i="13" s="1"/>
  <c r="E34" i="13"/>
  <c r="H34" i="13" s="1"/>
  <c r="I34" i="13" s="1"/>
  <c r="E38" i="13"/>
  <c r="H38" i="13" s="1"/>
  <c r="I38" i="13" s="1"/>
  <c r="E44" i="13"/>
  <c r="H44" i="13" s="1"/>
  <c r="I44" i="13" s="1"/>
  <c r="E50" i="13"/>
  <c r="H50" i="13" s="1"/>
  <c r="I50" i="13" s="1"/>
  <c r="E56" i="13"/>
  <c r="H56" i="13" s="1"/>
  <c r="I56" i="13" s="1"/>
  <c r="E60" i="13"/>
  <c r="H60" i="13" s="1"/>
  <c r="I60" i="13" s="1"/>
  <c r="E66" i="13"/>
  <c r="H66" i="13" s="1"/>
  <c r="I66" i="13" s="1"/>
  <c r="J66" i="13" s="1"/>
  <c r="E70" i="13"/>
  <c r="H70" i="13" s="1"/>
  <c r="I70" i="13" s="1"/>
  <c r="E76" i="13"/>
  <c r="H76" i="13" s="1"/>
  <c r="I76" i="13" s="1"/>
  <c r="E82" i="13"/>
  <c r="H82" i="13" s="1"/>
  <c r="I82" i="13" s="1"/>
  <c r="J82" i="13" s="1"/>
  <c r="E88" i="13"/>
  <c r="H88" i="13" s="1"/>
  <c r="I88" i="13" s="1"/>
  <c r="E92" i="13"/>
  <c r="H92" i="13" s="1"/>
  <c r="I92" i="13" s="1"/>
  <c r="E98" i="13"/>
  <c r="H98" i="13" s="1"/>
  <c r="I98" i="13" s="1"/>
  <c r="J98" i="13" s="1"/>
  <c r="E104" i="13"/>
  <c r="H104" i="13" s="1"/>
  <c r="I104" i="13" s="1"/>
  <c r="E110" i="13"/>
  <c r="H110" i="13" s="1"/>
  <c r="I110" i="13" s="1"/>
  <c r="E118" i="13"/>
  <c r="H118" i="13" s="1"/>
  <c r="I118" i="13" s="1"/>
  <c r="E126" i="13"/>
  <c r="H126" i="13" s="1"/>
  <c r="I126" i="13" s="1"/>
  <c r="E132" i="13"/>
  <c r="H132" i="13" s="1"/>
  <c r="I132" i="13" s="1"/>
  <c r="E138" i="13"/>
  <c r="H138" i="13" s="1"/>
  <c r="I138" i="13" s="1"/>
  <c r="E144" i="13"/>
  <c r="H144" i="13" s="1"/>
  <c r="I144" i="13" s="1"/>
  <c r="E150" i="13"/>
  <c r="H150" i="13" s="1"/>
  <c r="I150" i="13" s="1"/>
  <c r="J150" i="13" s="1"/>
  <c r="E156" i="13"/>
  <c r="H156" i="13" s="1"/>
  <c r="I156" i="13" s="1"/>
  <c r="E162" i="13"/>
  <c r="H162" i="13" s="1"/>
  <c r="I162" i="13" s="1"/>
  <c r="J162" i="13" s="1"/>
  <c r="E164" i="13"/>
  <c r="H164" i="13" s="1"/>
  <c r="I164" i="13" s="1"/>
  <c r="E170" i="13"/>
  <c r="H170" i="13" s="1"/>
  <c r="I170" i="13" s="1"/>
  <c r="E176" i="13"/>
  <c r="H176" i="13" s="1"/>
  <c r="I176" i="13" s="1"/>
  <c r="E182" i="13"/>
  <c r="H182" i="13" s="1"/>
  <c r="I182" i="13" s="1"/>
  <c r="E186" i="13"/>
  <c r="H186" i="13" s="1"/>
  <c r="I186" i="13" s="1"/>
  <c r="J186" i="13" s="1"/>
  <c r="E192" i="13"/>
  <c r="H192" i="13" s="1"/>
  <c r="I192" i="13" s="1"/>
  <c r="E198" i="13"/>
  <c r="H198" i="13" s="1"/>
  <c r="I198" i="13" s="1"/>
  <c r="E202" i="13"/>
  <c r="H202" i="13" s="1"/>
  <c r="I202" i="13" s="1"/>
  <c r="E208" i="13"/>
  <c r="H208" i="13" s="1"/>
  <c r="I208" i="13" s="1"/>
  <c r="E214" i="13"/>
  <c r="H214" i="13" s="1"/>
  <c r="I214" i="13" s="1"/>
  <c r="E222" i="13"/>
  <c r="H222" i="13" s="1"/>
  <c r="I222" i="13" s="1"/>
  <c r="E228" i="13"/>
  <c r="H228" i="13" s="1"/>
  <c r="I228" i="13" s="1"/>
  <c r="J228" i="13" s="1"/>
  <c r="E234" i="13"/>
  <c r="H234" i="13" s="1"/>
  <c r="I234" i="13" s="1"/>
  <c r="E244" i="13"/>
  <c r="H244" i="13" s="1"/>
  <c r="I244" i="13" s="1"/>
  <c r="E10" i="13"/>
  <c r="H10" i="13" s="1"/>
  <c r="I10" i="13" s="1"/>
  <c r="E14" i="13"/>
  <c r="H14" i="13" s="1"/>
  <c r="I14" i="13" s="1"/>
  <c r="E20" i="13"/>
  <c r="H20" i="13" s="1"/>
  <c r="I20" i="13" s="1"/>
  <c r="E26" i="13"/>
  <c r="H26" i="13" s="1"/>
  <c r="I26" i="13" s="1"/>
  <c r="E30" i="13"/>
  <c r="H30" i="13" s="1"/>
  <c r="I30" i="13" s="1"/>
  <c r="J30" i="13" s="1"/>
  <c r="E36" i="13"/>
  <c r="H36" i="13" s="1"/>
  <c r="I36" i="13" s="1"/>
  <c r="E42" i="13"/>
  <c r="H42" i="13" s="1"/>
  <c r="I42" i="13" s="1"/>
  <c r="E46" i="13"/>
  <c r="H46" i="13" s="1"/>
  <c r="I46" i="13" s="1"/>
  <c r="E52" i="13"/>
  <c r="H52" i="13" s="1"/>
  <c r="I52" i="13" s="1"/>
  <c r="J52" i="13" s="1"/>
  <c r="E58" i="13"/>
  <c r="H58" i="13" s="1"/>
  <c r="I58" i="13" s="1"/>
  <c r="J58" i="13" s="1"/>
  <c r="E62" i="13"/>
  <c r="H62" i="13" s="1"/>
  <c r="I62" i="13" s="1"/>
  <c r="E68" i="13"/>
  <c r="H68" i="13" s="1"/>
  <c r="I68" i="13" s="1"/>
  <c r="E74" i="13"/>
  <c r="H74" i="13" s="1"/>
  <c r="I74" i="13" s="1"/>
  <c r="E78" i="13"/>
  <c r="H78" i="13" s="1"/>
  <c r="I78" i="13" s="1"/>
  <c r="E84" i="13"/>
  <c r="H84" i="13" s="1"/>
  <c r="I84" i="13" s="1"/>
  <c r="E90" i="13"/>
  <c r="H90" i="13" s="1"/>
  <c r="I90" i="13" s="1"/>
  <c r="E96" i="13"/>
  <c r="H96" i="13" s="1"/>
  <c r="I96" i="13" s="1"/>
  <c r="E100" i="13"/>
  <c r="H100" i="13" s="1"/>
  <c r="I100" i="13" s="1"/>
  <c r="E106" i="13"/>
  <c r="H106" i="13" s="1"/>
  <c r="I106" i="13" s="1"/>
  <c r="E112" i="13"/>
  <c r="H112" i="13" s="1"/>
  <c r="I112" i="13" s="1"/>
  <c r="E116" i="13"/>
  <c r="H116" i="13" s="1"/>
  <c r="I116" i="13" s="1"/>
  <c r="J116" i="13" s="1"/>
  <c r="E120" i="13"/>
  <c r="H120" i="13" s="1"/>
  <c r="I120" i="13" s="1"/>
  <c r="E124" i="13"/>
  <c r="H124" i="13" s="1"/>
  <c r="I124" i="13" s="1"/>
  <c r="E128" i="13"/>
  <c r="H128" i="13" s="1"/>
  <c r="I128" i="13" s="1"/>
  <c r="E134" i="13"/>
  <c r="H134" i="13" s="1"/>
  <c r="I134" i="13" s="1"/>
  <c r="E140" i="13"/>
  <c r="H140" i="13" s="1"/>
  <c r="I140" i="13" s="1"/>
  <c r="E142" i="13"/>
  <c r="H142" i="13" s="1"/>
  <c r="I142" i="13" s="1"/>
  <c r="E148" i="13"/>
  <c r="H148" i="13" s="1"/>
  <c r="I148" i="13" s="1"/>
  <c r="E154" i="13"/>
  <c r="H154" i="13" s="1"/>
  <c r="I154" i="13" s="1"/>
  <c r="E160" i="13"/>
  <c r="H160" i="13" s="1"/>
  <c r="I160" i="13" s="1"/>
  <c r="E166" i="13"/>
  <c r="H166" i="13" s="1"/>
  <c r="I166" i="13" s="1"/>
  <c r="E172" i="13"/>
  <c r="H172" i="13" s="1"/>
  <c r="I172" i="13" s="1"/>
  <c r="E178" i="13"/>
  <c r="H178" i="13" s="1"/>
  <c r="I178" i="13" s="1"/>
  <c r="E184" i="13"/>
  <c r="H184" i="13" s="1"/>
  <c r="I184" i="13" s="1"/>
  <c r="E190" i="13"/>
  <c r="H190" i="13" s="1"/>
  <c r="I190" i="13" s="1"/>
  <c r="E194" i="13"/>
  <c r="H194" i="13" s="1"/>
  <c r="I194" i="13" s="1"/>
  <c r="E200" i="13"/>
  <c r="H200" i="13" s="1"/>
  <c r="I200" i="13" s="1"/>
  <c r="E206" i="13"/>
  <c r="H206" i="13" s="1"/>
  <c r="I206" i="13" s="1"/>
  <c r="E210" i="13"/>
  <c r="H210" i="13" s="1"/>
  <c r="I210" i="13" s="1"/>
  <c r="E216" i="13"/>
  <c r="H216" i="13" s="1"/>
  <c r="I216" i="13" s="1"/>
  <c r="E220" i="13"/>
  <c r="H220" i="13" s="1"/>
  <c r="I220" i="13" s="1"/>
  <c r="E226" i="13"/>
  <c r="H226" i="13" s="1"/>
  <c r="I226" i="13" s="1"/>
  <c r="E232" i="13"/>
  <c r="H232" i="13" s="1"/>
  <c r="I232" i="13" s="1"/>
  <c r="E238" i="13"/>
  <c r="H238" i="13" s="1"/>
  <c r="I238" i="13" s="1"/>
  <c r="E242" i="13"/>
  <c r="H242" i="13" s="1"/>
  <c r="I242" i="13" s="1"/>
  <c r="E248" i="13"/>
  <c r="H248" i="13" s="1"/>
  <c r="I248" i="13" s="1"/>
  <c r="E9" i="13"/>
  <c r="H9" i="13" s="1"/>
  <c r="I9" i="13" s="1"/>
  <c r="E13" i="13"/>
  <c r="H13" i="13" s="1"/>
  <c r="I13" i="13" s="1"/>
  <c r="E17" i="13"/>
  <c r="H17" i="13" s="1"/>
  <c r="I17" i="13" s="1"/>
  <c r="J17" i="13" s="1"/>
  <c r="J18" i="13" s="1"/>
  <c r="E21" i="13"/>
  <c r="H21" i="13" s="1"/>
  <c r="I21" i="13" s="1"/>
  <c r="E25" i="13"/>
  <c r="H25" i="13" s="1"/>
  <c r="I25" i="13" s="1"/>
  <c r="E29" i="13"/>
  <c r="H29" i="13" s="1"/>
  <c r="I29" i="13" s="1"/>
  <c r="E33" i="13"/>
  <c r="H33" i="13" s="1"/>
  <c r="I33" i="13" s="1"/>
  <c r="E37" i="13"/>
  <c r="H37" i="13" s="1"/>
  <c r="I37" i="13" s="1"/>
  <c r="J37" i="13" s="1"/>
  <c r="E41" i="13"/>
  <c r="H41" i="13" s="1"/>
  <c r="I41" i="13" s="1"/>
  <c r="E45" i="13"/>
  <c r="H45" i="13" s="1"/>
  <c r="I45" i="13" s="1"/>
  <c r="E49" i="13"/>
  <c r="H49" i="13" s="1"/>
  <c r="I49" i="13" s="1"/>
  <c r="E53" i="13"/>
  <c r="H53" i="13" s="1"/>
  <c r="I53" i="13" s="1"/>
  <c r="E57" i="13"/>
  <c r="H57" i="13" s="1"/>
  <c r="I57" i="13" s="1"/>
  <c r="E61" i="13"/>
  <c r="H61" i="13" s="1"/>
  <c r="I61" i="13" s="1"/>
  <c r="E65" i="13"/>
  <c r="H65" i="13" s="1"/>
  <c r="I65" i="13" s="1"/>
  <c r="E69" i="13"/>
  <c r="H69" i="13" s="1"/>
  <c r="I69" i="13" s="1"/>
  <c r="E73" i="13"/>
  <c r="H73" i="13" s="1"/>
  <c r="I73" i="13" s="1"/>
  <c r="J73" i="13" s="1"/>
  <c r="E77" i="13"/>
  <c r="H77" i="13" s="1"/>
  <c r="I77" i="13" s="1"/>
  <c r="E81" i="13"/>
  <c r="H81" i="13" s="1"/>
  <c r="I81" i="13" s="1"/>
  <c r="E85" i="13"/>
  <c r="H85" i="13" s="1"/>
  <c r="I85" i="13" s="1"/>
  <c r="E89" i="13"/>
  <c r="H89" i="13" s="1"/>
  <c r="I89" i="13" s="1"/>
  <c r="E93" i="13"/>
  <c r="H93" i="13" s="1"/>
  <c r="I93" i="13" s="1"/>
  <c r="E97" i="13"/>
  <c r="H97" i="13" s="1"/>
  <c r="I97" i="13" s="1"/>
  <c r="E101" i="13"/>
  <c r="H101" i="13" s="1"/>
  <c r="I101" i="13" s="1"/>
  <c r="E105" i="13"/>
  <c r="H105" i="13" s="1"/>
  <c r="I105" i="13" s="1"/>
  <c r="E109" i="13"/>
  <c r="H109" i="13" s="1"/>
  <c r="I109" i="13" s="1"/>
  <c r="E113" i="13"/>
  <c r="H113" i="13" s="1"/>
  <c r="I113" i="13" s="1"/>
  <c r="E117" i="13"/>
  <c r="H117" i="13" s="1"/>
  <c r="I117" i="13" s="1"/>
  <c r="E121" i="13"/>
  <c r="H121" i="13" s="1"/>
  <c r="I121" i="13" s="1"/>
  <c r="E125" i="13"/>
  <c r="H125" i="13" s="1"/>
  <c r="I125" i="13" s="1"/>
  <c r="E129" i="13"/>
  <c r="H129" i="13" s="1"/>
  <c r="I129" i="13" s="1"/>
  <c r="E133" i="13"/>
  <c r="H133" i="13" s="1"/>
  <c r="I133" i="13" s="1"/>
  <c r="E137" i="13"/>
  <c r="H137" i="13" s="1"/>
  <c r="I137" i="13" s="1"/>
  <c r="E141" i="13"/>
  <c r="H141" i="13" s="1"/>
  <c r="I141" i="13" s="1"/>
  <c r="E145" i="13"/>
  <c r="H145" i="13" s="1"/>
  <c r="I145" i="13" s="1"/>
  <c r="J145" i="13" s="1"/>
  <c r="E149" i="13"/>
  <c r="H149" i="13" s="1"/>
  <c r="I149" i="13" s="1"/>
  <c r="E153" i="13"/>
  <c r="H153" i="13" s="1"/>
  <c r="I153" i="13" s="1"/>
  <c r="E157" i="13"/>
  <c r="H157" i="13" s="1"/>
  <c r="I157" i="13" s="1"/>
  <c r="E11" i="13"/>
  <c r="H11" i="13" s="1"/>
  <c r="I11" i="13" s="1"/>
  <c r="E249" i="13"/>
  <c r="H249" i="13" s="1"/>
  <c r="I249" i="13" s="1"/>
  <c r="E245" i="13"/>
  <c r="H245" i="13" s="1"/>
  <c r="I245" i="13" s="1"/>
  <c r="E241" i="13"/>
  <c r="H241" i="13" s="1"/>
  <c r="I241" i="13" s="1"/>
  <c r="E237" i="13"/>
  <c r="H237" i="13" s="1"/>
  <c r="I237" i="13" s="1"/>
  <c r="E233" i="13"/>
  <c r="H233" i="13" s="1"/>
  <c r="I233" i="13" s="1"/>
  <c r="E229" i="13"/>
  <c r="H229" i="13" s="1"/>
  <c r="I229" i="13" s="1"/>
  <c r="E225" i="13"/>
  <c r="H225" i="13" s="1"/>
  <c r="I225" i="13" s="1"/>
  <c r="E221" i="13"/>
  <c r="H221" i="13" s="1"/>
  <c r="I221" i="13" s="1"/>
  <c r="E217" i="13"/>
  <c r="H217" i="13" s="1"/>
  <c r="I217" i="13" s="1"/>
  <c r="E213" i="13"/>
  <c r="H213" i="13" s="1"/>
  <c r="I213" i="13" s="1"/>
  <c r="E209" i="13"/>
  <c r="H209" i="13" s="1"/>
  <c r="I209" i="13" s="1"/>
  <c r="E205" i="13"/>
  <c r="H205" i="13" s="1"/>
  <c r="I205" i="13" s="1"/>
  <c r="E201" i="13"/>
  <c r="H201" i="13" s="1"/>
  <c r="I201" i="13" s="1"/>
  <c r="E197" i="13"/>
  <c r="H197" i="13" s="1"/>
  <c r="I197" i="13" s="1"/>
  <c r="E193" i="13"/>
  <c r="H193" i="13" s="1"/>
  <c r="I193" i="13" s="1"/>
  <c r="E189" i="13"/>
  <c r="H189" i="13" s="1"/>
  <c r="I189" i="13" s="1"/>
  <c r="E185" i="13"/>
  <c r="H185" i="13" s="1"/>
  <c r="I185" i="13" s="1"/>
  <c r="E181" i="13"/>
  <c r="H181" i="13" s="1"/>
  <c r="I181" i="13" s="1"/>
  <c r="E177" i="13"/>
  <c r="H177" i="13" s="1"/>
  <c r="I177" i="13" s="1"/>
  <c r="E173" i="13"/>
  <c r="H173" i="13" s="1"/>
  <c r="I173" i="13" s="1"/>
  <c r="E169" i="13"/>
  <c r="H169" i="13" s="1"/>
  <c r="I169" i="13" s="1"/>
  <c r="J169" i="13" s="1"/>
  <c r="J170" i="13" s="1"/>
  <c r="E165" i="13"/>
  <c r="H165" i="13" s="1"/>
  <c r="I165" i="13" s="1"/>
  <c r="E161" i="13"/>
  <c r="H161" i="13" s="1"/>
  <c r="I161" i="13" s="1"/>
  <c r="H15" i="13"/>
  <c r="I15" i="13" s="1"/>
  <c r="H27" i="13"/>
  <c r="I27" i="13" s="1"/>
  <c r="H31" i="13"/>
  <c r="I31" i="13" s="1"/>
  <c r="H35" i="13"/>
  <c r="I35" i="13" s="1"/>
  <c r="H39" i="13"/>
  <c r="I39" i="13" s="1"/>
  <c r="H43" i="13"/>
  <c r="I43" i="13" s="1"/>
  <c r="J43" i="13" s="1"/>
  <c r="H47" i="13"/>
  <c r="I47" i="13" s="1"/>
  <c r="H55" i="13"/>
  <c r="I55" i="13" s="1"/>
  <c r="H59" i="13"/>
  <c r="I59" i="13" s="1"/>
  <c r="H63" i="13"/>
  <c r="I63" i="13" s="1"/>
  <c r="H67" i="13"/>
  <c r="I67" i="13" s="1"/>
  <c r="H71" i="13"/>
  <c r="I71" i="13" s="1"/>
  <c r="H75" i="13"/>
  <c r="I75" i="13" s="1"/>
  <c r="H79" i="13"/>
  <c r="I79" i="13" s="1"/>
  <c r="H83" i="13"/>
  <c r="I83" i="13" s="1"/>
  <c r="H87" i="13"/>
  <c r="I87" i="13" s="1"/>
  <c r="H91" i="13"/>
  <c r="I91" i="13" s="1"/>
  <c r="J91" i="13" s="1"/>
  <c r="J92" i="13" s="1"/>
  <c r="J93" i="13" s="1"/>
  <c r="J94" i="13" s="1"/>
  <c r="H95" i="13"/>
  <c r="I95" i="13" s="1"/>
  <c r="H99" i="13"/>
  <c r="I99" i="13" s="1"/>
  <c r="H103" i="13"/>
  <c r="I103" i="13" s="1"/>
  <c r="H107" i="13"/>
  <c r="I107" i="13" s="1"/>
  <c r="H111" i="13"/>
  <c r="I111" i="13" s="1"/>
  <c r="H115" i="13"/>
  <c r="I115" i="13" s="1"/>
  <c r="H119" i="13"/>
  <c r="I119" i="13" s="1"/>
  <c r="H123" i="13"/>
  <c r="I123" i="13" s="1"/>
  <c r="H127" i="13"/>
  <c r="I127" i="13" s="1"/>
  <c r="H131" i="13"/>
  <c r="I131" i="13" s="1"/>
  <c r="H135" i="13"/>
  <c r="I135" i="13" s="1"/>
  <c r="H139" i="13"/>
  <c r="I139" i="13" s="1"/>
  <c r="H143" i="13"/>
  <c r="I143" i="13" s="1"/>
  <c r="H147" i="13"/>
  <c r="I147" i="13" s="1"/>
  <c r="H151" i="13"/>
  <c r="I151" i="13" s="1"/>
  <c r="H155" i="13"/>
  <c r="I155" i="13" s="1"/>
  <c r="H159" i="13"/>
  <c r="I159" i="13" s="1"/>
  <c r="H163" i="13"/>
  <c r="I163" i="13" s="1"/>
  <c r="H167" i="13"/>
  <c r="I167" i="13" s="1"/>
  <c r="H171" i="13"/>
  <c r="I171" i="13" s="1"/>
  <c r="H175" i="13"/>
  <c r="I175" i="13" s="1"/>
  <c r="H179" i="13"/>
  <c r="I179" i="13" s="1"/>
  <c r="J179" i="13" s="1"/>
  <c r="J180" i="13" s="1"/>
  <c r="J181" i="13" s="1"/>
  <c r="H183" i="13"/>
  <c r="I183" i="13" s="1"/>
  <c r="H187" i="13"/>
  <c r="I187" i="13" s="1"/>
  <c r="H191" i="13"/>
  <c r="I191" i="13" s="1"/>
  <c r="H195" i="13"/>
  <c r="I195" i="13" s="1"/>
  <c r="H199" i="13"/>
  <c r="I199" i="13" s="1"/>
  <c r="H203" i="13"/>
  <c r="I203" i="13" s="1"/>
  <c r="H207" i="13"/>
  <c r="I207" i="13" s="1"/>
  <c r="H211" i="13"/>
  <c r="I211" i="13" s="1"/>
  <c r="H215" i="13"/>
  <c r="I215" i="13" s="1"/>
  <c r="H219" i="13"/>
  <c r="I219" i="13" s="1"/>
  <c r="J219" i="13" s="1"/>
  <c r="J220" i="13" s="1"/>
  <c r="J221" i="13" s="1"/>
  <c r="J222" i="13" s="1"/>
  <c r="H223" i="13"/>
  <c r="I223" i="13" s="1"/>
  <c r="H227" i="13"/>
  <c r="I227" i="13" s="1"/>
  <c r="H231" i="13"/>
  <c r="I231" i="13" s="1"/>
  <c r="H235" i="13"/>
  <c r="I235" i="13" s="1"/>
  <c r="H239" i="13"/>
  <c r="I239" i="13" s="1"/>
  <c r="H243" i="13"/>
  <c r="I243" i="13" s="1"/>
  <c r="H247" i="13"/>
  <c r="I247" i="13" s="1"/>
  <c r="H251" i="13"/>
  <c r="I251" i="13" s="1"/>
  <c r="H19" i="13"/>
  <c r="I19" i="13" s="1"/>
  <c r="H23" i="13"/>
  <c r="I23" i="13" s="1"/>
  <c r="H51" i="13"/>
  <c r="I51" i="13" s="1"/>
  <c r="H7" i="13"/>
  <c r="I7" i="13" s="1"/>
  <c r="J7" i="13" s="1"/>
  <c r="J8" i="13" s="1"/>
  <c r="J9" i="13" s="1"/>
  <c r="J10" i="13" s="1"/>
  <c r="J11" i="13" s="1"/>
  <c r="K7" i="13"/>
  <c r="K249" i="13"/>
  <c r="K245" i="13"/>
  <c r="K241" i="13"/>
  <c r="K233" i="13"/>
  <c r="K229" i="13"/>
  <c r="K225" i="13"/>
  <c r="K221" i="13"/>
  <c r="K217" i="13"/>
  <c r="K213" i="13"/>
  <c r="K209" i="13"/>
  <c r="K205" i="13"/>
  <c r="K201" i="13"/>
  <c r="K252" i="13"/>
  <c r="K248" i="13"/>
  <c r="K244" i="13"/>
  <c r="K240" i="13"/>
  <c r="K236" i="13"/>
  <c r="K232" i="13"/>
  <c r="K228" i="13"/>
  <c r="K224" i="13"/>
  <c r="K220" i="13"/>
  <c r="K216" i="13"/>
  <c r="K212" i="13"/>
  <c r="K208" i="13"/>
  <c r="K204" i="13"/>
  <c r="K200" i="13"/>
  <c r="K196" i="13"/>
  <c r="K192" i="13"/>
  <c r="K188" i="13"/>
  <c r="K184" i="13"/>
  <c r="K180" i="13"/>
  <c r="K176" i="13"/>
  <c r="K172" i="13"/>
  <c r="K168" i="13"/>
  <c r="K250" i="13"/>
  <c r="K246" i="13"/>
  <c r="K242" i="13"/>
  <c r="K238" i="13"/>
  <c r="K234" i="13"/>
  <c r="K230" i="13"/>
  <c r="K226" i="13"/>
  <c r="K222" i="13"/>
  <c r="K218" i="13"/>
  <c r="K214" i="13"/>
  <c r="K210" i="13"/>
  <c r="K206" i="13"/>
  <c r="K202" i="13"/>
  <c r="K198" i="13"/>
  <c r="K194" i="13"/>
  <c r="K190" i="13"/>
  <c r="K186" i="13"/>
  <c r="K182" i="13"/>
  <c r="K178" i="13"/>
  <c r="K174" i="13"/>
  <c r="K170" i="13"/>
  <c r="K166" i="13"/>
  <c r="K162" i="13"/>
  <c r="K158" i="13"/>
  <c r="K154" i="13"/>
  <c r="K150" i="13"/>
  <c r="M142" i="13"/>
  <c r="M134" i="13"/>
  <c r="M126" i="13"/>
  <c r="M118" i="13"/>
  <c r="M110" i="13"/>
  <c r="M102" i="13"/>
  <c r="M94" i="13"/>
  <c r="M86" i="13"/>
  <c r="M78" i="13"/>
  <c r="M70" i="13"/>
  <c r="M62" i="13"/>
  <c r="M54" i="13"/>
  <c r="M46" i="13"/>
  <c r="M38" i="13"/>
  <c r="N38" i="13" s="1"/>
  <c r="M30" i="13"/>
  <c r="M22" i="13"/>
  <c r="K18" i="13"/>
  <c r="K14" i="13"/>
  <c r="K10" i="13"/>
  <c r="M161" i="13"/>
  <c r="M157" i="13"/>
  <c r="K153" i="13"/>
  <c r="K149" i="13"/>
  <c r="K145" i="13"/>
  <c r="K141" i="13"/>
  <c r="K137" i="13"/>
  <c r="K133" i="13"/>
  <c r="K129" i="13"/>
  <c r="K125" i="13"/>
  <c r="K121" i="13"/>
  <c r="K117" i="13"/>
  <c r="K113" i="13"/>
  <c r="K109" i="13"/>
  <c r="K105" i="13"/>
  <c r="K101" i="13"/>
  <c r="K97" i="13"/>
  <c r="K93" i="13"/>
  <c r="K89" i="13"/>
  <c r="K85" i="13"/>
  <c r="K81" i="13"/>
  <c r="K77" i="13"/>
  <c r="K73" i="13"/>
  <c r="K69" i="13"/>
  <c r="K65" i="13"/>
  <c r="K61" i="13"/>
  <c r="K57" i="13"/>
  <c r="K53" i="13"/>
  <c r="K49" i="13"/>
  <c r="L49" i="13" s="1"/>
  <c r="M49" i="13" s="1"/>
  <c r="K45" i="13"/>
  <c r="K41" i="13"/>
  <c r="K37" i="13"/>
  <c r="K33" i="13"/>
  <c r="K29" i="13"/>
  <c r="K25" i="13"/>
  <c r="K21" i="13"/>
  <c r="K17" i="13"/>
  <c r="K13" i="13"/>
  <c r="K9" i="13"/>
  <c r="K165" i="13"/>
  <c r="K146" i="13"/>
  <c r="K138" i="13"/>
  <c r="K130" i="13"/>
  <c r="K122" i="13"/>
  <c r="K114" i="13"/>
  <c r="K106" i="13"/>
  <c r="K98" i="13"/>
  <c r="K90" i="13"/>
  <c r="K82" i="13"/>
  <c r="K74" i="13"/>
  <c r="K66" i="13"/>
  <c r="K58" i="13"/>
  <c r="K50" i="13"/>
  <c r="K42" i="13"/>
  <c r="K34" i="13"/>
  <c r="K26" i="13"/>
  <c r="K164" i="13"/>
  <c r="K160" i="13"/>
  <c r="K156" i="13"/>
  <c r="K152" i="13"/>
  <c r="K148" i="13"/>
  <c r="K144" i="13"/>
  <c r="K140" i="13"/>
  <c r="K136" i="13"/>
  <c r="K132" i="13"/>
  <c r="K128" i="13"/>
  <c r="K124" i="13"/>
  <c r="K120" i="13"/>
  <c r="K116" i="13"/>
  <c r="K112" i="13"/>
  <c r="K108" i="13"/>
  <c r="K104" i="13"/>
  <c r="K100" i="13"/>
  <c r="K96" i="13"/>
  <c r="K92" i="13"/>
  <c r="K88" i="13"/>
  <c r="K84" i="13"/>
  <c r="K80" i="13"/>
  <c r="K76" i="13"/>
  <c r="K72" i="13"/>
  <c r="K68" i="13"/>
  <c r="K64" i="13"/>
  <c r="K60" i="13"/>
  <c r="K56" i="13"/>
  <c r="K52" i="13"/>
  <c r="K48" i="13"/>
  <c r="K44" i="13"/>
  <c r="K40" i="13"/>
  <c r="K36" i="13"/>
  <c r="K32" i="13"/>
  <c r="K28" i="13"/>
  <c r="K24" i="13"/>
  <c r="K20" i="13"/>
  <c r="K16" i="13"/>
  <c r="K12" i="13"/>
  <c r="K8" i="13"/>
  <c r="K197" i="13"/>
  <c r="K193" i="13"/>
  <c r="K189" i="13"/>
  <c r="K185" i="13"/>
  <c r="K181" i="13"/>
  <c r="K177" i="13"/>
  <c r="K173" i="13"/>
  <c r="K169" i="13"/>
  <c r="M251" i="13"/>
  <c r="M247" i="13"/>
  <c r="M243" i="13"/>
  <c r="M239" i="13"/>
  <c r="M235" i="13"/>
  <c r="M231" i="13"/>
  <c r="M227" i="13"/>
  <c r="M223" i="13"/>
  <c r="M219" i="13"/>
  <c r="M215" i="13"/>
  <c r="M211" i="13"/>
  <c r="M207" i="13"/>
  <c r="M203" i="13"/>
  <c r="M199" i="13"/>
  <c r="M195" i="13"/>
  <c r="M191" i="13"/>
  <c r="M187" i="13"/>
  <c r="N187" i="13" s="1"/>
  <c r="M183" i="13"/>
  <c r="M179" i="13"/>
  <c r="M175" i="13"/>
  <c r="M171" i="13"/>
  <c r="M167" i="13"/>
  <c r="M163" i="13"/>
  <c r="N163" i="13" s="1"/>
  <c r="M159" i="13"/>
  <c r="M155" i="13"/>
  <c r="M151" i="13"/>
  <c r="N151" i="13" s="1"/>
  <c r="M147" i="13"/>
  <c r="M143" i="13"/>
  <c r="M139" i="13"/>
  <c r="M135" i="13"/>
  <c r="M131" i="13"/>
  <c r="M127" i="13"/>
  <c r="M123" i="13"/>
  <c r="M119" i="13"/>
  <c r="M115" i="13"/>
  <c r="M111" i="13"/>
  <c r="M107" i="13"/>
  <c r="M103" i="13"/>
  <c r="M99" i="13"/>
  <c r="N99" i="13" s="1"/>
  <c r="M95" i="13"/>
  <c r="M91" i="13"/>
  <c r="M87" i="13"/>
  <c r="M83" i="13"/>
  <c r="N83" i="13" s="1"/>
  <c r="M79" i="13"/>
  <c r="M75" i="13"/>
  <c r="M67" i="13"/>
  <c r="N67" i="13" s="1"/>
  <c r="M63" i="13"/>
  <c r="M59" i="13"/>
  <c r="N59" i="13" s="1"/>
  <c r="M51" i="13"/>
  <c r="M47" i="13"/>
  <c r="M43" i="13"/>
  <c r="M39" i="13"/>
  <c r="M35" i="13"/>
  <c r="M31" i="13"/>
  <c r="N31" i="13" s="1"/>
  <c r="M27" i="13"/>
  <c r="M23" i="13"/>
  <c r="M19" i="13"/>
  <c r="M15" i="13"/>
  <c r="M11" i="13"/>
  <c r="BO8" i="12"/>
  <c r="V28" i="7" l="1"/>
  <c r="V20" i="7"/>
  <c r="V22" i="7"/>
  <c r="V15" i="7"/>
  <c r="V34" i="7"/>
  <c r="V25" i="7"/>
  <c r="V27" i="7"/>
  <c r="V19" i="7"/>
  <c r="V10" i="7"/>
  <c r="V29" i="7"/>
  <c r="V26" i="7"/>
  <c r="V8" i="7"/>
  <c r="V31" i="7"/>
  <c r="V23" i="7"/>
  <c r="V35" i="7"/>
  <c r="J171" i="13"/>
  <c r="J172" i="13" s="1"/>
  <c r="J173" i="13" s="1"/>
  <c r="J174" i="13" s="1"/>
  <c r="J175" i="13" s="1"/>
  <c r="J176" i="13" s="1"/>
  <c r="J177" i="13" s="1"/>
  <c r="J178" i="13" s="1"/>
  <c r="J38" i="13"/>
  <c r="J39" i="13" s="1"/>
  <c r="J40" i="13" s="1"/>
  <c r="J41" i="13" s="1"/>
  <c r="J42" i="13" s="1"/>
  <c r="J59" i="13"/>
  <c r="J60" i="13" s="1"/>
  <c r="J61" i="13" s="1"/>
  <c r="J62" i="13" s="1"/>
  <c r="J63" i="13" s="1"/>
  <c r="J64" i="13" s="1"/>
  <c r="J65" i="13" s="1"/>
  <c r="J229" i="13"/>
  <c r="J230" i="13" s="1"/>
  <c r="J231" i="13" s="1"/>
  <c r="J232" i="13" s="1"/>
  <c r="J233" i="13" s="1"/>
  <c r="J234" i="13" s="1"/>
  <c r="J235" i="13" s="1"/>
  <c r="J236" i="13" s="1"/>
  <c r="J237" i="13" s="1"/>
  <c r="J238" i="13" s="1"/>
  <c r="J239" i="13" s="1"/>
  <c r="J240" i="13" s="1"/>
  <c r="J241" i="13" s="1"/>
  <c r="J242" i="13" s="1"/>
  <c r="J243" i="13" s="1"/>
  <c r="J244" i="13" s="1"/>
  <c r="J245" i="13" s="1"/>
  <c r="J246" i="13" s="1"/>
  <c r="J247" i="13" s="1"/>
  <c r="J248" i="13" s="1"/>
  <c r="J249" i="13" s="1"/>
  <c r="J250" i="13" s="1"/>
  <c r="J251" i="13" s="1"/>
  <c r="J252" i="13" s="1"/>
  <c r="J163" i="13"/>
  <c r="J164" i="13" s="1"/>
  <c r="J165" i="13" s="1"/>
  <c r="J166" i="13" s="1"/>
  <c r="J167" i="13" s="1"/>
  <c r="J168" i="13" s="1"/>
  <c r="J67" i="13"/>
  <c r="J68" i="13" s="1"/>
  <c r="J69" i="13" s="1"/>
  <c r="J70" i="13" s="1"/>
  <c r="J71" i="13" s="1"/>
  <c r="J72" i="13" s="1"/>
  <c r="J205" i="13"/>
  <c r="J206" i="13" s="1"/>
  <c r="J207" i="13" s="1"/>
  <c r="J208" i="13" s="1"/>
  <c r="J209" i="13" s="1"/>
  <c r="J210" i="13" s="1"/>
  <c r="J211" i="13" s="1"/>
  <c r="J212" i="13" s="1"/>
  <c r="J213" i="13" s="1"/>
  <c r="J214" i="13" s="1"/>
  <c r="J215" i="13" s="1"/>
  <c r="J216" i="13" s="1"/>
  <c r="J217" i="13" s="1"/>
  <c r="J218" i="13" s="1"/>
  <c r="J25" i="13"/>
  <c r="J26" i="13" s="1"/>
  <c r="J27" i="13" s="1"/>
  <c r="J28" i="13" s="1"/>
  <c r="J29" i="13" s="1"/>
  <c r="J44" i="13"/>
  <c r="J45" i="13" s="1"/>
  <c r="J46" i="13" s="1"/>
  <c r="J47" i="13" s="1"/>
  <c r="J48" i="13" s="1"/>
  <c r="J49" i="13" s="1"/>
  <c r="J50" i="13" s="1"/>
  <c r="J51" i="13" s="1"/>
  <c r="J95" i="13"/>
  <c r="J96" i="13" s="1"/>
  <c r="J97" i="13" s="1"/>
  <c r="J146" i="13"/>
  <c r="J147" i="13" s="1"/>
  <c r="J148" i="13" s="1"/>
  <c r="J149" i="13" s="1"/>
  <c r="J19" i="13"/>
  <c r="J20" i="13" s="1"/>
  <c r="J21" i="13" s="1"/>
  <c r="J22" i="13" s="1"/>
  <c r="J23" i="13" s="1"/>
  <c r="J117" i="13"/>
  <c r="J118" i="13" s="1"/>
  <c r="J119" i="13" s="1"/>
  <c r="J120" i="13" s="1"/>
  <c r="J121" i="13" s="1"/>
  <c r="J122" i="13" s="1"/>
  <c r="J123" i="13" s="1"/>
  <c r="J124" i="13" s="1"/>
  <c r="J125" i="13" s="1"/>
  <c r="J126" i="13" s="1"/>
  <c r="J127" i="13" s="1"/>
  <c r="J128" i="13" s="1"/>
  <c r="J129" i="13" s="1"/>
  <c r="J130" i="13" s="1"/>
  <c r="J131" i="13" s="1"/>
  <c r="J132" i="13" s="1"/>
  <c r="J133" i="13" s="1"/>
  <c r="J134" i="13" s="1"/>
  <c r="J135" i="13" s="1"/>
  <c r="J136" i="13" s="1"/>
  <c r="J137" i="13" s="1"/>
  <c r="J138" i="13" s="1"/>
  <c r="J139" i="13" s="1"/>
  <c r="J140" i="13" s="1"/>
  <c r="J141" i="13" s="1"/>
  <c r="J142" i="13" s="1"/>
  <c r="J143" i="13" s="1"/>
  <c r="J144" i="13" s="1"/>
  <c r="J53" i="13"/>
  <c r="J54" i="13" s="1"/>
  <c r="J55" i="13" s="1"/>
  <c r="J56" i="13" s="1"/>
  <c r="J57" i="13" s="1"/>
  <c r="J31" i="13"/>
  <c r="J32" i="13" s="1"/>
  <c r="J33" i="13" s="1"/>
  <c r="J34" i="13" s="1"/>
  <c r="J35" i="13" s="1"/>
  <c r="J36" i="13" s="1"/>
  <c r="J83" i="13"/>
  <c r="J84" i="13" s="1"/>
  <c r="J85" i="13" s="1"/>
  <c r="J86" i="13" s="1"/>
  <c r="J87" i="13" s="1"/>
  <c r="J88" i="13" s="1"/>
  <c r="J89" i="13" s="1"/>
  <c r="J90" i="13" s="1"/>
  <c r="J109" i="13"/>
  <c r="J110" i="13" s="1"/>
  <c r="J111" i="13" s="1"/>
  <c r="J112" i="13" s="1"/>
  <c r="J113" i="13" s="1"/>
  <c r="J114" i="13" s="1"/>
  <c r="J115" i="13" s="1"/>
  <c r="J223" i="13"/>
  <c r="J224" i="13" s="1"/>
  <c r="J225" i="13" s="1"/>
  <c r="J226" i="13" s="1"/>
  <c r="J227" i="13" s="1"/>
  <c r="J151" i="13"/>
  <c r="J152" i="13" s="1"/>
  <c r="J153" i="13" s="1"/>
  <c r="J154" i="13" s="1"/>
  <c r="J155" i="13" s="1"/>
  <c r="J156" i="13" s="1"/>
  <c r="J157" i="13" s="1"/>
  <c r="J158" i="13" s="1"/>
  <c r="J159" i="13" s="1"/>
  <c r="J160" i="13" s="1"/>
  <c r="J161" i="13" s="1"/>
  <c r="J99" i="13"/>
  <c r="J100" i="13" s="1"/>
  <c r="J101" i="13" s="1"/>
  <c r="J102" i="13" s="1"/>
  <c r="J103" i="13" s="1"/>
  <c r="J104" i="13" s="1"/>
  <c r="J105" i="13" s="1"/>
  <c r="J106" i="13" s="1"/>
  <c r="J107" i="13" s="1"/>
  <c r="J13" i="13"/>
  <c r="J14" i="13" s="1"/>
  <c r="J15" i="13" s="1"/>
  <c r="J16" i="13" s="1"/>
  <c r="J182" i="13"/>
  <c r="J183" i="13" s="1"/>
  <c r="J184" i="13" s="1"/>
  <c r="J185" i="13" s="1"/>
  <c r="J74" i="13"/>
  <c r="J75" i="13" s="1"/>
  <c r="J76" i="13" s="1"/>
  <c r="J77" i="13" s="1"/>
  <c r="J78" i="13" s="1"/>
  <c r="J79" i="13" s="1"/>
  <c r="J80" i="13" s="1"/>
  <c r="J81" i="13" s="1"/>
  <c r="J187" i="13"/>
  <c r="J188" i="13" s="1"/>
  <c r="J189" i="13" s="1"/>
  <c r="J190" i="13" s="1"/>
  <c r="J191" i="13" s="1"/>
  <c r="J192" i="13" s="1"/>
  <c r="J193" i="13" s="1"/>
  <c r="J194" i="13" s="1"/>
  <c r="J195" i="13" s="1"/>
  <c r="J196" i="13" s="1"/>
  <c r="J197" i="13" s="1"/>
  <c r="J198" i="13" s="1"/>
  <c r="J199" i="13" s="1"/>
  <c r="J200" i="13" s="1"/>
  <c r="J201" i="13" s="1"/>
  <c r="J202" i="13" s="1"/>
  <c r="J203" i="13" s="1"/>
  <c r="V17" i="7"/>
  <c r="V12" i="7"/>
  <c r="V18" i="7"/>
  <c r="V9" i="7"/>
  <c r="V30" i="7"/>
  <c r="V16" i="7"/>
  <c r="V24" i="7"/>
  <c r="V7" i="7"/>
  <c r="W13" i="7"/>
  <c r="V13" i="7"/>
  <c r="N39" i="13"/>
  <c r="L16" i="13"/>
  <c r="M16" i="13" s="1"/>
  <c r="L64" i="13"/>
  <c r="M64" i="13" s="1"/>
  <c r="L112" i="13"/>
  <c r="M112" i="13" s="1"/>
  <c r="L160" i="13"/>
  <c r="M160" i="13" s="1"/>
  <c r="L106" i="13"/>
  <c r="M106" i="13" s="1"/>
  <c r="L45" i="13"/>
  <c r="M45" i="13" s="1"/>
  <c r="L105" i="13"/>
  <c r="M105" i="13" s="1"/>
  <c r="L137" i="13"/>
  <c r="M137" i="13" s="1"/>
  <c r="L158" i="13"/>
  <c r="M158" i="13" s="1"/>
  <c r="L222" i="13"/>
  <c r="M222" i="13" s="1"/>
  <c r="L200" i="13"/>
  <c r="M200" i="13" s="1"/>
  <c r="L209" i="13"/>
  <c r="M209" i="13" s="1"/>
  <c r="L181" i="13"/>
  <c r="M181" i="13" s="1"/>
  <c r="L197" i="13"/>
  <c r="M197" i="13" s="1"/>
  <c r="L20" i="13"/>
  <c r="M20" i="13" s="1"/>
  <c r="L36" i="13"/>
  <c r="M36" i="13" s="1"/>
  <c r="L52" i="13"/>
  <c r="M52" i="13" s="1"/>
  <c r="L68" i="13"/>
  <c r="M68" i="13" s="1"/>
  <c r="N68" i="13" s="1"/>
  <c r="L84" i="13"/>
  <c r="M84" i="13" s="1"/>
  <c r="N84" i="13" s="1"/>
  <c r="L100" i="13"/>
  <c r="M100" i="13" s="1"/>
  <c r="N100" i="13" s="1"/>
  <c r="L116" i="13"/>
  <c r="M116" i="13" s="1"/>
  <c r="L132" i="13"/>
  <c r="M132" i="13" s="1"/>
  <c r="L148" i="13"/>
  <c r="M148" i="13" s="1"/>
  <c r="L164" i="13"/>
  <c r="M164" i="13" s="1"/>
  <c r="N164" i="13" s="1"/>
  <c r="L50" i="13"/>
  <c r="M50" i="13" s="1"/>
  <c r="L82" i="13"/>
  <c r="M82" i="13" s="1"/>
  <c r="L114" i="13"/>
  <c r="M114" i="13" s="1"/>
  <c r="L146" i="13"/>
  <c r="M146" i="13" s="1"/>
  <c r="N146" i="13" s="1"/>
  <c r="N147" i="13" s="1"/>
  <c r="L17" i="13"/>
  <c r="M17" i="13" s="1"/>
  <c r="L33" i="13"/>
  <c r="M33" i="13" s="1"/>
  <c r="L61" i="13"/>
  <c r="M61" i="13" s="1"/>
  <c r="L77" i="13"/>
  <c r="M77" i="13" s="1"/>
  <c r="L93" i="13"/>
  <c r="M93" i="13" s="1"/>
  <c r="L109" i="13"/>
  <c r="M109" i="13" s="1"/>
  <c r="N109" i="13" s="1"/>
  <c r="N110" i="13" s="1"/>
  <c r="N111" i="13" s="1"/>
  <c r="L125" i="13"/>
  <c r="M125" i="13" s="1"/>
  <c r="L141" i="13"/>
  <c r="M141" i="13" s="1"/>
  <c r="L18" i="13"/>
  <c r="M18" i="13" s="1"/>
  <c r="N18" i="13" s="1"/>
  <c r="N19" i="13" s="1"/>
  <c r="L162" i="13"/>
  <c r="M162" i="13" s="1"/>
  <c r="L178" i="13"/>
  <c r="M178" i="13" s="1"/>
  <c r="L194" i="13"/>
  <c r="M194" i="13" s="1"/>
  <c r="L210" i="13"/>
  <c r="M210" i="13" s="1"/>
  <c r="L226" i="13"/>
  <c r="M226" i="13" s="1"/>
  <c r="L242" i="13"/>
  <c r="M242" i="13" s="1"/>
  <c r="L172" i="13"/>
  <c r="M172" i="13" s="1"/>
  <c r="L188" i="13"/>
  <c r="M188" i="13" s="1"/>
  <c r="N188" i="13" s="1"/>
  <c r="L204" i="13"/>
  <c r="M204" i="13" s="1"/>
  <c r="L220" i="13"/>
  <c r="M220" i="13" s="1"/>
  <c r="N220" i="13" s="1"/>
  <c r="L236" i="13"/>
  <c r="M236" i="13" s="1"/>
  <c r="L252" i="13"/>
  <c r="M252" i="13" s="1"/>
  <c r="L213" i="13"/>
  <c r="M213" i="13" s="1"/>
  <c r="L229" i="13"/>
  <c r="M229" i="13" s="1"/>
  <c r="N229" i="13" s="1"/>
  <c r="L249" i="13"/>
  <c r="M249" i="13" s="1"/>
  <c r="L177" i="13"/>
  <c r="M177" i="13" s="1"/>
  <c r="L32" i="13"/>
  <c r="M32" i="13" s="1"/>
  <c r="N32" i="13" s="1"/>
  <c r="L80" i="13"/>
  <c r="M80" i="13" s="1"/>
  <c r="L128" i="13"/>
  <c r="M128" i="13" s="1"/>
  <c r="L74" i="13"/>
  <c r="M74" i="13" s="1"/>
  <c r="N74" i="13" s="1"/>
  <c r="N75" i="13" s="1"/>
  <c r="L138" i="13"/>
  <c r="M138" i="13" s="1"/>
  <c r="L29" i="13"/>
  <c r="M29" i="13" s="1"/>
  <c r="L57" i="13"/>
  <c r="M57" i="13" s="1"/>
  <c r="L89" i="13"/>
  <c r="M89" i="13" s="1"/>
  <c r="L121" i="13"/>
  <c r="M121" i="13" s="1"/>
  <c r="L153" i="13"/>
  <c r="M153" i="13" s="1"/>
  <c r="L14" i="13"/>
  <c r="M14" i="13" s="1"/>
  <c r="L190" i="13"/>
  <c r="M190" i="13" s="1"/>
  <c r="L238" i="13"/>
  <c r="M238" i="13" s="1"/>
  <c r="L184" i="13"/>
  <c r="M184" i="13" s="1"/>
  <c r="L232" i="13"/>
  <c r="M232" i="13" s="1"/>
  <c r="L225" i="13"/>
  <c r="M225" i="13" s="1"/>
  <c r="L169" i="13"/>
  <c r="M169" i="13" s="1"/>
  <c r="L185" i="13"/>
  <c r="M185" i="13" s="1"/>
  <c r="L24" i="13"/>
  <c r="M24" i="13" s="1"/>
  <c r="L56" i="13"/>
  <c r="M56" i="13" s="1"/>
  <c r="L88" i="13"/>
  <c r="M88" i="13" s="1"/>
  <c r="L120" i="13"/>
  <c r="M120" i="13" s="1"/>
  <c r="L26" i="13"/>
  <c r="M26" i="13" s="1"/>
  <c r="L90" i="13"/>
  <c r="M90" i="13" s="1"/>
  <c r="L21" i="13"/>
  <c r="M21" i="13" s="1"/>
  <c r="L81" i="13"/>
  <c r="M81" i="13" s="1"/>
  <c r="L113" i="13"/>
  <c r="M113" i="13" s="1"/>
  <c r="L145" i="13"/>
  <c r="M145" i="13" s="1"/>
  <c r="L182" i="13"/>
  <c r="M182" i="13" s="1"/>
  <c r="L214" i="13"/>
  <c r="M214" i="13" s="1"/>
  <c r="L176" i="13"/>
  <c r="M176" i="13" s="1"/>
  <c r="L208" i="13"/>
  <c r="M208" i="13" s="1"/>
  <c r="L240" i="13"/>
  <c r="M240" i="13" s="1"/>
  <c r="L217" i="13"/>
  <c r="M217" i="13" s="1"/>
  <c r="L7" i="13"/>
  <c r="M7" i="13" s="1"/>
  <c r="N7" i="13" s="1"/>
  <c r="L193" i="13"/>
  <c r="M193" i="13" s="1"/>
  <c r="L48" i="13"/>
  <c r="M48" i="13" s="1"/>
  <c r="L96" i="13"/>
  <c r="M96" i="13" s="1"/>
  <c r="L144" i="13"/>
  <c r="M144" i="13" s="1"/>
  <c r="L42" i="13"/>
  <c r="M42" i="13" s="1"/>
  <c r="L13" i="13"/>
  <c r="M13" i="13" s="1"/>
  <c r="N13" i="13" s="1"/>
  <c r="L73" i="13"/>
  <c r="M73" i="13" s="1"/>
  <c r="L174" i="13"/>
  <c r="M174" i="13" s="1"/>
  <c r="L206" i="13"/>
  <c r="M206" i="13" s="1"/>
  <c r="L168" i="13"/>
  <c r="M168" i="13" s="1"/>
  <c r="L216" i="13"/>
  <c r="M216" i="13" s="1"/>
  <c r="L248" i="13"/>
  <c r="M248" i="13" s="1"/>
  <c r="L245" i="13"/>
  <c r="M245" i="13" s="1"/>
  <c r="L8" i="13"/>
  <c r="M8" i="13" s="1"/>
  <c r="N8" i="13" s="1"/>
  <c r="L40" i="13"/>
  <c r="M40" i="13" s="1"/>
  <c r="L72" i="13"/>
  <c r="M72" i="13" s="1"/>
  <c r="L104" i="13"/>
  <c r="M104" i="13" s="1"/>
  <c r="L136" i="13"/>
  <c r="M136" i="13" s="1"/>
  <c r="L152" i="13"/>
  <c r="M152" i="13" s="1"/>
  <c r="N152" i="13" s="1"/>
  <c r="N153" i="13" s="1"/>
  <c r="L58" i="13"/>
  <c r="M58" i="13" s="1"/>
  <c r="L122" i="13"/>
  <c r="M122" i="13" s="1"/>
  <c r="L165" i="13"/>
  <c r="M165" i="13" s="1"/>
  <c r="L37" i="13"/>
  <c r="M37" i="13" s="1"/>
  <c r="L65" i="13"/>
  <c r="M65" i="13" s="1"/>
  <c r="L97" i="13"/>
  <c r="M97" i="13" s="1"/>
  <c r="L129" i="13"/>
  <c r="M129" i="13" s="1"/>
  <c r="L150" i="13"/>
  <c r="M150" i="13" s="1"/>
  <c r="L166" i="13"/>
  <c r="M166" i="13" s="1"/>
  <c r="L198" i="13"/>
  <c r="M198" i="13" s="1"/>
  <c r="L230" i="13"/>
  <c r="M230" i="13" s="1"/>
  <c r="L246" i="13"/>
  <c r="M246" i="13" s="1"/>
  <c r="L192" i="13"/>
  <c r="M192" i="13" s="1"/>
  <c r="L224" i="13"/>
  <c r="M224" i="13" s="1"/>
  <c r="L201" i="13"/>
  <c r="M201" i="13" s="1"/>
  <c r="L233" i="13"/>
  <c r="M233" i="13" s="1"/>
  <c r="L173" i="13"/>
  <c r="M173" i="13" s="1"/>
  <c r="L189" i="13"/>
  <c r="M189" i="13" s="1"/>
  <c r="L12" i="13"/>
  <c r="M12" i="13" s="1"/>
  <c r="L28" i="13"/>
  <c r="M28" i="13" s="1"/>
  <c r="L44" i="13"/>
  <c r="M44" i="13" s="1"/>
  <c r="N44" i="13" s="1"/>
  <c r="L60" i="13"/>
  <c r="M60" i="13" s="1"/>
  <c r="N60" i="13" s="1"/>
  <c r="L76" i="13"/>
  <c r="M76" i="13" s="1"/>
  <c r="L92" i="13"/>
  <c r="M92" i="13" s="1"/>
  <c r="N92" i="13" s="1"/>
  <c r="L108" i="13"/>
  <c r="M108" i="13" s="1"/>
  <c r="L124" i="13"/>
  <c r="M124" i="13" s="1"/>
  <c r="L140" i="13"/>
  <c r="M140" i="13" s="1"/>
  <c r="L156" i="13"/>
  <c r="M156" i="13" s="1"/>
  <c r="L34" i="13"/>
  <c r="M34" i="13" s="1"/>
  <c r="L66" i="13"/>
  <c r="M66" i="13" s="1"/>
  <c r="L98" i="13"/>
  <c r="M98" i="13" s="1"/>
  <c r="L130" i="13"/>
  <c r="M130" i="13" s="1"/>
  <c r="L9" i="13"/>
  <c r="M9" i="13" s="1"/>
  <c r="L25" i="13"/>
  <c r="M25" i="13" s="1"/>
  <c r="N25" i="13" s="1"/>
  <c r="L41" i="13"/>
  <c r="M41" i="13" s="1"/>
  <c r="L53" i="13"/>
  <c r="M53" i="13" s="1"/>
  <c r="N53" i="13" s="1"/>
  <c r="N54" i="13" s="1"/>
  <c r="N55" i="13" s="1"/>
  <c r="L69" i="13"/>
  <c r="M69" i="13" s="1"/>
  <c r="L85" i="13"/>
  <c r="M85" i="13" s="1"/>
  <c r="L101" i="13"/>
  <c r="M101" i="13" s="1"/>
  <c r="L117" i="13"/>
  <c r="M117" i="13" s="1"/>
  <c r="N117" i="13" s="1"/>
  <c r="N118" i="13" s="1"/>
  <c r="N119" i="13" s="1"/>
  <c r="N120" i="13" s="1"/>
  <c r="L133" i="13"/>
  <c r="M133" i="13" s="1"/>
  <c r="L149" i="13"/>
  <c r="M149" i="13" s="1"/>
  <c r="L10" i="13"/>
  <c r="M10" i="13" s="1"/>
  <c r="L154" i="13"/>
  <c r="M154" i="13" s="1"/>
  <c r="L170" i="13"/>
  <c r="M170" i="13" s="1"/>
  <c r="N170" i="13" s="1"/>
  <c r="N171" i="13" s="1"/>
  <c r="L186" i="13"/>
  <c r="M186" i="13" s="1"/>
  <c r="L202" i="13"/>
  <c r="M202" i="13" s="1"/>
  <c r="L218" i="13"/>
  <c r="M218" i="13" s="1"/>
  <c r="L234" i="13"/>
  <c r="M234" i="13" s="1"/>
  <c r="L250" i="13"/>
  <c r="M250" i="13" s="1"/>
  <c r="L180" i="13"/>
  <c r="M180" i="13" s="1"/>
  <c r="N180" i="13" s="1"/>
  <c r="L196" i="13"/>
  <c r="M196" i="13" s="1"/>
  <c r="L212" i="13"/>
  <c r="M212" i="13" s="1"/>
  <c r="L228" i="13"/>
  <c r="M228" i="13" s="1"/>
  <c r="L244" i="13"/>
  <c r="M244" i="13" s="1"/>
  <c r="L205" i="13"/>
  <c r="M205" i="13" s="1"/>
  <c r="N205" i="13" s="1"/>
  <c r="L221" i="13"/>
  <c r="M221" i="13" s="1"/>
  <c r="L241" i="13"/>
  <c r="M241" i="13" s="1"/>
  <c r="B9" i="8"/>
  <c r="B10" i="8" s="1"/>
  <c r="B11" i="8" s="1"/>
  <c r="B12" i="8" s="1"/>
  <c r="B13" i="8" s="1"/>
  <c r="B14" i="8" s="1"/>
  <c r="B15" i="8" s="1"/>
  <c r="B16" i="8" s="1"/>
  <c r="B17" i="8" s="1"/>
  <c r="B18" i="8" s="1"/>
  <c r="B19" i="8" s="1"/>
  <c r="B20" i="8" s="1"/>
  <c r="B21" i="8" s="1"/>
  <c r="B22" i="8" s="1"/>
  <c r="B23" i="8" s="1"/>
  <c r="B24" i="8" s="1"/>
  <c r="B25" i="8" s="1"/>
  <c r="B26" i="8" s="1"/>
  <c r="B27" i="8" s="1"/>
  <c r="B28" i="8" s="1"/>
  <c r="B29" i="8" s="1"/>
  <c r="B30" i="8" s="1"/>
  <c r="B31" i="8" s="1"/>
  <c r="B32" i="8" s="1"/>
  <c r="B33" i="8" s="1"/>
  <c r="B34" i="8" s="1"/>
  <c r="B35" i="8" s="1"/>
  <c r="B36" i="8" s="1"/>
  <c r="B37" i="8" s="1"/>
  <c r="B38" i="8" s="1"/>
  <c r="B39" i="8" s="1"/>
  <c r="B40" i="8" s="1"/>
  <c r="B41" i="8" s="1"/>
  <c r="B42" i="8" s="1"/>
  <c r="B43" i="8" s="1"/>
  <c r="B44" i="8" s="1"/>
  <c r="B45" i="8" s="1"/>
  <c r="B46" i="8" s="1"/>
  <c r="B47" i="8" s="1"/>
  <c r="B48" i="8" s="1"/>
  <c r="B49" i="8" s="1"/>
  <c r="B50" i="8" s="1"/>
  <c r="B51" i="8" s="1"/>
  <c r="B52" i="8" s="1"/>
  <c r="B53" i="8" s="1"/>
  <c r="B54" i="8" s="1"/>
  <c r="B55" i="8" s="1"/>
  <c r="B56" i="8" s="1"/>
  <c r="B57" i="8" s="1"/>
  <c r="B58" i="8" s="1"/>
  <c r="B59" i="8" s="1"/>
  <c r="B60" i="8" s="1"/>
  <c r="B61" i="8" s="1"/>
  <c r="B62" i="8" s="1"/>
  <c r="B63" i="8" s="1"/>
  <c r="B64" i="8" s="1"/>
  <c r="B65" i="8" s="1"/>
  <c r="B66" i="8" s="1"/>
  <c r="B67" i="8" s="1"/>
  <c r="B68" i="8" s="1"/>
  <c r="B69" i="8" s="1"/>
  <c r="B70" i="8" s="1"/>
  <c r="B71" i="8" s="1"/>
  <c r="B72" i="8" s="1"/>
  <c r="B73" i="8" s="1"/>
  <c r="B74" i="8" s="1"/>
  <c r="B75" i="8" s="1"/>
  <c r="B76" i="8" s="1"/>
  <c r="B77" i="8" s="1"/>
  <c r="B78" i="8" s="1"/>
  <c r="B79" i="8" s="1"/>
  <c r="B80" i="8" s="1"/>
  <c r="B81" i="8" s="1"/>
  <c r="B82" i="8" s="1"/>
  <c r="B83" i="8" s="1"/>
  <c r="B84" i="8" s="1"/>
  <c r="B85" i="8" s="1"/>
  <c r="B86" i="8" s="1"/>
  <c r="B87" i="8" s="1"/>
  <c r="B88" i="8" s="1"/>
  <c r="B89" i="8" s="1"/>
  <c r="B90" i="8" s="1"/>
  <c r="B91" i="8" s="1"/>
  <c r="B92" i="8" s="1"/>
  <c r="B93" i="8" s="1"/>
  <c r="B94" i="8" s="1"/>
  <c r="B95" i="8" s="1"/>
  <c r="B96" i="8" s="1"/>
  <c r="B97" i="8" s="1"/>
  <c r="B98" i="8" s="1"/>
  <c r="B99" i="8" s="1"/>
  <c r="B100" i="8" s="1"/>
  <c r="B101" i="8" s="1"/>
  <c r="B102" i="8" s="1"/>
  <c r="B103" i="8" s="1"/>
  <c r="B104" i="8" s="1"/>
  <c r="B105" i="8" s="1"/>
  <c r="B106" i="8" s="1"/>
  <c r="B107" i="8" s="1"/>
  <c r="B108" i="8" s="1"/>
  <c r="B109" i="8" s="1"/>
  <c r="B110" i="8" s="1"/>
  <c r="B111" i="8" s="1"/>
  <c r="B112" i="8" s="1"/>
  <c r="B113" i="8" s="1"/>
  <c r="B114" i="8" s="1"/>
  <c r="B115" i="8" s="1"/>
  <c r="B116" i="8" s="1"/>
  <c r="B117" i="8" s="1"/>
  <c r="B118" i="8" s="1"/>
  <c r="B119" i="8" s="1"/>
  <c r="B120" i="8" s="1"/>
  <c r="B121" i="8" s="1"/>
  <c r="B122" i="8" s="1"/>
  <c r="B123" i="8" s="1"/>
  <c r="B124" i="8" s="1"/>
  <c r="B125" i="8" s="1"/>
  <c r="B126" i="8" s="1"/>
  <c r="B127" i="8" s="1"/>
  <c r="B128" i="8" s="1"/>
  <c r="B129" i="8" s="1"/>
  <c r="B130" i="8" s="1"/>
  <c r="B131" i="8" s="1"/>
  <c r="B132" i="8" s="1"/>
  <c r="B133" i="8" s="1"/>
  <c r="B134" i="8" s="1"/>
  <c r="B135" i="8" s="1"/>
  <c r="B136" i="8" s="1"/>
  <c r="B137" i="8" s="1"/>
  <c r="B138" i="8" s="1"/>
  <c r="B139" i="8" s="1"/>
  <c r="B140" i="8" s="1"/>
  <c r="B141" i="8" s="1"/>
  <c r="B142" i="8" s="1"/>
  <c r="B143" i="8" s="1"/>
  <c r="B144" i="8" s="1"/>
  <c r="B145" i="8" s="1"/>
  <c r="B146" i="8" s="1"/>
  <c r="B147" i="8" s="1"/>
  <c r="B148" i="8" s="1"/>
  <c r="B149" i="8" s="1"/>
  <c r="B150" i="8" s="1"/>
  <c r="B151" i="8" s="1"/>
  <c r="B152" i="8" s="1"/>
  <c r="B153" i="8" s="1"/>
  <c r="B154" i="8" s="1"/>
  <c r="B155" i="8" s="1"/>
  <c r="B156" i="8" s="1"/>
  <c r="B157" i="8" s="1"/>
  <c r="B158" i="8" s="1"/>
  <c r="B159" i="8" s="1"/>
  <c r="B160" i="8" s="1"/>
  <c r="B161" i="8" s="1"/>
  <c r="B162" i="8" s="1"/>
  <c r="B163" i="8" s="1"/>
  <c r="B164" i="8" s="1"/>
  <c r="B165" i="8" s="1"/>
  <c r="B166" i="8" s="1"/>
  <c r="B167" i="8" s="1"/>
  <c r="B168" i="8" s="1"/>
  <c r="B169" i="8" s="1"/>
  <c r="B170" i="8" s="1"/>
  <c r="B171" i="8" s="1"/>
  <c r="B172" i="8" s="1"/>
  <c r="B173" i="8" s="1"/>
  <c r="B174" i="8" s="1"/>
  <c r="B175" i="8" s="1"/>
  <c r="B176" i="8" s="1"/>
  <c r="B177" i="8" s="1"/>
  <c r="B178" i="8" s="1"/>
  <c r="B179" i="8" s="1"/>
  <c r="B180" i="8" s="1"/>
  <c r="B181" i="8" s="1"/>
  <c r="B182" i="8" s="1"/>
  <c r="B183" i="8" s="1"/>
  <c r="B184" i="8" s="1"/>
  <c r="B185" i="8" s="1"/>
  <c r="B186" i="8" s="1"/>
  <c r="B187" i="8" s="1"/>
  <c r="B188" i="8" s="1"/>
  <c r="B189" i="8" s="1"/>
  <c r="B190" i="8" s="1"/>
  <c r="B191" i="8" s="1"/>
  <c r="B192" i="8" s="1"/>
  <c r="B193" i="8" s="1"/>
  <c r="B194" i="8" s="1"/>
  <c r="B195" i="8" s="1"/>
  <c r="B196" i="8" s="1"/>
  <c r="B197" i="8" s="1"/>
  <c r="B198" i="8" s="1"/>
  <c r="B199" i="8" s="1"/>
  <c r="B200" i="8" s="1"/>
  <c r="B201" i="8" s="1"/>
  <c r="B202" i="8" s="1"/>
  <c r="B203" i="8" s="1"/>
  <c r="B204" i="8" s="1"/>
  <c r="B205" i="8" s="1"/>
  <c r="B206" i="8" s="1"/>
  <c r="B207" i="8" s="1"/>
  <c r="B208" i="8" s="1"/>
  <c r="B209" i="8" s="1"/>
  <c r="B210" i="8" s="1"/>
  <c r="B211" i="8" s="1"/>
  <c r="B212" i="8" s="1"/>
  <c r="B213" i="8" s="1"/>
  <c r="B214" i="8" s="1"/>
  <c r="B215" i="8" s="1"/>
  <c r="B216" i="8" s="1"/>
  <c r="B217" i="8" s="1"/>
  <c r="B218" i="8" s="1"/>
  <c r="B219" i="8" s="1"/>
  <c r="B220" i="8" s="1"/>
  <c r="B221" i="8" s="1"/>
  <c r="B222" i="8" s="1"/>
  <c r="B223" i="8" s="1"/>
  <c r="B224" i="8" s="1"/>
  <c r="B225" i="8" s="1"/>
  <c r="B226" i="8" s="1"/>
  <c r="B227" i="8" s="1"/>
  <c r="B228" i="8" s="1"/>
  <c r="B229" i="8" s="1"/>
  <c r="B230" i="8" s="1"/>
  <c r="B231" i="8" s="1"/>
  <c r="B232" i="8" s="1"/>
  <c r="B233" i="8" s="1"/>
  <c r="B234" i="8" s="1"/>
  <c r="B235" i="8" s="1"/>
  <c r="B236" i="8" s="1"/>
  <c r="B237" i="8" s="1"/>
  <c r="B238" i="8" s="1"/>
  <c r="B239" i="8" s="1"/>
  <c r="B240" i="8" s="1"/>
  <c r="B241" i="8" s="1"/>
  <c r="B242" i="8" s="1"/>
  <c r="B243" i="8" s="1"/>
  <c r="B244" i="8" s="1"/>
  <c r="B245" i="8" s="1"/>
  <c r="B246" i="8" s="1"/>
  <c r="B247" i="8" s="1"/>
  <c r="B248" i="8" s="1"/>
  <c r="B249" i="8" s="1"/>
  <c r="B250" i="8" s="1"/>
  <c r="B251" i="8" s="1"/>
  <c r="B252" i="8" s="1"/>
  <c r="B253" i="8" s="1"/>
  <c r="B254" i="8" s="1"/>
  <c r="B255" i="8" s="1"/>
  <c r="B256" i="8" s="1"/>
  <c r="B257" i="8" s="1"/>
  <c r="B258" i="8" s="1"/>
  <c r="B259" i="8" s="1"/>
  <c r="B260" i="8" s="1"/>
  <c r="B261" i="8" s="1"/>
  <c r="B262" i="8" s="1"/>
  <c r="B263" i="8" s="1"/>
  <c r="B264" i="8" s="1"/>
  <c r="B265" i="8" s="1"/>
  <c r="B266" i="8" s="1"/>
  <c r="B267" i="8" s="1"/>
  <c r="B268" i="8" s="1"/>
  <c r="B269" i="8" s="1"/>
  <c r="B270" i="8" s="1"/>
  <c r="B271" i="8" s="1"/>
  <c r="B272" i="8" s="1"/>
  <c r="B273" i="8" s="1"/>
  <c r="B274" i="8" s="1"/>
  <c r="B275" i="8" s="1"/>
  <c r="B276" i="8" s="1"/>
  <c r="B277" i="8" s="1"/>
  <c r="B278" i="8" s="1"/>
  <c r="B279" i="8" s="1"/>
  <c r="B280" i="8" s="1"/>
  <c r="B281" i="8" s="1"/>
  <c r="B282" i="8" s="1"/>
  <c r="B283" i="8" s="1"/>
  <c r="B284" i="8" s="1"/>
  <c r="B285" i="8" s="1"/>
  <c r="B286" i="8" s="1"/>
  <c r="B287" i="8" s="1"/>
  <c r="B288" i="8" s="1"/>
  <c r="B289" i="8" s="1"/>
  <c r="B290" i="8" s="1"/>
  <c r="B291" i="8" s="1"/>
  <c r="B292" i="8" s="1"/>
  <c r="B293" i="8" s="1"/>
  <c r="B294" i="8" s="1"/>
  <c r="B295" i="8" s="1"/>
  <c r="B296" i="8" s="1"/>
  <c r="B297" i="8" s="1"/>
  <c r="B298" i="8" s="1"/>
  <c r="B299" i="8" s="1"/>
  <c r="B300" i="8" s="1"/>
  <c r="B301" i="8" s="1"/>
  <c r="B302" i="8" s="1"/>
  <c r="B303" i="8" s="1"/>
  <c r="B304" i="8" s="1"/>
  <c r="B305" i="8" s="1"/>
  <c r="B306" i="8" s="1"/>
  <c r="B307" i="8" s="1"/>
  <c r="B308" i="8" s="1"/>
  <c r="B309" i="8" s="1"/>
  <c r="B310" i="8" s="1"/>
  <c r="B311" i="8" s="1"/>
  <c r="B312" i="8" s="1"/>
  <c r="B313" i="8" s="1"/>
  <c r="B314" i="8" s="1"/>
  <c r="B315" i="8" s="1"/>
  <c r="B316" i="8" s="1"/>
  <c r="B317" i="8" s="1"/>
  <c r="B318" i="8" s="1"/>
  <c r="B319" i="8" s="1"/>
  <c r="B320" i="8" s="1"/>
  <c r="B321" i="8" s="1"/>
  <c r="B322" i="8" s="1"/>
  <c r="B323" i="8" s="1"/>
  <c r="B324" i="8" s="1"/>
  <c r="B325" i="8" s="1"/>
  <c r="B326" i="8" s="1"/>
  <c r="B327" i="8" s="1"/>
  <c r="B328" i="8" s="1"/>
  <c r="B329" i="8" s="1"/>
  <c r="B330" i="8" s="1"/>
  <c r="B331" i="8" s="1"/>
  <c r="B332" i="8" s="1"/>
  <c r="B333" i="8" s="1"/>
  <c r="B334" i="8" s="1"/>
  <c r="B335" i="8" s="1"/>
  <c r="B336" i="8" s="1"/>
  <c r="B337" i="8" s="1"/>
  <c r="B338" i="8" s="1"/>
  <c r="B339" i="8" s="1"/>
  <c r="B340" i="8" s="1"/>
  <c r="B341" i="8" s="1"/>
  <c r="B342" i="8" s="1"/>
  <c r="B343" i="8" s="1"/>
  <c r="B344" i="8" s="1"/>
  <c r="B345" i="8" s="1"/>
  <c r="B346" i="8" s="1"/>
  <c r="B347" i="8" s="1"/>
  <c r="B348" i="8" s="1"/>
  <c r="B349" i="8" s="1"/>
  <c r="B350" i="8" s="1"/>
  <c r="B351" i="8" s="1"/>
  <c r="B352" i="8" s="1"/>
  <c r="B353" i="8" s="1"/>
  <c r="B354" i="8" s="1"/>
  <c r="B355" i="8" s="1"/>
  <c r="B356" i="8" s="1"/>
  <c r="B357" i="8" s="1"/>
  <c r="B358" i="8" s="1"/>
  <c r="B359" i="8" s="1"/>
  <c r="B360" i="8" s="1"/>
  <c r="B361" i="8" s="1"/>
  <c r="B362" i="8" s="1"/>
  <c r="B363" i="8" s="1"/>
  <c r="B364" i="8" s="1"/>
  <c r="B365" i="8" s="1"/>
  <c r="B366" i="8" s="1"/>
  <c r="B367" i="8" s="1"/>
  <c r="B368" i="8" s="1"/>
  <c r="B369" i="8" s="1"/>
  <c r="B370" i="8" s="1"/>
  <c r="B371" i="8" s="1"/>
  <c r="B372" i="8" s="1"/>
  <c r="B373" i="8" s="1"/>
  <c r="B374" i="8" s="1"/>
  <c r="B375" i="8" s="1"/>
  <c r="B376" i="8" s="1"/>
  <c r="B377" i="8" s="1"/>
  <c r="B378" i="8" s="1"/>
  <c r="B379" i="8" s="1"/>
  <c r="B380" i="8" s="1"/>
  <c r="B381" i="8" s="1"/>
  <c r="B382" i="8" s="1"/>
  <c r="B383" i="8" s="1"/>
  <c r="B384" i="8" s="1"/>
  <c r="B385" i="8" s="1"/>
  <c r="B386" i="8" s="1"/>
  <c r="B387" i="8" s="1"/>
  <c r="B388" i="8" s="1"/>
  <c r="B389" i="8" s="1"/>
  <c r="B390" i="8" s="1"/>
  <c r="B391" i="8" s="1"/>
  <c r="B392" i="8" s="1"/>
  <c r="B393" i="8" s="1"/>
  <c r="B394" i="8" s="1"/>
  <c r="B395" i="8" s="1"/>
  <c r="B396" i="8" s="1"/>
  <c r="B397" i="8" s="1"/>
  <c r="B398" i="8" s="1"/>
  <c r="B399" i="8" s="1"/>
  <c r="B400" i="8" s="1"/>
  <c r="B401" i="8" s="1"/>
  <c r="B402" i="8" s="1"/>
  <c r="B403" i="8" s="1"/>
  <c r="B404" i="8" s="1"/>
  <c r="B405" i="8" s="1"/>
  <c r="B406" i="8" s="1"/>
  <c r="B407" i="8" s="1"/>
  <c r="B408" i="8" s="1"/>
  <c r="B409" i="8" s="1"/>
  <c r="B410" i="8" s="1"/>
  <c r="B411" i="8" s="1"/>
  <c r="B412" i="8" s="1"/>
  <c r="B413" i="8" s="1"/>
  <c r="B414" i="8" s="1"/>
  <c r="B415" i="8" s="1"/>
  <c r="B416" i="8" s="1"/>
  <c r="B417" i="8" s="1"/>
  <c r="B418" i="8" s="1"/>
  <c r="B419" i="8" s="1"/>
  <c r="B420" i="8" s="1"/>
  <c r="B421" i="8" s="1"/>
  <c r="B422" i="8" s="1"/>
  <c r="B423" i="8" s="1"/>
  <c r="B424" i="8" s="1"/>
  <c r="B425" i="8" s="1"/>
  <c r="B426" i="8" s="1"/>
  <c r="B427" i="8" s="1"/>
  <c r="B428" i="8" s="1"/>
  <c r="B429" i="8" s="1"/>
  <c r="B430" i="8" s="1"/>
  <c r="B431" i="8" s="1"/>
  <c r="B432" i="8" s="1"/>
  <c r="B433" i="8" s="1"/>
  <c r="B434" i="8" s="1"/>
  <c r="B435" i="8" s="1"/>
  <c r="B436" i="8" s="1"/>
  <c r="B437" i="8" s="1"/>
  <c r="B438" i="8" s="1"/>
  <c r="B439" i="8" s="1"/>
  <c r="B440" i="8" s="1"/>
  <c r="B441" i="8" s="1"/>
  <c r="B442" i="8" s="1"/>
  <c r="B443" i="8" s="1"/>
  <c r="B444" i="8" s="1"/>
  <c r="B445" i="8" s="1"/>
  <c r="B446" i="8" s="1"/>
  <c r="B447" i="8" s="1"/>
  <c r="B448" i="8" s="1"/>
  <c r="B449" i="8" s="1"/>
  <c r="B450" i="8" s="1"/>
  <c r="B451" i="8" s="1"/>
  <c r="B452" i="8" s="1"/>
  <c r="B453" i="8" s="1"/>
  <c r="B454" i="8" s="1"/>
  <c r="B455" i="8" s="1"/>
  <c r="B456" i="8" s="1"/>
  <c r="B457" i="8" s="1"/>
  <c r="B458" i="8" s="1"/>
  <c r="B459" i="8" s="1"/>
  <c r="B460" i="8" s="1"/>
  <c r="B461" i="8" s="1"/>
  <c r="B462" i="8" s="1"/>
  <c r="B463" i="8" s="1"/>
  <c r="B464" i="8" s="1"/>
  <c r="B465" i="8" s="1"/>
  <c r="B466" i="8" s="1"/>
  <c r="B467" i="8" s="1"/>
  <c r="B468" i="8" s="1"/>
  <c r="B469" i="8" s="1"/>
  <c r="B470" i="8" s="1"/>
  <c r="B471" i="8" s="1"/>
  <c r="B472" i="8" s="1"/>
  <c r="B473" i="8" s="1"/>
  <c r="B474" i="8" s="1"/>
  <c r="B475" i="8" s="1"/>
  <c r="B476" i="8" s="1"/>
  <c r="B477" i="8" s="1"/>
  <c r="B478" i="8" s="1"/>
  <c r="B479" i="8" s="1"/>
  <c r="B480" i="8" s="1"/>
  <c r="B481" i="8" s="1"/>
  <c r="B482" i="8" s="1"/>
  <c r="B483" i="8" s="1"/>
  <c r="B484" i="8" s="1"/>
  <c r="B485" i="8" s="1"/>
  <c r="B486" i="8" s="1"/>
  <c r="B487" i="8" s="1"/>
  <c r="B488" i="8" s="1"/>
  <c r="B489" i="8" s="1"/>
  <c r="B490" i="8" s="1"/>
  <c r="B491" i="8" s="1"/>
  <c r="B492" i="8" s="1"/>
  <c r="B493" i="8" s="1"/>
  <c r="B494" i="8" s="1"/>
  <c r="B495" i="8" s="1"/>
  <c r="B496" i="8" s="1"/>
  <c r="B497" i="8" s="1"/>
  <c r="B498" i="8" s="1"/>
  <c r="B499" i="8" s="1"/>
  <c r="B500" i="8" s="1"/>
  <c r="B501" i="8" s="1"/>
  <c r="B502" i="8" s="1"/>
  <c r="B503" i="8" s="1"/>
  <c r="B504" i="8" s="1"/>
  <c r="B505" i="8" s="1"/>
  <c r="B506" i="8" s="1"/>
  <c r="K36" i="7"/>
  <c r="K37" i="7"/>
  <c r="K40" i="7"/>
  <c r="K41" i="7"/>
  <c r="K42" i="7"/>
  <c r="K43" i="7"/>
  <c r="K44" i="7"/>
  <c r="K45" i="7"/>
  <c r="K46" i="7"/>
  <c r="K47" i="7"/>
  <c r="K48" i="7"/>
  <c r="K49" i="7"/>
  <c r="K50" i="7"/>
  <c r="K51" i="7"/>
  <c r="K52" i="7"/>
  <c r="K53" i="7"/>
  <c r="K54" i="7"/>
  <c r="K55" i="7"/>
  <c r="K56" i="7"/>
  <c r="K57" i="7"/>
  <c r="K58" i="7"/>
  <c r="K59" i="7"/>
  <c r="K39" i="7"/>
  <c r="K60" i="7"/>
  <c r="K61" i="7"/>
  <c r="K62" i="7"/>
  <c r="K63" i="7"/>
  <c r="K64" i="7"/>
  <c r="K101" i="7"/>
  <c r="K102" i="7"/>
  <c r="K103" i="7"/>
  <c r="K104" i="7"/>
  <c r="K105" i="7"/>
  <c r="K106" i="7"/>
  <c r="K107" i="7"/>
  <c r="K108" i="7"/>
  <c r="K109" i="7"/>
  <c r="K114" i="7"/>
  <c r="K120" i="7"/>
  <c r="K115" i="7"/>
  <c r="K116" i="7"/>
  <c r="K117" i="7"/>
  <c r="K119" i="7"/>
  <c r="K121" i="7"/>
  <c r="K122"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E14" i="6"/>
  <c r="F14" i="6" s="1"/>
  <c r="E15" i="6"/>
  <c r="F15" i="6" s="1"/>
  <c r="E16" i="6"/>
  <c r="F16" i="6" s="1"/>
  <c r="E17" i="6"/>
  <c r="F17" i="6" s="1"/>
  <c r="E18" i="6"/>
  <c r="F18" i="6" s="1"/>
  <c r="E19" i="6"/>
  <c r="F19" i="6" s="1"/>
  <c r="E12" i="6"/>
  <c r="F12" i="6" s="1"/>
  <c r="E20" i="6"/>
  <c r="F20" i="6" s="1"/>
  <c r="E21" i="6"/>
  <c r="F21" i="6" s="1"/>
  <c r="E22" i="6"/>
  <c r="F22" i="6" s="1"/>
  <c r="E23" i="6"/>
  <c r="F23" i="6" s="1"/>
  <c r="E24" i="6"/>
  <c r="F24" i="6" s="1"/>
  <c r="E25" i="6"/>
  <c r="F25" i="6" s="1"/>
  <c r="E13" i="6"/>
  <c r="F13" i="6" s="1"/>
  <c r="E26" i="6"/>
  <c r="F26" i="6" s="1"/>
  <c r="E27" i="6"/>
  <c r="F27" i="6" s="1"/>
  <c r="E28" i="6"/>
  <c r="F28" i="6" s="1"/>
  <c r="E29" i="6"/>
  <c r="F29" i="6" s="1"/>
  <c r="E30" i="6"/>
  <c r="F30" i="6" s="1"/>
  <c r="E31" i="6"/>
  <c r="F31" i="6" s="1"/>
  <c r="E32" i="6"/>
  <c r="F32" i="6" s="1"/>
  <c r="E33" i="6"/>
  <c r="F33" i="6" s="1"/>
  <c r="E34" i="6"/>
  <c r="F34" i="6" s="1"/>
  <c r="E35" i="6"/>
  <c r="F35" i="6" s="1"/>
  <c r="E36" i="6"/>
  <c r="F36" i="6" s="1"/>
  <c r="E37" i="6"/>
  <c r="F37" i="6" s="1"/>
  <c r="E38" i="6"/>
  <c r="F38" i="6" s="1"/>
  <c r="E39" i="6"/>
  <c r="F39" i="6" s="1"/>
  <c r="E40" i="6"/>
  <c r="F40" i="6" s="1"/>
  <c r="E41" i="6"/>
  <c r="F41" i="6" s="1"/>
  <c r="E42" i="6"/>
  <c r="F42" i="6" s="1"/>
  <c r="E43" i="6"/>
  <c r="F43" i="6" s="1"/>
  <c r="E44" i="6"/>
  <c r="F44" i="6" s="1"/>
  <c r="E45" i="6"/>
  <c r="F45" i="6" s="1"/>
  <c r="E46" i="6"/>
  <c r="F46" i="6" s="1"/>
  <c r="E47" i="6"/>
  <c r="F47" i="6" s="1"/>
  <c r="E48" i="6"/>
  <c r="F48" i="6" s="1"/>
  <c r="E49" i="6"/>
  <c r="F49" i="6" s="1"/>
  <c r="E50" i="6"/>
  <c r="F50" i="6" s="1"/>
  <c r="E51" i="6"/>
  <c r="F51" i="6" s="1"/>
  <c r="E52" i="6"/>
  <c r="F52" i="6" s="1"/>
  <c r="E53" i="6"/>
  <c r="F53" i="6" s="1"/>
  <c r="E54" i="6"/>
  <c r="F54" i="6" s="1"/>
  <c r="E55" i="6"/>
  <c r="F55" i="6" s="1"/>
  <c r="E56" i="6"/>
  <c r="F56" i="6" s="1"/>
  <c r="E57" i="6"/>
  <c r="F57" i="6" s="1"/>
  <c r="E58" i="6"/>
  <c r="F58" i="6" s="1"/>
  <c r="E59" i="6"/>
  <c r="F59" i="6" s="1"/>
  <c r="E60" i="6"/>
  <c r="F60" i="6" s="1"/>
  <c r="E61" i="6"/>
  <c r="F61" i="6" s="1"/>
  <c r="E62" i="6"/>
  <c r="F62" i="6" s="1"/>
  <c r="E63" i="6"/>
  <c r="F63" i="6" s="1"/>
  <c r="E64" i="6"/>
  <c r="F64" i="6" s="1"/>
  <c r="E65" i="6"/>
  <c r="F65" i="6" s="1"/>
  <c r="E66" i="6"/>
  <c r="F66" i="6" s="1"/>
  <c r="E67" i="6"/>
  <c r="F67" i="6" s="1"/>
  <c r="E68" i="6"/>
  <c r="F68" i="6" s="1"/>
  <c r="E69" i="6"/>
  <c r="F69" i="6" s="1"/>
  <c r="E70" i="6"/>
  <c r="F70" i="6" s="1"/>
  <c r="E71" i="6"/>
  <c r="F71" i="6" s="1"/>
  <c r="E72" i="6"/>
  <c r="F72" i="6" s="1"/>
  <c r="E73" i="6"/>
  <c r="F73" i="6" s="1"/>
  <c r="E74" i="6"/>
  <c r="F74" i="6" s="1"/>
  <c r="E75" i="6"/>
  <c r="F75" i="6" s="1"/>
  <c r="E76" i="6"/>
  <c r="F76" i="6" s="1"/>
  <c r="E77" i="6"/>
  <c r="F77" i="6" s="1"/>
  <c r="E78" i="6"/>
  <c r="F78" i="6" s="1"/>
  <c r="E79" i="6"/>
  <c r="F79" i="6" s="1"/>
  <c r="E80" i="6"/>
  <c r="F80" i="6" s="1"/>
  <c r="E81" i="6"/>
  <c r="F81" i="6" s="1"/>
  <c r="E82" i="6"/>
  <c r="F82" i="6" s="1"/>
  <c r="E83" i="6"/>
  <c r="F83" i="6" s="1"/>
  <c r="E84" i="6"/>
  <c r="F84" i="6" s="1"/>
  <c r="E85" i="6"/>
  <c r="F85" i="6" s="1"/>
  <c r="E86" i="6"/>
  <c r="F86" i="6" s="1"/>
  <c r="J14" i="6"/>
  <c r="J15" i="6"/>
  <c r="J16" i="6"/>
  <c r="J17" i="6"/>
  <c r="J11" i="6"/>
  <c r="J18" i="6"/>
  <c r="J19" i="6"/>
  <c r="J20" i="6"/>
  <c r="J21" i="6"/>
  <c r="J22" i="6"/>
  <c r="J23" i="6"/>
  <c r="J24" i="6"/>
  <c r="J25" i="6"/>
  <c r="J13"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I15" i="6"/>
  <c r="I16" i="6"/>
  <c r="I17" i="6"/>
  <c r="I11" i="6"/>
  <c r="I18" i="6"/>
  <c r="I19" i="6"/>
  <c r="I20" i="6"/>
  <c r="I21" i="6"/>
  <c r="I22" i="6"/>
  <c r="I23" i="6"/>
  <c r="I24" i="6"/>
  <c r="I25" i="6"/>
  <c r="I13"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14" i="6"/>
  <c r="AP8" i="12" l="1"/>
  <c r="AP24" i="12"/>
  <c r="AT13" i="12"/>
  <c r="AT24" i="12"/>
  <c r="AT28" i="12"/>
  <c r="AT36" i="12"/>
  <c r="AP17" i="12"/>
  <c r="AP33" i="12"/>
  <c r="AQ12" i="12"/>
  <c r="AQ15" i="12"/>
  <c r="AU19" i="12"/>
  <c r="AQ23" i="12"/>
  <c r="AQ25" i="12"/>
  <c r="AU28" i="12"/>
  <c r="AQ36" i="12"/>
  <c r="AP18" i="12"/>
  <c r="BQ18" i="12" s="1"/>
  <c r="AP34" i="12"/>
  <c r="AR13" i="12"/>
  <c r="AR20" i="12"/>
  <c r="AV24" i="12"/>
  <c r="AR27" i="12"/>
  <c r="AR30" i="12"/>
  <c r="AQ33" i="12"/>
  <c r="AP19" i="12"/>
  <c r="AP35" i="12"/>
  <c r="AS19" i="12"/>
  <c r="AW24" i="12"/>
  <c r="AS28" i="12"/>
  <c r="AS36" i="12"/>
  <c r="AP12" i="12"/>
  <c r="AP28" i="12"/>
  <c r="AT14" i="12"/>
  <c r="AX24" i="12"/>
  <c r="AX28" i="12"/>
  <c r="AQ34" i="12"/>
  <c r="AP21" i="12"/>
  <c r="AQ9" i="12"/>
  <c r="AQ13" i="12"/>
  <c r="AQ16" i="12"/>
  <c r="AQ20" i="12"/>
  <c r="AQ24" i="12"/>
  <c r="AQ26" i="12"/>
  <c r="AY28" i="12"/>
  <c r="AQ8" i="12"/>
  <c r="AP22" i="12"/>
  <c r="AR9" i="12"/>
  <c r="AR14" i="12"/>
  <c r="AR22" i="12"/>
  <c r="AZ24" i="12"/>
  <c r="AR28" i="12"/>
  <c r="AR32" i="12"/>
  <c r="AQ35" i="12"/>
  <c r="AP23" i="12"/>
  <c r="AS10" i="12"/>
  <c r="AS22" i="12"/>
  <c r="BA24" i="12"/>
  <c r="AW28" i="12"/>
  <c r="AQ32" i="12"/>
  <c r="AP16" i="12"/>
  <c r="BQ16" i="12" s="1"/>
  <c r="AP32" i="12"/>
  <c r="AT19" i="12"/>
  <c r="BB24" i="12"/>
  <c r="AT30" i="12"/>
  <c r="AP9" i="12"/>
  <c r="AP25" i="12"/>
  <c r="AQ10" i="12"/>
  <c r="AU13" i="12"/>
  <c r="AQ17" i="12"/>
  <c r="AQ21" i="12"/>
  <c r="AU24" i="12"/>
  <c r="AQ27" i="12"/>
  <c r="AQ29" i="12"/>
  <c r="AP10" i="12"/>
  <c r="AP26" i="12"/>
  <c r="AR10" i="12"/>
  <c r="AR17" i="12"/>
  <c r="AR23" i="12"/>
  <c r="AR25" i="12"/>
  <c r="AV28" i="12"/>
  <c r="AR33" i="12"/>
  <c r="AP11" i="12"/>
  <c r="AP27" i="12"/>
  <c r="AS13" i="12"/>
  <c r="AS23" i="12"/>
  <c r="AS25" i="12"/>
  <c r="AS30" i="12"/>
  <c r="AU36" i="12"/>
  <c r="AP20" i="12"/>
  <c r="AP36" i="12"/>
  <c r="AT23" i="12"/>
  <c r="AT25" i="12"/>
  <c r="AT32" i="12"/>
  <c r="AP13" i="12"/>
  <c r="AP29" i="12"/>
  <c r="AQ11" i="12"/>
  <c r="AQ14" i="12"/>
  <c r="AQ19" i="12"/>
  <c r="AQ22" i="12"/>
  <c r="AY24" i="12"/>
  <c r="AQ28" i="12"/>
  <c r="AQ30" i="12"/>
  <c r="AP14" i="12"/>
  <c r="AP30" i="12"/>
  <c r="AR11" i="12"/>
  <c r="AR19" i="12"/>
  <c r="AR24" i="12"/>
  <c r="AR26" i="12"/>
  <c r="AR29" i="12"/>
  <c r="AR36" i="12"/>
  <c r="AP15" i="12"/>
  <c r="BQ15" i="12" s="1"/>
  <c r="AP31" i="12"/>
  <c r="BQ31" i="12" s="1"/>
  <c r="AS14" i="12"/>
  <c r="AS24" i="12"/>
  <c r="AS27" i="12"/>
  <c r="AS32" i="12"/>
  <c r="T166" i="7"/>
  <c r="T158" i="7"/>
  <c r="T162" i="7"/>
  <c r="T142" i="7"/>
  <c r="T115" i="7"/>
  <c r="T60" i="7"/>
  <c r="T53" i="7"/>
  <c r="T45" i="7"/>
  <c r="T165" i="7"/>
  <c r="T161" i="7"/>
  <c r="T157" i="7"/>
  <c r="T153" i="7"/>
  <c r="T149" i="7"/>
  <c r="T145" i="7"/>
  <c r="T125" i="7"/>
  <c r="T119" i="7"/>
  <c r="T120" i="7"/>
  <c r="T63" i="7"/>
  <c r="T39" i="7"/>
  <c r="T56" i="7"/>
  <c r="T48" i="7"/>
  <c r="T44" i="7"/>
  <c r="T40" i="7"/>
  <c r="T146" i="7"/>
  <c r="T126" i="7"/>
  <c r="T108" i="7"/>
  <c r="T64" i="7"/>
  <c r="T57" i="7"/>
  <c r="T49" i="7"/>
  <c r="T168" i="7"/>
  <c r="T76" i="7"/>
  <c r="T72" i="7"/>
  <c r="T75" i="7"/>
  <c r="T112" i="7"/>
  <c r="T77" i="7"/>
  <c r="T79" i="7"/>
  <c r="T80" i="7"/>
  <c r="T33" i="7"/>
  <c r="T32" i="7"/>
  <c r="T81" i="7"/>
  <c r="T73" i="7"/>
  <c r="T123" i="7"/>
  <c r="T164" i="7"/>
  <c r="T156" i="7"/>
  <c r="T148" i="7"/>
  <c r="T140" i="7"/>
  <c r="T132" i="7"/>
  <c r="T128" i="7"/>
  <c r="T124" i="7"/>
  <c r="T117" i="7"/>
  <c r="T114" i="7"/>
  <c r="T106" i="7"/>
  <c r="T59" i="7"/>
  <c r="T55" i="7"/>
  <c r="T51" i="7"/>
  <c r="T47" i="7"/>
  <c r="T37" i="7"/>
  <c r="T154" i="7"/>
  <c r="T121" i="7"/>
  <c r="T167" i="7"/>
  <c r="T163" i="7"/>
  <c r="T159" i="7"/>
  <c r="T155" i="7"/>
  <c r="T151" i="7"/>
  <c r="T139" i="7"/>
  <c r="T127" i="7"/>
  <c r="T122" i="7"/>
  <c r="T116" i="7"/>
  <c r="T109" i="7"/>
  <c r="T105" i="7"/>
  <c r="T101" i="7"/>
  <c r="T58" i="7"/>
  <c r="T50" i="7"/>
  <c r="T46" i="7"/>
  <c r="T42" i="7"/>
  <c r="T36" i="7"/>
  <c r="T28" i="7"/>
  <c r="T22" i="7"/>
  <c r="T19" i="7"/>
  <c r="T17" i="7"/>
  <c r="T35" i="7"/>
  <c r="T16" i="7"/>
  <c r="T15" i="7"/>
  <c r="T18" i="7"/>
  <c r="T38" i="7"/>
  <c r="T30" i="7"/>
  <c r="T12" i="7"/>
  <c r="T29" i="7"/>
  <c r="T10" i="7"/>
  <c r="T31" i="7"/>
  <c r="T8" i="7"/>
  <c r="T74" i="7"/>
  <c r="T118" i="7"/>
  <c r="T26" i="7"/>
  <c r="T23" i="7"/>
  <c r="T25" i="7"/>
  <c r="T27" i="7"/>
  <c r="T78" i="7"/>
  <c r="T34" i="7"/>
  <c r="T24" i="7"/>
  <c r="T9" i="7"/>
  <c r="T20" i="7"/>
  <c r="J160" i="7"/>
  <c r="J152" i="7"/>
  <c r="J144" i="7"/>
  <c r="J136" i="7"/>
  <c r="J102" i="7"/>
  <c r="J147" i="7"/>
  <c r="J143" i="7"/>
  <c r="J135" i="7"/>
  <c r="J131" i="7"/>
  <c r="J150" i="7"/>
  <c r="J138" i="7"/>
  <c r="J134" i="7"/>
  <c r="J130" i="7"/>
  <c r="J104" i="7"/>
  <c r="J141" i="7"/>
  <c r="J137" i="7"/>
  <c r="J133" i="7"/>
  <c r="J129" i="7"/>
  <c r="J107" i="7"/>
  <c r="J103" i="7"/>
  <c r="J156" i="7"/>
  <c r="J140" i="7"/>
  <c r="J55" i="7"/>
  <c r="J167" i="7"/>
  <c r="J163" i="7"/>
  <c r="J159" i="7"/>
  <c r="J155" i="7"/>
  <c r="J151" i="7"/>
  <c r="J139" i="7"/>
  <c r="J127" i="7"/>
  <c r="J122" i="7"/>
  <c r="J116" i="7"/>
  <c r="J109" i="7"/>
  <c r="J105" i="7"/>
  <c r="J101" i="7"/>
  <c r="J58" i="7"/>
  <c r="J50" i="7"/>
  <c r="J46" i="7"/>
  <c r="J42" i="7"/>
  <c r="J168" i="7"/>
  <c r="J164" i="7"/>
  <c r="J148" i="7"/>
  <c r="J132" i="7"/>
  <c r="J128" i="7"/>
  <c r="J124" i="7"/>
  <c r="J117" i="7"/>
  <c r="J114" i="7"/>
  <c r="J106" i="7"/>
  <c r="J59" i="7"/>
  <c r="J47" i="7"/>
  <c r="J166" i="7"/>
  <c r="J162" i="7"/>
  <c r="J158" i="7"/>
  <c r="J154" i="7"/>
  <c r="J146" i="7"/>
  <c r="J142" i="7"/>
  <c r="J126" i="7"/>
  <c r="J121" i="7"/>
  <c r="J115" i="7"/>
  <c r="J108" i="7"/>
  <c r="J64" i="7"/>
  <c r="J60" i="7"/>
  <c r="J57" i="7"/>
  <c r="J53" i="7"/>
  <c r="J49" i="7"/>
  <c r="J45" i="7"/>
  <c r="J51" i="7"/>
  <c r="J37" i="7"/>
  <c r="J165" i="7"/>
  <c r="J161" i="7"/>
  <c r="J157" i="7"/>
  <c r="J153" i="7"/>
  <c r="J149" i="7"/>
  <c r="J145" i="7"/>
  <c r="J125" i="7"/>
  <c r="J119" i="7"/>
  <c r="J120" i="7"/>
  <c r="J63" i="7"/>
  <c r="J39" i="7"/>
  <c r="J56" i="7"/>
  <c r="J48" i="7"/>
  <c r="J44" i="7"/>
  <c r="J40" i="7"/>
  <c r="J62" i="7"/>
  <c r="J43" i="7"/>
  <c r="J61" i="7"/>
  <c r="J54" i="7"/>
  <c r="J36" i="7"/>
  <c r="J41" i="7"/>
  <c r="J52" i="7"/>
  <c r="H11" i="6"/>
  <c r="H27" i="6"/>
  <c r="H43" i="6"/>
  <c r="H59" i="6"/>
  <c r="H75" i="6"/>
  <c r="H91" i="6"/>
  <c r="H107" i="6"/>
  <c r="H123" i="6"/>
  <c r="H139" i="6"/>
  <c r="H155" i="6"/>
  <c r="H171" i="6"/>
  <c r="H66" i="6"/>
  <c r="H114" i="6"/>
  <c r="H162" i="6"/>
  <c r="H24" i="6"/>
  <c r="H40" i="6"/>
  <c r="H56" i="6"/>
  <c r="H72" i="6"/>
  <c r="H88" i="6"/>
  <c r="H104" i="6"/>
  <c r="H120" i="6"/>
  <c r="H136" i="6"/>
  <c r="H152" i="6"/>
  <c r="H168" i="6"/>
  <c r="H42" i="6"/>
  <c r="H86" i="6"/>
  <c r="H130" i="6"/>
  <c r="H13" i="6"/>
  <c r="H29" i="6"/>
  <c r="H45" i="6"/>
  <c r="H61" i="6"/>
  <c r="H77" i="6"/>
  <c r="H93" i="6"/>
  <c r="H109" i="6"/>
  <c r="H125" i="6"/>
  <c r="H141" i="6"/>
  <c r="H157" i="6"/>
  <c r="H14" i="6"/>
  <c r="H58" i="6"/>
  <c r="H110" i="6"/>
  <c r="H158" i="6"/>
  <c r="H15" i="6"/>
  <c r="H31" i="6"/>
  <c r="H47" i="6"/>
  <c r="H63" i="6"/>
  <c r="H79" i="6"/>
  <c r="H95" i="6"/>
  <c r="H111" i="6"/>
  <c r="H127" i="6"/>
  <c r="H143" i="6"/>
  <c r="H159" i="6"/>
  <c r="H22" i="6"/>
  <c r="H78" i="6"/>
  <c r="H126" i="6"/>
  <c r="H12" i="6"/>
  <c r="H28" i="6"/>
  <c r="H44" i="6"/>
  <c r="H60" i="6"/>
  <c r="H76" i="6"/>
  <c r="H92" i="6"/>
  <c r="H108" i="6"/>
  <c r="H124" i="6"/>
  <c r="H140" i="6"/>
  <c r="H156" i="6"/>
  <c r="H172" i="6"/>
  <c r="H54" i="6"/>
  <c r="H98" i="6"/>
  <c r="H142" i="6"/>
  <c r="H17" i="6"/>
  <c r="H33" i="6"/>
  <c r="H49" i="6"/>
  <c r="H65" i="6"/>
  <c r="H81" i="6"/>
  <c r="H97" i="6"/>
  <c r="H113" i="6"/>
  <c r="H129" i="6"/>
  <c r="H145" i="6"/>
  <c r="H161" i="6"/>
  <c r="H26" i="6"/>
  <c r="H70" i="6"/>
  <c r="H122" i="6"/>
  <c r="H166" i="6"/>
  <c r="H19" i="6"/>
  <c r="H35" i="6"/>
  <c r="H51" i="6"/>
  <c r="H67" i="6"/>
  <c r="H83" i="6"/>
  <c r="H99" i="6"/>
  <c r="H115" i="6"/>
  <c r="H131" i="6"/>
  <c r="H147" i="6"/>
  <c r="H163" i="6"/>
  <c r="H38" i="6"/>
  <c r="H90" i="6"/>
  <c r="H138" i="6"/>
  <c r="H16" i="6"/>
  <c r="H32" i="6"/>
  <c r="H48" i="6"/>
  <c r="H64" i="6"/>
  <c r="H80" i="6"/>
  <c r="H96" i="6"/>
  <c r="H112" i="6"/>
  <c r="H128" i="6"/>
  <c r="H144" i="6"/>
  <c r="H160" i="6"/>
  <c r="H18" i="6"/>
  <c r="H62" i="6"/>
  <c r="H106" i="6"/>
  <c r="H154" i="6"/>
  <c r="H21" i="6"/>
  <c r="H37" i="6"/>
  <c r="H53" i="6"/>
  <c r="H69" i="6"/>
  <c r="H85" i="6"/>
  <c r="H101" i="6"/>
  <c r="H117" i="6"/>
  <c r="H133" i="6"/>
  <c r="H149" i="6"/>
  <c r="H165" i="6"/>
  <c r="H34" i="6"/>
  <c r="H82" i="6"/>
  <c r="H134" i="6"/>
  <c r="H23" i="6"/>
  <c r="H39" i="6"/>
  <c r="H55" i="6"/>
  <c r="H71" i="6"/>
  <c r="H87" i="6"/>
  <c r="H103" i="6"/>
  <c r="H119" i="6"/>
  <c r="H135" i="6"/>
  <c r="H151" i="6"/>
  <c r="H167" i="6"/>
  <c r="H50" i="6"/>
  <c r="H102" i="6"/>
  <c r="H150" i="6"/>
  <c r="H20" i="6"/>
  <c r="H36" i="6"/>
  <c r="H52" i="6"/>
  <c r="H68" i="6"/>
  <c r="H84" i="6"/>
  <c r="H100" i="6"/>
  <c r="H116" i="6"/>
  <c r="H132" i="6"/>
  <c r="H148" i="6"/>
  <c r="H164" i="6"/>
  <c r="H30" i="6"/>
  <c r="H74" i="6"/>
  <c r="H118" i="6"/>
  <c r="H170" i="6"/>
  <c r="H25" i="6"/>
  <c r="H41" i="6"/>
  <c r="H57" i="6"/>
  <c r="H73" i="6"/>
  <c r="H89" i="6"/>
  <c r="H105" i="6"/>
  <c r="H121" i="6"/>
  <c r="H137" i="6"/>
  <c r="H153" i="6"/>
  <c r="H169" i="6"/>
  <c r="H46" i="6"/>
  <c r="H94" i="6"/>
  <c r="H146" i="6"/>
  <c r="N112" i="13"/>
  <c r="N113" i="13" s="1"/>
  <c r="N114" i="13" s="1"/>
  <c r="N115" i="13" s="1"/>
  <c r="N116" i="13" s="1"/>
  <c r="N61" i="13"/>
  <c r="N62" i="13" s="1"/>
  <c r="N63" i="13" s="1"/>
  <c r="N64" i="13" s="1"/>
  <c r="N65" i="13" s="1"/>
  <c r="N66" i="13" s="1"/>
  <c r="N20" i="13"/>
  <c r="N148" i="13"/>
  <c r="N149" i="13" s="1"/>
  <c r="N150" i="13" s="1"/>
  <c r="U167" i="7" a="1"/>
  <c r="U167" i="7" s="1"/>
  <c r="W167" i="7" s="1"/>
  <c r="U164" i="7" a="1"/>
  <c r="U164" i="7" s="1"/>
  <c r="U160" i="7" a="1"/>
  <c r="U160" i="7" s="1"/>
  <c r="U156" i="7" a="1"/>
  <c r="U156" i="7" s="1"/>
  <c r="U152" i="7" a="1"/>
  <c r="U152" i="7" s="1"/>
  <c r="U148" i="7" a="1"/>
  <c r="U148" i="7" s="1"/>
  <c r="W148" i="7" s="1"/>
  <c r="U144" i="7" a="1"/>
  <c r="U144" i="7" s="1"/>
  <c r="U140" i="7" a="1"/>
  <c r="U140" i="7" s="1"/>
  <c r="U136" i="7" a="1"/>
  <c r="U136" i="7" s="1"/>
  <c r="U132" i="7" a="1"/>
  <c r="U132" i="7" s="1"/>
  <c r="U128" i="7" a="1"/>
  <c r="U128" i="7" s="1"/>
  <c r="W128" i="7" s="1"/>
  <c r="U124" i="7" a="1"/>
  <c r="U124" i="7" s="1"/>
  <c r="W124" i="7" s="1"/>
  <c r="U119" i="7" a="1"/>
  <c r="U119" i="7" s="1"/>
  <c r="W119" i="7" s="1"/>
  <c r="U109" i="7" a="1"/>
  <c r="U109" i="7" s="1"/>
  <c r="W109" i="7" s="1"/>
  <c r="U105" i="7" a="1"/>
  <c r="U105" i="7" s="1"/>
  <c r="U101" i="7" a="1"/>
  <c r="U101" i="7" s="1"/>
  <c r="U39" i="7" a="1"/>
  <c r="U39" i="7" s="1"/>
  <c r="U57" i="7" a="1"/>
  <c r="U57" i="7" s="1"/>
  <c r="U53" i="7" a="1"/>
  <c r="U53" i="7" s="1"/>
  <c r="U49" i="7" a="1"/>
  <c r="U49" i="7" s="1"/>
  <c r="U45" i="7" a="1"/>
  <c r="U45" i="7" s="1"/>
  <c r="U41" i="7" a="1"/>
  <c r="U41" i="7" s="1"/>
  <c r="U163" i="7" a="1"/>
  <c r="U163" i="7" s="1"/>
  <c r="U159" i="7" a="1"/>
  <c r="U159" i="7" s="1"/>
  <c r="W159" i="7" s="1"/>
  <c r="U155" i="7" a="1"/>
  <c r="U155" i="7" s="1"/>
  <c r="U151" i="7" a="1"/>
  <c r="U151" i="7" s="1"/>
  <c r="U147" i="7" a="1"/>
  <c r="U147" i="7" s="1"/>
  <c r="U143" i="7" a="1"/>
  <c r="U143" i="7" s="1"/>
  <c r="U139" i="7" a="1"/>
  <c r="U139" i="7" s="1"/>
  <c r="U135" i="7" a="1"/>
  <c r="U135" i="7" s="1"/>
  <c r="U131" i="7" a="1"/>
  <c r="U131" i="7" s="1"/>
  <c r="U127" i="7" a="1"/>
  <c r="U127" i="7" s="1"/>
  <c r="U122" i="7" a="1"/>
  <c r="U122" i="7" s="1"/>
  <c r="U117" i="7" a="1"/>
  <c r="U117" i="7" s="1"/>
  <c r="W117" i="7" s="1"/>
  <c r="U120" i="7" a="1"/>
  <c r="U120" i="7" s="1"/>
  <c r="W120" i="7" s="1"/>
  <c r="U108" i="7" a="1"/>
  <c r="U108" i="7" s="1"/>
  <c r="W108" i="7" s="1"/>
  <c r="U104" i="7" a="1"/>
  <c r="U104" i="7" s="1"/>
  <c r="U64" i="7" a="1"/>
  <c r="U64" i="7" s="1"/>
  <c r="U59" i="7" a="1"/>
  <c r="U59" i="7" s="1"/>
  <c r="U56" i="7" a="1"/>
  <c r="U56" i="7" s="1"/>
  <c r="U52" i="7" a="1"/>
  <c r="U52" i="7" s="1"/>
  <c r="U48" i="7" a="1"/>
  <c r="U48" i="7" s="1"/>
  <c r="U44" i="7" a="1"/>
  <c r="U44" i="7" s="1"/>
  <c r="U40" i="7" a="1"/>
  <c r="U40" i="7" s="1"/>
  <c r="U166" i="7" a="1"/>
  <c r="U166" i="7" s="1"/>
  <c r="U162" i="7" a="1"/>
  <c r="U162" i="7" s="1"/>
  <c r="U158" i="7" a="1"/>
  <c r="U158" i="7" s="1"/>
  <c r="U154" i="7" a="1"/>
  <c r="U154" i="7" s="1"/>
  <c r="U150" i="7" a="1"/>
  <c r="U150" i="7" s="1"/>
  <c r="U146" i="7" a="1"/>
  <c r="U146" i="7" s="1"/>
  <c r="U142" i="7" a="1"/>
  <c r="U142" i="7" s="1"/>
  <c r="U138" i="7" a="1"/>
  <c r="U138" i="7" s="1"/>
  <c r="U134" i="7" a="1"/>
  <c r="U134" i="7" s="1"/>
  <c r="U130" i="7" a="1"/>
  <c r="U130" i="7" s="1"/>
  <c r="U126" i="7" a="1"/>
  <c r="U126" i="7" s="1"/>
  <c r="W126" i="7" s="1"/>
  <c r="U116" i="7" a="1"/>
  <c r="U116" i="7" s="1"/>
  <c r="U114" i="7" a="1"/>
  <c r="U114" i="7" s="1"/>
  <c r="U107" i="7" a="1"/>
  <c r="U107" i="7" s="1"/>
  <c r="U103" i="7" a="1"/>
  <c r="U103" i="7" s="1"/>
  <c r="U63" i="7" a="1"/>
  <c r="U63" i="7" s="1"/>
  <c r="U61" i="7" a="1"/>
  <c r="U61" i="7" s="1"/>
  <c r="U58" i="7" a="1"/>
  <c r="U58" i="7" s="1"/>
  <c r="U55" i="7" a="1"/>
  <c r="U55" i="7" s="1"/>
  <c r="U51" i="7" a="1"/>
  <c r="U51" i="7" s="1"/>
  <c r="U47" i="7" a="1"/>
  <c r="U47" i="7" s="1"/>
  <c r="U43" i="7" a="1"/>
  <c r="U43" i="7" s="1"/>
  <c r="U168" i="7" a="1"/>
  <c r="U168" i="7" s="1"/>
  <c r="W168" i="7" s="1"/>
  <c r="U165" i="7" a="1"/>
  <c r="U165" i="7" s="1"/>
  <c r="U161" i="7" a="1"/>
  <c r="U161" i="7" s="1"/>
  <c r="U157" i="7" a="1"/>
  <c r="U157" i="7" s="1"/>
  <c r="U153" i="7" a="1"/>
  <c r="U153" i="7" s="1"/>
  <c r="U149" i="7" a="1"/>
  <c r="U149" i="7" s="1"/>
  <c r="W149" i="7" s="1"/>
  <c r="U145" i="7" a="1"/>
  <c r="U145" i="7" s="1"/>
  <c r="U141" i="7" a="1"/>
  <c r="U141" i="7" s="1"/>
  <c r="U137" i="7" a="1"/>
  <c r="U137" i="7" s="1"/>
  <c r="U133" i="7" a="1"/>
  <c r="U133" i="7" s="1"/>
  <c r="U129" i="7" a="1"/>
  <c r="U129" i="7" s="1"/>
  <c r="U125" i="7" a="1"/>
  <c r="U125" i="7" s="1"/>
  <c r="W125" i="7" s="1"/>
  <c r="U121" i="7" a="1"/>
  <c r="U121" i="7" s="1"/>
  <c r="U115" i="7" a="1"/>
  <c r="U115" i="7" s="1"/>
  <c r="U106" i="7" a="1"/>
  <c r="U106" i="7" s="1"/>
  <c r="U102" i="7" a="1"/>
  <c r="U102" i="7" s="1"/>
  <c r="U62" i="7" a="1"/>
  <c r="U62" i="7" s="1"/>
  <c r="U60" i="7" a="1"/>
  <c r="U60" i="7" s="1"/>
  <c r="U54" i="7" a="1"/>
  <c r="U54" i="7" s="1"/>
  <c r="U50" i="7" a="1"/>
  <c r="U50" i="7" s="1"/>
  <c r="U46" i="7" a="1"/>
  <c r="U46" i="7" s="1"/>
  <c r="U42" i="7" a="1"/>
  <c r="U42" i="7" s="1"/>
  <c r="U37" i="7" a="1"/>
  <c r="U37" i="7" s="1"/>
  <c r="U36" i="7" a="1"/>
  <c r="U36" i="7" s="1"/>
  <c r="W36" i="7" s="1"/>
  <c r="N40" i="13"/>
  <c r="N41" i="13" s="1"/>
  <c r="N42" i="13" s="1"/>
  <c r="N43" i="13" s="1"/>
  <c r="N101" i="13"/>
  <c r="N102" i="13" s="1"/>
  <c r="N103" i="13" s="1"/>
  <c r="N104" i="13" s="1"/>
  <c r="N105" i="13" s="1"/>
  <c r="N106" i="13" s="1"/>
  <c r="N107" i="13" s="1"/>
  <c r="N108" i="13" s="1"/>
  <c r="N21" i="13"/>
  <c r="N22" i="13" s="1"/>
  <c r="N23" i="13" s="1"/>
  <c r="N24" i="13" s="1"/>
  <c r="N69" i="13"/>
  <c r="N70" i="13" s="1"/>
  <c r="N71" i="13" s="1"/>
  <c r="N72" i="13" s="1"/>
  <c r="N73" i="13" s="1"/>
  <c r="N172" i="13"/>
  <c r="N173" i="13" s="1"/>
  <c r="N174" i="13" s="1"/>
  <c r="N175" i="13" s="1"/>
  <c r="N176" i="13" s="1"/>
  <c r="N177" i="13" s="1"/>
  <c r="N178" i="13" s="1"/>
  <c r="N179" i="13" s="1"/>
  <c r="N189" i="13"/>
  <c r="N190" i="13" s="1"/>
  <c r="N191" i="13" s="1"/>
  <c r="N192" i="13" s="1"/>
  <c r="N193" i="13" s="1"/>
  <c r="N194" i="13" s="1"/>
  <c r="N195" i="13" s="1"/>
  <c r="N196" i="13" s="1"/>
  <c r="N197" i="13" s="1"/>
  <c r="N198" i="13" s="1"/>
  <c r="N199" i="13" s="1"/>
  <c r="N200" i="13" s="1"/>
  <c r="N201" i="13" s="1"/>
  <c r="N202" i="13" s="1"/>
  <c r="N203" i="13" s="1"/>
  <c r="N204" i="13" s="1"/>
  <c r="N85" i="13"/>
  <c r="N86" i="13" s="1"/>
  <c r="N87" i="13" s="1"/>
  <c r="N88" i="13" s="1"/>
  <c r="N89" i="13" s="1"/>
  <c r="N90" i="13" s="1"/>
  <c r="N91" i="13" s="1"/>
  <c r="N14" i="13"/>
  <c r="N15" i="13" s="1"/>
  <c r="N16" i="13" s="1"/>
  <c r="N17" i="13" s="1"/>
  <c r="N230" i="13"/>
  <c r="N231" i="13" s="1"/>
  <c r="N232" i="13" s="1"/>
  <c r="N233" i="13" s="1"/>
  <c r="N234" i="13" s="1"/>
  <c r="N235" i="13" s="1"/>
  <c r="N236" i="13" s="1"/>
  <c r="N237" i="13" s="1"/>
  <c r="N238" i="13" s="1"/>
  <c r="N239" i="13" s="1"/>
  <c r="N240" i="13" s="1"/>
  <c r="N241" i="13" s="1"/>
  <c r="N242" i="13" s="1"/>
  <c r="N243" i="13" s="1"/>
  <c r="N244" i="13" s="1"/>
  <c r="N245" i="13" s="1"/>
  <c r="N246" i="13" s="1"/>
  <c r="N247" i="13" s="1"/>
  <c r="N248" i="13" s="1"/>
  <c r="N249" i="13" s="1"/>
  <c r="N250" i="13" s="1"/>
  <c r="N251" i="13" s="1"/>
  <c r="N252" i="13" s="1"/>
  <c r="N76" i="13"/>
  <c r="N77" i="13" s="1"/>
  <c r="N78" i="13" s="1"/>
  <c r="N79" i="13" s="1"/>
  <c r="N80" i="13" s="1"/>
  <c r="N81" i="13" s="1"/>
  <c r="N82" i="13" s="1"/>
  <c r="N154" i="13"/>
  <c r="N155" i="13" s="1"/>
  <c r="N156" i="13" s="1"/>
  <c r="N157" i="13" s="1"/>
  <c r="N158" i="13" s="1"/>
  <c r="N159" i="13" s="1"/>
  <c r="N160" i="13" s="1"/>
  <c r="N161" i="13" s="1"/>
  <c r="N162" i="13" s="1"/>
  <c r="N26" i="13"/>
  <c r="N27" i="13" s="1"/>
  <c r="N28" i="13" s="1"/>
  <c r="N29" i="13" s="1"/>
  <c r="N30" i="13" s="1"/>
  <c r="N33" i="13"/>
  <c r="N34" i="13" s="1"/>
  <c r="N35" i="13" s="1"/>
  <c r="N36" i="13" s="1"/>
  <c r="N37" i="13" s="1"/>
  <c r="N165" i="13"/>
  <c r="N166" i="13" s="1"/>
  <c r="N167" i="13" s="1"/>
  <c r="N168" i="13" s="1"/>
  <c r="N169" i="13" s="1"/>
  <c r="N221" i="13"/>
  <c r="N222" i="13" s="1"/>
  <c r="N223" i="13" s="1"/>
  <c r="N224" i="13" s="1"/>
  <c r="N225" i="13" s="1"/>
  <c r="N226" i="13" s="1"/>
  <c r="N227" i="13" s="1"/>
  <c r="N228" i="13" s="1"/>
  <c r="N45" i="13"/>
  <c r="N46" i="13" s="1"/>
  <c r="N47" i="13" s="1"/>
  <c r="N48" i="13" s="1"/>
  <c r="N49" i="13" s="1"/>
  <c r="N50" i="13" s="1"/>
  <c r="N51" i="13" s="1"/>
  <c r="N52" i="13" s="1"/>
  <c r="N206" i="13"/>
  <c r="N207" i="13" s="1"/>
  <c r="N208" i="13" s="1"/>
  <c r="N209" i="13" s="1"/>
  <c r="N210" i="13" s="1"/>
  <c r="N211" i="13" s="1"/>
  <c r="N212" i="13" s="1"/>
  <c r="N213" i="13" s="1"/>
  <c r="N214" i="13" s="1"/>
  <c r="N215" i="13" s="1"/>
  <c r="N216" i="13" s="1"/>
  <c r="N217" i="13" s="1"/>
  <c r="N218" i="13" s="1"/>
  <c r="N219" i="13" s="1"/>
  <c r="N121" i="13"/>
  <c r="N122" i="13" s="1"/>
  <c r="N123" i="13" s="1"/>
  <c r="N124" i="13" s="1"/>
  <c r="N125" i="13" s="1"/>
  <c r="N126" i="13" s="1"/>
  <c r="N127" i="13" s="1"/>
  <c r="N128" i="13" s="1"/>
  <c r="N129" i="13" s="1"/>
  <c r="N130" i="13" s="1"/>
  <c r="N131" i="13" s="1"/>
  <c r="N132" i="13" s="1"/>
  <c r="N133" i="13" s="1"/>
  <c r="N134" i="13" s="1"/>
  <c r="N135" i="13" s="1"/>
  <c r="N136" i="13" s="1"/>
  <c r="N137" i="13" s="1"/>
  <c r="N138" i="13" s="1"/>
  <c r="N139" i="13" s="1"/>
  <c r="N140" i="13" s="1"/>
  <c r="N141" i="13" s="1"/>
  <c r="N142" i="13" s="1"/>
  <c r="N143" i="13" s="1"/>
  <c r="N144" i="13" s="1"/>
  <c r="N145" i="13" s="1"/>
  <c r="N56" i="13"/>
  <c r="N57" i="13" s="1"/>
  <c r="N58" i="13" s="1"/>
  <c r="N93" i="13"/>
  <c r="N94" i="13" s="1"/>
  <c r="N95" i="13" s="1"/>
  <c r="N96" i="13" s="1"/>
  <c r="N97" i="13" s="1"/>
  <c r="N98" i="13" s="1"/>
  <c r="N181" i="13"/>
  <c r="N182" i="13" s="1"/>
  <c r="N183" i="13" s="1"/>
  <c r="N184" i="13" s="1"/>
  <c r="N185" i="13" s="1"/>
  <c r="N186" i="13" s="1"/>
  <c r="N9" i="13"/>
  <c r="N10" i="13" s="1"/>
  <c r="N11" i="13" s="1"/>
  <c r="N12" i="13" s="1"/>
  <c r="G84" i="6"/>
  <c r="G80" i="6"/>
  <c r="G76" i="6"/>
  <c r="G72" i="6"/>
  <c r="G68" i="6"/>
  <c r="G64" i="6"/>
  <c r="G60" i="6"/>
  <c r="G56" i="6"/>
  <c r="G52" i="6"/>
  <c r="G48" i="6"/>
  <c r="G44" i="6"/>
  <c r="G40" i="6"/>
  <c r="G36" i="6"/>
  <c r="G32" i="6"/>
  <c r="G18" i="6"/>
  <c r="G79" i="6"/>
  <c r="G71" i="6"/>
  <c r="G63" i="6"/>
  <c r="G55" i="6"/>
  <c r="G47" i="6"/>
  <c r="G39" i="6"/>
  <c r="G31" i="6"/>
  <c r="G24" i="6"/>
  <c r="G11" i="6"/>
  <c r="G25" i="6"/>
  <c r="G28" i="6"/>
  <c r="G21" i="6"/>
  <c r="G15" i="6"/>
  <c r="G83" i="6"/>
  <c r="G75" i="6"/>
  <c r="G67" i="6"/>
  <c r="G59" i="6"/>
  <c r="G51" i="6"/>
  <c r="G43" i="6"/>
  <c r="G35" i="6"/>
  <c r="G27" i="6"/>
  <c r="G20" i="6"/>
  <c r="G14" i="6"/>
  <c r="G86" i="6"/>
  <c r="G82" i="6"/>
  <c r="G78" i="6"/>
  <c r="G74" i="6"/>
  <c r="G70" i="6"/>
  <c r="G66" i="6"/>
  <c r="G62" i="6"/>
  <c r="G58" i="6"/>
  <c r="G54" i="6"/>
  <c r="G50" i="6"/>
  <c r="G46" i="6"/>
  <c r="G42" i="6"/>
  <c r="G38" i="6"/>
  <c r="G34" i="6"/>
  <c r="G30" i="6"/>
  <c r="G26" i="6"/>
  <c r="G23" i="6"/>
  <c r="G12" i="6"/>
  <c r="G17" i="6"/>
  <c r="G85" i="6"/>
  <c r="G81" i="6"/>
  <c r="G77" i="6"/>
  <c r="G73" i="6"/>
  <c r="G69" i="6"/>
  <c r="G65" i="6"/>
  <c r="G61" i="6"/>
  <c r="G57" i="6"/>
  <c r="G53" i="6"/>
  <c r="G49" i="6"/>
  <c r="G45" i="6"/>
  <c r="G41" i="6"/>
  <c r="G37" i="6"/>
  <c r="G33" i="6"/>
  <c r="G29" i="6"/>
  <c r="G13" i="6"/>
  <c r="G22" i="6"/>
  <c r="G19" i="6"/>
  <c r="G16" i="6"/>
  <c r="BQ20" i="12" l="1"/>
  <c r="V117" i="7"/>
  <c r="V148" i="7"/>
  <c r="V159" i="7"/>
  <c r="V120" i="7"/>
  <c r="V149" i="7"/>
  <c r="V124" i="7"/>
  <c r="V109" i="7"/>
  <c r="V119" i="7"/>
  <c r="V108" i="7"/>
  <c r="V125" i="7"/>
  <c r="BQ9" i="12"/>
  <c r="BQ12" i="12"/>
  <c r="BQ13" i="12"/>
  <c r="BQ10" i="12"/>
  <c r="BQ14" i="12"/>
  <c r="BQ29" i="12"/>
  <c r="BQ32" i="12"/>
  <c r="BQ21" i="12"/>
  <c r="BQ19" i="12"/>
  <c r="BQ33" i="12"/>
  <c r="BQ30" i="12"/>
  <c r="BQ28" i="12"/>
  <c r="BQ17" i="12"/>
  <c r="BQ27" i="12"/>
  <c r="BQ26" i="12"/>
  <c r="BQ24" i="12"/>
  <c r="BQ36" i="12"/>
  <c r="BQ11" i="12"/>
  <c r="BQ25" i="12"/>
  <c r="BQ23" i="12"/>
  <c r="BQ22" i="12"/>
  <c r="BQ35" i="12"/>
  <c r="BQ34" i="12"/>
  <c r="BP8" i="12"/>
  <c r="BQ8" i="12"/>
  <c r="BP34" i="12"/>
  <c r="BP33" i="12"/>
  <c r="BP35" i="12"/>
  <c r="BP32" i="12"/>
  <c r="BP36" i="12"/>
  <c r="E9" i="8"/>
  <c r="G9" i="8"/>
  <c r="V126" i="7"/>
  <c r="V167" i="7"/>
  <c r="V168" i="7"/>
  <c r="V128" i="7"/>
  <c r="V36" i="7"/>
  <c r="W60" i="7"/>
  <c r="V60" i="7"/>
  <c r="W43" i="7"/>
  <c r="V43" i="7"/>
  <c r="W63" i="7"/>
  <c r="V63" i="7"/>
  <c r="W130" i="7"/>
  <c r="V130" i="7"/>
  <c r="W154" i="7"/>
  <c r="V154" i="7"/>
  <c r="W48" i="7"/>
  <c r="V48" i="7"/>
  <c r="W135" i="7"/>
  <c r="V135" i="7"/>
  <c r="W57" i="7"/>
  <c r="V57" i="7"/>
  <c r="W101" i="7"/>
  <c r="V101" i="7"/>
  <c r="W132" i="7"/>
  <c r="V132" i="7"/>
  <c r="W140" i="7"/>
  <c r="V140" i="7"/>
  <c r="W156" i="7"/>
  <c r="V156" i="7"/>
  <c r="W164" i="7"/>
  <c r="V164" i="7"/>
  <c r="W50" i="7"/>
  <c r="V50" i="7"/>
  <c r="W115" i="7"/>
  <c r="V115" i="7"/>
  <c r="W141" i="7"/>
  <c r="V141" i="7"/>
  <c r="W165" i="7"/>
  <c r="V165" i="7"/>
  <c r="W58" i="7"/>
  <c r="V58" i="7"/>
  <c r="W116" i="7"/>
  <c r="V116" i="7"/>
  <c r="W146" i="7"/>
  <c r="V146" i="7"/>
  <c r="W40" i="7"/>
  <c r="V40" i="7"/>
  <c r="W64" i="7"/>
  <c r="V64" i="7"/>
  <c r="W127" i="7"/>
  <c r="V127" i="7"/>
  <c r="W151" i="7"/>
  <c r="V151" i="7"/>
  <c r="W49" i="7"/>
  <c r="V49" i="7"/>
  <c r="W37" i="7"/>
  <c r="V37" i="7"/>
  <c r="W54" i="7"/>
  <c r="V54" i="7"/>
  <c r="W106" i="7"/>
  <c r="V106" i="7"/>
  <c r="W129" i="7"/>
  <c r="V129" i="7"/>
  <c r="W145" i="7"/>
  <c r="V145" i="7"/>
  <c r="W161" i="7"/>
  <c r="V161" i="7"/>
  <c r="W47" i="7"/>
  <c r="V47" i="7"/>
  <c r="W61" i="7"/>
  <c r="V61" i="7"/>
  <c r="W114" i="7"/>
  <c r="V114" i="7"/>
  <c r="W134" i="7"/>
  <c r="V134" i="7"/>
  <c r="W150" i="7"/>
  <c r="V150" i="7"/>
  <c r="W166" i="7"/>
  <c r="V166" i="7"/>
  <c r="W52" i="7"/>
  <c r="V52" i="7"/>
  <c r="W104" i="7"/>
  <c r="V104" i="7"/>
  <c r="W122" i="7"/>
  <c r="V122" i="7"/>
  <c r="W139" i="7"/>
  <c r="V139" i="7"/>
  <c r="W155" i="7"/>
  <c r="V155" i="7"/>
  <c r="W45" i="7"/>
  <c r="V45" i="7"/>
  <c r="W39" i="7"/>
  <c r="V39" i="7"/>
  <c r="W136" i="7"/>
  <c r="V136" i="7"/>
  <c r="W152" i="7"/>
  <c r="V152" i="7"/>
  <c r="W42" i="7"/>
  <c r="V42" i="7"/>
  <c r="W102" i="7"/>
  <c r="V102" i="7"/>
  <c r="W133" i="7"/>
  <c r="V133" i="7"/>
  <c r="W157" i="7"/>
  <c r="V157" i="7"/>
  <c r="W51" i="7"/>
  <c r="V51" i="7"/>
  <c r="W107" i="7"/>
  <c r="V107" i="7"/>
  <c r="W138" i="7"/>
  <c r="V138" i="7"/>
  <c r="W162" i="7"/>
  <c r="V162" i="7"/>
  <c r="W56" i="7"/>
  <c r="V56" i="7"/>
  <c r="W143" i="7"/>
  <c r="V143" i="7"/>
  <c r="W41" i="7"/>
  <c r="V41" i="7"/>
  <c r="W46" i="7"/>
  <c r="V46" i="7"/>
  <c r="W62" i="7"/>
  <c r="V62" i="7"/>
  <c r="W121" i="7"/>
  <c r="V121" i="7"/>
  <c r="W137" i="7"/>
  <c r="V137" i="7"/>
  <c r="W153" i="7"/>
  <c r="V153" i="7"/>
  <c r="W55" i="7"/>
  <c r="V55" i="7"/>
  <c r="W103" i="7"/>
  <c r="V103" i="7"/>
  <c r="W142" i="7"/>
  <c r="V142" i="7"/>
  <c r="W158" i="7"/>
  <c r="V158" i="7"/>
  <c r="W44" i="7"/>
  <c r="V44" i="7"/>
  <c r="W59" i="7"/>
  <c r="V59" i="7"/>
  <c r="W131" i="7"/>
  <c r="V131" i="7"/>
  <c r="W147" i="7"/>
  <c r="V147" i="7"/>
  <c r="W163" i="7"/>
  <c r="V163" i="7"/>
  <c r="W53" i="7"/>
  <c r="V53" i="7"/>
  <c r="W105" i="7"/>
  <c r="V105" i="7"/>
  <c r="W144" i="7"/>
  <c r="V144" i="7"/>
  <c r="W160" i="7"/>
  <c r="V160" i="7"/>
  <c r="BP18" i="12"/>
  <c r="BP10" i="12"/>
  <c r="BP26" i="12"/>
  <c r="BP22" i="12"/>
  <c r="BP20" i="12"/>
  <c r="BP14" i="12"/>
  <c r="BP21" i="12"/>
  <c r="BP25" i="12"/>
  <c r="BP27" i="12"/>
  <c r="BP30" i="12"/>
  <c r="BP13" i="12"/>
  <c r="BP28" i="12"/>
  <c r="BP12" i="12"/>
  <c r="BP16" i="12"/>
  <c r="BP11" i="12"/>
  <c r="BP29" i="12"/>
  <c r="BP9" i="12"/>
  <c r="BP17" i="12"/>
  <c r="BP19" i="12"/>
  <c r="BP31" i="12"/>
  <c r="BP15" i="12"/>
  <c r="BP24" i="12"/>
  <c r="BP23" i="12"/>
  <c r="C10" i="8" l="1"/>
  <c r="D10" i="8" s="1"/>
  <c r="K9" i="8"/>
  <c r="H11" i="9" l="1"/>
  <c r="I11" i="9"/>
  <c r="U11" i="9"/>
  <c r="W10" i="9"/>
  <c r="R11" i="9"/>
  <c r="P11" i="9"/>
  <c r="J9" i="8"/>
  <c r="T11" i="9" l="1"/>
  <c r="E10" i="8" l="1"/>
  <c r="K10" i="8" s="1"/>
  <c r="G10" i="8"/>
  <c r="F11" i="9" l="1"/>
  <c r="D11" i="9"/>
  <c r="C11" i="8"/>
  <c r="E11" i="8" s="1"/>
  <c r="F10" i="8"/>
  <c r="X10" i="9" l="1"/>
  <c r="J11" i="9"/>
  <c r="E11" i="9"/>
  <c r="D11" i="8"/>
  <c r="H10" i="8"/>
  <c r="I10" i="8"/>
  <c r="G11" i="8" l="1"/>
  <c r="K11" i="8"/>
  <c r="V11" i="9"/>
  <c r="Q11" i="9"/>
  <c r="G12" i="9"/>
  <c r="O12" i="9" s="1"/>
  <c r="S11" i="9"/>
  <c r="F11" i="8"/>
  <c r="I11" i="8" s="1"/>
  <c r="C12" i="8"/>
  <c r="D12" i="8" s="1"/>
  <c r="J10" i="8"/>
  <c r="M12" i="9" l="1"/>
  <c r="K12" i="9"/>
  <c r="L12" i="9"/>
  <c r="C13" i="9"/>
  <c r="H12" i="9"/>
  <c r="W11" i="9"/>
  <c r="U12" i="9"/>
  <c r="R12" i="9"/>
  <c r="P12" i="9"/>
  <c r="I12" i="9"/>
  <c r="T12" i="9" s="1"/>
  <c r="F12" i="9"/>
  <c r="D12" i="9"/>
  <c r="H11" i="8"/>
  <c r="X11" i="9" l="1"/>
  <c r="N12" i="9"/>
  <c r="J12" i="9"/>
  <c r="Q12" i="9" s="1"/>
  <c r="E12" i="9"/>
  <c r="G13" i="9" l="1"/>
  <c r="O13" i="9" s="1"/>
  <c r="D13" i="9"/>
  <c r="E13" i="9" s="1"/>
  <c r="V12" i="9"/>
  <c r="S12" i="9"/>
  <c r="J11" i="8"/>
  <c r="L13" i="9" l="1"/>
  <c r="M13" i="9"/>
  <c r="K13" i="9"/>
  <c r="C14" i="9"/>
  <c r="F13" i="9"/>
  <c r="H13" i="9"/>
  <c r="U13" i="9"/>
  <c r="W12" i="9"/>
  <c r="R13" i="9"/>
  <c r="P13" i="9"/>
  <c r="I13" i="9"/>
  <c r="T13" i="9" s="1"/>
  <c r="E12" i="8"/>
  <c r="K12" i="8" s="1"/>
  <c r="G12" i="8"/>
  <c r="X12" i="9" l="1"/>
  <c r="N13" i="9"/>
  <c r="G14" i="9" s="1"/>
  <c r="O14" i="9" s="1"/>
  <c r="J13" i="9"/>
  <c r="C13" i="8"/>
  <c r="F12" i="8"/>
  <c r="M14" i="9" l="1"/>
  <c r="K14" i="9"/>
  <c r="L14" i="9"/>
  <c r="C15" i="9"/>
  <c r="S13" i="9"/>
  <c r="Q13" i="9"/>
  <c r="V13" i="9"/>
  <c r="D13" i="8"/>
  <c r="I12" i="8"/>
  <c r="H12" i="8"/>
  <c r="W13" i="9" l="1"/>
  <c r="E13" i="8"/>
  <c r="K13" i="8" s="1"/>
  <c r="J12" i="8"/>
  <c r="C14" i="8" l="1"/>
  <c r="F13" i="8"/>
  <c r="G13" i="8"/>
  <c r="D14" i="8" l="1"/>
  <c r="H13" i="8"/>
  <c r="I13" i="8"/>
  <c r="J13" i="8" l="1"/>
  <c r="G14" i="8"/>
  <c r="E14" i="8"/>
  <c r="K14" i="8" s="1"/>
  <c r="C15" i="8" l="1"/>
  <c r="F14" i="8"/>
  <c r="D15" i="8" l="1"/>
  <c r="I14" i="8"/>
  <c r="H14" i="8"/>
  <c r="E15" i="8" l="1"/>
  <c r="K15" i="8" s="1"/>
  <c r="J14" i="8"/>
  <c r="C16" i="8" l="1"/>
  <c r="F15" i="8"/>
  <c r="G15" i="8"/>
  <c r="D16" i="8" l="1"/>
  <c r="H15" i="8"/>
  <c r="I15" i="8"/>
  <c r="J15" i="8" l="1"/>
  <c r="E16" i="8"/>
  <c r="K16" i="8" s="1"/>
  <c r="G16" i="8"/>
  <c r="C17" i="8" l="1"/>
  <c r="F16" i="8"/>
  <c r="D17" i="8" l="1"/>
  <c r="I16" i="8"/>
  <c r="H16" i="8"/>
  <c r="E17" i="8" l="1"/>
  <c r="K17" i="8" s="1"/>
  <c r="J16" i="8"/>
  <c r="C18" i="8" l="1"/>
  <c r="F17" i="8"/>
  <c r="G17" i="8"/>
  <c r="D18" i="8" l="1"/>
  <c r="H17" i="8"/>
  <c r="I17" i="8"/>
  <c r="J17" i="8" l="1"/>
  <c r="G18" i="8"/>
  <c r="E18" i="8"/>
  <c r="K18" i="8" s="1"/>
  <c r="C19" i="8" l="1"/>
  <c r="F18" i="8"/>
  <c r="D19" i="8" l="1"/>
  <c r="H18" i="8"/>
  <c r="I18" i="8"/>
  <c r="J18" i="8" l="1"/>
  <c r="E19" i="8"/>
  <c r="K19" i="8" s="1"/>
  <c r="C20" i="8" l="1"/>
  <c r="G19" i="8"/>
  <c r="F19" i="8"/>
  <c r="D20" i="8" l="1"/>
  <c r="H19" i="8"/>
  <c r="I19" i="8"/>
  <c r="J19" i="8" l="1"/>
  <c r="G20" i="8"/>
  <c r="E20" i="8"/>
  <c r="K20" i="8" s="1"/>
  <c r="C21" i="8" l="1"/>
  <c r="F20" i="8"/>
  <c r="D21" i="8" l="1"/>
  <c r="H20" i="8"/>
  <c r="I20" i="8"/>
  <c r="J20" i="8" l="1"/>
  <c r="E21" i="8"/>
  <c r="K21" i="8" s="1"/>
  <c r="G21" i="8"/>
  <c r="C22" i="8" l="1"/>
  <c r="F21" i="8"/>
  <c r="D22" i="8" l="1"/>
  <c r="I21" i="8"/>
  <c r="H21" i="8"/>
  <c r="E22" i="8" l="1"/>
  <c r="K22" i="8" s="1"/>
  <c r="G22" i="8"/>
  <c r="J21" i="8"/>
  <c r="C23" i="8" l="1"/>
  <c r="F22" i="8"/>
  <c r="D23" i="8" l="1"/>
  <c r="H22" i="8"/>
  <c r="I22" i="8"/>
  <c r="J22" i="8" l="1"/>
  <c r="E23" i="8"/>
  <c r="K23" i="8" s="1"/>
  <c r="G23" i="8"/>
  <c r="C24" i="8" l="1"/>
  <c r="F23" i="8"/>
  <c r="D24" i="8" l="1"/>
  <c r="H23" i="8"/>
  <c r="I23" i="8"/>
  <c r="J23" i="8" l="1"/>
  <c r="E24" i="8"/>
  <c r="K24" i="8" s="1"/>
  <c r="G24" i="8"/>
  <c r="C25" i="8" l="1"/>
  <c r="F24" i="8"/>
  <c r="D25" i="8" l="1"/>
  <c r="H24" i="8"/>
  <c r="I24" i="8"/>
  <c r="E25" i="8" l="1"/>
  <c r="K25" i="8" s="1"/>
  <c r="J24" i="8"/>
  <c r="C26" i="8" l="1"/>
  <c r="G25" i="8"/>
  <c r="F25" i="8"/>
  <c r="D26" i="8" l="1"/>
  <c r="H25" i="8"/>
  <c r="I25" i="8"/>
  <c r="J25" i="8" l="1"/>
  <c r="G26" i="8"/>
  <c r="E26" i="8"/>
  <c r="K26" i="8" s="1"/>
  <c r="C27" i="8" l="1"/>
  <c r="F26" i="8"/>
  <c r="D27" i="8" l="1"/>
  <c r="H26" i="8"/>
  <c r="I26" i="8"/>
  <c r="J26" i="8" l="1"/>
  <c r="E27" i="8"/>
  <c r="K27" i="8" s="1"/>
  <c r="G27" i="8"/>
  <c r="C28" i="8" l="1"/>
  <c r="F27" i="8"/>
  <c r="D28" i="8" l="1"/>
  <c r="H27" i="8"/>
  <c r="I27" i="8"/>
  <c r="J27" i="8" l="1"/>
  <c r="E28" i="8"/>
  <c r="K28" i="8" s="1"/>
  <c r="G28" i="8"/>
  <c r="C29" i="8" l="1"/>
  <c r="F28" i="8"/>
  <c r="D29" i="8" l="1"/>
  <c r="H28" i="8"/>
  <c r="I28" i="8"/>
  <c r="J28" i="8" l="1"/>
  <c r="E29" i="8"/>
  <c r="K29" i="8" s="1"/>
  <c r="G29" i="8"/>
  <c r="C30" i="8" l="1"/>
  <c r="F29" i="8"/>
  <c r="D30" i="8" l="1"/>
  <c r="H29" i="8"/>
  <c r="I29" i="8"/>
  <c r="J29" i="8" l="1"/>
  <c r="E30" i="8"/>
  <c r="K30" i="8" s="1"/>
  <c r="G30" i="8"/>
  <c r="C31" i="8" l="1"/>
  <c r="F30" i="8"/>
  <c r="D31" i="8" l="1"/>
  <c r="H30" i="8"/>
  <c r="I30" i="8"/>
  <c r="J30" i="8" l="1"/>
  <c r="E31" i="8"/>
  <c r="K31" i="8" s="1"/>
  <c r="G31" i="8"/>
  <c r="C32" i="8" l="1"/>
  <c r="F31" i="8"/>
  <c r="D32" i="8" l="1"/>
  <c r="H31" i="8"/>
  <c r="I31" i="8"/>
  <c r="J31" i="8" l="1"/>
  <c r="G32" i="8"/>
  <c r="E32" i="8"/>
  <c r="K32" i="8" s="1"/>
  <c r="C33" i="8" l="1"/>
  <c r="F32" i="8"/>
  <c r="D33" i="8" l="1"/>
  <c r="H32" i="8"/>
  <c r="I32" i="8"/>
  <c r="J32" i="8" l="1"/>
  <c r="E33" i="8"/>
  <c r="K33" i="8" s="1"/>
  <c r="C34" i="8" l="1"/>
  <c r="G33" i="8"/>
  <c r="F33" i="8"/>
  <c r="D34" i="8" l="1"/>
  <c r="H33" i="8"/>
  <c r="I33" i="8"/>
  <c r="J33" i="8" l="1"/>
  <c r="G34" i="8"/>
  <c r="E34" i="8"/>
  <c r="K34" i="8" s="1"/>
  <c r="C35" i="8" l="1"/>
  <c r="F34" i="8"/>
  <c r="D35" i="8" l="1"/>
  <c r="H34" i="8"/>
  <c r="I34" i="8"/>
  <c r="J34" i="8" l="1"/>
  <c r="E35" i="8"/>
  <c r="K35" i="8" s="1"/>
  <c r="G35" i="8"/>
  <c r="C36" i="8" l="1"/>
  <c r="F35" i="8"/>
  <c r="D36" i="8" l="1"/>
  <c r="H35" i="8"/>
  <c r="I35" i="8"/>
  <c r="J35" i="8" l="1"/>
  <c r="E36" i="8"/>
  <c r="K36" i="8" s="1"/>
  <c r="G36" i="8"/>
  <c r="C37" i="8" l="1"/>
  <c r="F36" i="8"/>
  <c r="D37" i="8" l="1"/>
  <c r="H36" i="8"/>
  <c r="I36" i="8"/>
  <c r="J36" i="8" l="1"/>
  <c r="E37" i="8"/>
  <c r="K37" i="8" s="1"/>
  <c r="G37" i="8"/>
  <c r="C38" i="8" l="1"/>
  <c r="F37" i="8"/>
  <c r="D38" i="8" l="1"/>
  <c r="H37" i="8"/>
  <c r="I37" i="8"/>
  <c r="J37" i="8" l="1"/>
  <c r="G38" i="8"/>
  <c r="E38" i="8"/>
  <c r="K38" i="8" s="1"/>
  <c r="C39" i="8" l="1"/>
  <c r="F38" i="8"/>
  <c r="D39" i="8" l="1"/>
  <c r="H38" i="8"/>
  <c r="I38" i="8"/>
  <c r="J38" i="8" l="1"/>
  <c r="E39" i="8"/>
  <c r="K39" i="8" s="1"/>
  <c r="G39" i="8"/>
  <c r="C40" i="8" l="1"/>
  <c r="F39" i="8"/>
  <c r="D40" i="8" l="1"/>
  <c r="H39" i="8"/>
  <c r="I39" i="8"/>
  <c r="E40" i="8" l="1"/>
  <c r="K40" i="8" s="1"/>
  <c r="G40" i="8"/>
  <c r="J39" i="8"/>
  <c r="C41" i="8" l="1"/>
  <c r="F40" i="8"/>
  <c r="D41" i="8" l="1"/>
  <c r="H40" i="8"/>
  <c r="I40" i="8"/>
  <c r="J40" i="8" l="1"/>
  <c r="E41" i="8"/>
  <c r="K41" i="8" s="1"/>
  <c r="F41" i="8"/>
  <c r="G41" i="8"/>
  <c r="C42" i="8" l="1"/>
  <c r="I41" i="8"/>
  <c r="H41" i="8"/>
  <c r="E42" i="8" l="1"/>
  <c r="D42" i="8"/>
  <c r="J41" i="8"/>
  <c r="G42" i="8" l="1"/>
  <c r="K42" i="8"/>
  <c r="C43" i="8"/>
  <c r="F42" i="8"/>
  <c r="I42" i="8" s="1"/>
  <c r="H42" i="8" l="1"/>
  <c r="J42" i="8" s="1"/>
  <c r="D43" i="8"/>
  <c r="E43" i="8"/>
  <c r="G43" i="8" l="1"/>
  <c r="K43" i="8"/>
  <c r="C44" i="8"/>
  <c r="F43" i="8"/>
  <c r="D44" i="8" l="1"/>
  <c r="I43" i="8"/>
  <c r="H43" i="8"/>
  <c r="J43" i="8" l="1"/>
  <c r="G44" i="8"/>
  <c r="E44" i="8"/>
  <c r="K44" i="8" s="1"/>
  <c r="C45" i="8" l="1"/>
  <c r="F44" i="8"/>
  <c r="D45" i="8" l="1"/>
  <c r="I44" i="8"/>
  <c r="H44" i="8"/>
  <c r="J44" i="8" l="1"/>
  <c r="E45" i="8"/>
  <c r="K45" i="8" s="1"/>
  <c r="C46" i="8" l="1"/>
  <c r="G45" i="8"/>
  <c r="F45" i="8"/>
  <c r="D46" i="8" l="1"/>
  <c r="I45" i="8"/>
  <c r="H45" i="8"/>
  <c r="G46" i="8" l="1"/>
  <c r="E46" i="8"/>
  <c r="K46" i="8" s="1"/>
  <c r="J45" i="8"/>
  <c r="C47" i="8" l="1"/>
  <c r="F46" i="8"/>
  <c r="D47" i="8" l="1"/>
  <c r="I46" i="8"/>
  <c r="H46" i="8"/>
  <c r="J46" i="8" l="1"/>
  <c r="F47" i="8"/>
  <c r="E47" i="8"/>
  <c r="C48" i="8" s="1"/>
  <c r="G47" i="8"/>
  <c r="K47" i="8" l="1"/>
  <c r="D48" i="8"/>
  <c r="H47" i="8"/>
  <c r="I47" i="8"/>
  <c r="E48" i="8" l="1"/>
  <c r="K48" i="8" s="1"/>
  <c r="J47" i="8"/>
  <c r="C49" i="8" l="1"/>
  <c r="E49" i="8" s="1"/>
  <c r="G48" i="8"/>
  <c r="F48" i="8"/>
  <c r="I48" i="8" s="1"/>
  <c r="D49" i="8" l="1"/>
  <c r="H48" i="8"/>
  <c r="J48" i="8" s="1"/>
  <c r="C50" i="8" l="1"/>
  <c r="D50" i="8" s="1"/>
  <c r="K49" i="8"/>
  <c r="F49" i="8"/>
  <c r="H49" i="8" s="1"/>
  <c r="G49" i="8"/>
  <c r="G50" i="8" l="1"/>
  <c r="I49" i="8"/>
  <c r="J49" i="8" s="1"/>
  <c r="E50" i="8"/>
  <c r="K50" i="8" s="1"/>
  <c r="C51" i="8" l="1"/>
  <c r="F50" i="8"/>
  <c r="H50" i="8" s="1"/>
  <c r="D51" i="8" l="1"/>
  <c r="I50" i="8"/>
  <c r="J50" i="8" s="1"/>
  <c r="G51" i="8" l="1"/>
  <c r="E51" i="8"/>
  <c r="K51" i="8" s="1"/>
  <c r="C52" i="8" l="1"/>
  <c r="F51" i="8"/>
  <c r="H51" i="8" s="1"/>
  <c r="D52" i="8" l="1"/>
  <c r="I51" i="8"/>
  <c r="J51" i="8" s="1"/>
  <c r="G52" i="8" l="1"/>
  <c r="E52" i="8"/>
  <c r="K52" i="8" s="1"/>
  <c r="C53" i="8" l="1"/>
  <c r="F52" i="8"/>
  <c r="H52" i="8" s="1"/>
  <c r="D53" i="8" l="1"/>
  <c r="I52" i="8"/>
  <c r="J52" i="8" s="1"/>
  <c r="G53" i="8" l="1"/>
  <c r="E53" i="8"/>
  <c r="K53" i="8" s="1"/>
  <c r="C54" i="8" l="1"/>
  <c r="F53" i="8"/>
  <c r="H53" i="8" s="1"/>
  <c r="D54" i="8" l="1"/>
  <c r="I53" i="8"/>
  <c r="J53" i="8" s="1"/>
  <c r="G54" i="8" l="1"/>
  <c r="E54" i="8"/>
  <c r="K54" i="8" s="1"/>
  <c r="C55" i="8" l="1"/>
  <c r="F54" i="8"/>
  <c r="H54" i="8" s="1"/>
  <c r="D55" i="8" l="1"/>
  <c r="I54" i="8"/>
  <c r="J54" i="8" s="1"/>
  <c r="G55" i="8" l="1"/>
  <c r="E55" i="8"/>
  <c r="K55" i="8" s="1"/>
  <c r="C56" i="8" l="1"/>
  <c r="F55" i="8"/>
  <c r="H55" i="8" s="1"/>
  <c r="D56" i="8" l="1"/>
  <c r="I55" i="8"/>
  <c r="J55" i="8" s="1"/>
  <c r="G56" i="8" l="1"/>
  <c r="E56" i="8"/>
  <c r="K56" i="8" s="1"/>
  <c r="C57" i="8" l="1"/>
  <c r="F56" i="8"/>
  <c r="H56" i="8" s="1"/>
  <c r="D57" i="8" l="1"/>
  <c r="I56" i="8"/>
  <c r="J56" i="8" s="1"/>
  <c r="E57" i="8" l="1"/>
  <c r="K57" i="8" s="1"/>
  <c r="G57" i="8"/>
  <c r="C58" i="8" l="1"/>
  <c r="F57" i="8"/>
  <c r="I57" i="8" s="1"/>
  <c r="D58" i="8" l="1"/>
  <c r="H57" i="8"/>
  <c r="J57" i="8" s="1"/>
  <c r="G58" i="8" l="1"/>
  <c r="E58" i="8"/>
  <c r="K58" i="8" s="1"/>
  <c r="C59" i="8" l="1"/>
  <c r="F58" i="8"/>
  <c r="H58" i="8" s="1"/>
  <c r="D59" i="8" l="1"/>
  <c r="I58" i="8"/>
  <c r="J58" i="8" s="1"/>
  <c r="G59" i="8" l="1"/>
  <c r="E59" i="8"/>
  <c r="K59" i="8" s="1"/>
  <c r="C60" i="8" l="1"/>
  <c r="F59" i="8"/>
  <c r="H59" i="8" s="1"/>
  <c r="D60" i="8" l="1"/>
  <c r="I59" i="8"/>
  <c r="J59" i="8" s="1"/>
  <c r="G60" i="8" l="1"/>
  <c r="E60" i="8"/>
  <c r="K60" i="8" s="1"/>
  <c r="C61" i="8" l="1"/>
  <c r="F60" i="8"/>
  <c r="H60" i="8" s="1"/>
  <c r="D61" i="8" l="1"/>
  <c r="I60" i="8"/>
  <c r="J60" i="8" s="1"/>
  <c r="G61" i="8" l="1"/>
  <c r="E61" i="8"/>
  <c r="K61" i="8" s="1"/>
  <c r="C62" i="8" l="1"/>
  <c r="F61" i="8"/>
  <c r="H61" i="8" s="1"/>
  <c r="D62" i="8" l="1"/>
  <c r="I61" i="8"/>
  <c r="J61" i="8" s="1"/>
  <c r="G62" i="8" l="1"/>
  <c r="E62" i="8"/>
  <c r="K62" i="8" s="1"/>
  <c r="C63" i="8" l="1"/>
  <c r="F62" i="8"/>
  <c r="H62" i="8" s="1"/>
  <c r="D63" i="8" l="1"/>
  <c r="I62" i="8"/>
  <c r="J62" i="8" s="1"/>
  <c r="G63" i="8" l="1"/>
  <c r="E63" i="8"/>
  <c r="K63" i="8" s="1"/>
  <c r="C64" i="8" l="1"/>
  <c r="F63" i="8"/>
  <c r="H63" i="8" s="1"/>
  <c r="D64" i="8" l="1"/>
  <c r="I63" i="8"/>
  <c r="J63" i="8" s="1"/>
  <c r="G64" i="8" l="1"/>
  <c r="E64" i="8"/>
  <c r="K64" i="8" s="1"/>
  <c r="C65" i="8" l="1"/>
  <c r="F64" i="8"/>
  <c r="H64" i="8" s="1"/>
  <c r="D65" i="8" l="1"/>
  <c r="I64" i="8"/>
  <c r="J64" i="8" s="1"/>
  <c r="G65" i="8" l="1"/>
  <c r="E65" i="8"/>
  <c r="K65" i="8" s="1"/>
  <c r="C66" i="8" l="1"/>
  <c r="F65" i="8"/>
  <c r="H65" i="8" s="1"/>
  <c r="D66" i="8" l="1"/>
  <c r="I65" i="8"/>
  <c r="J65" i="8" s="1"/>
  <c r="G66" i="8" l="1"/>
  <c r="E66" i="8"/>
  <c r="K66" i="8" s="1"/>
  <c r="C67" i="8" l="1"/>
  <c r="F66" i="8"/>
  <c r="H66" i="8" s="1"/>
  <c r="D67" i="8" l="1"/>
  <c r="I66" i="8"/>
  <c r="J66" i="8" s="1"/>
  <c r="G67" i="8" l="1"/>
  <c r="E67" i="8"/>
  <c r="K67" i="8" s="1"/>
  <c r="C68" i="8" l="1"/>
  <c r="F67" i="8"/>
  <c r="H67" i="8" s="1"/>
  <c r="D68" i="8" l="1"/>
  <c r="I67" i="8"/>
  <c r="J67" i="8" s="1"/>
  <c r="G68" i="8" l="1"/>
  <c r="E68" i="8"/>
  <c r="K68" i="8" s="1"/>
  <c r="C69" i="8" l="1"/>
  <c r="F68" i="8"/>
  <c r="H68" i="8" s="1"/>
  <c r="D69" i="8" l="1"/>
  <c r="I68" i="8"/>
  <c r="J68" i="8" s="1"/>
  <c r="G69" i="8" l="1"/>
  <c r="E69" i="8"/>
  <c r="K69" i="8" s="1"/>
  <c r="C70" i="8" l="1"/>
  <c r="F69" i="8"/>
  <c r="H69" i="8" s="1"/>
  <c r="D70" i="8" l="1"/>
  <c r="I69" i="8"/>
  <c r="J69" i="8" s="1"/>
  <c r="G70" i="8" l="1"/>
  <c r="E70" i="8"/>
  <c r="K70" i="8" s="1"/>
  <c r="C71" i="8" l="1"/>
  <c r="F70" i="8"/>
  <c r="I70" i="8" s="1"/>
  <c r="D71" i="8" l="1"/>
  <c r="H70" i="8"/>
  <c r="J70" i="8" s="1"/>
  <c r="G71" i="8" l="1"/>
  <c r="E71" i="8"/>
  <c r="K71" i="8" s="1"/>
  <c r="C72" i="8" l="1"/>
  <c r="F71" i="8"/>
  <c r="H71" i="8" s="1"/>
  <c r="D72" i="8" l="1"/>
  <c r="I71" i="8"/>
  <c r="J71" i="8" s="1"/>
  <c r="G72" i="8" l="1"/>
  <c r="E72" i="8"/>
  <c r="K72" i="8" s="1"/>
  <c r="C73" i="8" l="1"/>
  <c r="F72" i="8"/>
  <c r="H72" i="8" s="1"/>
  <c r="D73" i="8" l="1"/>
  <c r="I72" i="8"/>
  <c r="J72" i="8" s="1"/>
  <c r="G73" i="8" l="1"/>
  <c r="E73" i="8"/>
  <c r="K73" i="8" s="1"/>
  <c r="C74" i="8" l="1"/>
  <c r="F73" i="8"/>
  <c r="H73" i="8" s="1"/>
  <c r="D74" i="8" l="1"/>
  <c r="I73" i="8"/>
  <c r="J73" i="8" s="1"/>
  <c r="G74" i="8" l="1"/>
  <c r="E74" i="8"/>
  <c r="K74" i="8" s="1"/>
  <c r="C75" i="8" l="1"/>
  <c r="F74" i="8"/>
  <c r="H74" i="8" s="1"/>
  <c r="D75" i="8" l="1"/>
  <c r="I74" i="8"/>
  <c r="J74" i="8" s="1"/>
  <c r="G75" i="8" l="1"/>
  <c r="E75" i="8"/>
  <c r="K75" i="8" s="1"/>
  <c r="C76" i="8" l="1"/>
  <c r="F75" i="8"/>
  <c r="H75" i="8" s="1"/>
  <c r="D76" i="8" l="1"/>
  <c r="I75" i="8"/>
  <c r="J75" i="8" s="1"/>
  <c r="G76" i="8" l="1"/>
  <c r="E76" i="8"/>
  <c r="K76" i="8" s="1"/>
  <c r="C77" i="8" l="1"/>
  <c r="F76" i="8"/>
  <c r="H76" i="8" s="1"/>
  <c r="D77" i="8" l="1"/>
  <c r="I76" i="8"/>
  <c r="J76" i="8" s="1"/>
  <c r="G77" i="8" l="1"/>
  <c r="E77" i="8"/>
  <c r="K77" i="8" s="1"/>
  <c r="C78" i="8" l="1"/>
  <c r="F77" i="8"/>
  <c r="H77" i="8" s="1"/>
  <c r="D78" i="8" l="1"/>
  <c r="I77" i="8"/>
  <c r="J77" i="8" s="1"/>
  <c r="G78" i="8" l="1"/>
  <c r="E78" i="8"/>
  <c r="K78" i="8" s="1"/>
  <c r="C79" i="8" l="1"/>
  <c r="F78" i="8"/>
  <c r="H78" i="8" s="1"/>
  <c r="D79" i="8" l="1"/>
  <c r="I78" i="8"/>
  <c r="J78" i="8" s="1"/>
  <c r="G79" i="8" l="1"/>
  <c r="E79" i="8"/>
  <c r="K79" i="8" s="1"/>
  <c r="C80" i="8" l="1"/>
  <c r="F79" i="8"/>
  <c r="H79" i="8" s="1"/>
  <c r="D80" i="8" l="1"/>
  <c r="I79" i="8"/>
  <c r="J79" i="8" s="1"/>
  <c r="G80" i="8" l="1"/>
  <c r="E80" i="8"/>
  <c r="K80" i="8" s="1"/>
  <c r="C81" i="8" l="1"/>
  <c r="F80" i="8"/>
  <c r="H80" i="8" s="1"/>
  <c r="D81" i="8" l="1"/>
  <c r="I80" i="8"/>
  <c r="J80" i="8" s="1"/>
  <c r="G81" i="8" l="1"/>
  <c r="E81" i="8"/>
  <c r="K81" i="8" s="1"/>
  <c r="C82" i="8" l="1"/>
  <c r="F81" i="8"/>
  <c r="H81" i="8" s="1"/>
  <c r="D82" i="8" l="1"/>
  <c r="I81" i="8"/>
  <c r="J81" i="8" s="1"/>
  <c r="E82" i="8" l="1"/>
  <c r="K82" i="8" s="1"/>
  <c r="G82" i="8"/>
  <c r="C83" i="8" l="1"/>
  <c r="F82" i="8"/>
  <c r="H82" i="8" s="1"/>
  <c r="D83" i="8" l="1"/>
  <c r="I82" i="8"/>
  <c r="J82" i="8" s="1"/>
  <c r="G83" i="8" l="1"/>
  <c r="E83" i="8"/>
  <c r="K83" i="8" s="1"/>
  <c r="C84" i="8" l="1"/>
  <c r="F83" i="8"/>
  <c r="H83" i="8" s="1"/>
  <c r="D84" i="8" l="1"/>
  <c r="I83" i="8"/>
  <c r="J83" i="8" s="1"/>
  <c r="G84" i="8" l="1"/>
  <c r="E84" i="8"/>
  <c r="K84" i="8" s="1"/>
  <c r="C85" i="8" l="1"/>
  <c r="F84" i="8"/>
  <c r="H84" i="8" s="1"/>
  <c r="D85" i="8" l="1"/>
  <c r="I84" i="8"/>
  <c r="J84" i="8" s="1"/>
  <c r="G85" i="8" l="1"/>
  <c r="E85" i="8"/>
  <c r="K85" i="8" s="1"/>
  <c r="C86" i="8" l="1"/>
  <c r="F85" i="8"/>
  <c r="H85" i="8" s="1"/>
  <c r="D86" i="8" l="1"/>
  <c r="I85" i="8"/>
  <c r="J85" i="8" s="1"/>
  <c r="G86" i="8" l="1"/>
  <c r="E86" i="8"/>
  <c r="K86" i="8" s="1"/>
  <c r="C87" i="8" l="1"/>
  <c r="F86" i="8"/>
  <c r="H86" i="8" s="1"/>
  <c r="D87" i="8" l="1"/>
  <c r="I86" i="8"/>
  <c r="J86" i="8" s="1"/>
  <c r="G87" i="8" l="1"/>
  <c r="E87" i="8"/>
  <c r="K87" i="8" s="1"/>
  <c r="C88" i="8" l="1"/>
  <c r="F87" i="8"/>
  <c r="H87" i="8" s="1"/>
  <c r="D88" i="8" l="1"/>
  <c r="I87" i="8"/>
  <c r="J87" i="8" s="1"/>
  <c r="G88" i="8" l="1"/>
  <c r="E88" i="8"/>
  <c r="K88" i="8" s="1"/>
  <c r="C89" i="8" l="1"/>
  <c r="F88" i="8"/>
  <c r="I88" i="8" s="1"/>
  <c r="D89" i="8" l="1"/>
  <c r="H88" i="8"/>
  <c r="J88" i="8" s="1"/>
  <c r="G89" i="8" l="1"/>
  <c r="E89" i="8"/>
  <c r="K89" i="8" s="1"/>
  <c r="C90" i="8" l="1"/>
  <c r="F89" i="8"/>
  <c r="H89" i="8" s="1"/>
  <c r="D90" i="8" l="1"/>
  <c r="I89" i="8"/>
  <c r="J89" i="8" s="1"/>
  <c r="G90" i="8" l="1"/>
  <c r="E90" i="8"/>
  <c r="K90" i="8" s="1"/>
  <c r="C91" i="8" l="1"/>
  <c r="F90" i="8"/>
  <c r="H90" i="8" s="1"/>
  <c r="D91" i="8" l="1"/>
  <c r="I90" i="8"/>
  <c r="J90" i="8" s="1"/>
  <c r="G91" i="8" l="1"/>
  <c r="E91" i="8"/>
  <c r="K91" i="8" s="1"/>
  <c r="C92" i="8" l="1"/>
  <c r="F91" i="8"/>
  <c r="I91" i="8" s="1"/>
  <c r="D92" i="8" l="1"/>
  <c r="H91" i="8"/>
  <c r="J91" i="8" s="1"/>
  <c r="G92" i="8" l="1"/>
  <c r="E92" i="8"/>
  <c r="K92" i="8" s="1"/>
  <c r="C93" i="8" l="1"/>
  <c r="F92" i="8"/>
  <c r="I92" i="8" s="1"/>
  <c r="D93" i="8" l="1"/>
  <c r="H92" i="8"/>
  <c r="J92" i="8" s="1"/>
  <c r="G93" i="8" l="1"/>
  <c r="E93" i="8"/>
  <c r="K93" i="8" s="1"/>
  <c r="C94" i="8" l="1"/>
  <c r="F93" i="8"/>
  <c r="H93" i="8" s="1"/>
  <c r="D94" i="8" l="1"/>
  <c r="I93" i="8"/>
  <c r="J93" i="8" s="1"/>
  <c r="G94" i="8" l="1"/>
  <c r="E94" i="8"/>
  <c r="K94" i="8" s="1"/>
  <c r="C95" i="8" l="1"/>
  <c r="F94" i="8"/>
  <c r="H94" i="8" s="1"/>
  <c r="D95" i="8" l="1"/>
  <c r="I94" i="8"/>
  <c r="J94" i="8" s="1"/>
  <c r="G95" i="8" l="1"/>
  <c r="E95" i="8"/>
  <c r="K95" i="8" s="1"/>
  <c r="C96" i="8" l="1"/>
  <c r="F95" i="8"/>
  <c r="H95" i="8" s="1"/>
  <c r="D96" i="8" l="1"/>
  <c r="I95" i="8"/>
  <c r="J95" i="8" s="1"/>
  <c r="G96" i="8" l="1"/>
  <c r="E96" i="8"/>
  <c r="K96" i="8" s="1"/>
  <c r="C97" i="8" l="1"/>
  <c r="F96" i="8"/>
  <c r="H96" i="8" s="1"/>
  <c r="D97" i="8" l="1"/>
  <c r="I96" i="8"/>
  <c r="J96" i="8" s="1"/>
  <c r="G97" i="8" l="1"/>
  <c r="E97" i="8"/>
  <c r="K97" i="8" s="1"/>
  <c r="C98" i="8" l="1"/>
  <c r="F97" i="8"/>
  <c r="H97" i="8" s="1"/>
  <c r="D98" i="8" l="1"/>
  <c r="I97" i="8"/>
  <c r="J97" i="8" s="1"/>
  <c r="G98" i="8" l="1"/>
  <c r="E98" i="8"/>
  <c r="K98" i="8" s="1"/>
  <c r="C99" i="8" l="1"/>
  <c r="F98" i="8"/>
  <c r="H98" i="8" s="1"/>
  <c r="D99" i="8" l="1"/>
  <c r="I98" i="8"/>
  <c r="J98" i="8" s="1"/>
  <c r="G99" i="8" l="1"/>
  <c r="E99" i="8"/>
  <c r="K99" i="8" s="1"/>
  <c r="C100" i="8" l="1"/>
  <c r="F99" i="8"/>
  <c r="H99" i="8" s="1"/>
  <c r="D100" i="8" l="1"/>
  <c r="I99" i="8"/>
  <c r="J99" i="8" s="1"/>
  <c r="G100" i="8" l="1"/>
  <c r="E100" i="8"/>
  <c r="K100" i="8" s="1"/>
  <c r="C101" i="8" l="1"/>
  <c r="F100" i="8"/>
  <c r="H100" i="8" s="1"/>
  <c r="D101" i="8" l="1"/>
  <c r="I100" i="8"/>
  <c r="J100" i="8" s="1"/>
  <c r="G101" i="8" l="1"/>
  <c r="E101" i="8"/>
  <c r="K101" i="8" s="1"/>
  <c r="C102" i="8" l="1"/>
  <c r="F101" i="8"/>
  <c r="H101" i="8" s="1"/>
  <c r="D102" i="8" l="1"/>
  <c r="I101" i="8"/>
  <c r="J101" i="8" s="1"/>
  <c r="G102" i="8" l="1"/>
  <c r="E102" i="8"/>
  <c r="K102" i="8" s="1"/>
  <c r="C103" i="8" l="1"/>
  <c r="F102" i="8"/>
  <c r="H102" i="8" s="1"/>
  <c r="D103" i="8" l="1"/>
  <c r="I102" i="8"/>
  <c r="J102" i="8" s="1"/>
  <c r="G103" i="8" l="1"/>
  <c r="E103" i="8"/>
  <c r="K103" i="8" s="1"/>
  <c r="C104" i="8" l="1"/>
  <c r="F103" i="8"/>
  <c r="H103" i="8" s="1"/>
  <c r="D104" i="8" l="1"/>
  <c r="I103" i="8"/>
  <c r="J103" i="8" s="1"/>
  <c r="F104" i="8" l="1"/>
  <c r="I104" i="8" s="1"/>
  <c r="G104" i="8"/>
  <c r="E104" i="8"/>
  <c r="K104" i="8" s="1"/>
  <c r="H104" i="8" l="1"/>
  <c r="J104" i="8" s="1"/>
  <c r="C105" i="8"/>
  <c r="D105" i="8" l="1"/>
  <c r="G105" i="8" l="1"/>
  <c r="E105" i="8"/>
  <c r="K105" i="8" s="1"/>
  <c r="C106" i="8" l="1"/>
  <c r="F105" i="8"/>
  <c r="H105" i="8" s="1"/>
  <c r="D106" i="8" l="1"/>
  <c r="I105" i="8"/>
  <c r="J105" i="8" s="1"/>
  <c r="G106" i="8" l="1"/>
  <c r="E106" i="8"/>
  <c r="K106" i="8" s="1"/>
  <c r="C107" i="8" l="1"/>
  <c r="F106" i="8"/>
  <c r="H106" i="8" s="1"/>
  <c r="D107" i="8" l="1"/>
  <c r="I106" i="8"/>
  <c r="J106" i="8" s="1"/>
  <c r="G107" i="8" l="1"/>
  <c r="E107" i="8"/>
  <c r="K107" i="8" s="1"/>
  <c r="C108" i="8" l="1"/>
  <c r="F107" i="8"/>
  <c r="H107" i="8" s="1"/>
  <c r="D108" i="8" l="1"/>
  <c r="I107" i="8"/>
  <c r="J107" i="8" s="1"/>
  <c r="E108" i="8" l="1"/>
  <c r="K108" i="8" s="1"/>
  <c r="G108" i="8"/>
  <c r="C109" i="8" l="1"/>
  <c r="F108" i="8"/>
  <c r="H108" i="8" s="1"/>
  <c r="D109" i="8" l="1"/>
  <c r="I108" i="8"/>
  <c r="J108" i="8" s="1"/>
  <c r="G109" i="8" l="1"/>
  <c r="E109" i="8"/>
  <c r="K109" i="8" s="1"/>
  <c r="C110" i="8" l="1"/>
  <c r="F109" i="8"/>
  <c r="H109" i="8" s="1"/>
  <c r="D110" i="8" l="1"/>
  <c r="I109" i="8"/>
  <c r="J109" i="8" s="1"/>
  <c r="F110" i="8" l="1"/>
  <c r="I110" i="8" s="1"/>
  <c r="G110" i="8"/>
  <c r="E110" i="8"/>
  <c r="K110" i="8" s="1"/>
  <c r="H110" i="8" l="1"/>
  <c r="J110" i="8" s="1"/>
  <c r="C111" i="8"/>
  <c r="D111" i="8" l="1"/>
  <c r="G111" i="8" l="1"/>
  <c r="E111" i="8"/>
  <c r="K111" i="8" s="1"/>
  <c r="C112" i="8" l="1"/>
  <c r="F111" i="8"/>
  <c r="H111" i="8" s="1"/>
  <c r="D112" i="8" l="1"/>
  <c r="I111" i="8"/>
  <c r="J111" i="8" s="1"/>
  <c r="G112" i="8" l="1"/>
  <c r="E112" i="8"/>
  <c r="K112" i="8" s="1"/>
  <c r="C113" i="8" l="1"/>
  <c r="F112" i="8"/>
  <c r="H112" i="8" s="1"/>
  <c r="D113" i="8" l="1"/>
  <c r="I112" i="8"/>
  <c r="J112" i="8" s="1"/>
  <c r="G113" i="8" l="1"/>
  <c r="E113" i="8"/>
  <c r="K113" i="8" s="1"/>
  <c r="C114" i="8" l="1"/>
  <c r="F113" i="8"/>
  <c r="H113" i="8" s="1"/>
  <c r="D114" i="8" l="1"/>
  <c r="I113" i="8"/>
  <c r="J113" i="8" s="1"/>
  <c r="G114" i="8" l="1"/>
  <c r="E114" i="8"/>
  <c r="K114" i="8" s="1"/>
  <c r="C115" i="8" l="1"/>
  <c r="F114" i="8"/>
  <c r="H114" i="8" s="1"/>
  <c r="D115" i="8" l="1"/>
  <c r="I114" i="8"/>
  <c r="J114" i="8" s="1"/>
  <c r="G115" i="8" l="1"/>
  <c r="E115" i="8"/>
  <c r="K115" i="8" s="1"/>
  <c r="C116" i="8" l="1"/>
  <c r="F115" i="8"/>
  <c r="H115" i="8" s="1"/>
  <c r="D116" i="8" l="1"/>
  <c r="I115" i="8"/>
  <c r="J115" i="8" s="1"/>
  <c r="F116" i="8" l="1"/>
  <c r="I116" i="8" s="1"/>
  <c r="G116" i="8"/>
  <c r="E116" i="8"/>
  <c r="K116" i="8" s="1"/>
  <c r="H116" i="8" l="1"/>
  <c r="J116" i="8" s="1"/>
  <c r="C117" i="8"/>
  <c r="D117" i="8" l="1"/>
  <c r="G117" i="8" l="1"/>
  <c r="E117" i="8"/>
  <c r="K117" i="8" s="1"/>
  <c r="C118" i="8" l="1"/>
  <c r="F117" i="8"/>
  <c r="H117" i="8" s="1"/>
  <c r="D118" i="8" l="1"/>
  <c r="I117" i="8"/>
  <c r="J117" i="8" s="1"/>
  <c r="G118" i="8" l="1"/>
  <c r="E118" i="8"/>
  <c r="K118" i="8" s="1"/>
  <c r="C119" i="8" l="1"/>
  <c r="F118" i="8"/>
  <c r="I118" i="8" s="1"/>
  <c r="D119" i="8" l="1"/>
  <c r="H118" i="8"/>
  <c r="J118" i="8" s="1"/>
  <c r="G119" i="8" l="1"/>
  <c r="E119" i="8"/>
  <c r="K119" i="8" s="1"/>
  <c r="C120" i="8" l="1"/>
  <c r="F119" i="8"/>
  <c r="H119" i="8" s="1"/>
  <c r="D120" i="8" l="1"/>
  <c r="I119" i="8"/>
  <c r="J119" i="8" s="1"/>
  <c r="G120" i="8" l="1"/>
  <c r="E120" i="8"/>
  <c r="K120" i="8" s="1"/>
  <c r="C121" i="8" l="1"/>
  <c r="F120" i="8"/>
  <c r="H120" i="8" s="1"/>
  <c r="D121" i="8" l="1"/>
  <c r="I120" i="8"/>
  <c r="J120" i="8" s="1"/>
  <c r="G121" i="8" l="1"/>
  <c r="E121" i="8"/>
  <c r="K121" i="8" s="1"/>
  <c r="C122" i="8" l="1"/>
  <c r="F121" i="8"/>
  <c r="H121" i="8" s="1"/>
  <c r="D122" i="8" l="1"/>
  <c r="I121" i="8"/>
  <c r="J121" i="8" s="1"/>
  <c r="F122" i="8" l="1"/>
  <c r="H122" i="8" s="1"/>
  <c r="G122" i="8"/>
  <c r="E122" i="8"/>
  <c r="K122" i="8" s="1"/>
  <c r="I122" i="8" l="1"/>
  <c r="J122" i="8" s="1"/>
  <c r="C123" i="8"/>
  <c r="D123" i="8" l="1"/>
  <c r="G123" i="8" l="1"/>
  <c r="E123" i="8"/>
  <c r="K123" i="8" s="1"/>
  <c r="C124" i="8" l="1"/>
  <c r="F123" i="8"/>
  <c r="H123" i="8" s="1"/>
  <c r="D124" i="8" l="1"/>
  <c r="I123" i="8"/>
  <c r="J123" i="8" s="1"/>
  <c r="G124" i="8" l="1"/>
  <c r="E124" i="8"/>
  <c r="K124" i="8" s="1"/>
  <c r="C125" i="8" l="1"/>
  <c r="F124" i="8"/>
  <c r="H124" i="8" s="1"/>
  <c r="D125" i="8" l="1"/>
  <c r="I124" i="8"/>
  <c r="J124" i="8" s="1"/>
  <c r="G125" i="8" l="1"/>
  <c r="E125" i="8"/>
  <c r="K125" i="8" s="1"/>
  <c r="C126" i="8" l="1"/>
  <c r="F125" i="8"/>
  <c r="H125" i="8" s="1"/>
  <c r="D126" i="8" l="1"/>
  <c r="I125" i="8"/>
  <c r="J125" i="8" s="1"/>
  <c r="G126" i="8" l="1"/>
  <c r="E126" i="8"/>
  <c r="K126" i="8" s="1"/>
  <c r="C127" i="8" l="1"/>
  <c r="F126" i="8"/>
  <c r="H126" i="8" s="1"/>
  <c r="D127" i="8" l="1"/>
  <c r="I126" i="8"/>
  <c r="J126" i="8" s="1"/>
  <c r="G127" i="8" l="1"/>
  <c r="E127" i="8"/>
  <c r="K127" i="8" s="1"/>
  <c r="C128" i="8" l="1"/>
  <c r="F127" i="8"/>
  <c r="H127" i="8" s="1"/>
  <c r="D128" i="8" l="1"/>
  <c r="I127" i="8"/>
  <c r="J127" i="8" s="1"/>
  <c r="G128" i="8" l="1"/>
  <c r="E128" i="8"/>
  <c r="K128" i="8" s="1"/>
  <c r="C129" i="8" l="1"/>
  <c r="F128" i="8"/>
  <c r="H128" i="8" s="1"/>
  <c r="D129" i="8" l="1"/>
  <c r="I128" i="8"/>
  <c r="J128" i="8" s="1"/>
  <c r="G129" i="8" l="1"/>
  <c r="E129" i="8"/>
  <c r="K129" i="8" s="1"/>
  <c r="C130" i="8" l="1"/>
  <c r="F129" i="8"/>
  <c r="H129" i="8" s="1"/>
  <c r="D130" i="8" l="1"/>
  <c r="I129" i="8"/>
  <c r="J129" i="8" s="1"/>
  <c r="G130" i="8" l="1"/>
  <c r="E130" i="8"/>
  <c r="K130" i="8" s="1"/>
  <c r="C131" i="8" l="1"/>
  <c r="F130" i="8"/>
  <c r="I130" i="8" s="1"/>
  <c r="D131" i="8" l="1"/>
  <c r="H130" i="8"/>
  <c r="J130" i="8" s="1"/>
  <c r="G131" i="8" l="1"/>
  <c r="E131" i="8"/>
  <c r="K131" i="8" s="1"/>
  <c r="C132" i="8" l="1"/>
  <c r="F131" i="8"/>
  <c r="H131" i="8" s="1"/>
  <c r="D132" i="8" l="1"/>
  <c r="I131" i="8"/>
  <c r="J131" i="8" s="1"/>
  <c r="G132" i="8" l="1"/>
  <c r="E132" i="8"/>
  <c r="K132" i="8" s="1"/>
  <c r="C133" i="8" l="1"/>
  <c r="F132" i="8"/>
  <c r="H132" i="8" s="1"/>
  <c r="D133" i="8" l="1"/>
  <c r="I132" i="8"/>
  <c r="J132" i="8" s="1"/>
  <c r="G133" i="8" l="1"/>
  <c r="E133" i="8"/>
  <c r="K133" i="8" s="1"/>
  <c r="C134" i="8" l="1"/>
  <c r="F133" i="8"/>
  <c r="I133" i="8" s="1"/>
  <c r="H133" i="8" l="1"/>
  <c r="J133" i="8" s="1"/>
  <c r="D134" i="8"/>
  <c r="G134" i="8" l="1"/>
  <c r="E134" i="8"/>
  <c r="K134" i="8" s="1"/>
  <c r="C135" i="8" l="1"/>
  <c r="F134" i="8"/>
  <c r="H134" i="8" s="1"/>
  <c r="D135" i="8" l="1"/>
  <c r="I134" i="8"/>
  <c r="J134" i="8" s="1"/>
  <c r="G135" i="8" l="1"/>
  <c r="E135" i="8"/>
  <c r="K135" i="8" s="1"/>
  <c r="C136" i="8" l="1"/>
  <c r="F135" i="8"/>
  <c r="H135" i="8" s="1"/>
  <c r="D136" i="8" l="1"/>
  <c r="I135" i="8"/>
  <c r="J135" i="8" s="1"/>
  <c r="G136" i="8" l="1"/>
  <c r="E136" i="8"/>
  <c r="K136" i="8" s="1"/>
  <c r="C137" i="8" l="1"/>
  <c r="F136" i="8"/>
  <c r="H136" i="8" s="1"/>
  <c r="D137" i="8" l="1"/>
  <c r="I136" i="8"/>
  <c r="J136" i="8" s="1"/>
  <c r="G137" i="8" l="1"/>
  <c r="E137" i="8"/>
  <c r="K137" i="8" s="1"/>
  <c r="C138" i="8" l="1"/>
  <c r="F137" i="8"/>
  <c r="H137" i="8" s="1"/>
  <c r="D138" i="8" l="1"/>
  <c r="I137" i="8"/>
  <c r="J137" i="8" s="1"/>
  <c r="G138" i="8" l="1"/>
  <c r="E138" i="8"/>
  <c r="K138" i="8" s="1"/>
  <c r="C139" i="8" l="1"/>
  <c r="F138" i="8"/>
  <c r="H138" i="8" s="1"/>
  <c r="D139" i="8" l="1"/>
  <c r="I138" i="8"/>
  <c r="J138" i="8" s="1"/>
  <c r="G139" i="8" l="1"/>
  <c r="E139" i="8"/>
  <c r="K139" i="8" s="1"/>
  <c r="C140" i="8" l="1"/>
  <c r="F139" i="8"/>
  <c r="H139" i="8" s="1"/>
  <c r="D140" i="8" l="1"/>
  <c r="I139" i="8"/>
  <c r="J139" i="8" s="1"/>
  <c r="G140" i="8" l="1"/>
  <c r="E140" i="8"/>
  <c r="K140" i="8" s="1"/>
  <c r="C141" i="8" l="1"/>
  <c r="F140" i="8"/>
  <c r="H140" i="8" s="1"/>
  <c r="D141" i="8" l="1"/>
  <c r="I140" i="8"/>
  <c r="J140" i="8" s="1"/>
  <c r="G141" i="8" l="1"/>
  <c r="E141" i="8"/>
  <c r="K141" i="8" s="1"/>
  <c r="C142" i="8" l="1"/>
  <c r="F141" i="8"/>
  <c r="I141" i="8" s="1"/>
  <c r="D142" i="8" l="1"/>
  <c r="H141" i="8"/>
  <c r="J141" i="8" s="1"/>
  <c r="G142" i="8" l="1"/>
  <c r="E142" i="8"/>
  <c r="K142" i="8" s="1"/>
  <c r="C143" i="8" l="1"/>
  <c r="F142" i="8"/>
  <c r="H142" i="8" s="1"/>
  <c r="D143" i="8" l="1"/>
  <c r="I142" i="8"/>
  <c r="J142" i="8" s="1"/>
  <c r="G143" i="8" l="1"/>
  <c r="E143" i="8"/>
  <c r="K143" i="8" s="1"/>
  <c r="C144" i="8" l="1"/>
  <c r="F143" i="8"/>
  <c r="H143" i="8" s="1"/>
  <c r="D144" i="8" l="1"/>
  <c r="I143" i="8"/>
  <c r="J143" i="8" s="1"/>
  <c r="G144" i="8" l="1"/>
  <c r="E144" i="8"/>
  <c r="K144" i="8" s="1"/>
  <c r="C145" i="8" l="1"/>
  <c r="F144" i="8"/>
  <c r="H144" i="8" s="1"/>
  <c r="D145" i="8" l="1"/>
  <c r="I144" i="8"/>
  <c r="J144" i="8" s="1"/>
  <c r="G145" i="8" l="1"/>
  <c r="E145" i="8"/>
  <c r="K145" i="8" s="1"/>
  <c r="C146" i="8" l="1"/>
  <c r="F145" i="8"/>
  <c r="H145" i="8" s="1"/>
  <c r="D146" i="8" l="1"/>
  <c r="I145" i="8"/>
  <c r="J145" i="8" s="1"/>
  <c r="G146" i="8" l="1"/>
  <c r="E146" i="8"/>
  <c r="K146" i="8" s="1"/>
  <c r="C147" i="8" l="1"/>
  <c r="F146" i="8"/>
  <c r="H146" i="8" s="1"/>
  <c r="D147" i="8" l="1"/>
  <c r="I146" i="8"/>
  <c r="J146" i="8" s="1"/>
  <c r="G147" i="8" l="1"/>
  <c r="E147" i="8"/>
  <c r="K147" i="8" s="1"/>
  <c r="C148" i="8" l="1"/>
  <c r="F147" i="8"/>
  <c r="H147" i="8" s="1"/>
  <c r="D148" i="8" l="1"/>
  <c r="I147" i="8"/>
  <c r="J147" i="8" s="1"/>
  <c r="G148" i="8" l="1"/>
  <c r="E148" i="8"/>
  <c r="K148" i="8" s="1"/>
  <c r="C149" i="8" l="1"/>
  <c r="F148" i="8"/>
  <c r="H148" i="8" s="1"/>
  <c r="D149" i="8" l="1"/>
  <c r="I148" i="8"/>
  <c r="J148" i="8" s="1"/>
  <c r="G149" i="8" l="1"/>
  <c r="E149" i="8"/>
  <c r="K149" i="8" s="1"/>
  <c r="C150" i="8" l="1"/>
  <c r="F149" i="8"/>
  <c r="H149" i="8" s="1"/>
  <c r="D150" i="8" l="1"/>
  <c r="I149" i="8"/>
  <c r="J149" i="8" s="1"/>
  <c r="G150" i="8" l="1"/>
  <c r="E150" i="8"/>
  <c r="K150" i="8" s="1"/>
  <c r="C151" i="8" l="1"/>
  <c r="F150" i="8"/>
  <c r="H150" i="8" s="1"/>
  <c r="D151" i="8" l="1"/>
  <c r="I150" i="8"/>
  <c r="J150" i="8" s="1"/>
  <c r="G151" i="8" l="1"/>
  <c r="E151" i="8"/>
  <c r="K151" i="8" s="1"/>
  <c r="C152" i="8" l="1"/>
  <c r="F151" i="8"/>
  <c r="H151" i="8" s="1"/>
  <c r="D152" i="8" l="1"/>
  <c r="I151" i="8"/>
  <c r="J151" i="8" s="1"/>
  <c r="G152" i="8" l="1"/>
  <c r="E152" i="8"/>
  <c r="K152" i="8" s="1"/>
  <c r="C153" i="8" l="1"/>
  <c r="F152" i="8"/>
  <c r="H152" i="8" s="1"/>
  <c r="D153" i="8" l="1"/>
  <c r="I152" i="8"/>
  <c r="J152" i="8" s="1"/>
  <c r="G153" i="8" l="1"/>
  <c r="E153" i="8"/>
  <c r="K153" i="8" s="1"/>
  <c r="C154" i="8" l="1"/>
  <c r="F153" i="8"/>
  <c r="H153" i="8" s="1"/>
  <c r="D154" i="8" l="1"/>
  <c r="I153" i="8"/>
  <c r="J153" i="8" s="1"/>
  <c r="E154" i="8" l="1"/>
  <c r="K154" i="8" s="1"/>
  <c r="G154" i="8"/>
  <c r="C155" i="8" l="1"/>
  <c r="F154" i="8"/>
  <c r="H154" i="8" s="1"/>
  <c r="D155" i="8" l="1"/>
  <c r="I154" i="8"/>
  <c r="J154" i="8" s="1"/>
  <c r="G155" i="8" l="1"/>
  <c r="E155" i="8"/>
  <c r="K155" i="8" s="1"/>
  <c r="C156" i="8" l="1"/>
  <c r="F155" i="8"/>
  <c r="H155" i="8" s="1"/>
  <c r="D156" i="8" l="1"/>
  <c r="I155" i="8"/>
  <c r="J155" i="8" s="1"/>
  <c r="G156" i="8" l="1"/>
  <c r="E156" i="8"/>
  <c r="K156" i="8" s="1"/>
  <c r="C157" i="8" l="1"/>
  <c r="F156" i="8"/>
  <c r="H156" i="8" s="1"/>
  <c r="I156" i="8" l="1"/>
  <c r="J156" i="8" s="1"/>
  <c r="D157" i="8"/>
  <c r="G157" i="8" l="1"/>
  <c r="E157" i="8"/>
  <c r="K157" i="8" s="1"/>
  <c r="C158" i="8" l="1"/>
  <c r="F157" i="8"/>
  <c r="H157" i="8" s="1"/>
  <c r="D158" i="8" l="1"/>
  <c r="I157" i="8"/>
  <c r="J157" i="8" s="1"/>
  <c r="G158" i="8" l="1"/>
  <c r="E158" i="8"/>
  <c r="K158" i="8" s="1"/>
  <c r="C159" i="8" l="1"/>
  <c r="F158" i="8"/>
  <c r="I158" i="8" s="1"/>
  <c r="D159" i="8" l="1"/>
  <c r="H158" i="8"/>
  <c r="J158" i="8" s="1"/>
  <c r="E159" i="8" l="1"/>
  <c r="K159" i="8" s="1"/>
  <c r="G159" i="8"/>
  <c r="C160" i="8" l="1"/>
  <c r="F159" i="8"/>
  <c r="H159" i="8" s="1"/>
  <c r="D160" i="8" l="1"/>
  <c r="I159" i="8"/>
  <c r="J159" i="8" s="1"/>
  <c r="G160" i="8" l="1"/>
  <c r="E160" i="8"/>
  <c r="K160" i="8" s="1"/>
  <c r="C161" i="8" l="1"/>
  <c r="F160" i="8"/>
  <c r="H160" i="8" s="1"/>
  <c r="D161" i="8" l="1"/>
  <c r="I160" i="8"/>
  <c r="J160" i="8" s="1"/>
  <c r="G161" i="8" l="1"/>
  <c r="E161" i="8"/>
  <c r="K161" i="8" s="1"/>
  <c r="C162" i="8" l="1"/>
  <c r="F161" i="8"/>
  <c r="H161" i="8" s="1"/>
  <c r="D162" i="8" l="1"/>
  <c r="I161" i="8"/>
  <c r="J161" i="8" s="1"/>
  <c r="G162" i="8" l="1"/>
  <c r="E162" i="8"/>
  <c r="K162" i="8" s="1"/>
  <c r="C163" i="8" l="1"/>
  <c r="F162" i="8"/>
  <c r="H162" i="8" s="1"/>
  <c r="D163" i="8" l="1"/>
  <c r="I162" i="8"/>
  <c r="J162" i="8" s="1"/>
  <c r="G163" i="8" l="1"/>
  <c r="E163" i="8"/>
  <c r="K163" i="8" s="1"/>
  <c r="C164" i="8" l="1"/>
  <c r="F163" i="8"/>
  <c r="H163" i="8" s="1"/>
  <c r="D164" i="8" l="1"/>
  <c r="I163" i="8"/>
  <c r="J163" i="8" s="1"/>
  <c r="G164" i="8" l="1"/>
  <c r="E164" i="8"/>
  <c r="K164" i="8" s="1"/>
  <c r="C165" i="8" l="1"/>
  <c r="F164" i="8"/>
  <c r="H164" i="8" s="1"/>
  <c r="D165" i="8" l="1"/>
  <c r="I164" i="8"/>
  <c r="J164" i="8" s="1"/>
  <c r="G165" i="8" l="1"/>
  <c r="E165" i="8"/>
  <c r="K165" i="8" s="1"/>
  <c r="C166" i="8" l="1"/>
  <c r="F165" i="8"/>
  <c r="H165" i="8" s="1"/>
  <c r="D166" i="8" l="1"/>
  <c r="I165" i="8"/>
  <c r="J165" i="8" s="1"/>
  <c r="G166" i="8" l="1"/>
  <c r="E166" i="8"/>
  <c r="K166" i="8" s="1"/>
  <c r="C167" i="8" l="1"/>
  <c r="F166" i="8"/>
  <c r="I166" i="8" s="1"/>
  <c r="D167" i="8" l="1"/>
  <c r="H166" i="8"/>
  <c r="J166" i="8" s="1"/>
  <c r="G167" i="8" l="1"/>
  <c r="E167" i="8"/>
  <c r="K167" i="8" s="1"/>
  <c r="C168" i="8" l="1"/>
  <c r="F167" i="8"/>
  <c r="H167" i="8" s="1"/>
  <c r="D168" i="8" l="1"/>
  <c r="I167" i="8"/>
  <c r="J167" i="8" s="1"/>
  <c r="G168" i="8" l="1"/>
  <c r="E168" i="8"/>
  <c r="K168" i="8" s="1"/>
  <c r="C169" i="8" l="1"/>
  <c r="F168" i="8"/>
  <c r="H168" i="8" s="1"/>
  <c r="D169" i="8" l="1"/>
  <c r="I168" i="8"/>
  <c r="J168" i="8" s="1"/>
  <c r="G169" i="8" l="1"/>
  <c r="E169" i="8"/>
  <c r="K169" i="8" s="1"/>
  <c r="C170" i="8" l="1"/>
  <c r="F169" i="8"/>
  <c r="I169" i="8" s="1"/>
  <c r="D170" i="8" l="1"/>
  <c r="H169" i="8"/>
  <c r="J169" i="8" s="1"/>
  <c r="G170" i="8" l="1"/>
  <c r="E170" i="8"/>
  <c r="K170" i="8" s="1"/>
  <c r="C171" i="8" l="1"/>
  <c r="F170" i="8"/>
  <c r="I170" i="8" s="1"/>
  <c r="D171" i="8" l="1"/>
  <c r="H170" i="8"/>
  <c r="J170" i="8" s="1"/>
  <c r="G171" i="8" l="1"/>
  <c r="E171" i="8"/>
  <c r="K171" i="8" s="1"/>
  <c r="C172" i="8" l="1"/>
  <c r="F171" i="8"/>
  <c r="H171" i="8" s="1"/>
  <c r="I171" i="8" l="1"/>
  <c r="J171" i="8" s="1"/>
  <c r="D172" i="8"/>
  <c r="G172" i="8" l="1"/>
  <c r="E172" i="8"/>
  <c r="K172" i="8" s="1"/>
  <c r="C173" i="8" l="1"/>
  <c r="F172" i="8"/>
  <c r="H172" i="8" s="1"/>
  <c r="D173" i="8" l="1"/>
  <c r="I172" i="8"/>
  <c r="J172" i="8" s="1"/>
  <c r="G173" i="8" l="1"/>
  <c r="E173" i="8"/>
  <c r="K173" i="8" s="1"/>
  <c r="C174" i="8" l="1"/>
  <c r="F173" i="8"/>
  <c r="H173" i="8" s="1"/>
  <c r="D174" i="8" l="1"/>
  <c r="I173" i="8"/>
  <c r="J173" i="8" s="1"/>
  <c r="G174" i="8" l="1"/>
  <c r="E174" i="8"/>
  <c r="K174" i="8" s="1"/>
  <c r="C175" i="8" l="1"/>
  <c r="F174" i="8"/>
  <c r="H174" i="8" s="1"/>
  <c r="D175" i="8" l="1"/>
  <c r="I174" i="8"/>
  <c r="J174" i="8" s="1"/>
  <c r="G175" i="8" l="1"/>
  <c r="E175" i="8"/>
  <c r="K175" i="8" s="1"/>
  <c r="C176" i="8" l="1"/>
  <c r="F175" i="8"/>
  <c r="H175" i="8" s="1"/>
  <c r="D176" i="8" l="1"/>
  <c r="I175" i="8"/>
  <c r="J175" i="8" s="1"/>
  <c r="G176" i="8" l="1"/>
  <c r="E176" i="8"/>
  <c r="K176" i="8" s="1"/>
  <c r="C177" i="8" l="1"/>
  <c r="F176" i="8"/>
  <c r="H176" i="8" s="1"/>
  <c r="D177" i="8" l="1"/>
  <c r="I176" i="8"/>
  <c r="J176" i="8" s="1"/>
  <c r="G177" i="8" l="1"/>
  <c r="E177" i="8"/>
  <c r="K177" i="8" s="1"/>
  <c r="C178" i="8" l="1"/>
  <c r="F177" i="8"/>
  <c r="H177" i="8" s="1"/>
  <c r="D178" i="8" l="1"/>
  <c r="I177" i="8"/>
  <c r="J177" i="8" s="1"/>
  <c r="G178" i="8" l="1"/>
  <c r="E178" i="8"/>
  <c r="K178" i="8" s="1"/>
  <c r="C179" i="8" l="1"/>
  <c r="F178" i="8"/>
  <c r="H178" i="8" s="1"/>
  <c r="D179" i="8" l="1"/>
  <c r="I178" i="8"/>
  <c r="J178" i="8" s="1"/>
  <c r="G179" i="8" l="1"/>
  <c r="E179" i="8"/>
  <c r="K179" i="8" s="1"/>
  <c r="C180" i="8" l="1"/>
  <c r="F179" i="8"/>
  <c r="H179" i="8" s="1"/>
  <c r="D180" i="8" l="1"/>
  <c r="I179" i="8"/>
  <c r="J179" i="8" s="1"/>
  <c r="G180" i="8" l="1"/>
  <c r="E180" i="8"/>
  <c r="C181" i="8" s="1"/>
  <c r="K180" i="8" l="1"/>
  <c r="D181" i="8"/>
  <c r="F180" i="8"/>
  <c r="H180" i="8" s="1"/>
  <c r="I180" i="8" l="1"/>
  <c r="J180" i="8" s="1"/>
  <c r="G181" i="8"/>
  <c r="E181" i="8" l="1"/>
  <c r="C182" i="8" l="1"/>
  <c r="D182" i="8" s="1"/>
  <c r="K181" i="8"/>
  <c r="F181" i="8"/>
  <c r="H181" i="8" s="1"/>
  <c r="I181" i="8" l="1"/>
  <c r="J181" i="8" s="1"/>
  <c r="G182" i="8"/>
  <c r="E182" i="8" l="1"/>
  <c r="C183" i="8" l="1"/>
  <c r="D183" i="8" s="1"/>
  <c r="K182" i="8"/>
  <c r="F182" i="8"/>
  <c r="H182" i="8" s="1"/>
  <c r="I182" i="8" l="1"/>
  <c r="J182" i="8" s="1"/>
  <c r="G183" i="8"/>
  <c r="E183" i="8" l="1"/>
  <c r="C184" i="8" l="1"/>
  <c r="D184" i="8" s="1"/>
  <c r="K183" i="8"/>
  <c r="F183" i="8"/>
  <c r="H183" i="8" s="1"/>
  <c r="I183" i="8" l="1"/>
  <c r="J183" i="8" s="1"/>
  <c r="G184" i="8" l="1"/>
  <c r="E184" i="8"/>
  <c r="C185" i="8" l="1"/>
  <c r="D185" i="8" s="1"/>
  <c r="K184" i="8"/>
  <c r="F184" i="8"/>
  <c r="H184" i="8" s="1"/>
  <c r="I184" i="8" l="1"/>
  <c r="J184" i="8" s="1"/>
  <c r="G185" i="8" l="1"/>
  <c r="E185" i="8"/>
  <c r="C186" i="8" l="1"/>
  <c r="D186" i="8" s="1"/>
  <c r="K185" i="8"/>
  <c r="F185" i="8"/>
  <c r="H185" i="8" s="1"/>
  <c r="I185" i="8" l="1"/>
  <c r="J185" i="8" s="1"/>
  <c r="G186" i="8" l="1"/>
  <c r="E186" i="8"/>
  <c r="C187" i="8" l="1"/>
  <c r="D187" i="8" s="1"/>
  <c r="K186" i="8"/>
  <c r="F186" i="8"/>
  <c r="H186" i="8" s="1"/>
  <c r="I186" i="8" l="1"/>
  <c r="J186" i="8" s="1"/>
  <c r="G187" i="8" l="1"/>
  <c r="E187" i="8"/>
  <c r="C188" i="8" l="1"/>
  <c r="D188" i="8" s="1"/>
  <c r="K187" i="8"/>
  <c r="F187" i="8"/>
  <c r="H187" i="8" s="1"/>
  <c r="I187" i="8" l="1"/>
  <c r="J187" i="8" s="1"/>
  <c r="G188" i="8" l="1"/>
  <c r="E188" i="8"/>
  <c r="C189" i="8" l="1"/>
  <c r="D189" i="8" s="1"/>
  <c r="K188" i="8"/>
  <c r="F188" i="8"/>
  <c r="H188" i="8" s="1"/>
  <c r="I188" i="8" l="1"/>
  <c r="J188" i="8" s="1"/>
  <c r="G189" i="8" l="1"/>
  <c r="E189" i="8"/>
  <c r="C190" i="8" l="1"/>
  <c r="D190" i="8" s="1"/>
  <c r="K189" i="8"/>
  <c r="F189" i="8"/>
  <c r="H189" i="8" s="1"/>
  <c r="I189" i="8" l="1"/>
  <c r="J189" i="8" s="1"/>
  <c r="G190" i="8" l="1"/>
  <c r="E190" i="8"/>
  <c r="C191" i="8" l="1"/>
  <c r="D191" i="8" s="1"/>
  <c r="K190" i="8"/>
  <c r="F190" i="8"/>
  <c r="H190" i="8" s="1"/>
  <c r="I190" i="8" l="1"/>
  <c r="J190" i="8" s="1"/>
  <c r="G191" i="8" l="1"/>
  <c r="E191" i="8"/>
  <c r="C192" i="8" l="1"/>
  <c r="D192" i="8" s="1"/>
  <c r="K191" i="8"/>
  <c r="F191" i="8"/>
  <c r="H191" i="8" s="1"/>
  <c r="I191" i="8" l="1"/>
  <c r="J191" i="8" s="1"/>
  <c r="G192" i="8" l="1"/>
  <c r="E192" i="8"/>
  <c r="C193" i="8" l="1"/>
  <c r="D193" i="8" s="1"/>
  <c r="K192" i="8"/>
  <c r="F192" i="8"/>
  <c r="H192" i="8" s="1"/>
  <c r="I192" i="8" l="1"/>
  <c r="J192" i="8" s="1"/>
  <c r="G193" i="8" l="1"/>
  <c r="E193" i="8"/>
  <c r="C194" i="8" l="1"/>
  <c r="D194" i="8" s="1"/>
  <c r="K193" i="8"/>
  <c r="F193" i="8"/>
  <c r="H193" i="8" s="1"/>
  <c r="I193" i="8" l="1"/>
  <c r="J193" i="8" s="1"/>
  <c r="F194" i="8" l="1"/>
  <c r="H194" i="8" s="1"/>
  <c r="G194" i="8"/>
  <c r="E194" i="8"/>
  <c r="K194" i="8" s="1"/>
  <c r="I194" i="8" l="1"/>
  <c r="J194" i="8" s="1"/>
  <c r="C195" i="8"/>
  <c r="D195" i="8" l="1"/>
  <c r="G195" i="8" l="1"/>
  <c r="E195" i="8"/>
  <c r="C196" i="8" s="1"/>
  <c r="K195" i="8" l="1"/>
  <c r="D196" i="8"/>
  <c r="F195" i="8"/>
  <c r="H195" i="8" s="1"/>
  <c r="I195" i="8" l="1"/>
  <c r="J195" i="8" s="1"/>
  <c r="G196" i="8" l="1"/>
  <c r="E196" i="8"/>
  <c r="C197" i="8" l="1"/>
  <c r="D197" i="8" s="1"/>
  <c r="K196" i="8"/>
  <c r="F196" i="8"/>
  <c r="H196" i="8" s="1"/>
  <c r="I196" i="8" l="1"/>
  <c r="J196" i="8" s="1"/>
  <c r="G197" i="8"/>
  <c r="E197" i="8" l="1"/>
  <c r="C198" i="8" l="1"/>
  <c r="D198" i="8" s="1"/>
  <c r="K197" i="8"/>
  <c r="F197" i="8"/>
  <c r="H197" i="8" s="1"/>
  <c r="I197" i="8" l="1"/>
  <c r="J197" i="8" s="1"/>
  <c r="G198" i="8" l="1"/>
  <c r="E198" i="8"/>
  <c r="C199" i="8" l="1"/>
  <c r="D199" i="8" s="1"/>
  <c r="K198" i="8"/>
  <c r="F198" i="8"/>
  <c r="I198" i="8" s="1"/>
  <c r="H198" i="8" l="1"/>
  <c r="J198" i="8" s="1"/>
  <c r="G199" i="8" l="1"/>
  <c r="E199" i="8"/>
  <c r="C200" i="8" l="1"/>
  <c r="D200" i="8" s="1"/>
  <c r="K199" i="8"/>
  <c r="F199" i="8"/>
  <c r="H199" i="8" s="1"/>
  <c r="I199" i="8" l="1"/>
  <c r="J199" i="8" s="1"/>
  <c r="E200" i="8" l="1"/>
  <c r="G200" i="8"/>
  <c r="C201" i="8" l="1"/>
  <c r="D201" i="8" s="1"/>
  <c r="K200" i="8"/>
  <c r="F200" i="8"/>
  <c r="H200" i="8" s="1"/>
  <c r="I200" i="8" l="1"/>
  <c r="J200" i="8" s="1"/>
  <c r="G201" i="8" l="1"/>
  <c r="E201" i="8"/>
  <c r="C202" i="8" l="1"/>
  <c r="D202" i="8" s="1"/>
  <c r="K201" i="8"/>
  <c r="F201" i="8"/>
  <c r="H201" i="8" s="1"/>
  <c r="I201" i="8" l="1"/>
  <c r="J201" i="8" s="1"/>
  <c r="G202" i="8" l="1"/>
  <c r="E202" i="8"/>
  <c r="C203" i="8" l="1"/>
  <c r="D203" i="8" s="1"/>
  <c r="K202" i="8"/>
  <c r="F202" i="8"/>
  <c r="H202" i="8" s="1"/>
  <c r="I202" i="8" l="1"/>
  <c r="J202" i="8" s="1"/>
  <c r="G203" i="8"/>
  <c r="E203" i="8" l="1"/>
  <c r="C204" i="8" l="1"/>
  <c r="D204" i="8" s="1"/>
  <c r="K203" i="8"/>
  <c r="F203" i="8"/>
  <c r="H203" i="8" s="1"/>
  <c r="I203" i="8" l="1"/>
  <c r="J203" i="8" s="1"/>
  <c r="G204" i="8" l="1"/>
  <c r="E204" i="8"/>
  <c r="C205" i="8" l="1"/>
  <c r="D205" i="8" s="1"/>
  <c r="K204" i="8"/>
  <c r="F204" i="8"/>
  <c r="H204" i="8" s="1"/>
  <c r="I204" i="8" l="1"/>
  <c r="J204" i="8" s="1"/>
  <c r="G205" i="8" l="1"/>
  <c r="E205" i="8"/>
  <c r="C206" i="8" l="1"/>
  <c r="D206" i="8" s="1"/>
  <c r="K205" i="8"/>
  <c r="F205" i="8"/>
  <c r="H205" i="8" s="1"/>
  <c r="I205" i="8" l="1"/>
  <c r="J205" i="8" s="1"/>
  <c r="E206" i="8" l="1"/>
  <c r="G206" i="8"/>
  <c r="C207" i="8" l="1"/>
  <c r="D207" i="8" s="1"/>
  <c r="K206" i="8"/>
  <c r="F206" i="8"/>
  <c r="H206" i="8" s="1"/>
  <c r="I206" i="8" l="1"/>
  <c r="J206" i="8" s="1"/>
  <c r="G207" i="8" l="1"/>
  <c r="E207" i="8"/>
  <c r="C208" i="8" l="1"/>
  <c r="D208" i="8" s="1"/>
  <c r="K207" i="8"/>
  <c r="F207" i="8"/>
  <c r="H207" i="8" s="1"/>
  <c r="I207" i="8" l="1"/>
  <c r="J207" i="8" s="1"/>
  <c r="E208" i="8" l="1"/>
  <c r="G208" i="8"/>
  <c r="C209" i="8" l="1"/>
  <c r="D209" i="8" s="1"/>
  <c r="K208" i="8"/>
  <c r="F208" i="8"/>
  <c r="H208" i="8" s="1"/>
  <c r="I208" i="8" l="1"/>
  <c r="J208" i="8" s="1"/>
  <c r="G209" i="8" l="1"/>
  <c r="E209" i="8"/>
  <c r="C210" i="8" l="1"/>
  <c r="D210" i="8" s="1"/>
  <c r="K209" i="8"/>
  <c r="F209" i="8"/>
  <c r="H209" i="8" s="1"/>
  <c r="I209" i="8" l="1"/>
  <c r="J209" i="8" s="1"/>
  <c r="G210" i="8" l="1"/>
  <c r="E210" i="8"/>
  <c r="C211" i="8" l="1"/>
  <c r="D211" i="8" s="1"/>
  <c r="K210" i="8"/>
  <c r="F210" i="8"/>
  <c r="H210" i="8" s="1"/>
  <c r="I210" i="8" l="1"/>
  <c r="J210" i="8" s="1"/>
  <c r="G211" i="8" l="1"/>
  <c r="E211" i="8"/>
  <c r="C212" i="8" l="1"/>
  <c r="D212" i="8" s="1"/>
  <c r="K211" i="8"/>
  <c r="F211" i="8"/>
  <c r="H211" i="8" s="1"/>
  <c r="I211" i="8" l="1"/>
  <c r="J211" i="8" s="1"/>
  <c r="G212" i="8" l="1"/>
  <c r="E212" i="8"/>
  <c r="C213" i="8" l="1"/>
  <c r="D213" i="8" s="1"/>
  <c r="K212" i="8"/>
  <c r="F212" i="8"/>
  <c r="H212" i="8" s="1"/>
  <c r="I212" i="8" l="1"/>
  <c r="J212" i="8" s="1"/>
  <c r="G213" i="8" l="1"/>
  <c r="E213" i="8"/>
  <c r="C214" i="8" l="1"/>
  <c r="D214" i="8" s="1"/>
  <c r="K213" i="8"/>
  <c r="F213" i="8"/>
  <c r="H213" i="8" s="1"/>
  <c r="I213" i="8" l="1"/>
  <c r="J213" i="8" s="1"/>
  <c r="G214" i="8" l="1"/>
  <c r="E214" i="8"/>
  <c r="C215" i="8" l="1"/>
  <c r="D215" i="8" s="1"/>
  <c r="K214" i="8"/>
  <c r="F214" i="8"/>
  <c r="H214" i="8" s="1"/>
  <c r="I214" i="8" l="1"/>
  <c r="J214" i="8" s="1"/>
  <c r="G215" i="8"/>
  <c r="E215" i="8" l="1"/>
  <c r="C216" i="8" l="1"/>
  <c r="D216" i="8" s="1"/>
  <c r="K215" i="8"/>
  <c r="F215" i="8"/>
  <c r="H215" i="8" s="1"/>
  <c r="I215" i="8" l="1"/>
  <c r="J215" i="8" s="1"/>
  <c r="G216" i="8" l="1"/>
  <c r="E216" i="8"/>
  <c r="C217" i="8" l="1"/>
  <c r="D217" i="8" s="1"/>
  <c r="K216" i="8"/>
  <c r="F216" i="8"/>
  <c r="H216" i="8" s="1"/>
  <c r="I216" i="8" l="1"/>
  <c r="J216" i="8" s="1"/>
  <c r="G217" i="8" l="1"/>
  <c r="E217" i="8"/>
  <c r="C218" i="8" l="1"/>
  <c r="D218" i="8" s="1"/>
  <c r="K217" i="8"/>
  <c r="F217" i="8"/>
  <c r="H217" i="8" s="1"/>
  <c r="I217" i="8" l="1"/>
  <c r="J217" i="8" s="1"/>
  <c r="G218" i="8" l="1"/>
  <c r="E218" i="8"/>
  <c r="C219" i="8" l="1"/>
  <c r="D219" i="8" s="1"/>
  <c r="K218" i="8"/>
  <c r="F218" i="8"/>
  <c r="I218" i="8" s="1"/>
  <c r="H218" i="8" l="1"/>
  <c r="J218" i="8" s="1"/>
  <c r="G219" i="8" l="1"/>
  <c r="E219" i="8"/>
  <c r="C220" i="8" l="1"/>
  <c r="D220" i="8" s="1"/>
  <c r="K219" i="8"/>
  <c r="F219" i="8"/>
  <c r="H219" i="8" s="1"/>
  <c r="I219" i="8" l="1"/>
  <c r="J219" i="8" s="1"/>
  <c r="G220" i="8" l="1"/>
  <c r="E220" i="8"/>
  <c r="C221" i="8" l="1"/>
  <c r="D221" i="8" s="1"/>
  <c r="K220" i="8"/>
  <c r="F220" i="8"/>
  <c r="H220" i="8" s="1"/>
  <c r="I220" i="8" l="1"/>
  <c r="J220" i="8" s="1"/>
  <c r="G221" i="8" l="1"/>
  <c r="E221" i="8"/>
  <c r="C222" i="8" l="1"/>
  <c r="D222" i="8" s="1"/>
  <c r="K221" i="8"/>
  <c r="F221" i="8"/>
  <c r="H221" i="8" s="1"/>
  <c r="I221" i="8" l="1"/>
  <c r="J221" i="8" s="1"/>
  <c r="G222" i="8" l="1"/>
  <c r="E222" i="8"/>
  <c r="C223" i="8" l="1"/>
  <c r="D223" i="8" s="1"/>
  <c r="K222" i="8"/>
  <c r="F222" i="8"/>
  <c r="H222" i="8" s="1"/>
  <c r="I222" i="8" l="1"/>
  <c r="J222" i="8" s="1"/>
  <c r="G223" i="8"/>
  <c r="E223" i="8" l="1"/>
  <c r="C224" i="8" l="1"/>
  <c r="D224" i="8" s="1"/>
  <c r="K223" i="8"/>
  <c r="F223" i="8"/>
  <c r="H223" i="8" s="1"/>
  <c r="I223" i="8" l="1"/>
  <c r="J223" i="8" s="1"/>
  <c r="G224" i="8" l="1"/>
  <c r="E224" i="8"/>
  <c r="C225" i="8" l="1"/>
  <c r="D225" i="8" s="1"/>
  <c r="K224" i="8"/>
  <c r="F224" i="8"/>
  <c r="H224" i="8" s="1"/>
  <c r="I224" i="8" l="1"/>
  <c r="J224" i="8" s="1"/>
  <c r="G225" i="8" l="1"/>
  <c r="E225" i="8"/>
  <c r="C226" i="8" l="1"/>
  <c r="D226" i="8" s="1"/>
  <c r="K225" i="8"/>
  <c r="F225" i="8"/>
  <c r="H225" i="8" s="1"/>
  <c r="I225" i="8" l="1"/>
  <c r="J225" i="8" s="1"/>
  <c r="G226" i="8" l="1"/>
  <c r="E226" i="8"/>
  <c r="C227" i="8" l="1"/>
  <c r="D227" i="8" s="1"/>
  <c r="K226" i="8"/>
  <c r="F226" i="8"/>
  <c r="I226" i="8" s="1"/>
  <c r="H226" i="8" l="1"/>
  <c r="J226" i="8" s="1"/>
  <c r="G227" i="8" l="1"/>
  <c r="E227" i="8"/>
  <c r="C228" i="8" l="1"/>
  <c r="D228" i="8" s="1"/>
  <c r="K227" i="8"/>
  <c r="F227" i="8"/>
  <c r="H227" i="8" s="1"/>
  <c r="I227" i="8" l="1"/>
  <c r="J227" i="8" s="1"/>
  <c r="G228" i="8" l="1"/>
  <c r="E228" i="8"/>
  <c r="C229" i="8" l="1"/>
  <c r="D229" i="8" s="1"/>
  <c r="K228" i="8"/>
  <c r="F228" i="8"/>
  <c r="H228" i="8" s="1"/>
  <c r="I228" i="8" l="1"/>
  <c r="J228" i="8" s="1"/>
  <c r="G229" i="8" l="1"/>
  <c r="E229" i="8"/>
  <c r="C230" i="8" l="1"/>
  <c r="D230" i="8" s="1"/>
  <c r="K229" i="8"/>
  <c r="F229" i="8"/>
  <c r="H229" i="8" s="1"/>
  <c r="I229" i="8" l="1"/>
  <c r="J229" i="8" s="1"/>
  <c r="F230" i="8" l="1"/>
  <c r="H230" i="8" s="1"/>
  <c r="G230" i="8"/>
  <c r="E230" i="8"/>
  <c r="K230" i="8" s="1"/>
  <c r="I230" i="8" l="1"/>
  <c r="J230" i="8" s="1"/>
  <c r="C231" i="8"/>
  <c r="D231" i="8" l="1"/>
  <c r="G231" i="8" l="1"/>
  <c r="E231" i="8"/>
  <c r="C232" i="8" s="1"/>
  <c r="K231" i="8" l="1"/>
  <c r="D232" i="8"/>
  <c r="F231" i="8"/>
  <c r="H231" i="8" s="1"/>
  <c r="I231" i="8" l="1"/>
  <c r="J231" i="8" s="1"/>
  <c r="G232" i="8" l="1"/>
  <c r="E232" i="8"/>
  <c r="C233" i="8" l="1"/>
  <c r="D233" i="8" s="1"/>
  <c r="K232" i="8"/>
  <c r="F232" i="8"/>
  <c r="H232" i="8" s="1"/>
  <c r="I232" i="8" l="1"/>
  <c r="J232" i="8" s="1"/>
  <c r="G233" i="8" l="1"/>
  <c r="E233" i="8"/>
  <c r="C234" i="8" l="1"/>
  <c r="D234" i="8" s="1"/>
  <c r="K233" i="8"/>
  <c r="F233" i="8"/>
  <c r="H233" i="8" s="1"/>
  <c r="I233" i="8" l="1"/>
  <c r="J233" i="8" s="1"/>
  <c r="G234" i="8" l="1"/>
  <c r="E234" i="8"/>
  <c r="C235" i="8" l="1"/>
  <c r="D235" i="8" s="1"/>
  <c r="K234" i="8"/>
  <c r="F234" i="8"/>
  <c r="H234" i="8" s="1"/>
  <c r="I234" i="8" l="1"/>
  <c r="J234" i="8" s="1"/>
  <c r="G235" i="8" l="1"/>
  <c r="E235" i="8"/>
  <c r="C236" i="8" l="1"/>
  <c r="D236" i="8" s="1"/>
  <c r="K235" i="8"/>
  <c r="F235" i="8"/>
  <c r="H235" i="8" s="1"/>
  <c r="I235" i="8" l="1"/>
  <c r="J235" i="8" s="1"/>
  <c r="G236" i="8" l="1"/>
  <c r="E236" i="8"/>
  <c r="C237" i="8" l="1"/>
  <c r="D237" i="8" s="1"/>
  <c r="K236" i="8"/>
  <c r="F236" i="8"/>
  <c r="H236" i="8" s="1"/>
  <c r="I236" i="8" l="1"/>
  <c r="J236" i="8" s="1"/>
  <c r="G237" i="8"/>
  <c r="E237" i="8" l="1"/>
  <c r="C238" i="8" l="1"/>
  <c r="D238" i="8" s="1"/>
  <c r="K237" i="8"/>
  <c r="F237" i="8"/>
  <c r="H237" i="8" s="1"/>
  <c r="I237" i="8" l="1"/>
  <c r="J237" i="8" s="1"/>
  <c r="G238" i="8" l="1"/>
  <c r="E238" i="8"/>
  <c r="C239" i="8" l="1"/>
  <c r="D239" i="8" s="1"/>
  <c r="K238" i="8"/>
  <c r="F238" i="8"/>
  <c r="H238" i="8" s="1"/>
  <c r="I238" i="8" l="1"/>
  <c r="J238" i="8" s="1"/>
  <c r="G239" i="8" l="1"/>
  <c r="E239" i="8"/>
  <c r="C240" i="8" l="1"/>
  <c r="D240" i="8" s="1"/>
  <c r="K239" i="8"/>
  <c r="F239" i="8"/>
  <c r="H239" i="8" s="1"/>
  <c r="I239" i="8" l="1"/>
  <c r="J239" i="8" s="1"/>
  <c r="G240" i="8" l="1"/>
  <c r="E240" i="8"/>
  <c r="C241" i="8" l="1"/>
  <c r="D241" i="8" s="1"/>
  <c r="K240" i="8"/>
  <c r="F240" i="8"/>
  <c r="H240" i="8" s="1"/>
  <c r="I240" i="8" l="1"/>
  <c r="J240" i="8" s="1"/>
  <c r="G241" i="8" l="1"/>
  <c r="E241" i="8"/>
  <c r="C242" i="8" l="1"/>
  <c r="D242" i="8" s="1"/>
  <c r="K241" i="8"/>
  <c r="F241" i="8"/>
  <c r="H241" i="8" s="1"/>
  <c r="I241" i="8" l="1"/>
  <c r="J241" i="8" s="1"/>
  <c r="G242" i="8" l="1"/>
  <c r="E242" i="8"/>
  <c r="C243" i="8" l="1"/>
  <c r="D243" i="8" s="1"/>
  <c r="K242" i="8"/>
  <c r="F242" i="8"/>
  <c r="I242" i="8" s="1"/>
  <c r="H242" i="8" l="1"/>
  <c r="J242" i="8" s="1"/>
  <c r="G243" i="8" l="1"/>
  <c r="E243" i="8"/>
  <c r="C244" i="8" l="1"/>
  <c r="D244" i="8" s="1"/>
  <c r="K243" i="8"/>
  <c r="F243" i="8"/>
  <c r="H243" i="8" s="1"/>
  <c r="I243" i="8" l="1"/>
  <c r="J243" i="8" s="1"/>
  <c r="G244" i="8" l="1"/>
  <c r="E244" i="8"/>
  <c r="C245" i="8" l="1"/>
  <c r="D245" i="8" s="1"/>
  <c r="K244" i="8"/>
  <c r="F244" i="8"/>
  <c r="I244" i="8" s="1"/>
  <c r="H244" i="8" l="1"/>
  <c r="J244" i="8" s="1"/>
  <c r="G245" i="8" l="1"/>
  <c r="E245" i="8"/>
  <c r="C246" i="8" l="1"/>
  <c r="D246" i="8" s="1"/>
  <c r="K245" i="8"/>
  <c r="F245" i="8"/>
  <c r="H245" i="8" s="1"/>
  <c r="I245" i="8" l="1"/>
  <c r="J245" i="8" s="1"/>
  <c r="G246" i="8" l="1"/>
  <c r="E246" i="8"/>
  <c r="C247" i="8" l="1"/>
  <c r="D247" i="8" s="1"/>
  <c r="K246" i="8"/>
  <c r="F246" i="8"/>
  <c r="H246" i="8" s="1"/>
  <c r="I246" i="8" l="1"/>
  <c r="J246" i="8" s="1"/>
  <c r="G247" i="8" l="1"/>
  <c r="E247" i="8"/>
  <c r="C248" i="8" l="1"/>
  <c r="D248" i="8" s="1"/>
  <c r="K247" i="8"/>
  <c r="F247" i="8"/>
  <c r="H247" i="8" s="1"/>
  <c r="I247" i="8" l="1"/>
  <c r="J247" i="8" s="1"/>
  <c r="G248" i="8" l="1"/>
  <c r="E248" i="8"/>
  <c r="C249" i="8" l="1"/>
  <c r="D249" i="8" s="1"/>
  <c r="K248" i="8"/>
  <c r="F248" i="8"/>
  <c r="H248" i="8" s="1"/>
  <c r="I248" i="8" l="1"/>
  <c r="J248" i="8" s="1"/>
  <c r="G249" i="8" l="1"/>
  <c r="E249" i="8"/>
  <c r="C250" i="8" l="1"/>
  <c r="D250" i="8" s="1"/>
  <c r="K249" i="8"/>
  <c r="F249" i="8"/>
  <c r="H249" i="8" s="1"/>
  <c r="I249" i="8" l="1"/>
  <c r="J249" i="8" s="1"/>
  <c r="G250" i="8" l="1"/>
  <c r="E250" i="8"/>
  <c r="C251" i="8" l="1"/>
  <c r="D251" i="8" s="1"/>
  <c r="K250" i="8"/>
  <c r="F250" i="8"/>
  <c r="H250" i="8" s="1"/>
  <c r="I250" i="8" l="1"/>
  <c r="J250" i="8" s="1"/>
  <c r="G251" i="8" l="1"/>
  <c r="E251" i="8"/>
  <c r="C252" i="8" l="1"/>
  <c r="D252" i="8" s="1"/>
  <c r="K251" i="8"/>
  <c r="F251" i="8"/>
  <c r="H251" i="8" s="1"/>
  <c r="I251" i="8" l="1"/>
  <c r="J251" i="8" s="1"/>
  <c r="G252" i="8" l="1"/>
  <c r="E252" i="8"/>
  <c r="C253" i="8" l="1"/>
  <c r="D253" i="8" s="1"/>
  <c r="K252" i="8"/>
  <c r="F252" i="8"/>
  <c r="H252" i="8" s="1"/>
  <c r="I252" i="8" l="1"/>
  <c r="J252" i="8" s="1"/>
  <c r="G253" i="8" l="1"/>
  <c r="E253" i="8"/>
  <c r="C254" i="8" l="1"/>
  <c r="D254" i="8" s="1"/>
  <c r="K253" i="8"/>
  <c r="F253" i="8"/>
  <c r="H253" i="8" s="1"/>
  <c r="I253" i="8" l="1"/>
  <c r="J253" i="8" s="1"/>
  <c r="G254" i="8" l="1"/>
  <c r="E254" i="8"/>
  <c r="C255" i="8" l="1"/>
  <c r="D255" i="8" s="1"/>
  <c r="K254" i="8"/>
  <c r="F254" i="8"/>
  <c r="H254" i="8" s="1"/>
  <c r="I254" i="8" l="1"/>
  <c r="J254" i="8" s="1"/>
  <c r="G255" i="8" l="1"/>
  <c r="E255" i="8"/>
  <c r="C256" i="8" l="1"/>
  <c r="D256" i="8" s="1"/>
  <c r="K255" i="8"/>
  <c r="F255" i="8"/>
  <c r="H255" i="8" s="1"/>
  <c r="I255" i="8" l="1"/>
  <c r="J255" i="8" s="1"/>
  <c r="G256" i="8" l="1"/>
  <c r="E256" i="8"/>
  <c r="C257" i="8" l="1"/>
  <c r="D257" i="8" s="1"/>
  <c r="K256" i="8"/>
  <c r="F256" i="8"/>
  <c r="H256" i="8" s="1"/>
  <c r="I256" i="8" l="1"/>
  <c r="J256" i="8" s="1"/>
  <c r="G257" i="8" l="1"/>
  <c r="E257" i="8"/>
  <c r="C258" i="8" l="1"/>
  <c r="D258" i="8" s="1"/>
  <c r="K257" i="8"/>
  <c r="F257" i="8"/>
  <c r="H257" i="8" s="1"/>
  <c r="I257" i="8" l="1"/>
  <c r="J257" i="8" s="1"/>
  <c r="G258" i="8" l="1"/>
  <c r="E258" i="8"/>
  <c r="C259" i="8" l="1"/>
  <c r="D259" i="8" s="1"/>
  <c r="K258" i="8"/>
  <c r="F258" i="8"/>
  <c r="H258" i="8" s="1"/>
  <c r="I258" i="8" l="1"/>
  <c r="J258" i="8" s="1"/>
  <c r="G259" i="8" l="1"/>
  <c r="E259" i="8"/>
  <c r="C260" i="8" l="1"/>
  <c r="D260" i="8" s="1"/>
  <c r="K259" i="8"/>
  <c r="F259" i="8"/>
  <c r="H259" i="8" s="1"/>
  <c r="I259" i="8" l="1"/>
  <c r="J259" i="8" s="1"/>
  <c r="G260" i="8" l="1"/>
  <c r="E260" i="8"/>
  <c r="C261" i="8" l="1"/>
  <c r="D261" i="8" s="1"/>
  <c r="K260" i="8"/>
  <c r="F260" i="8"/>
  <c r="H260" i="8" s="1"/>
  <c r="I260" i="8" l="1"/>
  <c r="J260" i="8" s="1"/>
  <c r="G261" i="8" l="1"/>
  <c r="E261" i="8"/>
  <c r="C262" i="8" l="1"/>
  <c r="D262" i="8" s="1"/>
  <c r="K261" i="8"/>
  <c r="F261" i="8"/>
  <c r="H261" i="8" s="1"/>
  <c r="I261" i="8" l="1"/>
  <c r="J261" i="8" s="1"/>
  <c r="G262" i="8" l="1"/>
  <c r="E262" i="8"/>
  <c r="C263" i="8" l="1"/>
  <c r="D263" i="8" s="1"/>
  <c r="K262" i="8"/>
  <c r="F262" i="8"/>
  <c r="H262" i="8" s="1"/>
  <c r="I262" i="8" l="1"/>
  <c r="J262" i="8" s="1"/>
  <c r="G263" i="8"/>
  <c r="E263" i="8" l="1"/>
  <c r="C264" i="8" l="1"/>
  <c r="D264" i="8" s="1"/>
  <c r="K263" i="8"/>
  <c r="F263" i="8"/>
  <c r="H263" i="8" s="1"/>
  <c r="I263" i="8" l="1"/>
  <c r="J263" i="8" s="1"/>
  <c r="G264" i="8" l="1"/>
  <c r="E264" i="8"/>
  <c r="C265" i="8" l="1"/>
  <c r="D265" i="8" s="1"/>
  <c r="K264" i="8"/>
  <c r="F264" i="8"/>
  <c r="H264" i="8" s="1"/>
  <c r="I264" i="8" l="1"/>
  <c r="J264" i="8" s="1"/>
  <c r="G265" i="8" l="1"/>
  <c r="E265" i="8"/>
  <c r="C266" i="8" l="1"/>
  <c r="D266" i="8" s="1"/>
  <c r="K265" i="8"/>
  <c r="F265" i="8"/>
  <c r="H265" i="8" s="1"/>
  <c r="I265" i="8" l="1"/>
  <c r="J265" i="8" s="1"/>
  <c r="G266" i="8" l="1"/>
  <c r="E266" i="8"/>
  <c r="C267" i="8" l="1"/>
  <c r="D267" i="8" s="1"/>
  <c r="K266" i="8"/>
  <c r="F266" i="8"/>
  <c r="H266" i="8" s="1"/>
  <c r="I266" i="8" l="1"/>
  <c r="J266" i="8" s="1"/>
  <c r="F267" i="8" l="1"/>
  <c r="H267" i="8" s="1"/>
  <c r="G267" i="8"/>
  <c r="E267" i="8"/>
  <c r="K267" i="8" s="1"/>
  <c r="C268" i="8" l="1"/>
  <c r="I267" i="8"/>
  <c r="J267" i="8" s="1"/>
  <c r="D268" i="8" l="1"/>
  <c r="G268" i="8" l="1"/>
  <c r="E268" i="8"/>
  <c r="C269" i="8" s="1"/>
  <c r="K268" i="8" l="1"/>
  <c r="D269" i="8"/>
  <c r="F268" i="8"/>
  <c r="H268" i="8" s="1"/>
  <c r="I268" i="8" l="1"/>
  <c r="J268" i="8" s="1"/>
  <c r="G269" i="8" l="1"/>
  <c r="E269" i="8"/>
  <c r="C270" i="8" l="1"/>
  <c r="D270" i="8" s="1"/>
  <c r="K269" i="8"/>
  <c r="F269" i="8"/>
  <c r="H269" i="8" s="1"/>
  <c r="I269" i="8" l="1"/>
  <c r="J269" i="8" s="1"/>
  <c r="G270" i="8" l="1"/>
  <c r="E270" i="8"/>
  <c r="C271" i="8" l="1"/>
  <c r="D271" i="8" s="1"/>
  <c r="K270" i="8"/>
  <c r="F270" i="8"/>
  <c r="H270" i="8" s="1"/>
  <c r="I270" i="8" l="1"/>
  <c r="J270" i="8" s="1"/>
  <c r="G271" i="8" l="1"/>
  <c r="E271" i="8"/>
  <c r="C272" i="8" l="1"/>
  <c r="D272" i="8" s="1"/>
  <c r="K271" i="8"/>
  <c r="F271" i="8"/>
  <c r="H271" i="8" s="1"/>
  <c r="I271" i="8" l="1"/>
  <c r="J271" i="8" s="1"/>
  <c r="G272" i="8" l="1"/>
  <c r="E272" i="8"/>
  <c r="C273" i="8" l="1"/>
  <c r="D273" i="8" s="1"/>
  <c r="K272" i="8"/>
  <c r="F272" i="8"/>
  <c r="H272" i="8" s="1"/>
  <c r="I272" i="8" l="1"/>
  <c r="J272" i="8" s="1"/>
  <c r="F273" i="8" l="1"/>
  <c r="H273" i="8" s="1"/>
  <c r="G273" i="8"/>
  <c r="E273" i="8"/>
  <c r="K273" i="8" s="1"/>
  <c r="I273" i="8" l="1"/>
  <c r="J273" i="8" s="1"/>
  <c r="C274" i="8"/>
  <c r="D274" i="8" l="1"/>
  <c r="G274" i="8" l="1"/>
  <c r="E274" i="8"/>
  <c r="C275" i="8" s="1"/>
  <c r="K274" i="8" l="1"/>
  <c r="D275" i="8"/>
  <c r="F274" i="8"/>
  <c r="H274" i="8" s="1"/>
  <c r="I274" i="8" l="1"/>
  <c r="J274" i="8" s="1"/>
  <c r="G275" i="8" l="1"/>
  <c r="E275" i="8"/>
  <c r="C276" i="8" l="1"/>
  <c r="D276" i="8" s="1"/>
  <c r="K275" i="8"/>
  <c r="F275" i="8"/>
  <c r="H275" i="8" s="1"/>
  <c r="I275" i="8" l="1"/>
  <c r="J275" i="8" s="1"/>
  <c r="G276" i="8" l="1"/>
  <c r="E276" i="8"/>
  <c r="C277" i="8" l="1"/>
  <c r="D277" i="8" s="1"/>
  <c r="K276" i="8"/>
  <c r="F276" i="8"/>
  <c r="H276" i="8" s="1"/>
  <c r="I276" i="8" l="1"/>
  <c r="J276" i="8" s="1"/>
  <c r="G277" i="8" l="1"/>
  <c r="E277" i="8"/>
  <c r="C278" i="8" l="1"/>
  <c r="D278" i="8" s="1"/>
  <c r="K277" i="8"/>
  <c r="F277" i="8"/>
  <c r="H277" i="8" s="1"/>
  <c r="I277" i="8" l="1"/>
  <c r="J277" i="8" s="1"/>
  <c r="G278" i="8" l="1"/>
  <c r="E278" i="8"/>
  <c r="C279" i="8" l="1"/>
  <c r="D279" i="8" s="1"/>
  <c r="K278" i="8"/>
  <c r="F278" i="8"/>
  <c r="H278" i="8" s="1"/>
  <c r="I278" i="8" l="1"/>
  <c r="J278" i="8" s="1"/>
  <c r="G279" i="8" l="1"/>
  <c r="F279" i="8"/>
  <c r="I279" i="8" s="1"/>
  <c r="E279" i="8"/>
  <c r="K279" i="8" s="1"/>
  <c r="C280" i="8" l="1"/>
  <c r="H279" i="8"/>
  <c r="J279" i="8" s="1"/>
  <c r="D280" i="8" l="1"/>
  <c r="G280" i="8" l="1"/>
  <c r="E280" i="8"/>
  <c r="C281" i="8" s="1"/>
  <c r="K280" i="8" l="1"/>
  <c r="D281" i="8"/>
  <c r="F280" i="8"/>
  <c r="H280" i="8" s="1"/>
  <c r="I280" i="8" l="1"/>
  <c r="J280" i="8" s="1"/>
  <c r="G281" i="8" l="1"/>
  <c r="E281" i="8"/>
  <c r="C282" i="8" l="1"/>
  <c r="D282" i="8" s="1"/>
  <c r="K281" i="8"/>
  <c r="F281" i="8"/>
  <c r="H281" i="8" s="1"/>
  <c r="I281" i="8" l="1"/>
  <c r="J281" i="8" s="1"/>
  <c r="G282" i="8" l="1"/>
  <c r="E282" i="8"/>
  <c r="C283" i="8" l="1"/>
  <c r="D283" i="8" s="1"/>
  <c r="K282" i="8"/>
  <c r="F282" i="8"/>
  <c r="H282" i="8" s="1"/>
  <c r="I282" i="8" l="1"/>
  <c r="J282" i="8" s="1"/>
  <c r="G283" i="8" l="1"/>
  <c r="E283" i="8"/>
  <c r="C284" i="8" l="1"/>
  <c r="D284" i="8" s="1"/>
  <c r="K283" i="8"/>
  <c r="F283" i="8"/>
  <c r="H283" i="8" s="1"/>
  <c r="I283" i="8" l="1"/>
  <c r="J283" i="8" s="1"/>
  <c r="G284" i="8" l="1"/>
  <c r="E284" i="8"/>
  <c r="C285" i="8" l="1"/>
  <c r="D285" i="8" s="1"/>
  <c r="K284" i="8"/>
  <c r="F284" i="8"/>
  <c r="H284" i="8" s="1"/>
  <c r="I284" i="8" l="1"/>
  <c r="J284" i="8" s="1"/>
  <c r="G285" i="8" l="1"/>
  <c r="F285" i="8"/>
  <c r="H285" i="8" s="1"/>
  <c r="E285" i="8"/>
  <c r="K285" i="8" s="1"/>
  <c r="C286" i="8" l="1"/>
  <c r="I285" i="8"/>
  <c r="J285" i="8" s="1"/>
  <c r="D286" i="8" l="1"/>
  <c r="G286" i="8" l="1"/>
  <c r="E286" i="8"/>
  <c r="C287" i="8" s="1"/>
  <c r="K286" i="8" l="1"/>
  <c r="D287" i="8"/>
  <c r="F286" i="8"/>
  <c r="H286" i="8" s="1"/>
  <c r="I286" i="8" l="1"/>
  <c r="J286" i="8" s="1"/>
  <c r="G287" i="8" l="1"/>
  <c r="E287" i="8"/>
  <c r="C288" i="8" l="1"/>
  <c r="D288" i="8" s="1"/>
  <c r="K287" i="8"/>
  <c r="F287" i="8"/>
  <c r="H287" i="8" s="1"/>
  <c r="I287" i="8" l="1"/>
  <c r="J287" i="8" s="1"/>
  <c r="G288" i="8" l="1"/>
  <c r="E288" i="8"/>
  <c r="C289" i="8" l="1"/>
  <c r="D289" i="8" s="1"/>
  <c r="K288" i="8"/>
  <c r="F288" i="8"/>
  <c r="H288" i="8" s="1"/>
  <c r="I288" i="8" l="1"/>
  <c r="J288" i="8" s="1"/>
  <c r="G289" i="8" l="1"/>
  <c r="E289" i="8"/>
  <c r="C290" i="8" l="1"/>
  <c r="D290" i="8" s="1"/>
  <c r="K289" i="8"/>
  <c r="F289" i="8"/>
  <c r="H289" i="8" s="1"/>
  <c r="I289" i="8" l="1"/>
  <c r="J289" i="8" s="1"/>
  <c r="G290" i="8" l="1"/>
  <c r="E290" i="8"/>
  <c r="C291" i="8" l="1"/>
  <c r="D291" i="8" s="1"/>
  <c r="K290" i="8"/>
  <c r="F290" i="8"/>
  <c r="H290" i="8" s="1"/>
  <c r="I290" i="8" l="1"/>
  <c r="J290" i="8" s="1"/>
  <c r="G291" i="8" l="1"/>
  <c r="E291" i="8"/>
  <c r="C292" i="8" l="1"/>
  <c r="D292" i="8" s="1"/>
  <c r="K291" i="8"/>
  <c r="F291" i="8"/>
  <c r="H291" i="8" s="1"/>
  <c r="I291" i="8" l="1"/>
  <c r="J291" i="8" s="1"/>
  <c r="F292" i="8"/>
  <c r="G292" i="8" l="1"/>
  <c r="H292" i="8"/>
  <c r="I292" i="8"/>
  <c r="E292" i="8"/>
  <c r="K292" i="8" s="1"/>
  <c r="C293" i="8" l="1"/>
  <c r="J292" i="8"/>
  <c r="D293" i="8" l="1"/>
  <c r="G293" i="8" l="1"/>
  <c r="E293" i="8"/>
  <c r="C294" i="8" s="1"/>
  <c r="K293" i="8" l="1"/>
  <c r="D294" i="8"/>
  <c r="F293" i="8"/>
  <c r="H293" i="8" s="1"/>
  <c r="I293" i="8" l="1"/>
  <c r="J293" i="8" s="1"/>
  <c r="G294" i="8" l="1"/>
  <c r="E294" i="8"/>
  <c r="C295" i="8" l="1"/>
  <c r="D295" i="8" s="1"/>
  <c r="K294" i="8"/>
  <c r="F294" i="8"/>
  <c r="H294" i="8" s="1"/>
  <c r="I294" i="8" l="1"/>
  <c r="J294" i="8" s="1"/>
  <c r="G295" i="8" l="1"/>
  <c r="E295" i="8"/>
  <c r="C296" i="8" l="1"/>
  <c r="D296" i="8" s="1"/>
  <c r="K295" i="8"/>
  <c r="F295" i="8"/>
  <c r="H295" i="8" s="1"/>
  <c r="I295" i="8" l="1"/>
  <c r="J295" i="8" s="1"/>
  <c r="G296" i="8" l="1"/>
  <c r="E296" i="8"/>
  <c r="C297" i="8" l="1"/>
  <c r="D297" i="8" s="1"/>
  <c r="K296" i="8"/>
  <c r="F296" i="8"/>
  <c r="H296" i="8" s="1"/>
  <c r="I296" i="8" l="1"/>
  <c r="J296" i="8" s="1"/>
  <c r="G297" i="8"/>
  <c r="E297" i="8" l="1"/>
  <c r="C298" i="8" l="1"/>
  <c r="D298" i="8" s="1"/>
  <c r="K297" i="8"/>
  <c r="F297" i="8"/>
  <c r="H297" i="8" s="1"/>
  <c r="I297" i="8" l="1"/>
  <c r="J297" i="8" s="1"/>
  <c r="G298" i="8" l="1"/>
  <c r="F298" i="8"/>
  <c r="H298" i="8" s="1"/>
  <c r="E298" i="8"/>
  <c r="K298" i="8" s="1"/>
  <c r="C299" i="8" l="1"/>
  <c r="I298" i="8"/>
  <c r="J298" i="8" s="1"/>
  <c r="D299" i="8" l="1"/>
  <c r="G299" i="8" l="1"/>
  <c r="E299" i="8"/>
  <c r="C300" i="8" s="1"/>
  <c r="K299" i="8" l="1"/>
  <c r="D300" i="8"/>
  <c r="F299" i="8"/>
  <c r="H299" i="8" s="1"/>
  <c r="I299" i="8" l="1"/>
  <c r="J299" i="8" s="1"/>
  <c r="G300" i="8" l="1"/>
  <c r="E300" i="8"/>
  <c r="C301" i="8" l="1"/>
  <c r="D301" i="8" s="1"/>
  <c r="K300" i="8"/>
  <c r="F300" i="8"/>
  <c r="H300" i="8" s="1"/>
  <c r="I300" i="8" l="1"/>
  <c r="J300" i="8" s="1"/>
  <c r="G301" i="8" l="1"/>
  <c r="E301" i="8"/>
  <c r="C302" i="8" l="1"/>
  <c r="D302" i="8" s="1"/>
  <c r="K301" i="8"/>
  <c r="F301" i="8"/>
  <c r="H301" i="8" s="1"/>
  <c r="I301" i="8" l="1"/>
  <c r="J301" i="8" s="1"/>
  <c r="G302" i="8" l="1"/>
  <c r="E302" i="8"/>
  <c r="C303" i="8" l="1"/>
  <c r="D303" i="8" s="1"/>
  <c r="K302" i="8"/>
  <c r="F302" i="8"/>
  <c r="H302" i="8" s="1"/>
  <c r="I302" i="8" l="1"/>
  <c r="J302" i="8" s="1"/>
  <c r="G303" i="8" l="1"/>
  <c r="E303" i="8"/>
  <c r="C304" i="8" l="1"/>
  <c r="D304" i="8" s="1"/>
  <c r="K303" i="8"/>
  <c r="F303" i="8"/>
  <c r="H303" i="8" s="1"/>
  <c r="I303" i="8" l="1"/>
  <c r="J303" i="8" s="1"/>
  <c r="G304" i="8" l="1"/>
  <c r="E304" i="8"/>
  <c r="C305" i="8" l="1"/>
  <c r="D305" i="8" s="1"/>
  <c r="K304" i="8"/>
  <c r="F304" i="8"/>
  <c r="I304" i="8" s="1"/>
  <c r="H304" i="8" l="1"/>
  <c r="J304" i="8" s="1"/>
  <c r="G305" i="8" l="1"/>
  <c r="F305" i="8"/>
  <c r="H305" i="8" s="1"/>
  <c r="E305" i="8"/>
  <c r="K305" i="8" s="1"/>
  <c r="C306" i="8" l="1"/>
  <c r="I305" i="8"/>
  <c r="J305" i="8" s="1"/>
  <c r="D306" i="8" l="1"/>
  <c r="G306" i="8" l="1"/>
  <c r="E306" i="8"/>
  <c r="C307" i="8" s="1"/>
  <c r="K306" i="8" l="1"/>
  <c r="D307" i="8"/>
  <c r="F306" i="8"/>
  <c r="H306" i="8" s="1"/>
  <c r="I306" i="8" l="1"/>
  <c r="J306" i="8" s="1"/>
  <c r="G307" i="8" l="1"/>
  <c r="E307" i="8"/>
  <c r="C308" i="8" l="1"/>
  <c r="D308" i="8" s="1"/>
  <c r="K307" i="8"/>
  <c r="F307" i="8"/>
  <c r="I307" i="8" s="1"/>
  <c r="H307" i="8" l="1"/>
  <c r="J307" i="8" s="1"/>
  <c r="G308" i="8" l="1"/>
  <c r="E308" i="8"/>
  <c r="C309" i="8" l="1"/>
  <c r="D309" i="8" s="1"/>
  <c r="K308" i="8"/>
  <c r="F308" i="8"/>
  <c r="H308" i="8" s="1"/>
  <c r="I308" i="8" l="1"/>
  <c r="J308" i="8" s="1"/>
  <c r="G309" i="8" l="1"/>
  <c r="E309" i="8"/>
  <c r="C310" i="8" l="1"/>
  <c r="D310" i="8" s="1"/>
  <c r="K309" i="8"/>
  <c r="F309" i="8"/>
  <c r="H309" i="8" s="1"/>
  <c r="I309" i="8" l="1"/>
  <c r="J309" i="8" s="1"/>
  <c r="G310" i="8" l="1"/>
  <c r="E310" i="8"/>
  <c r="C311" i="8" l="1"/>
  <c r="D311" i="8" s="1"/>
  <c r="K310" i="8"/>
  <c r="F310" i="8"/>
  <c r="H310" i="8" s="1"/>
  <c r="I310" i="8" l="1"/>
  <c r="J310" i="8" s="1"/>
  <c r="G311" i="8" l="1"/>
  <c r="F311" i="8"/>
  <c r="H311" i="8" s="1"/>
  <c r="E311" i="8"/>
  <c r="K311" i="8" s="1"/>
  <c r="I311" i="8" l="1"/>
  <c r="J311" i="8" s="1"/>
  <c r="C312" i="8"/>
  <c r="D312" i="8" l="1"/>
  <c r="G312" i="8" l="1"/>
  <c r="E312" i="8"/>
  <c r="C313" i="8" s="1"/>
  <c r="K312" i="8" l="1"/>
  <c r="D313" i="8"/>
  <c r="F312" i="8"/>
  <c r="H312" i="8" s="1"/>
  <c r="I312" i="8" l="1"/>
  <c r="J312" i="8" s="1"/>
  <c r="G313" i="8" l="1"/>
  <c r="E313" i="8"/>
  <c r="C314" i="8" l="1"/>
  <c r="D314" i="8" s="1"/>
  <c r="K313" i="8"/>
  <c r="F313" i="8"/>
  <c r="H313" i="8" s="1"/>
  <c r="I313" i="8" l="1"/>
  <c r="J313" i="8" s="1"/>
  <c r="G314" i="8" l="1"/>
  <c r="E314" i="8"/>
  <c r="C315" i="8" l="1"/>
  <c r="D315" i="8" s="1"/>
  <c r="K314" i="8"/>
  <c r="F314" i="8"/>
  <c r="H314" i="8" s="1"/>
  <c r="I314" i="8" l="1"/>
  <c r="J314" i="8" s="1"/>
  <c r="G315" i="8" l="1"/>
  <c r="E315" i="8"/>
  <c r="C316" i="8" l="1"/>
  <c r="D316" i="8" s="1"/>
  <c r="K315" i="8"/>
  <c r="F315" i="8"/>
  <c r="H315" i="8" s="1"/>
  <c r="I315" i="8" l="1"/>
  <c r="J315" i="8" s="1"/>
  <c r="G316" i="8" l="1"/>
  <c r="E316" i="8"/>
  <c r="C317" i="8" l="1"/>
  <c r="D317" i="8" s="1"/>
  <c r="K316" i="8"/>
  <c r="F316" i="8"/>
  <c r="H316" i="8" s="1"/>
  <c r="I316" i="8" l="1"/>
  <c r="J316" i="8" s="1"/>
  <c r="F317" i="8" l="1"/>
  <c r="H317" i="8" s="1"/>
  <c r="G317" i="8"/>
  <c r="E317" i="8"/>
  <c r="K317" i="8" s="1"/>
  <c r="C318" i="8" l="1"/>
  <c r="I317" i="8"/>
  <c r="J317" i="8" s="1"/>
  <c r="D318" i="8" l="1"/>
  <c r="G318" i="8" l="1"/>
  <c r="E318" i="8"/>
  <c r="C319" i="8" s="1"/>
  <c r="K318" i="8" l="1"/>
  <c r="D319" i="8"/>
  <c r="F318" i="8"/>
  <c r="H318" i="8" s="1"/>
  <c r="I318" i="8" l="1"/>
  <c r="J318" i="8" s="1"/>
  <c r="G319" i="8" l="1"/>
  <c r="E319" i="8"/>
  <c r="C320" i="8" l="1"/>
  <c r="D320" i="8" s="1"/>
  <c r="K319" i="8"/>
  <c r="F319" i="8"/>
  <c r="H319" i="8" s="1"/>
  <c r="I319" i="8" l="1"/>
  <c r="J319" i="8" s="1"/>
  <c r="G320" i="8" l="1"/>
  <c r="E320" i="8"/>
  <c r="C321" i="8" l="1"/>
  <c r="D321" i="8" s="1"/>
  <c r="K320" i="8"/>
  <c r="F320" i="8"/>
  <c r="H320" i="8" s="1"/>
  <c r="I320" i="8" l="1"/>
  <c r="J320" i="8" s="1"/>
  <c r="G321" i="8" l="1"/>
  <c r="E321" i="8"/>
  <c r="C322" i="8" l="1"/>
  <c r="D322" i="8" s="1"/>
  <c r="K321" i="8"/>
  <c r="F321" i="8"/>
  <c r="H321" i="8" s="1"/>
  <c r="I321" i="8" l="1"/>
  <c r="J321" i="8" s="1"/>
  <c r="G322" i="8" l="1"/>
  <c r="E322" i="8"/>
  <c r="C323" i="8" l="1"/>
  <c r="D323" i="8" s="1"/>
  <c r="K322" i="8"/>
  <c r="F322" i="8"/>
  <c r="H322" i="8" s="1"/>
  <c r="I322" i="8" l="1"/>
  <c r="J322" i="8" s="1"/>
  <c r="F323" i="8" l="1"/>
  <c r="H323" i="8" s="1"/>
  <c r="G323" i="8"/>
  <c r="E323" i="8"/>
  <c r="K323" i="8" s="1"/>
  <c r="I323" i="8" l="1"/>
  <c r="J323" i="8" s="1"/>
  <c r="C324" i="8"/>
  <c r="D324" i="8" l="1"/>
  <c r="G324" i="8" l="1"/>
  <c r="E324" i="8"/>
  <c r="C325" i="8" s="1"/>
  <c r="K324" i="8" l="1"/>
  <c r="D325" i="8"/>
  <c r="F324" i="8"/>
  <c r="H324" i="8" s="1"/>
  <c r="I324" i="8" l="1"/>
  <c r="J324" i="8" s="1"/>
  <c r="G325" i="8" l="1"/>
  <c r="E325" i="8"/>
  <c r="C326" i="8" l="1"/>
  <c r="D326" i="8" s="1"/>
  <c r="K325" i="8"/>
  <c r="F325" i="8"/>
  <c r="H325" i="8" s="1"/>
  <c r="I325" i="8" l="1"/>
  <c r="J325" i="8" s="1"/>
  <c r="G326" i="8" l="1"/>
  <c r="E326" i="8"/>
  <c r="C327" i="8" l="1"/>
  <c r="D327" i="8" s="1"/>
  <c r="K326" i="8"/>
  <c r="F326" i="8"/>
  <c r="H326" i="8" s="1"/>
  <c r="I326" i="8" l="1"/>
  <c r="J326" i="8" s="1"/>
  <c r="G327" i="8" l="1"/>
  <c r="E327" i="8"/>
  <c r="C328" i="8" l="1"/>
  <c r="D328" i="8" s="1"/>
  <c r="K327" i="8"/>
  <c r="F327" i="8"/>
  <c r="H327" i="8" s="1"/>
  <c r="I327" i="8" l="1"/>
  <c r="J327" i="8" s="1"/>
  <c r="G328" i="8" l="1"/>
  <c r="E328" i="8"/>
  <c r="C329" i="8" l="1"/>
  <c r="D329" i="8" s="1"/>
  <c r="K328" i="8"/>
  <c r="F328" i="8"/>
  <c r="H328" i="8" s="1"/>
  <c r="I328" i="8" l="1"/>
  <c r="J328" i="8" s="1"/>
  <c r="F329" i="8" l="1"/>
  <c r="H329" i="8" s="1"/>
  <c r="G329" i="8"/>
  <c r="E329" i="8"/>
  <c r="K329" i="8" s="1"/>
  <c r="I329" i="8" l="1"/>
  <c r="J329" i="8" s="1"/>
  <c r="C330" i="8"/>
  <c r="D330" i="8" l="1"/>
  <c r="G330" i="8" l="1"/>
  <c r="E330" i="8"/>
  <c r="C331" i="8" s="1"/>
  <c r="K330" i="8" l="1"/>
  <c r="D331" i="8"/>
  <c r="F330" i="8"/>
  <c r="H330" i="8" s="1"/>
  <c r="I330" i="8" l="1"/>
  <c r="J330" i="8" s="1"/>
  <c r="G331" i="8" l="1"/>
  <c r="E331" i="8"/>
  <c r="C332" i="8" l="1"/>
  <c r="D332" i="8" s="1"/>
  <c r="K331" i="8"/>
  <c r="F331" i="8"/>
  <c r="H331" i="8" s="1"/>
  <c r="I331" i="8" l="1"/>
  <c r="J331" i="8" s="1"/>
  <c r="G332" i="8" l="1"/>
  <c r="E332" i="8"/>
  <c r="C333" i="8" l="1"/>
  <c r="D333" i="8" s="1"/>
  <c r="K332" i="8"/>
  <c r="F332" i="8"/>
  <c r="H332" i="8" s="1"/>
  <c r="I332" i="8" l="1"/>
  <c r="J332" i="8" s="1"/>
  <c r="G333" i="8" l="1"/>
  <c r="E333" i="8"/>
  <c r="C334" i="8" l="1"/>
  <c r="D334" i="8" s="1"/>
  <c r="K333" i="8"/>
  <c r="F333" i="8"/>
  <c r="H333" i="8" s="1"/>
  <c r="I333" i="8" l="1"/>
  <c r="J333" i="8" s="1"/>
  <c r="G334" i="8" l="1"/>
  <c r="E334" i="8"/>
  <c r="C335" i="8" l="1"/>
  <c r="D335" i="8" s="1"/>
  <c r="K334" i="8"/>
  <c r="F334" i="8"/>
  <c r="H334" i="8" s="1"/>
  <c r="I334" i="8" l="1"/>
  <c r="J334" i="8" s="1"/>
  <c r="F335" i="8" l="1"/>
  <c r="H335" i="8" s="1"/>
  <c r="G335" i="8"/>
  <c r="E335" i="8"/>
  <c r="K335" i="8" s="1"/>
  <c r="I335" i="8" l="1"/>
  <c r="J335" i="8" s="1"/>
  <c r="C336" i="8"/>
  <c r="D336" i="8" l="1"/>
  <c r="G336" i="8" l="1"/>
  <c r="E336" i="8"/>
  <c r="C337" i="8" s="1"/>
  <c r="K336" i="8" l="1"/>
  <c r="D337" i="8"/>
  <c r="F336" i="8"/>
  <c r="H336" i="8" s="1"/>
  <c r="I336" i="8" l="1"/>
  <c r="J336" i="8" s="1"/>
  <c r="G337" i="8" l="1"/>
  <c r="E337" i="8"/>
  <c r="C338" i="8" l="1"/>
  <c r="D338" i="8" s="1"/>
  <c r="K337" i="8"/>
  <c r="F337" i="8"/>
  <c r="H337" i="8" s="1"/>
  <c r="I337" i="8" l="1"/>
  <c r="J337" i="8" s="1"/>
  <c r="G338" i="8"/>
  <c r="E338" i="8" l="1"/>
  <c r="C339" i="8" l="1"/>
  <c r="D339" i="8" s="1"/>
  <c r="K338" i="8"/>
  <c r="F338" i="8"/>
  <c r="H338" i="8" s="1"/>
  <c r="I338" i="8" l="1"/>
  <c r="J338" i="8" s="1"/>
  <c r="G339" i="8"/>
  <c r="E339" i="8" l="1"/>
  <c r="C340" i="8" l="1"/>
  <c r="D340" i="8" s="1"/>
  <c r="K339" i="8"/>
  <c r="F339" i="8"/>
  <c r="H339" i="8" s="1"/>
  <c r="I339" i="8" l="1"/>
  <c r="J339" i="8" s="1"/>
  <c r="G340" i="8"/>
  <c r="E340" i="8" l="1"/>
  <c r="C341" i="8" l="1"/>
  <c r="D341" i="8" s="1"/>
  <c r="K340" i="8"/>
  <c r="F340" i="8"/>
  <c r="H340" i="8" s="1"/>
  <c r="I340" i="8" l="1"/>
  <c r="J340" i="8" s="1"/>
  <c r="F341" i="8" l="1"/>
  <c r="I341" i="8" s="1"/>
  <c r="G341" i="8"/>
  <c r="E341" i="8"/>
  <c r="K341" i="8" s="1"/>
  <c r="C342" i="8" l="1"/>
  <c r="H341" i="8"/>
  <c r="J341" i="8" s="1"/>
  <c r="D342" i="8" l="1"/>
  <c r="G342" i="8" l="1"/>
  <c r="E342" i="8"/>
  <c r="C343" i="8" s="1"/>
  <c r="K342" i="8" l="1"/>
  <c r="D343" i="8"/>
  <c r="F342" i="8"/>
  <c r="H342" i="8" s="1"/>
  <c r="I342" i="8" l="1"/>
  <c r="J342" i="8" s="1"/>
  <c r="G343" i="8" l="1"/>
  <c r="E343" i="8"/>
  <c r="C344" i="8" l="1"/>
  <c r="D344" i="8" s="1"/>
  <c r="K343" i="8"/>
  <c r="F343" i="8"/>
  <c r="H343" i="8" s="1"/>
  <c r="I343" i="8" l="1"/>
  <c r="J343" i="8" s="1"/>
  <c r="G344" i="8"/>
  <c r="E344" i="8" l="1"/>
  <c r="C345" i="8" l="1"/>
  <c r="D345" i="8" s="1"/>
  <c r="K344" i="8"/>
  <c r="F344" i="8"/>
  <c r="H344" i="8" s="1"/>
  <c r="I344" i="8" l="1"/>
  <c r="J344" i="8" s="1"/>
  <c r="G345" i="8" l="1"/>
  <c r="E345" i="8"/>
  <c r="C346" i="8" l="1"/>
  <c r="D346" i="8" s="1"/>
  <c r="K345" i="8"/>
  <c r="F345" i="8"/>
  <c r="H345" i="8" s="1"/>
  <c r="I345" i="8" l="1"/>
  <c r="J345" i="8" s="1"/>
  <c r="G346" i="8" l="1"/>
  <c r="E346" i="8"/>
  <c r="C347" i="8" l="1"/>
  <c r="D347" i="8" s="1"/>
  <c r="K346" i="8"/>
  <c r="F346" i="8"/>
  <c r="H346" i="8" s="1"/>
  <c r="I346" i="8" l="1"/>
  <c r="J346" i="8" s="1"/>
  <c r="G347" i="8" l="1"/>
  <c r="E347" i="8"/>
  <c r="C348" i="8" l="1"/>
  <c r="D348" i="8" s="1"/>
  <c r="K347" i="8"/>
  <c r="F347" i="8"/>
  <c r="H347" i="8" s="1"/>
  <c r="I347" i="8" l="1"/>
  <c r="J347" i="8" s="1"/>
  <c r="G348" i="8" l="1"/>
  <c r="F348" i="8"/>
  <c r="H348" i="8" s="1"/>
  <c r="E348" i="8"/>
  <c r="K348" i="8" s="1"/>
  <c r="C349" i="8" l="1"/>
  <c r="I348" i="8"/>
  <c r="J348" i="8" s="1"/>
  <c r="D349" i="8" l="1"/>
  <c r="G349" i="8" l="1"/>
  <c r="E349" i="8"/>
  <c r="C350" i="8" s="1"/>
  <c r="K349" i="8" l="1"/>
  <c r="D350" i="8"/>
  <c r="F349" i="8"/>
  <c r="H349" i="8" s="1"/>
  <c r="I349" i="8" l="1"/>
  <c r="J349" i="8" s="1"/>
  <c r="G350" i="8"/>
  <c r="E350" i="8" l="1"/>
  <c r="C351" i="8" l="1"/>
  <c r="D351" i="8" s="1"/>
  <c r="K350" i="8"/>
  <c r="F350" i="8"/>
  <c r="H350" i="8" s="1"/>
  <c r="I350" i="8" l="1"/>
  <c r="J350" i="8" s="1"/>
  <c r="G351" i="8" l="1"/>
  <c r="E351" i="8"/>
  <c r="C352" i="8" l="1"/>
  <c r="D352" i="8" s="1"/>
  <c r="K351" i="8"/>
  <c r="F351" i="8"/>
  <c r="H351" i="8" s="1"/>
  <c r="I351" i="8" l="1"/>
  <c r="J351" i="8" s="1"/>
  <c r="G352" i="8" l="1"/>
  <c r="E352" i="8"/>
  <c r="C353" i="8" l="1"/>
  <c r="D353" i="8" s="1"/>
  <c r="K352" i="8"/>
  <c r="F352" i="8"/>
  <c r="H352" i="8" s="1"/>
  <c r="I352" i="8" l="1"/>
  <c r="J352" i="8" s="1"/>
  <c r="G353" i="8" l="1"/>
  <c r="E353" i="8"/>
  <c r="C354" i="8" l="1"/>
  <c r="D354" i="8" s="1"/>
  <c r="K353" i="8"/>
  <c r="F353" i="8"/>
  <c r="H353" i="8" s="1"/>
  <c r="I353" i="8" l="1"/>
  <c r="J353" i="8" s="1"/>
  <c r="G354" i="8" l="1"/>
  <c r="E354" i="8"/>
  <c r="C355" i="8" l="1"/>
  <c r="D355" i="8" s="1"/>
  <c r="K354" i="8"/>
  <c r="F354" i="8"/>
  <c r="H354" i="8" s="1"/>
  <c r="I354" i="8" l="1"/>
  <c r="J354" i="8" s="1"/>
  <c r="G355" i="8" l="1"/>
  <c r="F355" i="8"/>
  <c r="H355" i="8" s="1"/>
  <c r="E355" i="8"/>
  <c r="K355" i="8" s="1"/>
  <c r="C356" i="8" l="1"/>
  <c r="I355" i="8"/>
  <c r="J355" i="8" s="1"/>
  <c r="D356" i="8" l="1"/>
  <c r="G356" i="8" l="1"/>
  <c r="E356" i="8"/>
  <c r="C357" i="8" s="1"/>
  <c r="K356" i="8" l="1"/>
  <c r="D357" i="8"/>
  <c r="F356" i="8"/>
  <c r="H356" i="8" s="1"/>
  <c r="I356" i="8" l="1"/>
  <c r="J356" i="8" s="1"/>
  <c r="G357" i="8" l="1"/>
  <c r="E357" i="8"/>
  <c r="C358" i="8" l="1"/>
  <c r="D358" i="8" s="1"/>
  <c r="K357" i="8"/>
  <c r="F357" i="8"/>
  <c r="H357" i="8" s="1"/>
  <c r="I357" i="8" l="1"/>
  <c r="J357" i="8" s="1"/>
  <c r="G358" i="8" l="1"/>
  <c r="E358" i="8"/>
  <c r="C359" i="8" l="1"/>
  <c r="D359" i="8" s="1"/>
  <c r="K358" i="8"/>
  <c r="F358" i="8"/>
  <c r="H358" i="8" s="1"/>
  <c r="I358" i="8" l="1"/>
  <c r="J358" i="8" s="1"/>
  <c r="G359" i="8" l="1"/>
  <c r="E359" i="8"/>
  <c r="C360" i="8" l="1"/>
  <c r="D360" i="8" s="1"/>
  <c r="K359" i="8"/>
  <c r="F359" i="8"/>
  <c r="H359" i="8" s="1"/>
  <c r="I359" i="8" l="1"/>
  <c r="J359" i="8" s="1"/>
  <c r="G360" i="8" l="1"/>
  <c r="E360" i="8"/>
  <c r="C361" i="8" l="1"/>
  <c r="D361" i="8" s="1"/>
  <c r="K360" i="8"/>
  <c r="F360" i="8"/>
  <c r="H360" i="8" s="1"/>
  <c r="I360" i="8" l="1"/>
  <c r="J360" i="8" s="1"/>
  <c r="F361" i="8" l="1"/>
  <c r="H361" i="8" s="1"/>
  <c r="G361" i="8"/>
  <c r="E361" i="8"/>
  <c r="K361" i="8" s="1"/>
  <c r="I361" i="8" l="1"/>
  <c r="J361" i="8" s="1"/>
  <c r="C362" i="8"/>
  <c r="D362" i="8" l="1"/>
  <c r="G362" i="8" l="1"/>
  <c r="E362" i="8"/>
  <c r="C363" i="8" s="1"/>
  <c r="K362" i="8" l="1"/>
  <c r="D363" i="8"/>
  <c r="F362" i="8"/>
  <c r="H362" i="8" s="1"/>
  <c r="I362" i="8" l="1"/>
  <c r="J362" i="8" s="1"/>
  <c r="G363" i="8" l="1"/>
  <c r="E363" i="8"/>
  <c r="C364" i="8" l="1"/>
  <c r="D364" i="8" s="1"/>
  <c r="K363" i="8"/>
  <c r="F363" i="8"/>
  <c r="H363" i="8" s="1"/>
  <c r="I363" i="8" l="1"/>
  <c r="J363" i="8" s="1"/>
  <c r="G364" i="8" l="1"/>
  <c r="E364" i="8"/>
  <c r="C365" i="8" l="1"/>
  <c r="D365" i="8" s="1"/>
  <c r="K364" i="8"/>
  <c r="F364" i="8"/>
  <c r="H364" i="8" s="1"/>
  <c r="I364" i="8" l="1"/>
  <c r="J364" i="8" s="1"/>
  <c r="G365" i="8" l="1"/>
  <c r="E365" i="8"/>
  <c r="C366" i="8" l="1"/>
  <c r="D366" i="8" s="1"/>
  <c r="K365" i="8"/>
  <c r="F365" i="8"/>
  <c r="H365" i="8" s="1"/>
  <c r="I365" i="8" l="1"/>
  <c r="J365" i="8" s="1"/>
  <c r="G366" i="8"/>
  <c r="E366" i="8" l="1"/>
  <c r="C367" i="8" l="1"/>
  <c r="D367" i="8" s="1"/>
  <c r="K366" i="8"/>
  <c r="F366" i="8"/>
  <c r="H366" i="8" s="1"/>
  <c r="I366" i="8" l="1"/>
  <c r="J366" i="8" s="1"/>
  <c r="G367" i="8" l="1"/>
  <c r="F367" i="8"/>
  <c r="H367" i="8" s="1"/>
  <c r="E367" i="8"/>
  <c r="K367" i="8" s="1"/>
  <c r="C368" i="8" l="1"/>
  <c r="I367" i="8"/>
  <c r="J367" i="8" s="1"/>
  <c r="D368" i="8" l="1"/>
  <c r="G368" i="8" l="1"/>
  <c r="E368" i="8"/>
  <c r="C369" i="8" s="1"/>
  <c r="K368" i="8" l="1"/>
  <c r="D369" i="8"/>
  <c r="F368" i="8"/>
  <c r="I368" i="8" s="1"/>
  <c r="H368" i="8" l="1"/>
  <c r="J368" i="8" s="1"/>
  <c r="G369" i="8" l="1"/>
  <c r="E369" i="8"/>
  <c r="C370" i="8" l="1"/>
  <c r="D370" i="8" s="1"/>
  <c r="K369" i="8"/>
  <c r="F369" i="8"/>
  <c r="H369" i="8" s="1"/>
  <c r="I369" i="8" l="1"/>
  <c r="J369" i="8" s="1"/>
  <c r="G370" i="8" l="1"/>
  <c r="E370" i="8"/>
  <c r="C371" i="8" l="1"/>
  <c r="D371" i="8" s="1"/>
  <c r="K370" i="8"/>
  <c r="F370" i="8"/>
  <c r="H370" i="8" s="1"/>
  <c r="I370" i="8" l="1"/>
  <c r="J370" i="8" s="1"/>
  <c r="G371" i="8" l="1"/>
  <c r="E371" i="8"/>
  <c r="C372" i="8" l="1"/>
  <c r="D372" i="8" s="1"/>
  <c r="K371" i="8"/>
  <c r="F371" i="8"/>
  <c r="H371" i="8" s="1"/>
  <c r="I371" i="8" l="1"/>
  <c r="J371" i="8" s="1"/>
  <c r="G372" i="8" l="1"/>
  <c r="E372" i="8"/>
  <c r="C373" i="8" l="1"/>
  <c r="D373" i="8" s="1"/>
  <c r="K372" i="8"/>
  <c r="F372" i="8"/>
  <c r="H372" i="8" s="1"/>
  <c r="I372" i="8" l="1"/>
  <c r="J372" i="8" s="1"/>
  <c r="G373" i="8" l="1"/>
  <c r="E373" i="8"/>
  <c r="C374" i="8" l="1"/>
  <c r="D374" i="8" s="1"/>
  <c r="K373" i="8"/>
  <c r="F373" i="8"/>
  <c r="H373" i="8" s="1"/>
  <c r="I373" i="8" l="1"/>
  <c r="J373" i="8" s="1"/>
  <c r="F374" i="8" l="1"/>
  <c r="H374" i="8" s="1"/>
  <c r="G374" i="8"/>
  <c r="E374" i="8"/>
  <c r="K374" i="8" s="1"/>
  <c r="I374" i="8" l="1"/>
  <c r="J374" i="8" s="1"/>
  <c r="C375" i="8"/>
  <c r="D375" i="8" l="1"/>
  <c r="G375" i="8" l="1"/>
  <c r="E375" i="8"/>
  <c r="C376" i="8" s="1"/>
  <c r="K375" i="8" l="1"/>
  <c r="D376" i="8"/>
  <c r="F375" i="8"/>
  <c r="H375" i="8" s="1"/>
  <c r="I375" i="8" l="1"/>
  <c r="J375" i="8" s="1"/>
  <c r="G376" i="8" l="1"/>
  <c r="E376" i="8"/>
  <c r="C377" i="8" l="1"/>
  <c r="D377" i="8" s="1"/>
  <c r="K376" i="8"/>
  <c r="F376" i="8"/>
  <c r="H376" i="8" s="1"/>
  <c r="I376" i="8" l="1"/>
  <c r="J376" i="8" s="1"/>
  <c r="G377" i="8"/>
  <c r="E377" i="8" l="1"/>
  <c r="C378" i="8" l="1"/>
  <c r="D378" i="8" s="1"/>
  <c r="K377" i="8"/>
  <c r="F377" i="8"/>
  <c r="I377" i="8" s="1"/>
  <c r="H377" i="8" l="1"/>
  <c r="J377" i="8" s="1"/>
  <c r="G378" i="8" l="1"/>
  <c r="E378" i="8"/>
  <c r="C379" i="8" l="1"/>
  <c r="D379" i="8" s="1"/>
  <c r="K378" i="8"/>
  <c r="F378" i="8"/>
  <c r="H378" i="8" s="1"/>
  <c r="I378" i="8" l="1"/>
  <c r="J378" i="8" s="1"/>
  <c r="G379" i="8" l="1"/>
  <c r="E379" i="8"/>
  <c r="C380" i="8" l="1"/>
  <c r="D380" i="8" s="1"/>
  <c r="K379" i="8"/>
  <c r="F379" i="8"/>
  <c r="H379" i="8" s="1"/>
  <c r="I379" i="8" l="1"/>
  <c r="J379" i="8" s="1"/>
  <c r="G380" i="8" l="1"/>
  <c r="E380" i="8"/>
  <c r="C381" i="8" l="1"/>
  <c r="D381" i="8" s="1"/>
  <c r="K380" i="8"/>
  <c r="F380" i="8"/>
  <c r="H380" i="8" s="1"/>
  <c r="I380" i="8" l="1"/>
  <c r="J380" i="8" s="1"/>
  <c r="F381" i="8" l="1"/>
  <c r="H381" i="8" s="1"/>
  <c r="G381" i="8"/>
  <c r="E381" i="8"/>
  <c r="K381" i="8" s="1"/>
  <c r="I381" i="8" l="1"/>
  <c r="J381" i="8" s="1"/>
  <c r="C382" i="8"/>
  <c r="D382" i="8" l="1"/>
  <c r="G382" i="8" l="1"/>
  <c r="E382" i="8"/>
  <c r="C383" i="8" s="1"/>
  <c r="K382" i="8" l="1"/>
  <c r="D383" i="8"/>
  <c r="F382" i="8"/>
  <c r="H382" i="8" s="1"/>
  <c r="I382" i="8" l="1"/>
  <c r="J382" i="8" s="1"/>
  <c r="G383" i="8" l="1"/>
  <c r="E383" i="8"/>
  <c r="C384" i="8" l="1"/>
  <c r="D384" i="8" s="1"/>
  <c r="K383" i="8"/>
  <c r="F383" i="8"/>
  <c r="H383" i="8" s="1"/>
  <c r="I383" i="8" l="1"/>
  <c r="J383" i="8" s="1"/>
  <c r="G384" i="8" l="1"/>
  <c r="E384" i="8"/>
  <c r="C385" i="8" l="1"/>
  <c r="D385" i="8" s="1"/>
  <c r="K384" i="8"/>
  <c r="F384" i="8"/>
  <c r="H384" i="8" s="1"/>
  <c r="I384" i="8" l="1"/>
  <c r="J384" i="8" s="1"/>
  <c r="G385" i="8" l="1"/>
  <c r="E385" i="8"/>
  <c r="C386" i="8" l="1"/>
  <c r="D386" i="8" s="1"/>
  <c r="K385" i="8"/>
  <c r="F385" i="8"/>
  <c r="H385" i="8" s="1"/>
  <c r="I385" i="8" l="1"/>
  <c r="J385" i="8" s="1"/>
  <c r="G386" i="8" l="1"/>
  <c r="E386" i="8"/>
  <c r="C387" i="8" l="1"/>
  <c r="D387" i="8" s="1"/>
  <c r="K386" i="8"/>
  <c r="F386" i="8"/>
  <c r="H386" i="8" s="1"/>
  <c r="I386" i="8" l="1"/>
  <c r="J386" i="8" s="1"/>
  <c r="G387" i="8" l="1"/>
  <c r="E387" i="8"/>
  <c r="C388" i="8" l="1"/>
  <c r="D388" i="8" s="1"/>
  <c r="K387" i="8"/>
  <c r="F387" i="8"/>
  <c r="H387" i="8" s="1"/>
  <c r="I387" i="8" l="1"/>
  <c r="J387" i="8" s="1"/>
  <c r="F388" i="8" l="1"/>
  <c r="H388" i="8" s="1"/>
  <c r="G388" i="8"/>
  <c r="E388" i="8"/>
  <c r="K388" i="8" s="1"/>
  <c r="I388" i="8" l="1"/>
  <c r="J388" i="8" s="1"/>
  <c r="C389" i="8"/>
  <c r="D389" i="8" l="1"/>
  <c r="G389" i="8" l="1"/>
  <c r="E389" i="8"/>
  <c r="C390" i="8" s="1"/>
  <c r="K389" i="8" l="1"/>
  <c r="D390" i="8"/>
  <c r="F389" i="8"/>
  <c r="H389" i="8" s="1"/>
  <c r="I389" i="8" l="1"/>
  <c r="J389" i="8" s="1"/>
  <c r="G390" i="8" l="1"/>
  <c r="E390" i="8"/>
  <c r="C391" i="8" l="1"/>
  <c r="D391" i="8" s="1"/>
  <c r="K390" i="8"/>
  <c r="F390" i="8"/>
  <c r="H390" i="8" s="1"/>
  <c r="I390" i="8" l="1"/>
  <c r="J390" i="8" s="1"/>
  <c r="G391" i="8" l="1"/>
  <c r="E391" i="8"/>
  <c r="C392" i="8" l="1"/>
  <c r="D392" i="8" s="1"/>
  <c r="K391" i="8"/>
  <c r="F391" i="8"/>
  <c r="H391" i="8" s="1"/>
  <c r="I391" i="8" l="1"/>
  <c r="J391" i="8" s="1"/>
  <c r="G392" i="8" l="1"/>
  <c r="E392" i="8"/>
  <c r="C393" i="8" l="1"/>
  <c r="D393" i="8" s="1"/>
  <c r="K392" i="8"/>
  <c r="F392" i="8"/>
  <c r="H392" i="8" s="1"/>
  <c r="I392" i="8" l="1"/>
  <c r="J392" i="8" s="1"/>
  <c r="G393" i="8" l="1"/>
  <c r="E393" i="8"/>
  <c r="C394" i="8" l="1"/>
  <c r="D394" i="8" s="1"/>
  <c r="K393" i="8"/>
  <c r="F393" i="8"/>
  <c r="H393" i="8" s="1"/>
  <c r="I393" i="8" l="1"/>
  <c r="J393" i="8" s="1"/>
  <c r="G394" i="8" l="1"/>
  <c r="E394" i="8"/>
  <c r="C395" i="8" l="1"/>
  <c r="D395" i="8" s="1"/>
  <c r="K394" i="8"/>
  <c r="F394" i="8"/>
  <c r="H394" i="8" s="1"/>
  <c r="I394" i="8" l="1"/>
  <c r="J394" i="8" s="1"/>
  <c r="F395" i="8" l="1"/>
  <c r="H395" i="8" s="1"/>
  <c r="G395" i="8"/>
  <c r="E395" i="8"/>
  <c r="K395" i="8" s="1"/>
  <c r="I395" i="8" l="1"/>
  <c r="J395" i="8" s="1"/>
  <c r="C396" i="8"/>
  <c r="D396" i="8" l="1"/>
  <c r="G396" i="8" l="1"/>
  <c r="E396" i="8"/>
  <c r="C397" i="8" s="1"/>
  <c r="K396" i="8" l="1"/>
  <c r="D397" i="8"/>
  <c r="F396" i="8"/>
  <c r="H396" i="8" s="1"/>
  <c r="I396" i="8" l="1"/>
  <c r="J396" i="8" s="1"/>
  <c r="G397" i="8" l="1"/>
  <c r="E397" i="8"/>
  <c r="C398" i="8" l="1"/>
  <c r="D398" i="8" s="1"/>
  <c r="K397" i="8"/>
  <c r="F397" i="8"/>
  <c r="H397" i="8" s="1"/>
  <c r="I397" i="8" l="1"/>
  <c r="J397" i="8" s="1"/>
  <c r="G398" i="8" l="1"/>
  <c r="E398" i="8"/>
  <c r="C399" i="8" l="1"/>
  <c r="D399" i="8" s="1"/>
  <c r="K398" i="8"/>
  <c r="F398" i="8"/>
  <c r="H398" i="8" s="1"/>
  <c r="I398" i="8" l="1"/>
  <c r="J398" i="8" s="1"/>
  <c r="G399" i="8" l="1"/>
  <c r="E399" i="8"/>
  <c r="C400" i="8" l="1"/>
  <c r="D400" i="8" s="1"/>
  <c r="K399" i="8"/>
  <c r="F399" i="8"/>
  <c r="H399" i="8" s="1"/>
  <c r="I399" i="8" l="1"/>
  <c r="J399" i="8" s="1"/>
  <c r="G400" i="8" l="1"/>
  <c r="E400" i="8"/>
  <c r="C401" i="8" l="1"/>
  <c r="D401" i="8" s="1"/>
  <c r="K400" i="8"/>
  <c r="F400" i="8"/>
  <c r="H400" i="8" s="1"/>
  <c r="I400" i="8" l="1"/>
  <c r="J400" i="8" s="1"/>
  <c r="G401" i="8" l="1"/>
  <c r="E401" i="8"/>
  <c r="C402" i="8" l="1"/>
  <c r="D402" i="8" s="1"/>
  <c r="K401" i="8"/>
  <c r="F401" i="8"/>
  <c r="H401" i="8" s="1"/>
  <c r="I401" i="8" l="1"/>
  <c r="J401" i="8" s="1"/>
  <c r="F402" i="8" l="1"/>
  <c r="H402" i="8" s="1"/>
  <c r="G402" i="8"/>
  <c r="E402" i="8"/>
  <c r="K402" i="8" s="1"/>
  <c r="I402" i="8" l="1"/>
  <c r="J402" i="8" s="1"/>
  <c r="C403" i="8"/>
  <c r="D403" i="8" l="1"/>
  <c r="G403" i="8" l="1"/>
  <c r="E403" i="8"/>
  <c r="C404" i="8" s="1"/>
  <c r="K403" i="8" l="1"/>
  <c r="D404" i="8"/>
  <c r="F403" i="8"/>
  <c r="H403" i="8" s="1"/>
  <c r="I403" i="8" l="1"/>
  <c r="J403" i="8" s="1"/>
  <c r="G404" i="8"/>
  <c r="E404" i="8" l="1"/>
  <c r="C405" i="8" l="1"/>
  <c r="D405" i="8" s="1"/>
  <c r="K404" i="8"/>
  <c r="F404" i="8"/>
  <c r="H404" i="8" s="1"/>
  <c r="I404" i="8" l="1"/>
  <c r="J404" i="8" s="1"/>
  <c r="G405" i="8" l="1"/>
  <c r="E405" i="8"/>
  <c r="C406" i="8" l="1"/>
  <c r="D406" i="8" s="1"/>
  <c r="K405" i="8"/>
  <c r="F405" i="8"/>
  <c r="H405" i="8" s="1"/>
  <c r="I405" i="8" l="1"/>
  <c r="J405" i="8" s="1"/>
  <c r="G406" i="8" l="1"/>
  <c r="E406" i="8"/>
  <c r="C407" i="8" l="1"/>
  <c r="D407" i="8" s="1"/>
  <c r="K406" i="8"/>
  <c r="F406" i="8"/>
  <c r="H406" i="8" s="1"/>
  <c r="I406" i="8" l="1"/>
  <c r="J406" i="8" s="1"/>
  <c r="G407" i="8" l="1"/>
  <c r="E407" i="8"/>
  <c r="C408" i="8" l="1"/>
  <c r="D408" i="8" s="1"/>
  <c r="K407" i="8"/>
  <c r="F407" i="8"/>
  <c r="I407" i="8" s="1"/>
  <c r="H407" i="8" l="1"/>
  <c r="J407" i="8" s="1"/>
  <c r="G408" i="8" l="1"/>
  <c r="E408" i="8"/>
  <c r="C409" i="8" l="1"/>
  <c r="D409" i="8" s="1"/>
  <c r="K408" i="8"/>
  <c r="F408" i="8"/>
  <c r="H408" i="8" s="1"/>
  <c r="I408" i="8" l="1"/>
  <c r="J408" i="8" s="1"/>
  <c r="G409" i="8" l="1"/>
  <c r="F409" i="8"/>
  <c r="H409" i="8" s="1"/>
  <c r="E409" i="8"/>
  <c r="K409" i="8" s="1"/>
  <c r="C410" i="8" l="1"/>
  <c r="I409" i="8"/>
  <c r="J409" i="8" s="1"/>
  <c r="D410" i="8" l="1"/>
  <c r="G410" i="8" l="1"/>
  <c r="E410" i="8"/>
  <c r="C411" i="8" s="1"/>
  <c r="K410" i="8" l="1"/>
  <c r="D411" i="8"/>
  <c r="F410" i="8"/>
  <c r="H410" i="8" s="1"/>
  <c r="I410" i="8" l="1"/>
  <c r="J410" i="8" s="1"/>
  <c r="G411" i="8" l="1"/>
  <c r="E411" i="8"/>
  <c r="C412" i="8" l="1"/>
  <c r="D412" i="8" s="1"/>
  <c r="K411" i="8"/>
  <c r="F411" i="8"/>
  <c r="H411" i="8" s="1"/>
  <c r="I411" i="8" l="1"/>
  <c r="J411" i="8" s="1"/>
  <c r="G412" i="8" l="1"/>
  <c r="E412" i="8"/>
  <c r="C413" i="8" l="1"/>
  <c r="D413" i="8" s="1"/>
  <c r="K412" i="8"/>
  <c r="F412" i="8"/>
  <c r="H412" i="8" s="1"/>
  <c r="I412" i="8" l="1"/>
  <c r="J412" i="8" s="1"/>
  <c r="G413" i="8" l="1"/>
  <c r="E413" i="8"/>
  <c r="C414" i="8" l="1"/>
  <c r="D414" i="8" s="1"/>
  <c r="K413" i="8"/>
  <c r="F413" i="8"/>
  <c r="H413" i="8" s="1"/>
  <c r="I413" i="8" l="1"/>
  <c r="J413" i="8" s="1"/>
  <c r="G414" i="8" l="1"/>
  <c r="E414" i="8"/>
  <c r="C415" i="8" l="1"/>
  <c r="D415" i="8" s="1"/>
  <c r="K414" i="8"/>
  <c r="F414" i="8"/>
  <c r="I414" i="8" s="1"/>
  <c r="H414" i="8" l="1"/>
  <c r="J414" i="8" s="1"/>
  <c r="G415" i="8" l="1"/>
  <c r="E415" i="8"/>
  <c r="C416" i="8" l="1"/>
  <c r="D416" i="8" s="1"/>
  <c r="K415" i="8"/>
  <c r="F415" i="8"/>
  <c r="H415" i="8" s="1"/>
  <c r="I415" i="8" l="1"/>
  <c r="J415" i="8" s="1"/>
  <c r="F416" i="8"/>
  <c r="G416" i="8"/>
  <c r="H416" i="8" l="1"/>
  <c r="I416" i="8"/>
  <c r="E416" i="8"/>
  <c r="K416" i="8" s="1"/>
  <c r="C417" i="8" l="1"/>
  <c r="J416" i="8"/>
  <c r="D417" i="8" l="1"/>
  <c r="G417" i="8" l="1"/>
  <c r="E417" i="8"/>
  <c r="C418" i="8" s="1"/>
  <c r="K417" i="8" l="1"/>
  <c r="D418" i="8"/>
  <c r="F417" i="8"/>
  <c r="H417" i="8" s="1"/>
  <c r="I417" i="8" l="1"/>
  <c r="J417" i="8" s="1"/>
  <c r="G418" i="8" l="1"/>
  <c r="E418" i="8"/>
  <c r="C419" i="8" l="1"/>
  <c r="D419" i="8" s="1"/>
  <c r="K418" i="8"/>
  <c r="F418" i="8"/>
  <c r="H418" i="8" s="1"/>
  <c r="I418" i="8" l="1"/>
  <c r="J418" i="8" s="1"/>
  <c r="G419" i="8" l="1"/>
  <c r="E419" i="8"/>
  <c r="C420" i="8" l="1"/>
  <c r="D420" i="8" s="1"/>
  <c r="K419" i="8"/>
  <c r="F419" i="8"/>
  <c r="H419" i="8" s="1"/>
  <c r="I419" i="8" l="1"/>
  <c r="J419" i="8" s="1"/>
  <c r="G420" i="8" l="1"/>
  <c r="E420" i="8"/>
  <c r="C421" i="8" l="1"/>
  <c r="D421" i="8" s="1"/>
  <c r="K420" i="8"/>
  <c r="F420" i="8"/>
  <c r="H420" i="8" s="1"/>
  <c r="I420" i="8" l="1"/>
  <c r="J420" i="8" s="1"/>
  <c r="G421" i="8" l="1"/>
  <c r="E421" i="8"/>
  <c r="C422" i="8" l="1"/>
  <c r="D422" i="8" s="1"/>
  <c r="K421" i="8"/>
  <c r="F421" i="8"/>
  <c r="H421" i="8" s="1"/>
  <c r="I421" i="8" l="1"/>
  <c r="J421" i="8" s="1"/>
  <c r="G422" i="8" l="1"/>
  <c r="F422" i="8"/>
  <c r="H422" i="8" s="1"/>
  <c r="E422" i="8"/>
  <c r="K422" i="8" s="1"/>
  <c r="C423" i="8" l="1"/>
  <c r="I422" i="8"/>
  <c r="J422" i="8" s="1"/>
  <c r="D423" i="8" l="1"/>
  <c r="G423" i="8" l="1"/>
  <c r="E423" i="8"/>
  <c r="C424" i="8" s="1"/>
  <c r="K423" i="8" l="1"/>
  <c r="D424" i="8"/>
  <c r="F423" i="8"/>
  <c r="H423" i="8" s="1"/>
  <c r="I423" i="8" l="1"/>
  <c r="J423" i="8" s="1"/>
  <c r="G424" i="8" l="1"/>
  <c r="E424" i="8"/>
  <c r="C425" i="8" l="1"/>
  <c r="D425" i="8" s="1"/>
  <c r="K424" i="8"/>
  <c r="F424" i="8"/>
  <c r="H424" i="8" s="1"/>
  <c r="I424" i="8" l="1"/>
  <c r="J424" i="8" s="1"/>
  <c r="G425" i="8" l="1"/>
  <c r="E425" i="8"/>
  <c r="C426" i="8" l="1"/>
  <c r="D426" i="8" s="1"/>
  <c r="K425" i="8"/>
  <c r="F425" i="8"/>
  <c r="H425" i="8" s="1"/>
  <c r="I425" i="8" l="1"/>
  <c r="J425" i="8" s="1"/>
  <c r="G426" i="8" l="1"/>
  <c r="E426" i="8"/>
  <c r="C427" i="8" l="1"/>
  <c r="D427" i="8" s="1"/>
  <c r="K426" i="8"/>
  <c r="F426" i="8"/>
  <c r="H426" i="8" s="1"/>
  <c r="I426" i="8" l="1"/>
  <c r="J426" i="8" s="1"/>
  <c r="G427" i="8" l="1"/>
  <c r="E427" i="8"/>
  <c r="C428" i="8" l="1"/>
  <c r="D428" i="8" s="1"/>
  <c r="K427" i="8"/>
  <c r="F427" i="8"/>
  <c r="H427" i="8" s="1"/>
  <c r="I427" i="8" l="1"/>
  <c r="J427" i="8" s="1"/>
  <c r="F428" i="8" l="1"/>
  <c r="H428" i="8" s="1"/>
  <c r="G428" i="8"/>
  <c r="E428" i="8"/>
  <c r="K428" i="8" s="1"/>
  <c r="I428" i="8" l="1"/>
  <c r="J428" i="8" s="1"/>
  <c r="C429" i="8"/>
  <c r="D429" i="8" l="1"/>
  <c r="G429" i="8" l="1"/>
  <c r="E429" i="8"/>
  <c r="C430" i="8" s="1"/>
  <c r="K429" i="8" l="1"/>
  <c r="D430" i="8"/>
  <c r="F429" i="8"/>
  <c r="I429" i="8" s="1"/>
  <c r="H429" i="8" l="1"/>
  <c r="J429" i="8" s="1"/>
  <c r="G430" i="8" l="1"/>
  <c r="E430" i="8"/>
  <c r="C431" i="8" l="1"/>
  <c r="D431" i="8" s="1"/>
  <c r="K430" i="8"/>
  <c r="F430" i="8"/>
  <c r="H430" i="8" s="1"/>
  <c r="I430" i="8" l="1"/>
  <c r="J430" i="8" s="1"/>
  <c r="G431" i="8" l="1"/>
  <c r="E431" i="8"/>
  <c r="C432" i="8" l="1"/>
  <c r="D432" i="8" s="1"/>
  <c r="K431" i="8"/>
  <c r="F431" i="8"/>
  <c r="H431" i="8" s="1"/>
  <c r="I431" i="8" l="1"/>
  <c r="J431" i="8" s="1"/>
  <c r="G432" i="8" l="1"/>
  <c r="E432" i="8"/>
  <c r="C433" i="8" l="1"/>
  <c r="D433" i="8" s="1"/>
  <c r="K432" i="8"/>
  <c r="F432" i="8"/>
  <c r="H432" i="8" s="1"/>
  <c r="I432" i="8" l="1"/>
  <c r="J432" i="8" s="1"/>
  <c r="G433" i="8" l="1"/>
  <c r="E433" i="8"/>
  <c r="C434" i="8" l="1"/>
  <c r="D434" i="8" s="1"/>
  <c r="K433" i="8"/>
  <c r="F433" i="8"/>
  <c r="I433" i="8" s="1"/>
  <c r="H433" i="8" l="1"/>
  <c r="J433" i="8" s="1"/>
  <c r="F434" i="8" l="1"/>
  <c r="H434" i="8" s="1"/>
  <c r="G434" i="8"/>
  <c r="E434" i="8"/>
  <c r="K434" i="8" s="1"/>
  <c r="I434" i="8" l="1"/>
  <c r="J434" i="8" s="1"/>
  <c r="C435" i="8"/>
  <c r="D435" i="8" l="1"/>
  <c r="G435" i="8" l="1"/>
  <c r="E435" i="8"/>
  <c r="C436" i="8" s="1"/>
  <c r="K435" i="8" l="1"/>
  <c r="D436" i="8"/>
  <c r="F435" i="8"/>
  <c r="H435" i="8" s="1"/>
  <c r="I435" i="8" l="1"/>
  <c r="J435" i="8" s="1"/>
  <c r="G436" i="8" l="1"/>
  <c r="E436" i="8"/>
  <c r="C437" i="8" l="1"/>
  <c r="D437" i="8" s="1"/>
  <c r="K436" i="8"/>
  <c r="F436" i="8"/>
  <c r="H436" i="8" s="1"/>
  <c r="I436" i="8" l="1"/>
  <c r="J436" i="8" s="1"/>
  <c r="G437" i="8" l="1"/>
  <c r="E437" i="8"/>
  <c r="C438" i="8" l="1"/>
  <c r="D438" i="8" s="1"/>
  <c r="K437" i="8"/>
  <c r="F437" i="8"/>
  <c r="H437" i="8" s="1"/>
  <c r="I437" i="8" l="1"/>
  <c r="J437" i="8" s="1"/>
  <c r="G438" i="8" l="1"/>
  <c r="E438" i="8"/>
  <c r="C439" i="8" l="1"/>
  <c r="D439" i="8" s="1"/>
  <c r="K438" i="8"/>
  <c r="F438" i="8"/>
  <c r="H438" i="8" s="1"/>
  <c r="I438" i="8" l="1"/>
  <c r="J438" i="8" s="1"/>
  <c r="G439" i="8"/>
  <c r="E439" i="8" l="1"/>
  <c r="C440" i="8" l="1"/>
  <c r="D440" i="8" s="1"/>
  <c r="K439" i="8"/>
  <c r="F439" i="8"/>
  <c r="H439" i="8" s="1"/>
  <c r="I439" i="8" l="1"/>
  <c r="J439" i="8" s="1"/>
  <c r="G440" i="8"/>
  <c r="F440" i="8"/>
  <c r="H440" i="8" l="1"/>
  <c r="I440" i="8"/>
  <c r="E440" i="8"/>
  <c r="K440" i="8" s="1"/>
  <c r="C441" i="8" l="1"/>
  <c r="J440" i="8"/>
  <c r="D441" i="8" l="1"/>
  <c r="G441" i="8" l="1"/>
  <c r="E441" i="8"/>
  <c r="C442" i="8" s="1"/>
  <c r="K441" i="8" l="1"/>
  <c r="D442" i="8"/>
  <c r="F441" i="8"/>
  <c r="H441" i="8" s="1"/>
  <c r="I441" i="8" l="1"/>
  <c r="J441" i="8" s="1"/>
  <c r="G442" i="8" l="1"/>
  <c r="E442" i="8"/>
  <c r="C443" i="8" l="1"/>
  <c r="D443" i="8" s="1"/>
  <c r="K442" i="8"/>
  <c r="F442" i="8"/>
  <c r="H442" i="8" s="1"/>
  <c r="I442" i="8" l="1"/>
  <c r="J442" i="8" s="1"/>
  <c r="G443" i="8" l="1"/>
  <c r="E443" i="8"/>
  <c r="C444" i="8" l="1"/>
  <c r="D444" i="8" s="1"/>
  <c r="K443" i="8"/>
  <c r="F443" i="8"/>
  <c r="H443" i="8" s="1"/>
  <c r="I443" i="8" l="1"/>
  <c r="J443" i="8" s="1"/>
  <c r="G444" i="8" l="1"/>
  <c r="E444" i="8"/>
  <c r="C445" i="8" l="1"/>
  <c r="D445" i="8" s="1"/>
  <c r="K444" i="8"/>
  <c r="F444" i="8"/>
  <c r="H444" i="8" s="1"/>
  <c r="I444" i="8" l="1"/>
  <c r="J444" i="8" s="1"/>
  <c r="G445" i="8" l="1"/>
  <c r="E445" i="8"/>
  <c r="C446" i="8" l="1"/>
  <c r="D446" i="8" s="1"/>
  <c r="K445" i="8"/>
  <c r="F445" i="8"/>
  <c r="H445" i="8" s="1"/>
  <c r="I445" i="8" l="1"/>
  <c r="J445" i="8" s="1"/>
  <c r="F446" i="8" l="1"/>
  <c r="H446" i="8" s="1"/>
  <c r="G446" i="8"/>
  <c r="E446" i="8"/>
  <c r="K446" i="8" s="1"/>
  <c r="I446" i="8" l="1"/>
  <c r="J446" i="8" s="1"/>
  <c r="C447" i="8"/>
  <c r="D447" i="8" l="1"/>
  <c r="G447" i="8" l="1"/>
  <c r="E447" i="8"/>
  <c r="C448" i="8" s="1"/>
  <c r="K447" i="8" l="1"/>
  <c r="D448" i="8"/>
  <c r="F447" i="8"/>
  <c r="H447" i="8" s="1"/>
  <c r="I447" i="8" l="1"/>
  <c r="J447" i="8" s="1"/>
  <c r="G448" i="8" l="1"/>
  <c r="E448" i="8"/>
  <c r="C449" i="8" l="1"/>
  <c r="D449" i="8" s="1"/>
  <c r="K448" i="8"/>
  <c r="F448" i="8"/>
  <c r="H448" i="8" s="1"/>
  <c r="I448" i="8" l="1"/>
  <c r="J448" i="8" s="1"/>
  <c r="G449" i="8" l="1"/>
  <c r="E449" i="8"/>
  <c r="C450" i="8" l="1"/>
  <c r="D450" i="8" s="1"/>
  <c r="K449" i="8"/>
  <c r="F449" i="8"/>
  <c r="H449" i="8" s="1"/>
  <c r="I449" i="8" l="1"/>
  <c r="J449" i="8" s="1"/>
  <c r="G450" i="8" l="1"/>
  <c r="E450" i="8"/>
  <c r="C451" i="8" l="1"/>
  <c r="D451" i="8" s="1"/>
  <c r="K450" i="8"/>
  <c r="F450" i="8"/>
  <c r="H450" i="8" s="1"/>
  <c r="I450" i="8" l="1"/>
  <c r="J450" i="8" s="1"/>
  <c r="G451" i="8"/>
  <c r="E451" i="8" l="1"/>
  <c r="C452" i="8" l="1"/>
  <c r="D452" i="8" s="1"/>
  <c r="K451" i="8"/>
  <c r="F451" i="8"/>
  <c r="H451" i="8" s="1"/>
  <c r="I451" i="8" l="1"/>
  <c r="J451" i="8" s="1"/>
  <c r="F452" i="8"/>
  <c r="G452" i="8"/>
  <c r="H452" i="8" l="1"/>
  <c r="I452" i="8"/>
  <c r="E452" i="8"/>
  <c r="K452" i="8" s="1"/>
  <c r="C453" i="8" l="1"/>
  <c r="J452" i="8"/>
  <c r="D453" i="8" l="1"/>
  <c r="G453" i="8" l="1"/>
  <c r="E453" i="8"/>
  <c r="C454" i="8" s="1"/>
  <c r="K453" i="8" l="1"/>
  <c r="D454" i="8"/>
  <c r="F453" i="8"/>
  <c r="H453" i="8" s="1"/>
  <c r="I453" i="8" l="1"/>
  <c r="J453" i="8" s="1"/>
  <c r="G454" i="8"/>
  <c r="E454" i="8" l="1"/>
  <c r="C455" i="8" l="1"/>
  <c r="D455" i="8" s="1"/>
  <c r="K454" i="8"/>
  <c r="F454" i="8"/>
  <c r="H454" i="8" s="1"/>
  <c r="I454" i="8" l="1"/>
  <c r="J454" i="8" s="1"/>
  <c r="G455" i="8" l="1"/>
  <c r="E455" i="8"/>
  <c r="C456" i="8" l="1"/>
  <c r="D456" i="8" s="1"/>
  <c r="K455" i="8"/>
  <c r="F455" i="8"/>
  <c r="H455" i="8" s="1"/>
  <c r="I455" i="8" l="1"/>
  <c r="J455" i="8" s="1"/>
  <c r="G456" i="8" l="1"/>
  <c r="E456" i="8"/>
  <c r="C457" i="8" l="1"/>
  <c r="D457" i="8" s="1"/>
  <c r="K456" i="8"/>
  <c r="F456" i="8"/>
  <c r="H456" i="8" s="1"/>
  <c r="I456" i="8" l="1"/>
  <c r="J456" i="8" s="1"/>
  <c r="G457" i="8" l="1"/>
  <c r="E457" i="8"/>
  <c r="C458" i="8" l="1"/>
  <c r="D458" i="8" s="1"/>
  <c r="K457" i="8"/>
  <c r="F457" i="8"/>
  <c r="H457" i="8" s="1"/>
  <c r="I457" i="8" l="1"/>
  <c r="J457" i="8" s="1"/>
  <c r="F458" i="8"/>
  <c r="G458" i="8" l="1"/>
  <c r="H458" i="8"/>
  <c r="I458" i="8"/>
  <c r="E458" i="8"/>
  <c r="K458" i="8" s="1"/>
  <c r="C459" i="8" l="1"/>
  <c r="J458" i="8"/>
  <c r="D459" i="8" l="1"/>
  <c r="G459" i="8" l="1"/>
  <c r="E459" i="8"/>
  <c r="C460" i="8" s="1"/>
  <c r="K459" i="8" l="1"/>
  <c r="D460" i="8"/>
  <c r="F459" i="8"/>
  <c r="H459" i="8" s="1"/>
  <c r="I459" i="8" l="1"/>
  <c r="J459" i="8" s="1"/>
  <c r="G460" i="8" l="1"/>
  <c r="E460" i="8"/>
  <c r="C461" i="8" l="1"/>
  <c r="D461" i="8" s="1"/>
  <c r="K460" i="8"/>
  <c r="F460" i="8"/>
  <c r="H460" i="8" s="1"/>
  <c r="I460" i="8" l="1"/>
  <c r="J460" i="8" s="1"/>
  <c r="G461" i="8" l="1"/>
  <c r="E461" i="8"/>
  <c r="C462" i="8" l="1"/>
  <c r="D462" i="8" s="1"/>
  <c r="K461" i="8"/>
  <c r="F461" i="8"/>
  <c r="H461" i="8" s="1"/>
  <c r="I461" i="8" l="1"/>
  <c r="J461" i="8" s="1"/>
  <c r="G462" i="8" l="1"/>
  <c r="E462" i="8"/>
  <c r="C463" i="8" l="1"/>
  <c r="D463" i="8" s="1"/>
  <c r="K462" i="8"/>
  <c r="F462" i="8"/>
  <c r="H462" i="8" s="1"/>
  <c r="I462" i="8" l="1"/>
  <c r="J462" i="8" s="1"/>
  <c r="G463" i="8" l="1"/>
  <c r="E463" i="8"/>
  <c r="C464" i="8" l="1"/>
  <c r="D464" i="8" s="1"/>
  <c r="K463" i="8"/>
  <c r="F463" i="8"/>
  <c r="H463" i="8" s="1"/>
  <c r="I463" i="8" l="1"/>
  <c r="J463" i="8" s="1"/>
  <c r="F464" i="8" l="1"/>
  <c r="I464" i="8" s="1"/>
  <c r="G464" i="8"/>
  <c r="E464" i="8"/>
  <c r="K464" i="8" s="1"/>
  <c r="C465" i="8" l="1"/>
  <c r="H464" i="8"/>
  <c r="J464" i="8" s="1"/>
  <c r="D465" i="8" l="1"/>
  <c r="G465" i="8" l="1"/>
  <c r="E465" i="8"/>
  <c r="C466" i="8" s="1"/>
  <c r="K465" i="8" l="1"/>
  <c r="D466" i="8"/>
  <c r="F465" i="8"/>
  <c r="H465" i="8" s="1"/>
  <c r="I465" i="8" l="1"/>
  <c r="J465" i="8" s="1"/>
  <c r="G466" i="8" l="1"/>
  <c r="E466" i="8"/>
  <c r="C467" i="8" l="1"/>
  <c r="D467" i="8" s="1"/>
  <c r="K466" i="8"/>
  <c r="F466" i="8"/>
  <c r="H466" i="8" s="1"/>
  <c r="I466" i="8" l="1"/>
  <c r="J466" i="8" s="1"/>
  <c r="G467" i="8" l="1"/>
  <c r="E467" i="8"/>
  <c r="C468" i="8" l="1"/>
  <c r="D468" i="8" s="1"/>
  <c r="K467" i="8"/>
  <c r="F467" i="8"/>
  <c r="H467" i="8" s="1"/>
  <c r="I467" i="8" l="1"/>
  <c r="J467" i="8" s="1"/>
  <c r="G468" i="8" l="1"/>
  <c r="E468" i="8"/>
  <c r="C469" i="8" l="1"/>
  <c r="D469" i="8" s="1"/>
  <c r="K468" i="8"/>
  <c r="F468" i="8"/>
  <c r="H468" i="8" s="1"/>
  <c r="I468" i="8" l="1"/>
  <c r="J468" i="8" s="1"/>
  <c r="G469" i="8" l="1"/>
  <c r="E469" i="8"/>
  <c r="C470" i="8" l="1"/>
  <c r="D470" i="8" s="1"/>
  <c r="K469" i="8"/>
  <c r="F469" i="8"/>
  <c r="H469" i="8" s="1"/>
  <c r="I469" i="8" l="1"/>
  <c r="J469" i="8" s="1"/>
  <c r="F470" i="8" l="1"/>
  <c r="H470" i="8" s="1"/>
  <c r="G470" i="8"/>
  <c r="E470" i="8"/>
  <c r="K470" i="8" s="1"/>
  <c r="I470" i="8" l="1"/>
  <c r="J470" i="8" s="1"/>
  <c r="C471" i="8"/>
  <c r="D471" i="8" l="1"/>
  <c r="G471" i="8" l="1"/>
  <c r="E471" i="8"/>
  <c r="C472" i="8" s="1"/>
  <c r="K471" i="8" l="1"/>
  <c r="D472" i="8"/>
  <c r="F471" i="8"/>
  <c r="H471" i="8" s="1"/>
  <c r="I471" i="8" l="1"/>
  <c r="J471" i="8" s="1"/>
  <c r="G472" i="8" l="1"/>
  <c r="E472" i="8"/>
  <c r="C473" i="8" l="1"/>
  <c r="D473" i="8" s="1"/>
  <c r="K472" i="8"/>
  <c r="F472" i="8"/>
  <c r="H472" i="8" s="1"/>
  <c r="I472" i="8" l="1"/>
  <c r="J472" i="8" s="1"/>
  <c r="G473" i="8" l="1"/>
  <c r="E473" i="8"/>
  <c r="C474" i="8" l="1"/>
  <c r="D474" i="8" s="1"/>
  <c r="K473" i="8"/>
  <c r="F473" i="8"/>
  <c r="H473" i="8" s="1"/>
  <c r="I473" i="8" l="1"/>
  <c r="J473" i="8" s="1"/>
  <c r="G474" i="8" l="1"/>
  <c r="E474" i="8"/>
  <c r="C475" i="8" l="1"/>
  <c r="D475" i="8" s="1"/>
  <c r="K474" i="8"/>
  <c r="F474" i="8"/>
  <c r="I474" i="8" s="1"/>
  <c r="H474" i="8" l="1"/>
  <c r="J474" i="8" s="1"/>
  <c r="G475" i="8" l="1"/>
  <c r="E475" i="8"/>
  <c r="C476" i="8" l="1"/>
  <c r="D476" i="8" s="1"/>
  <c r="K475" i="8"/>
  <c r="F475" i="8"/>
  <c r="H475" i="8" s="1"/>
  <c r="I475" i="8" l="1"/>
  <c r="J475" i="8" s="1"/>
  <c r="G476" i="8"/>
  <c r="F476" i="8"/>
  <c r="H476" i="8" l="1"/>
  <c r="I476" i="8"/>
  <c r="E476" i="8"/>
  <c r="K476" i="8" s="1"/>
  <c r="C477" i="8" l="1"/>
  <c r="J476" i="8"/>
  <c r="D477" i="8" l="1"/>
  <c r="G477" i="8" l="1"/>
  <c r="E477" i="8"/>
  <c r="C478" i="8" s="1"/>
  <c r="K477" i="8" l="1"/>
  <c r="D478" i="8"/>
  <c r="F477" i="8"/>
  <c r="H477" i="8" s="1"/>
  <c r="I477" i="8" l="1"/>
  <c r="J477" i="8" s="1"/>
  <c r="G478" i="8" l="1"/>
  <c r="E478" i="8"/>
  <c r="C479" i="8" l="1"/>
  <c r="D479" i="8" s="1"/>
  <c r="K478" i="8"/>
  <c r="F478" i="8"/>
  <c r="H478" i="8" s="1"/>
  <c r="I478" i="8" l="1"/>
  <c r="J478" i="8" s="1"/>
  <c r="G479" i="8" l="1"/>
  <c r="E479" i="8"/>
  <c r="C480" i="8" l="1"/>
  <c r="D480" i="8" s="1"/>
  <c r="K479" i="8"/>
  <c r="F479" i="8"/>
  <c r="H479" i="8" s="1"/>
  <c r="I479" i="8" l="1"/>
  <c r="J479" i="8" s="1"/>
  <c r="G480" i="8" l="1"/>
  <c r="E480" i="8"/>
  <c r="C481" i="8" l="1"/>
  <c r="D481" i="8" s="1"/>
  <c r="K480" i="8"/>
  <c r="F480" i="8"/>
  <c r="H480" i="8" s="1"/>
  <c r="I480" i="8" l="1"/>
  <c r="J480" i="8" s="1"/>
  <c r="G481" i="8" l="1"/>
  <c r="E481" i="8"/>
  <c r="C482" i="8" l="1"/>
  <c r="D482" i="8" s="1"/>
  <c r="K481" i="8"/>
  <c r="F481" i="8"/>
  <c r="H481" i="8" s="1"/>
  <c r="I481" i="8" l="1"/>
  <c r="J481" i="8" s="1"/>
  <c r="G482" i="8" l="1"/>
  <c r="E482" i="8"/>
  <c r="C483" i="8" l="1"/>
  <c r="D483" i="8" s="1"/>
  <c r="K482" i="8"/>
  <c r="F482" i="8"/>
  <c r="H482" i="8" s="1"/>
  <c r="I482" i="8" l="1"/>
  <c r="J482" i="8" s="1"/>
  <c r="G483" i="8" l="1"/>
  <c r="F483" i="8"/>
  <c r="H483" i="8" s="1"/>
  <c r="E483" i="8"/>
  <c r="K483" i="8" s="1"/>
  <c r="C484" i="8" l="1"/>
  <c r="I483" i="8"/>
  <c r="J483" i="8" s="1"/>
  <c r="D484" i="8" l="1"/>
  <c r="G484" i="8" l="1"/>
  <c r="E484" i="8"/>
  <c r="C485" i="8" s="1"/>
  <c r="K484" i="8" l="1"/>
  <c r="D485" i="8"/>
  <c r="F484" i="8"/>
  <c r="H484" i="8" s="1"/>
  <c r="I484" i="8" l="1"/>
  <c r="J484" i="8" s="1"/>
  <c r="G485" i="8" l="1"/>
  <c r="E485" i="8"/>
  <c r="C486" i="8" l="1"/>
  <c r="D486" i="8" s="1"/>
  <c r="K485" i="8"/>
  <c r="F485" i="8"/>
  <c r="H485" i="8" s="1"/>
  <c r="I485" i="8" l="1"/>
  <c r="J485" i="8" s="1"/>
  <c r="G486" i="8" l="1"/>
  <c r="E486" i="8"/>
  <c r="C487" i="8" l="1"/>
  <c r="D487" i="8" s="1"/>
  <c r="K486" i="8"/>
  <c r="F486" i="8"/>
  <c r="H486" i="8" s="1"/>
  <c r="I486" i="8" l="1"/>
  <c r="J486" i="8" s="1"/>
  <c r="G487" i="8" l="1"/>
  <c r="E487" i="8"/>
  <c r="C488" i="8" l="1"/>
  <c r="D488" i="8" s="1"/>
  <c r="K487" i="8"/>
  <c r="F487" i="8"/>
  <c r="H487" i="8" s="1"/>
  <c r="I487" i="8" l="1"/>
  <c r="J487" i="8" s="1"/>
  <c r="G488" i="8" l="1"/>
  <c r="E488" i="8"/>
  <c r="C489" i="8" l="1"/>
  <c r="D489" i="8" s="1"/>
  <c r="K488" i="8"/>
  <c r="F488" i="8"/>
  <c r="H488" i="8" s="1"/>
  <c r="I488" i="8" l="1"/>
  <c r="J488" i="8" s="1"/>
  <c r="G489" i="8" l="1"/>
  <c r="E489" i="8"/>
  <c r="C490" i="8" l="1"/>
  <c r="D490" i="8" s="1"/>
  <c r="K489" i="8"/>
  <c r="F489" i="8"/>
  <c r="I489" i="8" s="1"/>
  <c r="H489" i="8" l="1"/>
  <c r="J489" i="8" s="1"/>
  <c r="G490" i="8" l="1"/>
  <c r="F490" i="8"/>
  <c r="H490" i="8" s="1"/>
  <c r="E490" i="8"/>
  <c r="K490" i="8" s="1"/>
  <c r="C491" i="8" l="1"/>
  <c r="I490" i="8"/>
  <c r="J490" i="8" s="1"/>
  <c r="D491" i="8" l="1"/>
  <c r="G491" i="8" l="1"/>
  <c r="E491" i="8"/>
  <c r="C492" i="8" s="1"/>
  <c r="K491" i="8" l="1"/>
  <c r="D492" i="8"/>
  <c r="F491" i="8"/>
  <c r="H491" i="8" s="1"/>
  <c r="I491" i="8" l="1"/>
  <c r="J491" i="8" s="1"/>
  <c r="G492" i="8"/>
  <c r="E492" i="8" l="1"/>
  <c r="C493" i="8" l="1"/>
  <c r="D493" i="8" s="1"/>
  <c r="K492" i="8"/>
  <c r="F492" i="8"/>
  <c r="H492" i="8" s="1"/>
  <c r="I492" i="8" l="1"/>
  <c r="J492" i="8" s="1"/>
  <c r="G493" i="8" l="1"/>
  <c r="E493" i="8"/>
  <c r="C494" i="8" l="1"/>
  <c r="D494" i="8" s="1"/>
  <c r="K493" i="8"/>
  <c r="F493" i="8"/>
  <c r="H493" i="8" s="1"/>
  <c r="I493" i="8" l="1"/>
  <c r="J493" i="8" s="1"/>
  <c r="G494" i="8" l="1"/>
  <c r="E494" i="8"/>
  <c r="C495" i="8" l="1"/>
  <c r="D495" i="8" s="1"/>
  <c r="K494" i="8"/>
  <c r="F494" i="8"/>
  <c r="H494" i="8" s="1"/>
  <c r="I494" i="8" l="1"/>
  <c r="J494" i="8" s="1"/>
  <c r="G495" i="8" l="1"/>
  <c r="E495" i="8"/>
  <c r="C496" i="8" l="1"/>
  <c r="D496" i="8" s="1"/>
  <c r="K495" i="8"/>
  <c r="F495" i="8"/>
  <c r="H495" i="8" s="1"/>
  <c r="I495" i="8" l="1"/>
  <c r="J495" i="8" s="1"/>
  <c r="G496" i="8"/>
  <c r="E496" i="8" l="1"/>
  <c r="C497" i="8" l="1"/>
  <c r="D497" i="8" s="1"/>
  <c r="K496" i="8"/>
  <c r="F496" i="8"/>
  <c r="H496" i="8" s="1"/>
  <c r="I496" i="8" l="1"/>
  <c r="J496" i="8" s="1"/>
  <c r="F497" i="8" l="1"/>
  <c r="H497" i="8" s="1"/>
  <c r="G497" i="8"/>
  <c r="E497" i="8"/>
  <c r="K497" i="8" s="1"/>
  <c r="I497" i="8" l="1"/>
  <c r="J497" i="8" s="1"/>
  <c r="C498" i="8"/>
  <c r="D498" i="8" l="1"/>
  <c r="G498" i="8" l="1"/>
  <c r="E498" i="8"/>
  <c r="C499" i="8" s="1"/>
  <c r="K498" i="8" l="1"/>
  <c r="D499" i="8"/>
  <c r="F498" i="8"/>
  <c r="H498" i="8" s="1"/>
  <c r="I498" i="8" l="1"/>
  <c r="J498" i="8" s="1"/>
  <c r="G499" i="8"/>
  <c r="E499" i="8" l="1"/>
  <c r="C500" i="8" l="1"/>
  <c r="D500" i="8" s="1"/>
  <c r="K499" i="8"/>
  <c r="F499" i="8"/>
  <c r="H499" i="8" s="1"/>
  <c r="G500" i="8" l="1"/>
  <c r="I499" i="8"/>
  <c r="J499" i="8" s="1"/>
  <c r="E500" i="8" l="1"/>
  <c r="C501" i="8" l="1"/>
  <c r="D501" i="8" s="1"/>
  <c r="K500" i="8"/>
  <c r="F500" i="8"/>
  <c r="I500" i="8" s="1"/>
  <c r="H500" i="8" l="1"/>
  <c r="J500" i="8" s="1"/>
  <c r="G501" i="8" l="1"/>
  <c r="E501" i="8"/>
  <c r="C502" i="8" l="1"/>
  <c r="D502" i="8" s="1"/>
  <c r="K501" i="8"/>
  <c r="F501" i="8"/>
  <c r="H501" i="8" s="1"/>
  <c r="I501" i="8" l="1"/>
  <c r="J501" i="8" s="1"/>
  <c r="G502" i="8" l="1"/>
  <c r="E502" i="8"/>
  <c r="C503" i="8" l="1"/>
  <c r="D503" i="8" s="1"/>
  <c r="K502" i="8"/>
  <c r="F502" i="8"/>
  <c r="H502" i="8" s="1"/>
  <c r="I502" i="8" l="1"/>
  <c r="J502" i="8" s="1"/>
  <c r="G503" i="8" l="1"/>
  <c r="E503" i="8"/>
  <c r="C504" i="8" l="1"/>
  <c r="D504" i="8" s="1"/>
  <c r="K503" i="8"/>
  <c r="F503" i="8"/>
  <c r="H503" i="8" s="1"/>
  <c r="I503" i="8" l="1"/>
  <c r="J503" i="8" s="1"/>
  <c r="G504" i="8" l="1"/>
  <c r="F504" i="8"/>
  <c r="H504" i="8" s="1"/>
  <c r="E504" i="8"/>
  <c r="K504" i="8" s="1"/>
  <c r="C505" i="8" l="1"/>
  <c r="I504" i="8"/>
  <c r="J504" i="8" s="1"/>
  <c r="D505" i="8" l="1"/>
  <c r="G505" i="8" l="1"/>
  <c r="E505" i="8"/>
  <c r="C506" i="8" s="1"/>
  <c r="D506" i="8" s="1"/>
  <c r="K505" i="8" l="1"/>
  <c r="F505" i="8"/>
  <c r="H505" i="8" s="1"/>
  <c r="I505" i="8" l="1"/>
  <c r="J505" i="8" s="1"/>
  <c r="G506" i="8"/>
  <c r="E506" i="8" l="1"/>
  <c r="K506" i="8" s="1"/>
  <c r="F506" i="8" l="1"/>
  <c r="H506" i="8" s="1"/>
  <c r="I506" i="8" l="1"/>
  <c r="J506" i="8" s="1"/>
  <c r="H14" i="9" l="1"/>
  <c r="U14" i="9"/>
  <c r="S14" i="9"/>
  <c r="R14" i="9"/>
  <c r="P14" i="9"/>
  <c r="I14" i="9"/>
  <c r="T14" i="9" s="1"/>
  <c r="D14" i="9" l="1"/>
  <c r="F14" i="9"/>
  <c r="N14" i="9" s="1"/>
  <c r="X13" i="9" l="1"/>
  <c r="G15" i="9"/>
  <c r="J14" i="9"/>
  <c r="Q14" i="9" s="1"/>
  <c r="E14" i="9"/>
  <c r="O15" i="9" l="1"/>
  <c r="L15" i="9"/>
  <c r="M15" i="9"/>
  <c r="C16" i="9"/>
  <c r="V14" i="9"/>
  <c r="W14" i="9" s="1"/>
  <c r="H15" i="9" l="1"/>
  <c r="I15" i="9"/>
  <c r="U15" i="9"/>
  <c r="P15" i="9"/>
  <c r="T15" i="9"/>
  <c r="R15" i="9" l="1"/>
  <c r="D15" i="9"/>
  <c r="K15" i="9" s="1"/>
  <c r="F15" i="9"/>
  <c r="N15" i="9" s="1"/>
  <c r="X14" i="9" l="1"/>
  <c r="J15" i="9"/>
  <c r="Q15" i="9" s="1"/>
  <c r="S15" i="9"/>
  <c r="E15" i="9"/>
  <c r="V15" i="9" l="1"/>
  <c r="W15" i="9" s="1"/>
  <c r="G16" i="9"/>
  <c r="O16" i="9" s="1"/>
  <c r="M16" i="9" l="1"/>
  <c r="N16" i="9"/>
  <c r="H16" i="9"/>
  <c r="C17" i="9"/>
  <c r="I16" i="9"/>
  <c r="T16" i="9"/>
  <c r="P16" i="9"/>
  <c r="U16" i="9"/>
  <c r="R16" i="9"/>
  <c r="F16" i="9"/>
  <c r="D16" i="9"/>
  <c r="K16" i="9" s="1"/>
  <c r="X15" i="9" l="1"/>
  <c r="E16" i="9"/>
  <c r="J16" i="9"/>
  <c r="Q16" i="9" s="1"/>
  <c r="L16" i="9" l="1"/>
  <c r="G17" i="9" s="1"/>
  <c r="O17" i="9" s="1"/>
  <c r="F17" i="9"/>
  <c r="S16" i="9"/>
  <c r="V16" i="9"/>
  <c r="X16" i="9" l="1"/>
  <c r="M17" i="9"/>
  <c r="N17" i="9"/>
  <c r="H17" i="9"/>
  <c r="C18" i="9"/>
  <c r="D17" i="9"/>
  <c r="K17" i="9" s="1"/>
  <c r="I17" i="9"/>
  <c r="R17" i="9"/>
  <c r="U17" i="9"/>
  <c r="P17" i="9"/>
  <c r="W16" i="9"/>
  <c r="E17" i="9" l="1"/>
  <c r="J17" i="9"/>
  <c r="T17" i="9"/>
  <c r="L17" i="9" l="1"/>
  <c r="G18" i="9" s="1"/>
  <c r="V17" i="9"/>
  <c r="Q17" i="9"/>
  <c r="S17" i="9"/>
  <c r="D18" i="9"/>
  <c r="F18" i="9"/>
  <c r="O18" i="9" l="1"/>
  <c r="C19" i="9"/>
  <c r="M18" i="9"/>
  <c r="K18" i="9"/>
  <c r="X17" i="9"/>
  <c r="W17" i="9"/>
  <c r="U18" i="9"/>
  <c r="H18" i="9"/>
  <c r="J18" i="9" s="1"/>
  <c r="R18" i="9"/>
  <c r="I18" i="9"/>
  <c r="N18" i="9" s="1"/>
  <c r="P18" i="9"/>
  <c r="E18" i="9"/>
  <c r="L18" i="9" s="1"/>
  <c r="T18" i="9" l="1"/>
  <c r="V18" i="9"/>
  <c r="Q18" i="9"/>
  <c r="G19" i="9"/>
  <c r="O19" i="9" s="1"/>
  <c r="S18" i="9"/>
  <c r="M19" i="9" l="1"/>
  <c r="K19" i="9"/>
  <c r="L19" i="9"/>
  <c r="C20" i="9"/>
  <c r="R19" i="9"/>
  <c r="I19" i="9"/>
  <c r="U19" i="9"/>
  <c r="H19" i="9"/>
  <c r="P19" i="9"/>
  <c r="T19" i="9"/>
  <c r="W18" i="9"/>
  <c r="F19" i="9" l="1"/>
  <c r="D19" i="9"/>
  <c r="N19" i="9" l="1"/>
  <c r="X18" i="9"/>
  <c r="J19" i="9"/>
  <c r="E19" i="9"/>
  <c r="V19" i="9" l="1"/>
  <c r="Q19" i="9"/>
  <c r="G20" i="9"/>
  <c r="O20" i="9" s="1"/>
  <c r="S19" i="9"/>
  <c r="M20" i="9" l="1"/>
  <c r="K20" i="9"/>
  <c r="L20" i="9"/>
  <c r="C21" i="9"/>
  <c r="W19" i="9"/>
  <c r="H20" i="9"/>
  <c r="U20" i="9"/>
  <c r="R20" i="9"/>
  <c r="P20" i="9"/>
  <c r="I20" i="9"/>
  <c r="T20" i="9" s="1"/>
  <c r="F20" i="9"/>
  <c r="D20" i="9"/>
  <c r="X19" i="9" l="1"/>
  <c r="N20" i="9"/>
  <c r="G21" i="9" s="1"/>
  <c r="O21" i="9" s="1"/>
  <c r="E20" i="9"/>
  <c r="J20" i="9"/>
  <c r="M21" i="9" l="1"/>
  <c r="K21" i="9"/>
  <c r="L21" i="9"/>
  <c r="C22" i="9"/>
  <c r="S20" i="9"/>
  <c r="Q20" i="9"/>
  <c r="V20" i="9"/>
  <c r="H21" i="9" l="1"/>
  <c r="U21" i="9"/>
  <c r="W20" i="9"/>
  <c r="S21" i="9"/>
  <c r="R21" i="9"/>
  <c r="P21" i="9"/>
  <c r="I21" i="9"/>
  <c r="T21" i="9" s="1"/>
  <c r="F21" i="9" l="1"/>
  <c r="N21" i="9" s="1"/>
  <c r="D21" i="9"/>
  <c r="X20" i="9" l="1"/>
  <c r="G22" i="9"/>
  <c r="E21" i="9"/>
  <c r="J21" i="9"/>
  <c r="Q21" i="9" s="1"/>
  <c r="O22" i="9" l="1"/>
  <c r="L22" i="9"/>
  <c r="M22" i="9"/>
  <c r="C23" i="9"/>
  <c r="H22" i="9"/>
  <c r="U22" i="9"/>
  <c r="V21" i="9"/>
  <c r="W21" i="9" s="1"/>
  <c r="R22" i="9"/>
  <c r="P22" i="9"/>
  <c r="I22" i="9"/>
  <c r="T22" i="9" l="1"/>
  <c r="F22" i="9"/>
  <c r="N22" i="9" s="1"/>
  <c r="D22" i="9"/>
  <c r="K22" i="9" s="1"/>
  <c r="X21" i="9" l="1"/>
  <c r="E22" i="9"/>
  <c r="J22" i="9"/>
  <c r="S22" i="9" l="1"/>
  <c r="Q22" i="9"/>
  <c r="D23" i="9"/>
  <c r="E23" i="9" s="1"/>
  <c r="G23" i="9"/>
  <c r="O23" i="9" s="1"/>
  <c r="V22" i="9"/>
  <c r="M23" i="9" l="1"/>
  <c r="N23" i="9"/>
  <c r="K23" i="9"/>
  <c r="I23" i="9"/>
  <c r="C24" i="9"/>
  <c r="P23" i="9"/>
  <c r="R23" i="9"/>
  <c r="U23" i="9"/>
  <c r="F23" i="9"/>
  <c r="H23" i="9"/>
  <c r="J23" i="9" s="1"/>
  <c r="W22" i="9"/>
  <c r="T23" i="9"/>
  <c r="X22" i="9" l="1"/>
  <c r="L23" i="9"/>
  <c r="V23" i="9"/>
  <c r="Q23" i="9"/>
  <c r="S23" i="9"/>
  <c r="G24" i="9" l="1"/>
  <c r="O24" i="9" s="1"/>
  <c r="W23" i="9"/>
  <c r="F24" i="9"/>
  <c r="D24" i="9"/>
  <c r="E24" i="9" s="1"/>
  <c r="X23" i="9" l="1"/>
  <c r="M24" i="9"/>
  <c r="N24" i="9"/>
  <c r="K24" i="9"/>
  <c r="C25" i="9"/>
  <c r="I24" i="9"/>
  <c r="H24" i="9"/>
  <c r="J24" i="9" s="1"/>
  <c r="P24" i="9"/>
  <c r="T24" i="9"/>
  <c r="R24" i="9"/>
  <c r="U24" i="9"/>
  <c r="L24" i="9" l="1"/>
  <c r="G25" i="9" s="1"/>
  <c r="O25" i="9" s="1"/>
  <c r="S24" i="9"/>
  <c r="Q24" i="9"/>
  <c r="V24" i="9"/>
  <c r="M25" i="9" l="1"/>
  <c r="K25" i="9"/>
  <c r="C26" i="9"/>
  <c r="H25" i="9"/>
  <c r="R25" i="9"/>
  <c r="P25" i="9"/>
  <c r="I25" i="9"/>
  <c r="T25" i="9" s="1"/>
  <c r="U25" i="9"/>
  <c r="W24" i="9"/>
  <c r="F25" i="9"/>
  <c r="D25" i="9"/>
  <c r="X24" i="9" l="1"/>
  <c r="N25" i="9"/>
  <c r="J25" i="9"/>
  <c r="Q25" i="9" s="1"/>
  <c r="E25" i="9"/>
  <c r="L25" i="9" s="1"/>
  <c r="G26" i="9" l="1"/>
  <c r="O26" i="9" s="1"/>
  <c r="V25" i="9"/>
  <c r="S25" i="9"/>
  <c r="M26" i="9" l="1"/>
  <c r="K26" i="9"/>
  <c r="L26" i="9"/>
  <c r="C27" i="9"/>
  <c r="W25" i="9"/>
  <c r="I26" i="9"/>
  <c r="F26" i="9"/>
  <c r="D26" i="9"/>
  <c r="X25" i="9" l="1"/>
  <c r="N26" i="9"/>
  <c r="H26" i="9"/>
  <c r="J26" i="9" s="1"/>
  <c r="T26" i="9"/>
  <c r="R26" i="9"/>
  <c r="P26" i="9"/>
  <c r="U26" i="9"/>
  <c r="E26" i="9"/>
  <c r="S26" i="9" l="1"/>
  <c r="Q26" i="9"/>
  <c r="G27" i="9"/>
  <c r="O27" i="9" s="1"/>
  <c r="V26" i="9"/>
  <c r="M27" i="9" l="1"/>
  <c r="K27" i="9"/>
  <c r="L27" i="9"/>
  <c r="C28" i="9"/>
  <c r="W26" i="9"/>
  <c r="I27" i="9" l="1"/>
  <c r="T27" i="9" s="1"/>
  <c r="H27" i="9"/>
  <c r="P27" i="9"/>
  <c r="R27" i="9"/>
  <c r="U27" i="9"/>
  <c r="D27" i="9"/>
  <c r="F27" i="9"/>
  <c r="X26" i="9" l="1"/>
  <c r="N27" i="9"/>
  <c r="E27" i="9"/>
  <c r="J27" i="9"/>
  <c r="S27" i="9" l="1"/>
  <c r="Q27" i="9"/>
  <c r="G28" i="9"/>
  <c r="O28" i="9" s="1"/>
  <c r="V27" i="9"/>
  <c r="M28" i="9" l="1"/>
  <c r="K28" i="9"/>
  <c r="L28" i="9"/>
  <c r="C29" i="9"/>
  <c r="I28" i="9"/>
  <c r="T28" i="9" s="1"/>
  <c r="P28" i="9"/>
  <c r="R28" i="9"/>
  <c r="H28" i="9"/>
  <c r="U28" i="9"/>
  <c r="W27" i="9"/>
  <c r="D28" i="9"/>
  <c r="F28" i="9"/>
  <c r="X27" i="9" l="1"/>
  <c r="N28" i="9"/>
  <c r="E28" i="9"/>
  <c r="J28" i="9"/>
  <c r="S28" i="9" l="1"/>
  <c r="Q28" i="9"/>
  <c r="F29" i="9"/>
  <c r="G29" i="9"/>
  <c r="O29" i="9" s="1"/>
  <c r="V28" i="9"/>
  <c r="D29" i="9"/>
  <c r="E29" i="9" s="1"/>
  <c r="X28" i="9" l="1"/>
  <c r="M29" i="9"/>
  <c r="K29" i="9"/>
  <c r="L29" i="9"/>
  <c r="C30" i="9"/>
  <c r="H29" i="9"/>
  <c r="J29" i="9" s="1"/>
  <c r="U29" i="9"/>
  <c r="W28" i="9"/>
  <c r="R29" i="9"/>
  <c r="I29" i="9"/>
  <c r="N29" i="9" s="1"/>
  <c r="P29" i="9"/>
  <c r="S29" i="9" l="1"/>
  <c r="Q29" i="9"/>
  <c r="G30" i="9"/>
  <c r="V29" i="9"/>
  <c r="T29" i="9"/>
  <c r="O30" i="9" l="1"/>
  <c r="L30" i="9"/>
  <c r="M30" i="9"/>
  <c r="C31" i="9"/>
  <c r="H30" i="9"/>
  <c r="U30" i="9"/>
  <c r="W29" i="9"/>
  <c r="I30" i="9"/>
  <c r="R30" i="9"/>
  <c r="P30" i="9"/>
  <c r="F30" i="9"/>
  <c r="N30" i="9" s="1"/>
  <c r="X29" i="9" l="1"/>
  <c r="D30" i="9"/>
  <c r="K30" i="9" s="1"/>
  <c r="T30" i="9"/>
  <c r="E30" i="9" l="1"/>
  <c r="J30" i="9"/>
  <c r="S30" i="9" l="1"/>
  <c r="Q30" i="9"/>
  <c r="G31" i="9"/>
  <c r="O31" i="9" s="1"/>
  <c r="V30" i="9"/>
  <c r="M31" i="9" l="1"/>
  <c r="N31" i="9"/>
  <c r="C32" i="9"/>
  <c r="H31" i="9"/>
  <c r="I31" i="9"/>
  <c r="T31" i="9" s="1"/>
  <c r="R31" i="9"/>
  <c r="P31" i="9"/>
  <c r="W30" i="9"/>
  <c r="U31" i="9"/>
  <c r="F31" i="9"/>
  <c r="D31" i="9"/>
  <c r="E31" i="9" s="1"/>
  <c r="K31" i="9" l="1"/>
  <c r="X30" i="9"/>
  <c r="L31" i="9"/>
  <c r="J31" i="9"/>
  <c r="G32" i="9" l="1"/>
  <c r="O32" i="9" s="1"/>
  <c r="Q31" i="9"/>
  <c r="S31" i="9"/>
  <c r="H32" i="9"/>
  <c r="V31" i="9"/>
  <c r="I32" i="9" l="1"/>
  <c r="P32" i="9"/>
  <c r="U32" i="9"/>
  <c r="N32" i="9"/>
  <c r="C33" i="9"/>
  <c r="M32" i="9"/>
  <c r="T32" i="9"/>
  <c r="W31" i="9"/>
  <c r="R32" i="9"/>
  <c r="F32" i="9" l="1"/>
  <c r="D32" i="9"/>
  <c r="K32" i="9" s="1"/>
  <c r="X31" i="9" l="1"/>
  <c r="E32" i="9"/>
  <c r="L32" i="9" s="1"/>
  <c r="G33" i="9" s="1"/>
  <c r="O33" i="9" s="1"/>
  <c r="J32" i="9"/>
  <c r="Q32" i="9" l="1"/>
  <c r="S32" i="9"/>
  <c r="M33" i="9"/>
  <c r="K33" i="9"/>
  <c r="C34" i="9"/>
  <c r="V32" i="9"/>
  <c r="H33" i="9" l="1"/>
  <c r="I33" i="9"/>
  <c r="T33" i="9" s="1"/>
  <c r="P33" i="9"/>
  <c r="R33" i="9"/>
  <c r="U33" i="9"/>
  <c r="W32" i="9"/>
  <c r="F33" i="9"/>
  <c r="D33" i="9"/>
  <c r="X32" i="9" l="1"/>
  <c r="N33" i="9"/>
  <c r="E33" i="9"/>
  <c r="L33" i="9" s="1"/>
  <c r="J33" i="9"/>
  <c r="Q33" i="9" s="1"/>
  <c r="G34" i="9" l="1"/>
  <c r="O34" i="9" s="1"/>
  <c r="S33" i="9"/>
  <c r="V33" i="9"/>
  <c r="H34" i="9" l="1"/>
  <c r="C35" i="9"/>
  <c r="L34" i="9"/>
  <c r="K34" i="9"/>
  <c r="M34" i="9"/>
  <c r="R34" i="9"/>
  <c r="I34" i="9"/>
  <c r="T34" i="9" s="1"/>
  <c r="P34" i="9"/>
  <c r="U34" i="9"/>
  <c r="W33" i="9"/>
  <c r="F34" i="9"/>
  <c r="D34" i="9"/>
  <c r="X33" i="9" l="1"/>
  <c r="N34" i="9"/>
  <c r="E34" i="9"/>
  <c r="J34" i="9"/>
  <c r="V34" i="9" l="1"/>
  <c r="Q34" i="9"/>
  <c r="G35" i="9"/>
  <c r="O35" i="9" s="1"/>
  <c r="F35" i="9"/>
  <c r="S34" i="9"/>
  <c r="X34" i="9" l="1"/>
  <c r="M35" i="9"/>
  <c r="K35" i="9"/>
  <c r="L35" i="9"/>
  <c r="C36" i="9"/>
  <c r="I35" i="9"/>
  <c r="T35" i="9" s="1"/>
  <c r="P35" i="9"/>
  <c r="R35" i="9"/>
  <c r="U35" i="9"/>
  <c r="H35" i="9"/>
  <c r="D35" i="9"/>
  <c r="W34" i="9"/>
  <c r="N35" i="9" l="1"/>
  <c r="E35" i="9"/>
  <c r="J35" i="9"/>
  <c r="G36" i="9" l="1"/>
  <c r="O36" i="9" s="1"/>
  <c r="V35" i="9"/>
  <c r="Q35" i="9"/>
  <c r="S35" i="9"/>
  <c r="F36" i="9"/>
  <c r="D36" i="9"/>
  <c r="E36" i="9" s="1"/>
  <c r="X35" i="9" l="1"/>
  <c r="R36" i="9"/>
  <c r="P36" i="9"/>
  <c r="M36" i="9"/>
  <c r="U36" i="9"/>
  <c r="L36" i="9"/>
  <c r="C37" i="9"/>
  <c r="I36" i="9"/>
  <c r="T36" i="9" s="1"/>
  <c r="H36" i="9"/>
  <c r="J36" i="9" s="1"/>
  <c r="K36" i="9"/>
  <c r="W35" i="9"/>
  <c r="N36" i="9" l="1"/>
  <c r="G37" i="9" s="1"/>
  <c r="S36" i="9"/>
  <c r="Q36" i="9"/>
  <c r="V36" i="9"/>
  <c r="O37" i="9" l="1"/>
  <c r="L37" i="9"/>
  <c r="M37" i="9"/>
  <c r="C38" i="9"/>
  <c r="I37" i="9"/>
  <c r="H37" i="9"/>
  <c r="P37" i="9"/>
  <c r="U37" i="9"/>
  <c r="T37" i="9"/>
  <c r="R37" i="9"/>
  <c r="W36" i="9"/>
  <c r="D37" i="9"/>
  <c r="K37" i="9" s="1"/>
  <c r="F37" i="9"/>
  <c r="N37" i="9" s="1"/>
  <c r="X36" i="9" l="1"/>
  <c r="G38" i="9"/>
  <c r="O38" i="9" s="1"/>
  <c r="E37" i="9"/>
  <c r="J37" i="9"/>
  <c r="M38" i="9" l="1"/>
  <c r="N38" i="9"/>
  <c r="C39" i="9"/>
  <c r="S37" i="9"/>
  <c r="Q37" i="9"/>
  <c r="V37" i="9"/>
  <c r="H38" i="9" l="1"/>
  <c r="W37" i="9"/>
  <c r="U38" i="9"/>
  <c r="R38" i="9"/>
  <c r="P38" i="9"/>
  <c r="I38" i="9"/>
  <c r="T38" i="9" s="1"/>
  <c r="F38" i="9" l="1"/>
  <c r="D38" i="9"/>
  <c r="K38" i="9" s="1"/>
  <c r="X37" i="9" l="1"/>
  <c r="E38" i="9"/>
  <c r="L38" i="9" s="1"/>
  <c r="J38" i="9"/>
  <c r="Q38" i="9" l="1"/>
  <c r="S38" i="9"/>
  <c r="G39" i="9"/>
  <c r="O39" i="9" s="1"/>
  <c r="V38" i="9"/>
  <c r="I39" i="9" l="1"/>
  <c r="T39" i="9" s="1"/>
  <c r="P39" i="9"/>
  <c r="R39" i="9"/>
  <c r="M39" i="9"/>
  <c r="N39" i="9"/>
  <c r="C40" i="9"/>
  <c r="H39" i="9"/>
  <c r="U39" i="9"/>
  <c r="W38" i="9"/>
  <c r="F39" i="9"/>
  <c r="D39" i="9"/>
  <c r="K39" i="9" s="1"/>
  <c r="X38" i="9" l="1"/>
  <c r="E39" i="9"/>
  <c r="L39" i="9" s="1"/>
  <c r="G40" i="9" s="1"/>
  <c r="O40" i="9" s="1"/>
  <c r="J39" i="9"/>
  <c r="Q39" i="9" l="1"/>
  <c r="S39" i="9"/>
  <c r="M40" i="9"/>
  <c r="K40" i="9"/>
  <c r="C41" i="9"/>
  <c r="V39" i="9"/>
  <c r="H40" i="9" l="1"/>
  <c r="W39" i="9"/>
  <c r="I40" i="9"/>
  <c r="T40" i="9" s="1"/>
  <c r="P40" i="9"/>
  <c r="R40" i="9"/>
  <c r="U40" i="9"/>
  <c r="D40" i="9" l="1"/>
  <c r="F40" i="9"/>
  <c r="N40" i="9" l="1"/>
  <c r="X39" i="9"/>
  <c r="E40" i="9"/>
  <c r="L40" i="9" s="1"/>
  <c r="J40" i="9"/>
  <c r="S40" i="9" l="1"/>
  <c r="Q40" i="9"/>
  <c r="G41" i="9"/>
  <c r="O41" i="9" s="1"/>
  <c r="V40" i="9"/>
  <c r="M41" i="9" l="1"/>
  <c r="K41" i="9"/>
  <c r="L41" i="9"/>
  <c r="C42" i="9"/>
  <c r="I41" i="9"/>
  <c r="T41" i="9" s="1"/>
  <c r="P41" i="9"/>
  <c r="F41" i="9"/>
  <c r="H41" i="9"/>
  <c r="U41" i="9"/>
  <c r="W40" i="9"/>
  <c r="R41" i="9"/>
  <c r="X40" i="9" l="1"/>
  <c r="N41" i="9"/>
  <c r="D41" i="9"/>
  <c r="J41" i="9"/>
  <c r="Q41" i="9" s="1"/>
  <c r="E41" i="9" l="1"/>
  <c r="G42" i="9" s="1"/>
  <c r="O42" i="9" s="1"/>
  <c r="D42" i="9"/>
  <c r="E42" i="9" s="1"/>
  <c r="V41" i="9"/>
  <c r="S41" i="9"/>
  <c r="M42" i="9" l="1"/>
  <c r="K42" i="9"/>
  <c r="L42" i="9"/>
  <c r="H42" i="9"/>
  <c r="J42" i="9" s="1"/>
  <c r="U42" i="9"/>
  <c r="C43" i="9"/>
  <c r="R42" i="9"/>
  <c r="P42" i="9"/>
  <c r="I42" i="9"/>
  <c r="T42" i="9" s="1"/>
  <c r="F42" i="9"/>
  <c r="W41" i="9"/>
  <c r="N42" i="9" l="1"/>
  <c r="X41" i="9"/>
  <c r="V42" i="9"/>
  <c r="Q42" i="9"/>
  <c r="G43" i="9"/>
  <c r="S42" i="9"/>
  <c r="O43" i="9" l="1"/>
  <c r="L43" i="9"/>
  <c r="M43" i="9"/>
  <c r="C44" i="9"/>
  <c r="P43" i="9"/>
  <c r="I43" i="9"/>
  <c r="R43" i="9"/>
  <c r="T43" i="9"/>
  <c r="U43" i="9"/>
  <c r="H43" i="9"/>
  <c r="W42" i="9"/>
  <c r="F43" i="9" l="1"/>
  <c r="N43" i="9" s="1"/>
  <c r="D43" i="9"/>
  <c r="K43" i="9" s="1"/>
  <c r="X42" i="9" l="1"/>
  <c r="J43" i="9"/>
  <c r="Q43" i="9" s="1"/>
  <c r="E43" i="9"/>
  <c r="G44" i="9" l="1"/>
  <c r="O44" i="9" s="1"/>
  <c r="V43" i="9"/>
  <c r="S43" i="9"/>
  <c r="M44" i="9" l="1"/>
  <c r="N44" i="9"/>
  <c r="C45" i="9"/>
  <c r="W43" i="9"/>
  <c r="P44" i="9"/>
  <c r="I44" i="9"/>
  <c r="T44" i="9"/>
  <c r="R44" i="9"/>
  <c r="U44" i="9"/>
  <c r="H44" i="9"/>
  <c r="F44" i="9"/>
  <c r="D44" i="9"/>
  <c r="K44" i="9" s="1"/>
  <c r="X43" i="9" l="1"/>
  <c r="E44" i="9"/>
  <c r="L44" i="9" s="1"/>
  <c r="J44" i="9"/>
  <c r="Q44" i="9" s="1"/>
  <c r="G45" i="9" l="1"/>
  <c r="O45" i="9" s="1"/>
  <c r="S44" i="9"/>
  <c r="V44" i="9"/>
  <c r="M45" i="9" l="1"/>
  <c r="N45" i="9"/>
  <c r="C46" i="9"/>
  <c r="H45" i="9"/>
  <c r="R45" i="9"/>
  <c r="U45" i="9"/>
  <c r="I45" i="9"/>
  <c r="T45" i="9" s="1"/>
  <c r="P45" i="9"/>
  <c r="W44" i="9"/>
  <c r="D45" i="9"/>
  <c r="K45" i="9" s="1"/>
  <c r="F45" i="9"/>
  <c r="X44" i="9" l="1"/>
  <c r="E45" i="9"/>
  <c r="L45" i="9" s="1"/>
  <c r="G46" i="9" s="1"/>
  <c r="O46" i="9" s="1"/>
  <c r="J45" i="9"/>
  <c r="M46" i="9" l="1"/>
  <c r="K46" i="9"/>
  <c r="C47" i="9"/>
  <c r="S45" i="9"/>
  <c r="Q45" i="9"/>
  <c r="V45" i="9"/>
  <c r="H46" i="9" l="1"/>
  <c r="U46" i="9"/>
  <c r="W45" i="9"/>
  <c r="R46" i="9"/>
  <c r="P46" i="9"/>
  <c r="I46" i="9"/>
  <c r="T46" i="9" s="1"/>
  <c r="D46" i="9" l="1"/>
  <c r="F46" i="9"/>
  <c r="N46" i="9" l="1"/>
  <c r="X45" i="9"/>
  <c r="E46" i="9"/>
  <c r="L46" i="9" s="1"/>
  <c r="J46" i="9"/>
  <c r="Q46" i="9" s="1"/>
  <c r="G47" i="9" l="1"/>
  <c r="O47" i="9" s="1"/>
  <c r="D47" i="9"/>
  <c r="S46" i="9"/>
  <c r="V46" i="9"/>
  <c r="I47" i="9"/>
  <c r="H47" i="9" l="1"/>
  <c r="J47" i="9" s="1"/>
  <c r="P47" i="9"/>
  <c r="U47" i="9"/>
  <c r="K47" i="9"/>
  <c r="C48" i="9"/>
  <c r="L47" i="9"/>
  <c r="M47" i="9"/>
  <c r="E47" i="9"/>
  <c r="W46" i="9"/>
  <c r="R47" i="9"/>
  <c r="T47" i="9"/>
  <c r="F47" i="9"/>
  <c r="N47" i="9" l="1"/>
  <c r="G48" i="9" s="1"/>
  <c r="O48" i="9" s="1"/>
  <c r="X46" i="9"/>
  <c r="S47" i="9"/>
  <c r="Q47" i="9"/>
  <c r="V47" i="9"/>
  <c r="M48" i="9" l="1"/>
  <c r="K48" i="9"/>
  <c r="L48" i="9"/>
  <c r="C49" i="9"/>
  <c r="H48" i="9"/>
  <c r="W47" i="9"/>
  <c r="U48" i="9"/>
  <c r="P48" i="9"/>
  <c r="R48" i="9"/>
  <c r="I48" i="9"/>
  <c r="D48" i="9" l="1"/>
  <c r="T48" i="9"/>
  <c r="F48" i="9"/>
  <c r="N48" i="9" l="1"/>
  <c r="G49" i="9" s="1"/>
  <c r="O49" i="9" s="1"/>
  <c r="X47" i="9"/>
  <c r="E48" i="9"/>
  <c r="J48" i="9"/>
  <c r="M49" i="9" l="1"/>
  <c r="K49" i="9"/>
  <c r="L49" i="9"/>
  <c r="C50" i="9"/>
  <c r="S48" i="9"/>
  <c r="Q48" i="9"/>
  <c r="H49" i="9"/>
  <c r="V48" i="9"/>
  <c r="D49" i="9"/>
  <c r="F49" i="9" l="1"/>
  <c r="W48" i="9"/>
  <c r="U49" i="9"/>
  <c r="R49" i="9"/>
  <c r="J49" i="9"/>
  <c r="I49" i="9"/>
  <c r="T49" i="9" s="1"/>
  <c r="P49" i="9"/>
  <c r="E49" i="9"/>
  <c r="X48" i="9" l="1"/>
  <c r="N49" i="9"/>
  <c r="G50" i="9" s="1"/>
  <c r="O50" i="9" s="1"/>
  <c r="S49" i="9"/>
  <c r="Q49" i="9"/>
  <c r="V49" i="9"/>
  <c r="M50" i="9" l="1"/>
  <c r="K50" i="9"/>
  <c r="L50" i="9"/>
  <c r="C51" i="9"/>
  <c r="H50" i="9"/>
  <c r="I50" i="9"/>
  <c r="T50" i="9" s="1"/>
  <c r="R50" i="9"/>
  <c r="P50" i="9"/>
  <c r="U50" i="9"/>
  <c r="W49" i="9"/>
  <c r="F50" i="9" l="1"/>
  <c r="D50" i="9"/>
  <c r="N50" i="9" l="1"/>
  <c r="X49" i="9"/>
  <c r="E50" i="9"/>
  <c r="J50" i="9"/>
  <c r="Q50" i="9" s="1"/>
  <c r="G51" i="9" l="1"/>
  <c r="O51" i="9" s="1"/>
  <c r="S50" i="9"/>
  <c r="V50" i="9"/>
  <c r="M51" i="9" l="1"/>
  <c r="K51" i="9"/>
  <c r="L51" i="9"/>
  <c r="C52" i="9"/>
  <c r="R51" i="9"/>
  <c r="H51" i="9"/>
  <c r="I51" i="9"/>
  <c r="T51" i="9" s="1"/>
  <c r="W50" i="9"/>
  <c r="P51" i="9"/>
  <c r="U51" i="9"/>
  <c r="F51" i="9"/>
  <c r="D51" i="9"/>
  <c r="E51" i="9" s="1"/>
  <c r="N51" i="9" l="1"/>
  <c r="G52" i="9" s="1"/>
  <c r="O52" i="9" s="1"/>
  <c r="X50" i="9"/>
  <c r="J51" i="9"/>
  <c r="M52" i="9" l="1"/>
  <c r="K52" i="9"/>
  <c r="L52" i="9"/>
  <c r="C53" i="9"/>
  <c r="S51" i="9"/>
  <c r="Q51" i="9"/>
  <c r="H52" i="9"/>
  <c r="U52" i="9"/>
  <c r="V51" i="9"/>
  <c r="R52" i="9"/>
  <c r="P52" i="9"/>
  <c r="I52" i="9"/>
  <c r="T52" i="9" l="1"/>
  <c r="W51" i="9"/>
  <c r="F52" i="9"/>
  <c r="N52" i="9" s="1"/>
  <c r="D52" i="9"/>
  <c r="X51" i="9" l="1"/>
  <c r="E52" i="9"/>
  <c r="G53" i="9" s="1"/>
  <c r="J52" i="9"/>
  <c r="O53" i="9" l="1"/>
  <c r="L53" i="9"/>
  <c r="M53" i="9"/>
  <c r="C54" i="9"/>
  <c r="S52" i="9"/>
  <c r="Q52" i="9"/>
  <c r="H53" i="9"/>
  <c r="U53" i="9"/>
  <c r="V52" i="9"/>
  <c r="F53" i="9"/>
  <c r="N53" i="9" s="1"/>
  <c r="R53" i="9"/>
  <c r="P53" i="9"/>
  <c r="I53" i="9"/>
  <c r="X52" i="9" l="1"/>
  <c r="W52" i="9"/>
  <c r="T53" i="9"/>
  <c r="D53" i="9"/>
  <c r="K53" i="9" s="1"/>
  <c r="E53" i="9" l="1"/>
  <c r="G54" i="9" s="1"/>
  <c r="O54" i="9" s="1"/>
  <c r="J53" i="9"/>
  <c r="Q53" i="9" s="1"/>
  <c r="M54" i="9" l="1"/>
  <c r="N54" i="9"/>
  <c r="C55" i="9"/>
  <c r="D54" i="9"/>
  <c r="K54" i="9" s="1"/>
  <c r="S53" i="9"/>
  <c r="V53" i="9"/>
  <c r="E54" i="9" l="1"/>
  <c r="F54" i="9"/>
  <c r="W53" i="9"/>
  <c r="H54" i="9"/>
  <c r="U54" i="9"/>
  <c r="I54" i="9"/>
  <c r="T54" i="9" s="1"/>
  <c r="P54" i="9"/>
  <c r="R54" i="9"/>
  <c r="X53" i="9" l="1"/>
  <c r="L54" i="9"/>
  <c r="J54" i="9"/>
  <c r="S54" i="9" s="1"/>
  <c r="G55" i="9" l="1"/>
  <c r="O55" i="9" s="1"/>
  <c r="V54" i="9"/>
  <c r="Q54" i="9"/>
  <c r="P55" i="9" l="1"/>
  <c r="R55" i="9"/>
  <c r="U55" i="9"/>
  <c r="H55" i="9"/>
  <c r="W54" i="9"/>
  <c r="M55" i="9"/>
  <c r="N55" i="9"/>
  <c r="I55" i="9"/>
  <c r="T55" i="9" s="1"/>
  <c r="C56" i="9"/>
  <c r="F55" i="9"/>
  <c r="D55" i="9"/>
  <c r="K55" i="9" s="1"/>
  <c r="X54" i="9" l="1"/>
  <c r="E55" i="9"/>
  <c r="L55" i="9" s="1"/>
  <c r="J55" i="9"/>
  <c r="S55" i="9" l="1"/>
  <c r="Q55" i="9"/>
  <c r="G56" i="9"/>
  <c r="O56" i="9" s="1"/>
  <c r="V55" i="9"/>
  <c r="M56" i="9" l="1"/>
  <c r="K56" i="9"/>
  <c r="R56" i="9"/>
  <c r="C57" i="9"/>
  <c r="I56" i="9"/>
  <c r="T56" i="9" s="1"/>
  <c r="P56" i="9"/>
  <c r="H56" i="9"/>
  <c r="U56" i="9"/>
  <c r="W55" i="9"/>
  <c r="F56" i="9" l="1"/>
  <c r="D56" i="9"/>
  <c r="N56" i="9" l="1"/>
  <c r="X55" i="9"/>
  <c r="E56" i="9"/>
  <c r="L56" i="9" s="1"/>
  <c r="J56" i="9"/>
  <c r="Q56" i="9" l="1"/>
  <c r="S56" i="9"/>
  <c r="G57" i="9"/>
  <c r="O57" i="9" s="1"/>
  <c r="V56" i="9"/>
  <c r="M57" i="9" l="1"/>
  <c r="C58" i="9"/>
  <c r="L57" i="9"/>
  <c r="K57" i="9"/>
  <c r="H57" i="9"/>
  <c r="S57" i="9"/>
  <c r="I57" i="9"/>
  <c r="T57" i="9" s="1"/>
  <c r="P57" i="9"/>
  <c r="R57" i="9"/>
  <c r="W56" i="9"/>
  <c r="U57" i="9"/>
  <c r="F57" i="9" l="1"/>
  <c r="D57" i="9"/>
  <c r="N57" i="9" l="1"/>
  <c r="G58" i="9" s="1"/>
  <c r="O58" i="9" s="1"/>
  <c r="X56" i="9"/>
  <c r="E57" i="9"/>
  <c r="J57" i="9"/>
  <c r="Q57" i="9" s="1"/>
  <c r="M58" i="9" l="1"/>
  <c r="K58" i="9"/>
  <c r="L58" i="9"/>
  <c r="C59" i="9"/>
  <c r="V57" i="9"/>
  <c r="R58" i="9" l="1"/>
  <c r="H58" i="9"/>
  <c r="P58" i="9"/>
  <c r="U58" i="9"/>
  <c r="I58" i="9"/>
  <c r="T58" i="9" s="1"/>
  <c r="W57" i="9"/>
  <c r="F58" i="9"/>
  <c r="D58" i="9"/>
  <c r="X57" i="9" l="1"/>
  <c r="N58" i="9"/>
  <c r="E58" i="9"/>
  <c r="D59" i="9"/>
  <c r="E59" i="9" s="1"/>
  <c r="J58" i="9"/>
  <c r="G59" i="9" l="1"/>
  <c r="O59" i="9" s="1"/>
  <c r="S58" i="9"/>
  <c r="Q58" i="9"/>
  <c r="F59" i="9"/>
  <c r="V58" i="9"/>
  <c r="X58" i="9" l="1"/>
  <c r="I59" i="9"/>
  <c r="N59" i="9" s="1"/>
  <c r="R59" i="9"/>
  <c r="U59" i="9"/>
  <c r="C60" i="9"/>
  <c r="L59" i="9"/>
  <c r="K59" i="9"/>
  <c r="M59" i="9"/>
  <c r="P59" i="9"/>
  <c r="H59" i="9"/>
  <c r="W58" i="9"/>
  <c r="T59" i="9"/>
  <c r="J59" i="9" l="1"/>
  <c r="Q59" i="9" s="1"/>
  <c r="G60" i="9"/>
  <c r="O60" i="9" s="1"/>
  <c r="M60" i="9" l="1"/>
  <c r="K60" i="9"/>
  <c r="L60" i="9"/>
  <c r="C61" i="9"/>
  <c r="H60" i="9"/>
  <c r="U60" i="9"/>
  <c r="P60" i="9"/>
  <c r="I60" i="9"/>
  <c r="T60" i="9" s="1"/>
  <c r="V59" i="9"/>
  <c r="S59" i="9"/>
  <c r="R60" i="9"/>
  <c r="D60" i="9"/>
  <c r="F60" i="9"/>
  <c r="X59" i="9" l="1"/>
  <c r="N60" i="9"/>
  <c r="W59" i="9"/>
  <c r="E60" i="9"/>
  <c r="J60" i="9"/>
  <c r="V60" i="9" l="1"/>
  <c r="Q60" i="9"/>
  <c r="G61" i="9"/>
  <c r="O61" i="9" s="1"/>
  <c r="S60" i="9"/>
  <c r="M61" i="9" l="1"/>
  <c r="K61" i="9"/>
  <c r="L61" i="9"/>
  <c r="C62" i="9"/>
  <c r="H61" i="9"/>
  <c r="U61" i="9"/>
  <c r="W60" i="9"/>
  <c r="P61" i="9"/>
  <c r="I61" i="9"/>
  <c r="R61" i="9"/>
  <c r="T61" i="9"/>
  <c r="F61" i="9" l="1"/>
  <c r="N61" i="9" s="1"/>
  <c r="D61" i="9"/>
  <c r="X60" i="9" l="1"/>
  <c r="J61" i="9"/>
  <c r="E61" i="9"/>
  <c r="V61" i="9" l="1"/>
  <c r="Q61" i="9"/>
  <c r="G62" i="9"/>
  <c r="S61" i="9"/>
  <c r="O62" i="9" l="1"/>
  <c r="L62" i="9"/>
  <c r="M62" i="9"/>
  <c r="C63" i="9"/>
  <c r="H62" i="9"/>
  <c r="W61" i="9"/>
  <c r="U62" i="9"/>
  <c r="R62" i="9"/>
  <c r="I62" i="9"/>
  <c r="T62" i="9" s="1"/>
  <c r="P62" i="9"/>
  <c r="F62" i="9" l="1"/>
  <c r="N62" i="9" s="1"/>
  <c r="D62" i="9"/>
  <c r="K62" i="9" s="1"/>
  <c r="X61" i="9" l="1"/>
  <c r="E62" i="9"/>
  <c r="G63" i="9" s="1"/>
  <c r="O63" i="9" s="1"/>
  <c r="J62" i="9"/>
  <c r="M63" i="9" l="1"/>
  <c r="N63" i="9"/>
  <c r="S62" i="9"/>
  <c r="Q62" i="9"/>
  <c r="C64" i="9"/>
  <c r="H63" i="9"/>
  <c r="U63" i="9"/>
  <c r="R63" i="9"/>
  <c r="V62" i="9"/>
  <c r="P63" i="9"/>
  <c r="I63" i="9"/>
  <c r="T63" i="9" l="1"/>
  <c r="W62" i="9"/>
  <c r="F63" i="9"/>
  <c r="D63" i="9"/>
  <c r="K63" i="9" s="1"/>
  <c r="X62" i="9" l="1"/>
  <c r="E63" i="9"/>
  <c r="L63" i="9" s="1"/>
  <c r="J63" i="9"/>
  <c r="G64" i="9" l="1"/>
  <c r="O64" i="9" s="1"/>
  <c r="S63" i="9"/>
  <c r="Q63" i="9"/>
  <c r="V63" i="9"/>
  <c r="M64" i="9" l="1"/>
  <c r="N64" i="9"/>
  <c r="C65" i="9"/>
  <c r="H64" i="9"/>
  <c r="U64" i="9"/>
  <c r="W63" i="9"/>
  <c r="R64" i="9"/>
  <c r="P64" i="9"/>
  <c r="I64" i="9"/>
  <c r="T64" i="9" s="1"/>
  <c r="D64" i="9" l="1"/>
  <c r="K64" i="9" s="1"/>
  <c r="F64" i="9"/>
  <c r="X63" i="9" l="1"/>
  <c r="E64" i="9"/>
  <c r="J64" i="9"/>
  <c r="Q64" i="9" s="1"/>
  <c r="L64" i="9" l="1"/>
  <c r="G65" i="9" s="1"/>
  <c r="D65" i="9"/>
  <c r="S64" i="9"/>
  <c r="V64" i="9"/>
  <c r="F65" i="9"/>
  <c r="O65" i="9" l="1"/>
  <c r="C66" i="9"/>
  <c r="M65" i="9"/>
  <c r="K65" i="9"/>
  <c r="X64" i="9"/>
  <c r="E65" i="9"/>
  <c r="L65" i="9" s="1"/>
  <c r="W64" i="9"/>
  <c r="H65" i="9"/>
  <c r="U65" i="9"/>
  <c r="R65" i="9"/>
  <c r="P65" i="9"/>
  <c r="I65" i="9"/>
  <c r="N65" i="9" s="1"/>
  <c r="G66" i="9" l="1"/>
  <c r="O66" i="9" s="1"/>
  <c r="T65" i="9"/>
  <c r="J65" i="9"/>
  <c r="M66" i="9" l="1"/>
  <c r="K66" i="9"/>
  <c r="L66" i="9"/>
  <c r="C67" i="9"/>
  <c r="S65" i="9"/>
  <c r="Q65" i="9"/>
  <c r="H66" i="9"/>
  <c r="U66" i="9"/>
  <c r="R66" i="9"/>
  <c r="I66" i="9"/>
  <c r="P66" i="9"/>
  <c r="D66" i="9"/>
  <c r="V65" i="9"/>
  <c r="F66" i="9" l="1"/>
  <c r="E66" i="9"/>
  <c r="T66" i="9"/>
  <c r="J66" i="9"/>
  <c r="Q66" i="9" s="1"/>
  <c r="W65" i="9"/>
  <c r="N66" i="9" l="1"/>
  <c r="G67" i="9" s="1"/>
  <c r="O67" i="9" s="1"/>
  <c r="X65" i="9"/>
  <c r="S66" i="9"/>
  <c r="V66" i="9"/>
  <c r="M67" i="9" l="1"/>
  <c r="K67" i="9"/>
  <c r="L67" i="9"/>
  <c r="C68" i="9"/>
  <c r="W66" i="9"/>
  <c r="I67" i="9"/>
  <c r="T67" i="9" s="1"/>
  <c r="S67" i="9"/>
  <c r="H67" i="9"/>
  <c r="P67" i="9"/>
  <c r="U67" i="9"/>
  <c r="R67" i="9"/>
  <c r="F67" i="9"/>
  <c r="N67" i="9" s="1"/>
  <c r="D67" i="9"/>
  <c r="X66" i="9" l="1"/>
  <c r="E67" i="9"/>
  <c r="J67" i="9"/>
  <c r="Q67" i="9" s="1"/>
  <c r="G68" i="9" l="1"/>
  <c r="V67" i="9"/>
  <c r="O68" i="9" l="1"/>
  <c r="L68" i="9"/>
  <c r="M68" i="9"/>
  <c r="C69" i="9"/>
  <c r="H68" i="9"/>
  <c r="R68" i="9"/>
  <c r="P68" i="9"/>
  <c r="U68" i="9"/>
  <c r="I68" i="9"/>
  <c r="S68" i="9"/>
  <c r="D68" i="9"/>
  <c r="K68" i="9" s="1"/>
  <c r="W67" i="9"/>
  <c r="T68" i="9" l="1"/>
  <c r="F68" i="9"/>
  <c r="N68" i="9" s="1"/>
  <c r="E68" i="9"/>
  <c r="J68" i="9"/>
  <c r="Q68" i="9" s="1"/>
  <c r="X67" i="9" l="1"/>
  <c r="G69" i="9"/>
  <c r="O69" i="9" s="1"/>
  <c r="V68" i="9"/>
  <c r="M69" i="9" l="1"/>
  <c r="N69" i="9"/>
  <c r="C70" i="9"/>
  <c r="I69" i="9"/>
  <c r="T69" i="9" s="1"/>
  <c r="R69" i="9"/>
  <c r="P69" i="9"/>
  <c r="U69" i="9"/>
  <c r="H69" i="9"/>
  <c r="W68" i="9"/>
  <c r="D69" i="9"/>
  <c r="K69" i="9" s="1"/>
  <c r="F69" i="9"/>
  <c r="X68" i="9" l="1"/>
  <c r="E69" i="9"/>
  <c r="L69" i="9" s="1"/>
  <c r="J69" i="9"/>
  <c r="Q69" i="9" s="1"/>
  <c r="G70" i="9" l="1"/>
  <c r="O70" i="9" s="1"/>
  <c r="S69" i="9"/>
  <c r="V69" i="9"/>
  <c r="I70" i="9" l="1"/>
  <c r="P70" i="9"/>
  <c r="H70" i="9"/>
  <c r="M70" i="9"/>
  <c r="N70" i="9"/>
  <c r="C71" i="9"/>
  <c r="R70" i="9"/>
  <c r="T70" i="9"/>
  <c r="U70" i="9"/>
  <c r="W69" i="9"/>
  <c r="F70" i="9"/>
  <c r="D70" i="9"/>
  <c r="K70" i="9" s="1"/>
  <c r="X69" i="9" l="1"/>
  <c r="E70" i="9"/>
  <c r="L70" i="9" s="1"/>
  <c r="J70" i="9"/>
  <c r="V70" i="9" l="1"/>
  <c r="Q70" i="9"/>
  <c r="G71" i="9"/>
  <c r="O71" i="9" s="1"/>
  <c r="F71" i="9"/>
  <c r="S70" i="9"/>
  <c r="X70" i="9" l="1"/>
  <c r="M71" i="9"/>
  <c r="K71" i="9"/>
  <c r="C72" i="9"/>
  <c r="P71" i="9"/>
  <c r="I71" i="9"/>
  <c r="T71" i="9" s="1"/>
  <c r="R71" i="9"/>
  <c r="U71" i="9"/>
  <c r="H71" i="9"/>
  <c r="D71" i="9"/>
  <c r="W70" i="9"/>
  <c r="N71" i="9" l="1"/>
  <c r="E71" i="9"/>
  <c r="L71" i="9" s="1"/>
  <c r="J71" i="9"/>
  <c r="G72" i="9" l="1"/>
  <c r="O72" i="9" s="1"/>
  <c r="V71" i="9"/>
  <c r="Q71" i="9"/>
  <c r="S71" i="9"/>
  <c r="F72" i="9"/>
  <c r="D72" i="9"/>
  <c r="E72" i="9" s="1"/>
  <c r="X71" i="9" l="1"/>
  <c r="P72" i="9"/>
  <c r="R72" i="9"/>
  <c r="H72" i="9"/>
  <c r="J72" i="9" s="1"/>
  <c r="I72" i="9"/>
  <c r="T72" i="9" s="1"/>
  <c r="U72" i="9"/>
  <c r="C73" i="9"/>
  <c r="L72" i="9"/>
  <c r="K72" i="9"/>
  <c r="M72" i="9"/>
  <c r="W71" i="9"/>
  <c r="N72" i="9" l="1"/>
  <c r="G73" i="9" s="1"/>
  <c r="O73" i="9" s="1"/>
  <c r="S72" i="9"/>
  <c r="Q72" i="9"/>
  <c r="V72" i="9"/>
  <c r="M73" i="9" l="1"/>
  <c r="K73" i="9"/>
  <c r="L73" i="9"/>
  <c r="P73" i="9"/>
  <c r="H73" i="9"/>
  <c r="C74" i="9"/>
  <c r="I73" i="9"/>
  <c r="T73" i="9" s="1"/>
  <c r="R73" i="9"/>
  <c r="U73" i="9"/>
  <c r="W72" i="9"/>
  <c r="F73" i="9"/>
  <c r="N73" i="9" s="1"/>
  <c r="D73" i="9"/>
  <c r="X72" i="9" l="1"/>
  <c r="G74" i="9"/>
  <c r="E73" i="9"/>
  <c r="J73" i="9"/>
  <c r="Q73" i="9" s="1"/>
  <c r="O74" i="9" l="1"/>
  <c r="L74" i="9"/>
  <c r="M74" i="9"/>
  <c r="C75" i="9"/>
  <c r="U74" i="9"/>
  <c r="S73" i="9"/>
  <c r="V73" i="9"/>
  <c r="S74" i="9"/>
  <c r="R74" i="9"/>
  <c r="P74" i="9"/>
  <c r="I74" i="9"/>
  <c r="T74" i="9" s="1"/>
  <c r="H74" i="9" l="1"/>
  <c r="W73" i="9"/>
  <c r="F74" i="9" l="1"/>
  <c r="N74" i="9" s="1"/>
  <c r="D74" i="9"/>
  <c r="K74" i="9" s="1"/>
  <c r="X73" i="9" l="1"/>
  <c r="G75" i="9"/>
  <c r="O75" i="9" s="1"/>
  <c r="E74" i="9"/>
  <c r="J74" i="9"/>
  <c r="Q74" i="9" s="1"/>
  <c r="M75" i="9" l="1"/>
  <c r="N75" i="9"/>
  <c r="C76" i="9"/>
  <c r="V74" i="9"/>
  <c r="W74" i="9" l="1"/>
  <c r="F75" i="9"/>
  <c r="D75" i="9"/>
  <c r="K75" i="9" s="1"/>
  <c r="X74" i="9" l="1"/>
  <c r="E75" i="9"/>
  <c r="H75" i="9"/>
  <c r="J75" i="9" s="1"/>
  <c r="Q75" i="9" s="1"/>
  <c r="P75" i="9"/>
  <c r="U75" i="9"/>
  <c r="I75" i="9"/>
  <c r="T75" i="9" s="1"/>
  <c r="R75" i="9"/>
  <c r="L75" i="9" l="1"/>
  <c r="G76" i="9" s="1"/>
  <c r="O76" i="9" s="1"/>
  <c r="S75" i="9"/>
  <c r="V75" i="9"/>
  <c r="M76" i="9" l="1"/>
  <c r="N76" i="9"/>
  <c r="C77" i="9"/>
  <c r="W75" i="9"/>
  <c r="F76" i="9"/>
  <c r="D76" i="9"/>
  <c r="K76" i="9" s="1"/>
  <c r="X75" i="9" l="1"/>
  <c r="H76" i="9"/>
  <c r="J76" i="9" s="1"/>
  <c r="Q76" i="9" s="1"/>
  <c r="R76" i="9"/>
  <c r="P76" i="9"/>
  <c r="I76" i="9"/>
  <c r="T76" i="9" s="1"/>
  <c r="U76" i="9"/>
  <c r="E76" i="9"/>
  <c r="L76" i="9" l="1"/>
  <c r="G77" i="9" s="1"/>
  <c r="D77" i="9"/>
  <c r="E77" i="9" s="1"/>
  <c r="S76" i="9"/>
  <c r="V76" i="9"/>
  <c r="O77" i="9" l="1"/>
  <c r="R77" i="9"/>
  <c r="M77" i="9"/>
  <c r="N77" i="9"/>
  <c r="K77" i="9"/>
  <c r="C78" i="9"/>
  <c r="I77" i="9"/>
  <c r="P77" i="9"/>
  <c r="T77" i="9"/>
  <c r="H77" i="9"/>
  <c r="L77" i="9" s="1"/>
  <c r="U77" i="9"/>
  <c r="F77" i="9"/>
  <c r="W76" i="9"/>
  <c r="X76" i="9" l="1"/>
  <c r="J77" i="9"/>
  <c r="G78" i="9"/>
  <c r="O78" i="9" s="1"/>
  <c r="M78" i="9" l="1"/>
  <c r="K78" i="9"/>
  <c r="C79" i="9"/>
  <c r="V77" i="9"/>
  <c r="Q77" i="9"/>
  <c r="S77" i="9"/>
  <c r="I78" i="9"/>
  <c r="F78" i="9"/>
  <c r="D78" i="9"/>
  <c r="E78" i="9" s="1"/>
  <c r="X77" i="9" l="1"/>
  <c r="N78" i="9"/>
  <c r="W77" i="9"/>
  <c r="T78" i="9"/>
  <c r="P78" i="9"/>
  <c r="R78" i="9"/>
  <c r="U78" i="9"/>
  <c r="H78" i="9"/>
  <c r="J78" i="9" s="1"/>
  <c r="L78" i="9" l="1"/>
  <c r="G79" i="9" s="1"/>
  <c r="O79" i="9" s="1"/>
  <c r="V78" i="9"/>
  <c r="Q78" i="9"/>
  <c r="S78" i="9"/>
  <c r="M79" i="9" l="1"/>
  <c r="K79" i="9"/>
  <c r="L79" i="9"/>
  <c r="C80" i="9"/>
  <c r="H79" i="9"/>
  <c r="I79" i="9"/>
  <c r="T79" i="9" s="1"/>
  <c r="R79" i="9"/>
  <c r="P79" i="9"/>
  <c r="U79" i="9"/>
  <c r="W78" i="9"/>
  <c r="F79" i="9" l="1"/>
  <c r="D79" i="9"/>
  <c r="N79" i="9" l="1"/>
  <c r="X78" i="9"/>
  <c r="E79" i="9"/>
  <c r="J79" i="9"/>
  <c r="Q79" i="9" s="1"/>
  <c r="G80" i="9" l="1"/>
  <c r="O80" i="9" s="1"/>
  <c r="S79" i="9"/>
  <c r="V79" i="9"/>
  <c r="I80" i="9" l="1"/>
  <c r="T80" i="9" s="1"/>
  <c r="C81" i="9"/>
  <c r="L80" i="9"/>
  <c r="K80" i="9"/>
  <c r="M80" i="9"/>
  <c r="R80" i="9"/>
  <c r="P80" i="9"/>
  <c r="H80" i="9"/>
  <c r="U80" i="9"/>
  <c r="W79" i="9"/>
  <c r="D80" i="9"/>
  <c r="F80" i="9"/>
  <c r="N80" i="9" l="1"/>
  <c r="G81" i="9" s="1"/>
  <c r="O81" i="9" s="1"/>
  <c r="X79" i="9"/>
  <c r="E80" i="9"/>
  <c r="J80" i="9"/>
  <c r="M81" i="9" l="1"/>
  <c r="K81" i="9"/>
  <c r="L81" i="9"/>
  <c r="C82" i="9"/>
  <c r="S80" i="9"/>
  <c r="Q80" i="9"/>
  <c r="V80" i="9"/>
  <c r="I81" i="9"/>
  <c r="T81" i="9" s="1"/>
  <c r="U81" i="9" l="1"/>
  <c r="P81" i="9"/>
  <c r="R81" i="9"/>
  <c r="H81" i="9"/>
  <c r="W80" i="9"/>
  <c r="F81" i="9" l="1"/>
  <c r="N81" i="9" s="1"/>
  <c r="D81" i="9"/>
  <c r="X80" i="9" l="1"/>
  <c r="E81" i="9"/>
  <c r="J81" i="9"/>
  <c r="S81" i="9" l="1"/>
  <c r="Q81" i="9"/>
  <c r="G82" i="9"/>
  <c r="V81" i="9"/>
  <c r="O82" i="9" l="1"/>
  <c r="L82" i="9"/>
  <c r="M82" i="9"/>
  <c r="C83" i="9"/>
  <c r="I82" i="9"/>
  <c r="T82" i="9" s="1"/>
  <c r="S82" i="9"/>
  <c r="H82" i="9"/>
  <c r="P82" i="9"/>
  <c r="R82" i="9"/>
  <c r="U82" i="9"/>
  <c r="W81" i="9"/>
  <c r="D82" i="9"/>
  <c r="K82" i="9" s="1"/>
  <c r="F82" i="9"/>
  <c r="N82" i="9" s="1"/>
  <c r="X81" i="9" l="1"/>
  <c r="G83" i="9"/>
  <c r="O83" i="9" s="1"/>
  <c r="E82" i="9"/>
  <c r="J82" i="9"/>
  <c r="Q82" i="9" s="1"/>
  <c r="M83" i="9" l="1"/>
  <c r="N83" i="9"/>
  <c r="C84" i="9"/>
  <c r="V82" i="9"/>
  <c r="D83" i="9" l="1"/>
  <c r="K83" i="9" s="1"/>
  <c r="F83" i="9"/>
  <c r="H83" i="9"/>
  <c r="I83" i="9"/>
  <c r="W82" i="9"/>
  <c r="U83" i="9"/>
  <c r="R83" i="9"/>
  <c r="P83" i="9"/>
  <c r="X82" i="9" l="1"/>
  <c r="J83" i="9"/>
  <c r="V83" i="9" s="1"/>
  <c r="E83" i="9"/>
  <c r="T83" i="9"/>
  <c r="S83" i="9" l="1"/>
  <c r="L83" i="9"/>
  <c r="G84" i="9" s="1"/>
  <c r="O84" i="9" s="1"/>
  <c r="Q83" i="9"/>
  <c r="D84" i="9"/>
  <c r="E84" i="9" s="1"/>
  <c r="F84" i="9"/>
  <c r="X83" i="9" l="1"/>
  <c r="W83" i="9"/>
  <c r="M84" i="9"/>
  <c r="N84" i="9"/>
  <c r="K84" i="9"/>
  <c r="I84" i="9"/>
  <c r="T84" i="9"/>
  <c r="P84" i="9"/>
  <c r="C85" i="9"/>
  <c r="H84" i="9"/>
  <c r="J84" i="9" s="1"/>
  <c r="U84" i="9"/>
  <c r="R84" i="9"/>
  <c r="L84" i="9" l="1"/>
  <c r="G85" i="9" s="1"/>
  <c r="O85" i="9" s="1"/>
  <c r="V84" i="9"/>
  <c r="Q84" i="9"/>
  <c r="S84" i="9"/>
  <c r="C86" i="9" l="1"/>
  <c r="K85" i="9"/>
  <c r="M85" i="9"/>
  <c r="H85" i="9"/>
  <c r="U85" i="9"/>
  <c r="W84" i="9"/>
  <c r="R85" i="9"/>
  <c r="I85" i="9"/>
  <c r="T85" i="9" s="1"/>
  <c r="P85" i="9"/>
  <c r="F85" i="9" l="1"/>
  <c r="D85" i="9"/>
  <c r="N85" i="9" l="1"/>
  <c r="X84" i="9"/>
  <c r="E85" i="9"/>
  <c r="L85" i="9" s="1"/>
  <c r="J85" i="9"/>
  <c r="V85" i="9" l="1"/>
  <c r="Q85" i="9"/>
  <c r="G86" i="9"/>
  <c r="O86" i="9" s="1"/>
  <c r="S85" i="9"/>
  <c r="M86" i="9" l="1"/>
  <c r="K86" i="9"/>
  <c r="L86" i="9"/>
  <c r="C87" i="9"/>
  <c r="I86" i="9"/>
  <c r="T86" i="9" s="1"/>
  <c r="P86" i="9"/>
  <c r="U86" i="9"/>
  <c r="R86" i="9"/>
  <c r="H86" i="9"/>
  <c r="W85" i="9"/>
  <c r="F86" i="9" l="1"/>
  <c r="N86" i="9" s="1"/>
  <c r="D86" i="9"/>
  <c r="X85" i="9" l="1"/>
  <c r="E86" i="9"/>
  <c r="J86" i="9"/>
  <c r="Q86" i="9" s="1"/>
  <c r="G87" i="9" l="1"/>
  <c r="S86" i="9"/>
  <c r="V86" i="9"/>
  <c r="O87" i="9" l="1"/>
  <c r="L87" i="9"/>
  <c r="M87" i="9"/>
  <c r="C88" i="9"/>
  <c r="I87" i="9"/>
  <c r="H87" i="9"/>
  <c r="T87" i="9"/>
  <c r="R87" i="9"/>
  <c r="P87" i="9"/>
  <c r="U87" i="9"/>
  <c r="W86" i="9"/>
  <c r="D87" i="9"/>
  <c r="K87" i="9" s="1"/>
  <c r="F87" i="9"/>
  <c r="N87" i="9" s="1"/>
  <c r="X86" i="9" l="1"/>
  <c r="E87" i="9"/>
  <c r="G88" i="9"/>
  <c r="O88" i="9" s="1"/>
  <c r="J87" i="9"/>
  <c r="M88" i="9" l="1"/>
  <c r="N88" i="9"/>
  <c r="C89" i="9"/>
  <c r="S87" i="9"/>
  <c r="Q87" i="9"/>
  <c r="V87" i="9"/>
  <c r="H88" i="9" l="1"/>
  <c r="U88" i="9"/>
  <c r="W87" i="9"/>
  <c r="R88" i="9"/>
  <c r="P88" i="9"/>
  <c r="I88" i="9"/>
  <c r="T88" i="9" s="1"/>
  <c r="F88" i="9" l="1"/>
  <c r="D88" i="9"/>
  <c r="K88" i="9" s="1"/>
  <c r="X87" i="9" l="1"/>
  <c r="E88" i="9"/>
  <c r="L88" i="9" s="1"/>
  <c r="J88" i="9"/>
  <c r="Q88" i="9" l="1"/>
  <c r="S88" i="9"/>
  <c r="G89" i="9"/>
  <c r="O89" i="9" s="1"/>
  <c r="F89" i="9"/>
  <c r="V88" i="9"/>
  <c r="D89" i="9"/>
  <c r="E89" i="9" s="1"/>
  <c r="X88" i="9" l="1"/>
  <c r="I89" i="9"/>
  <c r="M89" i="9"/>
  <c r="N89" i="9"/>
  <c r="K89" i="9"/>
  <c r="C90" i="9"/>
  <c r="W88" i="9"/>
  <c r="P89" i="9"/>
  <c r="R89" i="9"/>
  <c r="U89" i="9"/>
  <c r="H89" i="9"/>
  <c r="J89" i="9" s="1"/>
  <c r="T89" i="9"/>
  <c r="L89" i="9" l="1"/>
  <c r="G90" i="9" s="1"/>
  <c r="O90" i="9" s="1"/>
  <c r="S89" i="9"/>
  <c r="Q89" i="9"/>
  <c r="V89" i="9"/>
  <c r="M90" i="9" l="1"/>
  <c r="N90" i="9"/>
  <c r="K90" i="9"/>
  <c r="C91" i="9"/>
  <c r="I90" i="9"/>
  <c r="U90" i="9"/>
  <c r="P90" i="9"/>
  <c r="R90" i="9"/>
  <c r="H90" i="9"/>
  <c r="T90" i="9"/>
  <c r="W89" i="9"/>
  <c r="F90" i="9" l="1"/>
  <c r="D90" i="9"/>
  <c r="X89" i="9" l="1"/>
  <c r="J90" i="9"/>
  <c r="Q90" i="9" s="1"/>
  <c r="E90" i="9"/>
  <c r="L90" i="9" s="1"/>
  <c r="S90" i="9" l="1"/>
  <c r="V90" i="9"/>
  <c r="G91" i="9"/>
  <c r="O91" i="9" s="1"/>
  <c r="F91" i="9"/>
  <c r="W90" i="9" l="1"/>
  <c r="X90" i="9"/>
  <c r="M91" i="9"/>
  <c r="K91" i="9"/>
  <c r="C92" i="9"/>
  <c r="D91" i="9"/>
  <c r="H91" i="9"/>
  <c r="U91" i="9"/>
  <c r="P91" i="9"/>
  <c r="I91" i="9"/>
  <c r="T91" i="9" s="1"/>
  <c r="R91" i="9"/>
  <c r="J91" i="9" l="1"/>
  <c r="Q91" i="9" s="1"/>
  <c r="N91" i="9"/>
  <c r="E91" i="9"/>
  <c r="L91" i="9" s="1"/>
  <c r="S91" i="9"/>
  <c r="G92" i="9" l="1"/>
  <c r="O92" i="9" s="1"/>
  <c r="V91" i="9"/>
  <c r="W91" i="9" s="1"/>
  <c r="I92" i="9"/>
  <c r="T92" i="9" s="1"/>
  <c r="F92" i="9"/>
  <c r="D92" i="9"/>
  <c r="E92" i="9" s="1"/>
  <c r="U92" i="9" l="1"/>
  <c r="P92" i="9"/>
  <c r="R92" i="9"/>
  <c r="H92" i="9"/>
  <c r="J92" i="9" s="1"/>
  <c r="C93" i="9"/>
  <c r="L92" i="9"/>
  <c r="K92" i="9"/>
  <c r="M92" i="9"/>
  <c r="X91" i="9"/>
  <c r="N92" i="9"/>
  <c r="G93" i="9" l="1"/>
  <c r="O93" i="9" s="1"/>
  <c r="V92" i="9"/>
  <c r="Q92" i="9"/>
  <c r="S92" i="9"/>
  <c r="P93" i="9"/>
  <c r="I93" i="9" l="1"/>
  <c r="C94" i="9"/>
  <c r="M93" i="9"/>
  <c r="L93" i="9"/>
  <c r="K93" i="9"/>
  <c r="U93" i="9"/>
  <c r="R93" i="9"/>
  <c r="T93" i="9"/>
  <c r="H93" i="9"/>
  <c r="W92" i="9"/>
  <c r="F93" i="9" l="1"/>
  <c r="D93" i="9"/>
  <c r="N93" i="9" l="1"/>
  <c r="X92" i="9"/>
  <c r="J93" i="9"/>
  <c r="Q93" i="9" s="1"/>
  <c r="E93" i="9"/>
  <c r="G94" i="9" l="1"/>
  <c r="O94" i="9" s="1"/>
  <c r="S93" i="9"/>
  <c r="V93" i="9"/>
  <c r="M94" i="9" l="1"/>
  <c r="K94" i="9"/>
  <c r="L94" i="9"/>
  <c r="C95" i="9"/>
  <c r="W93" i="9"/>
  <c r="H94" i="9"/>
  <c r="P94" i="9"/>
  <c r="R94" i="9"/>
  <c r="I94" i="9"/>
  <c r="T94" i="9" s="1"/>
  <c r="U94" i="9"/>
  <c r="F94" i="9"/>
  <c r="D94" i="9"/>
  <c r="X93" i="9" l="1"/>
  <c r="N94" i="9"/>
  <c r="E94" i="9"/>
  <c r="J94" i="9"/>
  <c r="Q94" i="9" s="1"/>
  <c r="G95" i="9" l="1"/>
  <c r="O95" i="9" s="1"/>
  <c r="F95" i="9"/>
  <c r="D95" i="9"/>
  <c r="E95" i="9" s="1"/>
  <c r="S94" i="9"/>
  <c r="V94" i="9"/>
  <c r="X94" i="9" l="1"/>
  <c r="R95" i="9"/>
  <c r="P95" i="9"/>
  <c r="I95" i="9"/>
  <c r="T95" i="9" s="1"/>
  <c r="C96" i="9"/>
  <c r="L95" i="9"/>
  <c r="K95" i="9"/>
  <c r="M95" i="9"/>
  <c r="H95" i="9"/>
  <c r="J95" i="9" s="1"/>
  <c r="U95" i="9"/>
  <c r="W94" i="9"/>
  <c r="N95" i="9" l="1"/>
  <c r="G96" i="9" s="1"/>
  <c r="O96" i="9" s="1"/>
  <c r="S95" i="9"/>
  <c r="Q95" i="9"/>
  <c r="V95" i="9"/>
  <c r="M96" i="9" l="1"/>
  <c r="K96" i="9"/>
  <c r="L96" i="9"/>
  <c r="C97" i="9"/>
  <c r="W95" i="9"/>
  <c r="F96" i="9"/>
  <c r="D96" i="9"/>
  <c r="E96" i="9" s="1"/>
  <c r="X95" i="9" l="1"/>
  <c r="H96" i="9"/>
  <c r="J96" i="9" s="1"/>
  <c r="Q96" i="9" s="1"/>
  <c r="R96" i="9"/>
  <c r="P96" i="9"/>
  <c r="U96" i="9"/>
  <c r="I96" i="9"/>
  <c r="T96" i="9" s="1"/>
  <c r="N96" i="9" l="1"/>
  <c r="S96" i="9"/>
  <c r="V96" i="9"/>
  <c r="G97" i="9" l="1"/>
  <c r="H97" i="9" s="1"/>
  <c r="W96" i="9"/>
  <c r="P97" i="9" l="1"/>
  <c r="R97" i="9"/>
  <c r="I97" i="9"/>
  <c r="T97" i="9" s="1"/>
  <c r="U97" i="9"/>
  <c r="O97" i="9"/>
  <c r="M97" i="9"/>
  <c r="K97" i="9"/>
  <c r="L97" i="9"/>
  <c r="C98" i="9"/>
  <c r="F97" i="9"/>
  <c r="D97" i="9"/>
  <c r="N97" i="9" l="1"/>
  <c r="G98" i="9" s="1"/>
  <c r="X96" i="9"/>
  <c r="E97" i="9"/>
  <c r="J97" i="9"/>
  <c r="Q97" i="9" s="1"/>
  <c r="O98" i="9" l="1"/>
  <c r="L98" i="9"/>
  <c r="M98" i="9"/>
  <c r="H98" i="9"/>
  <c r="C99" i="9"/>
  <c r="S97" i="9"/>
  <c r="V97" i="9"/>
  <c r="R98" i="9" l="1"/>
  <c r="I98" i="9"/>
  <c r="P98" i="9"/>
  <c r="T98" i="9"/>
  <c r="U98" i="9"/>
  <c r="W97" i="9"/>
  <c r="F98" i="9"/>
  <c r="N98" i="9" s="1"/>
  <c r="D98" i="9"/>
  <c r="K98" i="9" s="1"/>
  <c r="X97" i="9" l="1"/>
  <c r="E98" i="9"/>
  <c r="G99" i="9" s="1"/>
  <c r="O99" i="9" s="1"/>
  <c r="J98" i="9"/>
  <c r="M99" i="9" l="1"/>
  <c r="N99" i="9"/>
  <c r="C100" i="9"/>
  <c r="V98" i="9"/>
  <c r="Q98" i="9"/>
  <c r="S98" i="9"/>
  <c r="P99" i="9"/>
  <c r="I99" i="9"/>
  <c r="R99" i="9" l="1"/>
  <c r="H99" i="9"/>
  <c r="U99" i="9"/>
  <c r="T99" i="9"/>
  <c r="W98" i="9"/>
  <c r="F99" i="9" l="1"/>
  <c r="D99" i="9"/>
  <c r="K99" i="9" s="1"/>
  <c r="X98" i="9" l="1"/>
  <c r="J99" i="9"/>
  <c r="E99" i="9"/>
  <c r="L99" i="9" s="1"/>
  <c r="V99" i="9" l="1"/>
  <c r="Q99" i="9"/>
  <c r="S99" i="9"/>
  <c r="G100" i="9"/>
  <c r="O100" i="9" s="1"/>
  <c r="M100" i="9" l="1"/>
  <c r="N100" i="9"/>
  <c r="C101" i="9"/>
  <c r="W99" i="9"/>
  <c r="H100" i="9"/>
  <c r="U100" i="9"/>
  <c r="F100" i="9"/>
  <c r="D100" i="9"/>
  <c r="K100" i="9" s="1"/>
  <c r="X99" i="9" l="1"/>
  <c r="R100" i="9"/>
  <c r="I100" i="9"/>
  <c r="T100" i="9"/>
  <c r="P100" i="9"/>
  <c r="E100" i="9"/>
  <c r="L100" i="9" s="1"/>
  <c r="J100" i="9"/>
  <c r="Q100" i="9" s="1"/>
  <c r="G101" i="9" l="1"/>
  <c r="O101" i="9" s="1"/>
  <c r="F101" i="9"/>
  <c r="D101" i="9"/>
  <c r="E101" i="9" s="1"/>
  <c r="S100" i="9"/>
  <c r="V100" i="9"/>
  <c r="I101" i="9"/>
  <c r="X100" i="9" l="1"/>
  <c r="P101" i="9"/>
  <c r="R101" i="9"/>
  <c r="T101" i="9"/>
  <c r="M101" i="9"/>
  <c r="N101" i="9"/>
  <c r="K101" i="9"/>
  <c r="C102" i="9"/>
  <c r="H101" i="9"/>
  <c r="J101" i="9" s="1"/>
  <c r="U101" i="9"/>
  <c r="W100" i="9"/>
  <c r="L101" i="9" l="1"/>
  <c r="G102" i="9" s="1"/>
  <c r="O102" i="9" s="1"/>
  <c r="S101" i="9"/>
  <c r="Q101" i="9"/>
  <c r="V101" i="9"/>
  <c r="M102" i="9" l="1"/>
  <c r="K102" i="9"/>
  <c r="L102" i="9"/>
  <c r="C103" i="9"/>
  <c r="W101" i="9"/>
  <c r="I102" i="9"/>
  <c r="T102" i="9" s="1"/>
  <c r="P102" i="9"/>
  <c r="F102" i="9"/>
  <c r="D102" i="9"/>
  <c r="E102" i="9" s="1"/>
  <c r="X101" i="9" l="1"/>
  <c r="N102" i="9"/>
  <c r="R102" i="9"/>
  <c r="U102" i="9"/>
  <c r="H102" i="9"/>
  <c r="G103" i="9" l="1"/>
  <c r="O103" i="9" s="1"/>
  <c r="J102" i="9"/>
  <c r="Q102" i="9" s="1"/>
  <c r="M103" i="9" l="1"/>
  <c r="K103" i="9"/>
  <c r="L103" i="9"/>
  <c r="C104" i="9"/>
  <c r="S102" i="9"/>
  <c r="H103" i="9"/>
  <c r="V102" i="9"/>
  <c r="U103" i="9"/>
  <c r="R103" i="9"/>
  <c r="P103" i="9"/>
  <c r="S103" i="9"/>
  <c r="I103" i="9"/>
  <c r="T103" i="9" s="1"/>
  <c r="W102" i="9" l="1"/>
  <c r="F103" i="9"/>
  <c r="D103" i="9"/>
  <c r="N103" i="9" l="1"/>
  <c r="G104" i="9" s="1"/>
  <c r="O104" i="9" s="1"/>
  <c r="X102" i="9"/>
  <c r="E103" i="9"/>
  <c r="J103" i="9"/>
  <c r="Q103" i="9" s="1"/>
  <c r="M104" i="9" l="1"/>
  <c r="K104" i="9"/>
  <c r="L104" i="9"/>
  <c r="C105" i="9"/>
  <c r="V103" i="9"/>
  <c r="P104" i="9" l="1"/>
  <c r="H104" i="9"/>
  <c r="I104" i="9"/>
  <c r="T104" i="9" s="1"/>
  <c r="S104" i="9"/>
  <c r="R104" i="9"/>
  <c r="W103" i="9"/>
  <c r="U104" i="9"/>
  <c r="F104" i="9" l="1"/>
  <c r="N104" i="9" s="1"/>
  <c r="D104" i="9"/>
  <c r="X103" i="9" l="1"/>
  <c r="G105" i="9"/>
  <c r="E104" i="9"/>
  <c r="J104" i="9"/>
  <c r="Q104" i="9" s="1"/>
  <c r="O105" i="9" l="1"/>
  <c r="L105" i="9"/>
  <c r="M105" i="9"/>
  <c r="C106" i="9"/>
  <c r="V104" i="9"/>
  <c r="H105" i="9" l="1"/>
  <c r="U105" i="9"/>
  <c r="W104" i="9"/>
  <c r="S105" i="9"/>
  <c r="R105" i="9"/>
  <c r="P105" i="9"/>
  <c r="I105" i="9"/>
  <c r="T105" i="9" s="1"/>
  <c r="D105" i="9" l="1"/>
  <c r="K105" i="9" s="1"/>
  <c r="F105" i="9"/>
  <c r="N105" i="9" s="1"/>
  <c r="X104" i="9" l="1"/>
  <c r="G106" i="9"/>
  <c r="O106" i="9" s="1"/>
  <c r="E105" i="9"/>
  <c r="J105" i="9"/>
  <c r="Q105" i="9" s="1"/>
  <c r="M106" i="9" l="1"/>
  <c r="N106" i="9"/>
  <c r="C107" i="9"/>
  <c r="V105" i="9"/>
  <c r="H106" i="9" l="1"/>
  <c r="W105" i="9"/>
  <c r="U106" i="9"/>
  <c r="R106" i="9"/>
  <c r="I106" i="9"/>
  <c r="T106" i="9" s="1"/>
  <c r="P106" i="9"/>
  <c r="D106" i="9" l="1"/>
  <c r="K106" i="9" s="1"/>
  <c r="F106" i="9"/>
  <c r="X105" i="9" l="1"/>
  <c r="E106" i="9"/>
  <c r="L106" i="9" s="1"/>
  <c r="J106" i="9"/>
  <c r="Q106" i="9" s="1"/>
  <c r="S106" i="9" l="1"/>
  <c r="F107" i="9"/>
  <c r="G107" i="9"/>
  <c r="O107" i="9" s="1"/>
  <c r="V106" i="9"/>
  <c r="X106" i="9" l="1"/>
  <c r="M107" i="9"/>
  <c r="N107" i="9"/>
  <c r="C108" i="9"/>
  <c r="H107" i="9"/>
  <c r="P107" i="9"/>
  <c r="I107" i="9"/>
  <c r="U107" i="9"/>
  <c r="W106" i="9"/>
  <c r="R107" i="9"/>
  <c r="D107" i="9"/>
  <c r="K107" i="9" s="1"/>
  <c r="T107" i="9" l="1"/>
  <c r="E107" i="9"/>
  <c r="J107" i="9"/>
  <c r="Q107" i="9" s="1"/>
  <c r="L107" i="9" l="1"/>
  <c r="G108" i="9" s="1"/>
  <c r="S107" i="9"/>
  <c r="V107" i="9"/>
  <c r="O108" i="9" l="1"/>
  <c r="H108" i="9"/>
  <c r="P108" i="9"/>
  <c r="C109" i="9"/>
  <c r="U108" i="9"/>
  <c r="I108" i="9"/>
  <c r="T108" i="9" s="1"/>
  <c r="M108" i="9"/>
  <c r="R108" i="9"/>
  <c r="K108" i="9"/>
  <c r="F108" i="9"/>
  <c r="W107" i="9"/>
  <c r="D108" i="9"/>
  <c r="N108" i="9" l="1"/>
  <c r="X107" i="9"/>
  <c r="E108" i="9"/>
  <c r="L108" i="9" s="1"/>
  <c r="J108" i="9"/>
  <c r="S108" i="9" l="1"/>
  <c r="Q108" i="9"/>
  <c r="G109" i="9"/>
  <c r="O109" i="9" s="1"/>
  <c r="V108" i="9"/>
  <c r="F109" i="9"/>
  <c r="D109" i="9"/>
  <c r="E109" i="9" s="1"/>
  <c r="X108" i="9" l="1"/>
  <c r="M109" i="9"/>
  <c r="K109" i="9"/>
  <c r="L109" i="9"/>
  <c r="C110" i="9"/>
  <c r="H109" i="9"/>
  <c r="J109" i="9" s="1"/>
  <c r="W108" i="9"/>
  <c r="U109" i="9"/>
  <c r="I109" i="9"/>
  <c r="N109" i="9" s="1"/>
  <c r="P109" i="9"/>
  <c r="R109" i="9"/>
  <c r="T109" i="9" l="1"/>
  <c r="V109" i="9"/>
  <c r="Q109" i="9"/>
  <c r="G110" i="9"/>
  <c r="O110" i="9" s="1"/>
  <c r="S109" i="9"/>
  <c r="M110" i="9" l="1"/>
  <c r="K110" i="9"/>
  <c r="L110" i="9"/>
  <c r="C111" i="9"/>
  <c r="I110" i="9"/>
  <c r="H110" i="9"/>
  <c r="P110" i="9"/>
  <c r="R110" i="9"/>
  <c r="T110" i="9"/>
  <c r="U110" i="9"/>
  <c r="W109" i="9"/>
  <c r="F110" i="9" l="1"/>
  <c r="N110" i="9" s="1"/>
  <c r="D110" i="9"/>
  <c r="X109" i="9" l="1"/>
  <c r="J110" i="9"/>
  <c r="Q110" i="9" s="1"/>
  <c r="E110" i="9"/>
  <c r="G111" i="9" l="1"/>
  <c r="S110" i="9"/>
  <c r="V110" i="9"/>
  <c r="O111" i="9" l="1"/>
  <c r="L111" i="9"/>
  <c r="M111" i="9"/>
  <c r="C112" i="9"/>
  <c r="H111" i="9"/>
  <c r="W110" i="9"/>
  <c r="U111" i="9"/>
  <c r="R111" i="9"/>
  <c r="P111" i="9"/>
  <c r="I111" i="9"/>
  <c r="T111" i="9" s="1"/>
  <c r="F111" i="9" l="1"/>
  <c r="N111" i="9" s="1"/>
  <c r="D111" i="9"/>
  <c r="K111" i="9" s="1"/>
  <c r="X110" i="9" l="1"/>
  <c r="E111" i="9"/>
  <c r="J111" i="9"/>
  <c r="S111" i="9" l="1"/>
  <c r="Q111" i="9"/>
  <c r="G112" i="9"/>
  <c r="O112" i="9" s="1"/>
  <c r="V111" i="9"/>
  <c r="M112" i="9" l="1"/>
  <c r="N112" i="9"/>
  <c r="C113" i="9"/>
  <c r="R112" i="9"/>
  <c r="I112" i="9"/>
  <c r="T112" i="9" s="1"/>
  <c r="U112" i="9"/>
  <c r="P112" i="9"/>
  <c r="H112" i="9"/>
  <c r="W111" i="9"/>
  <c r="F112" i="9"/>
  <c r="D112" i="9"/>
  <c r="K112" i="9" s="1"/>
  <c r="X111" i="9" l="1"/>
  <c r="E112" i="9"/>
  <c r="L112" i="9" s="1"/>
  <c r="J112" i="9"/>
  <c r="S112" i="9" l="1"/>
  <c r="Q112" i="9"/>
  <c r="G113" i="9"/>
  <c r="O113" i="9" s="1"/>
  <c r="F113" i="9"/>
  <c r="V112" i="9"/>
  <c r="D113" i="9"/>
  <c r="E113" i="9" s="1"/>
  <c r="X112" i="9" l="1"/>
  <c r="I113" i="9"/>
  <c r="M113" i="9"/>
  <c r="N113" i="9"/>
  <c r="K113" i="9"/>
  <c r="C114" i="9"/>
  <c r="U113" i="9"/>
  <c r="P113" i="9"/>
  <c r="R113" i="9"/>
  <c r="H113" i="9"/>
  <c r="L113" i="9" s="1"/>
  <c r="W112" i="9"/>
  <c r="T113" i="9"/>
  <c r="G114" i="9" l="1"/>
  <c r="O114" i="9" s="1"/>
  <c r="J113" i="9"/>
  <c r="Q113" i="9" s="1"/>
  <c r="M114" i="9" l="1"/>
  <c r="K114" i="9"/>
  <c r="C115" i="9"/>
  <c r="S113" i="9"/>
  <c r="H114" i="9"/>
  <c r="V113" i="9"/>
  <c r="U114" i="9"/>
  <c r="R114" i="9"/>
  <c r="P114" i="9"/>
  <c r="I114" i="9"/>
  <c r="T114" i="9" s="1"/>
  <c r="D114" i="9"/>
  <c r="E114" i="9" s="1"/>
  <c r="L114" i="9" s="1"/>
  <c r="F114" i="9"/>
  <c r="X113" i="9" l="1"/>
  <c r="N114" i="9"/>
  <c r="G115" i="9" s="1"/>
  <c r="O115" i="9" s="1"/>
  <c r="W113" i="9"/>
  <c r="J114" i="9"/>
  <c r="M115" i="9" l="1"/>
  <c r="K115" i="9"/>
  <c r="L115" i="9"/>
  <c r="C116" i="9"/>
  <c r="S114" i="9"/>
  <c r="Q114" i="9"/>
  <c r="V114" i="9"/>
  <c r="H115" i="9" l="1"/>
  <c r="W114" i="9"/>
  <c r="U115" i="9"/>
  <c r="S115" i="9"/>
  <c r="R115" i="9"/>
  <c r="I115" i="9"/>
  <c r="T115" i="9" s="1"/>
  <c r="P115" i="9"/>
  <c r="F115" i="9" l="1"/>
  <c r="D115" i="9"/>
  <c r="N115" i="9" l="1"/>
  <c r="G116" i="9" s="1"/>
  <c r="O116" i="9" s="1"/>
  <c r="X114" i="9"/>
  <c r="E115" i="9"/>
  <c r="J115" i="9"/>
  <c r="Q115" i="9" s="1"/>
  <c r="M116" i="9" l="1"/>
  <c r="K116" i="9"/>
  <c r="L116" i="9"/>
  <c r="C117" i="9"/>
  <c r="H116" i="9"/>
  <c r="V115" i="9"/>
  <c r="W115" i="9" s="1"/>
  <c r="U116" i="9"/>
  <c r="P116" i="9"/>
  <c r="R116" i="9"/>
  <c r="I116" i="9"/>
  <c r="T116" i="9" l="1"/>
  <c r="F116" i="9" l="1"/>
  <c r="D116" i="9"/>
  <c r="N116" i="9" l="1"/>
  <c r="X115" i="9"/>
  <c r="E116" i="9"/>
  <c r="J116" i="9"/>
  <c r="Q116" i="9" s="1"/>
  <c r="G117" i="9" l="1"/>
  <c r="O117" i="9" s="1"/>
  <c r="S116" i="9"/>
  <c r="V116" i="9"/>
  <c r="M117" i="9" l="1"/>
  <c r="K117" i="9"/>
  <c r="L117" i="9"/>
  <c r="C118" i="9"/>
  <c r="R117" i="9"/>
  <c r="H117" i="9"/>
  <c r="I117" i="9"/>
  <c r="T117" i="9" s="1"/>
  <c r="P117" i="9"/>
  <c r="U117" i="9"/>
  <c r="W116" i="9"/>
  <c r="F117" i="9"/>
  <c r="D117" i="9"/>
  <c r="X116" i="9" l="1"/>
  <c r="N117" i="9"/>
  <c r="E117" i="9"/>
  <c r="J117" i="9"/>
  <c r="G118" i="9" l="1"/>
  <c r="O118" i="9" s="1"/>
  <c r="V117" i="9"/>
  <c r="Q117" i="9"/>
  <c r="S117" i="9"/>
  <c r="C119" i="9" l="1"/>
  <c r="L118" i="9"/>
  <c r="K118" i="9"/>
  <c r="M118" i="9"/>
  <c r="H118" i="9"/>
  <c r="U118" i="9"/>
  <c r="W117" i="9"/>
  <c r="R118" i="9"/>
  <c r="T118" i="9"/>
  <c r="I118" i="9"/>
  <c r="P118" i="9"/>
  <c r="F118" i="9" l="1"/>
  <c r="N118" i="9" s="1"/>
  <c r="D118" i="9"/>
  <c r="X117" i="9" l="1"/>
  <c r="E118" i="9"/>
  <c r="J118" i="9"/>
  <c r="V118" i="9" l="1"/>
  <c r="Q118" i="9"/>
  <c r="G119" i="9"/>
  <c r="S118" i="9"/>
  <c r="O119" i="9" l="1"/>
  <c r="L119" i="9"/>
  <c r="M119" i="9"/>
  <c r="C120" i="9"/>
  <c r="R119" i="9"/>
  <c r="U119" i="9"/>
  <c r="I119" i="9"/>
  <c r="T119" i="9" s="1"/>
  <c r="P119" i="9"/>
  <c r="F119" i="9"/>
  <c r="N119" i="9" s="1"/>
  <c r="H119" i="9"/>
  <c r="W118" i="9"/>
  <c r="X118" i="9" l="1"/>
  <c r="D119" i="9"/>
  <c r="K119" i="9" s="1"/>
  <c r="E119" i="9" l="1"/>
  <c r="G120" i="9" s="1"/>
  <c r="O120" i="9" s="1"/>
  <c r="J119" i="9"/>
  <c r="Q119" i="9" s="1"/>
  <c r="M120" i="9" l="1"/>
  <c r="N120" i="9"/>
  <c r="U120" i="9"/>
  <c r="S119" i="9"/>
  <c r="I120" i="9"/>
  <c r="H120" i="9"/>
  <c r="C121" i="9"/>
  <c r="P120" i="9"/>
  <c r="R120" i="9"/>
  <c r="V119" i="9"/>
  <c r="D120" i="9"/>
  <c r="K120" i="9" s="1"/>
  <c r="W119" i="9" l="1"/>
  <c r="J120" i="9"/>
  <c r="F120" i="9"/>
  <c r="T120" i="9"/>
  <c r="E120" i="9"/>
  <c r="L120" i="9" s="1"/>
  <c r="X119" i="9" l="1"/>
  <c r="S120" i="9"/>
  <c r="Q120" i="9"/>
  <c r="V120" i="9"/>
  <c r="G121" i="9"/>
  <c r="O121" i="9" s="1"/>
  <c r="M121" i="9" l="1"/>
  <c r="N121" i="9"/>
  <c r="C122" i="9"/>
  <c r="W120" i="9"/>
  <c r="I121" i="9"/>
  <c r="H121" i="9"/>
  <c r="P121" i="9"/>
  <c r="U121" i="9"/>
  <c r="R121" i="9"/>
  <c r="T121" i="9"/>
  <c r="F121" i="9"/>
  <c r="D121" i="9"/>
  <c r="K121" i="9" s="1"/>
  <c r="X120" i="9" l="1"/>
  <c r="E121" i="9"/>
  <c r="L121" i="9" s="1"/>
  <c r="J121" i="9"/>
  <c r="S121" i="9" l="1"/>
  <c r="Q121" i="9"/>
  <c r="G122" i="9"/>
  <c r="O122" i="9" s="1"/>
  <c r="V121" i="9"/>
  <c r="M122" i="9" l="1"/>
  <c r="K122" i="9"/>
  <c r="C123" i="9"/>
  <c r="I122" i="9"/>
  <c r="T122" i="9" s="1"/>
  <c r="H122" i="9"/>
  <c r="P122" i="9"/>
  <c r="R122" i="9"/>
  <c r="U122" i="9"/>
  <c r="W121" i="9"/>
  <c r="D122" i="9"/>
  <c r="E122" i="9" s="1"/>
  <c r="L122" i="9" s="1"/>
  <c r="F122" i="9"/>
  <c r="N122" i="9" l="1"/>
  <c r="G123" i="9" s="1"/>
  <c r="O123" i="9" s="1"/>
  <c r="X121" i="9"/>
  <c r="J122" i="9"/>
  <c r="Q122" i="9" l="1"/>
  <c r="S122" i="9"/>
  <c r="M123" i="9"/>
  <c r="K123" i="9"/>
  <c r="L123" i="9"/>
  <c r="C124" i="9"/>
  <c r="V122" i="9"/>
  <c r="H123" i="9" l="1"/>
  <c r="W122" i="9"/>
  <c r="U123" i="9"/>
  <c r="R123" i="9"/>
  <c r="P123" i="9"/>
  <c r="I123" i="9"/>
  <c r="T123" i="9" s="1"/>
  <c r="F123" i="9" l="1"/>
  <c r="D123" i="9"/>
  <c r="N123" i="9" l="1"/>
  <c r="G124" i="9" s="1"/>
  <c r="O124" i="9" s="1"/>
  <c r="X122" i="9"/>
  <c r="E123" i="9"/>
  <c r="J123" i="9"/>
  <c r="M124" i="9" l="1"/>
  <c r="K124" i="9"/>
  <c r="L124" i="9"/>
  <c r="C125" i="9"/>
  <c r="S123" i="9"/>
  <c r="Q123" i="9"/>
  <c r="H124" i="9"/>
  <c r="V123" i="9"/>
  <c r="P124" i="9" l="1"/>
  <c r="U124" i="9"/>
  <c r="I124" i="9"/>
  <c r="T124" i="9" s="1"/>
  <c r="R124" i="9"/>
  <c r="W123" i="9"/>
  <c r="F124" i="9"/>
  <c r="D124" i="9"/>
  <c r="X123" i="9" l="1"/>
  <c r="N124" i="9"/>
  <c r="J124" i="9"/>
  <c r="Q124" i="9" s="1"/>
  <c r="E124" i="9"/>
  <c r="S124" i="9" l="1"/>
  <c r="V124" i="9"/>
  <c r="G125" i="9"/>
  <c r="O125" i="9" s="1"/>
  <c r="M125" i="9" l="1"/>
  <c r="K125" i="9"/>
  <c r="L125" i="9"/>
  <c r="C126" i="9"/>
  <c r="W124" i="9"/>
  <c r="H125" i="9"/>
  <c r="P125" i="9"/>
  <c r="U125" i="9"/>
  <c r="I125" i="9"/>
  <c r="T125" i="9" s="1"/>
  <c r="F125" i="9"/>
  <c r="X124" i="9" l="1"/>
  <c r="N125" i="9"/>
  <c r="R125" i="9"/>
  <c r="D125" i="9"/>
  <c r="E125" i="9" l="1"/>
  <c r="J125" i="9"/>
  <c r="V125" i="9" l="1"/>
  <c r="Q125" i="9"/>
  <c r="F126" i="9"/>
  <c r="S125" i="9"/>
  <c r="G126" i="9"/>
  <c r="O126" i="9" s="1"/>
  <c r="D126" i="9"/>
  <c r="E126" i="9" s="1"/>
  <c r="H126" i="9" l="1"/>
  <c r="X125" i="9"/>
  <c r="M126" i="9"/>
  <c r="K126" i="9"/>
  <c r="L126" i="9"/>
  <c r="C127" i="9"/>
  <c r="I126" i="9"/>
  <c r="T126" i="9" s="1"/>
  <c r="W125" i="9"/>
  <c r="J126" i="9"/>
  <c r="U126" i="9"/>
  <c r="R126" i="9"/>
  <c r="P126" i="9"/>
  <c r="N126" i="9" l="1"/>
  <c r="G127" i="9" s="1"/>
  <c r="O127" i="9" s="1"/>
  <c r="S126" i="9"/>
  <c r="Q126" i="9"/>
  <c r="V126" i="9"/>
  <c r="F127" i="9"/>
  <c r="D127" i="9"/>
  <c r="E127" i="9" s="1"/>
  <c r="X126" i="9" l="1"/>
  <c r="M127" i="9"/>
  <c r="K127" i="9"/>
  <c r="L127" i="9"/>
  <c r="H127" i="9"/>
  <c r="J127" i="9" s="1"/>
  <c r="C128" i="9"/>
  <c r="U127" i="9"/>
  <c r="W126" i="9"/>
  <c r="I127" i="9"/>
  <c r="N127" i="9" s="1"/>
  <c r="R127" i="9"/>
  <c r="P127" i="9"/>
  <c r="T127" i="9" l="1"/>
  <c r="S127" i="9"/>
  <c r="Q127" i="9"/>
  <c r="G128" i="9"/>
  <c r="V127" i="9"/>
  <c r="O128" i="9" l="1"/>
  <c r="L128" i="9"/>
  <c r="M128" i="9"/>
  <c r="C129" i="9"/>
  <c r="H128" i="9"/>
  <c r="U128" i="9"/>
  <c r="W127" i="9"/>
  <c r="R128" i="9"/>
  <c r="S128" i="9"/>
  <c r="I128" i="9"/>
  <c r="T128" i="9" s="1"/>
  <c r="P128" i="9"/>
  <c r="F128" i="9" l="1"/>
  <c r="N128" i="9" s="1"/>
  <c r="D128" i="9"/>
  <c r="K128" i="9" s="1"/>
  <c r="X127" i="9" l="1"/>
  <c r="G129" i="9"/>
  <c r="O129" i="9" s="1"/>
  <c r="E128" i="9"/>
  <c r="J128" i="9"/>
  <c r="Q128" i="9" s="1"/>
  <c r="M129" i="9" l="1"/>
  <c r="N129" i="9"/>
  <c r="C130" i="9"/>
  <c r="V128" i="9"/>
  <c r="W128" i="9" s="1"/>
  <c r="I129" i="9"/>
  <c r="T129" i="9" l="1"/>
  <c r="R129" i="9"/>
  <c r="U129" i="9"/>
  <c r="P129" i="9"/>
  <c r="H129" i="9"/>
  <c r="F129" i="9"/>
  <c r="D129" i="9"/>
  <c r="K129" i="9" s="1"/>
  <c r="X128" i="9" l="1"/>
  <c r="E129" i="9"/>
  <c r="J129" i="9"/>
  <c r="L129" i="9" l="1"/>
  <c r="G130" i="9" s="1"/>
  <c r="O130" i="9" s="1"/>
  <c r="Q129" i="9"/>
  <c r="S129" i="9"/>
  <c r="V129" i="9"/>
  <c r="M130" i="9" l="1"/>
  <c r="N130" i="9"/>
  <c r="C131" i="9"/>
  <c r="H130" i="9"/>
  <c r="U130" i="9"/>
  <c r="W129" i="9"/>
  <c r="R130" i="9"/>
  <c r="P130" i="9"/>
  <c r="I130" i="9"/>
  <c r="T130" i="9" s="1"/>
  <c r="F130" i="9" l="1"/>
  <c r="D130" i="9"/>
  <c r="K130" i="9" s="1"/>
  <c r="X129" i="9" l="1"/>
  <c r="E130" i="9"/>
  <c r="L130" i="9" s="1"/>
  <c r="G131" i="9" s="1"/>
  <c r="O131" i="9" s="1"/>
  <c r="J130" i="9"/>
  <c r="Q130" i="9" l="1"/>
  <c r="S130" i="9"/>
  <c r="M131" i="9"/>
  <c r="K131" i="9"/>
  <c r="C132" i="9"/>
  <c r="H131" i="9"/>
  <c r="F131" i="9"/>
  <c r="V130" i="9"/>
  <c r="U131" i="9"/>
  <c r="R131" i="9"/>
  <c r="P131" i="9"/>
  <c r="I131" i="9"/>
  <c r="W130" i="9" l="1"/>
  <c r="X130" i="9"/>
  <c r="N131" i="9"/>
  <c r="D131" i="9"/>
  <c r="T131" i="9"/>
  <c r="J131" i="9" l="1"/>
  <c r="E131" i="9"/>
  <c r="L131" i="9" s="1"/>
  <c r="S131" i="9" l="1"/>
  <c r="Q131" i="9"/>
  <c r="V131" i="9"/>
  <c r="G132" i="9"/>
  <c r="O132" i="9" s="1"/>
  <c r="M132" i="9" l="1"/>
  <c r="K132" i="9"/>
  <c r="L132" i="9"/>
  <c r="P132" i="9"/>
  <c r="W131" i="9"/>
  <c r="I132" i="9"/>
  <c r="T132" i="9" s="1"/>
  <c r="R132" i="9"/>
  <c r="C133" i="9"/>
  <c r="F132" i="9"/>
  <c r="D132" i="9"/>
  <c r="E132" i="9" s="1"/>
  <c r="U132" i="9"/>
  <c r="H132" i="9"/>
  <c r="X131" i="9" l="1"/>
  <c r="N132" i="9"/>
  <c r="J132" i="9"/>
  <c r="Q132" i="9" s="1"/>
  <c r="G133" i="9" l="1"/>
  <c r="O133" i="9" s="1"/>
  <c r="S132" i="9"/>
  <c r="V132" i="9"/>
  <c r="F133" i="9"/>
  <c r="D133" i="9"/>
  <c r="X132" i="9" l="1"/>
  <c r="U133" i="9"/>
  <c r="M133" i="9"/>
  <c r="K133" i="9"/>
  <c r="L133" i="9"/>
  <c r="C134" i="9"/>
  <c r="H133" i="9"/>
  <c r="J133" i="9" s="1"/>
  <c r="P133" i="9"/>
  <c r="R133" i="9"/>
  <c r="I133" i="9"/>
  <c r="N133" i="9" s="1"/>
  <c r="W132" i="9"/>
  <c r="E133" i="9"/>
  <c r="T133" i="9" l="1"/>
  <c r="V133" i="9"/>
  <c r="Q133" i="9"/>
  <c r="G134" i="9"/>
  <c r="O134" i="9" s="1"/>
  <c r="S133" i="9"/>
  <c r="M134" i="9" l="1"/>
  <c r="K134" i="9"/>
  <c r="L134" i="9"/>
  <c r="C135" i="9"/>
  <c r="P134" i="9"/>
  <c r="I134" i="9"/>
  <c r="T134" i="9" s="1"/>
  <c r="U134" i="9"/>
  <c r="R134" i="9"/>
  <c r="H134" i="9"/>
  <c r="W133" i="9"/>
  <c r="F134" i="9" l="1"/>
  <c r="D134" i="9"/>
  <c r="N134" i="9" l="1"/>
  <c r="X133" i="9"/>
  <c r="J134" i="9"/>
  <c r="Q134" i="9" s="1"/>
  <c r="E134" i="9"/>
  <c r="G135" i="9" l="1"/>
  <c r="O135" i="9" s="1"/>
  <c r="S134" i="9"/>
  <c r="V134" i="9"/>
  <c r="M135" i="9" l="1"/>
  <c r="K135" i="9"/>
  <c r="L135" i="9"/>
  <c r="C136" i="9"/>
  <c r="W134" i="9"/>
  <c r="H135" i="9"/>
  <c r="U135" i="9"/>
  <c r="R135" i="9"/>
  <c r="P135" i="9"/>
  <c r="I135" i="9"/>
  <c r="T135" i="9" s="1"/>
  <c r="F135" i="9" l="1"/>
  <c r="D135" i="9"/>
  <c r="N135" i="9" l="1"/>
  <c r="X134" i="9"/>
  <c r="E135" i="9"/>
  <c r="J135" i="9"/>
  <c r="G136" i="9" l="1"/>
  <c r="O136" i="9" s="1"/>
  <c r="S135" i="9"/>
  <c r="Q135" i="9"/>
  <c r="V135" i="9"/>
  <c r="I136" i="9" l="1"/>
  <c r="T136" i="9" s="1"/>
  <c r="L136" i="9"/>
  <c r="M136" i="9"/>
  <c r="C137" i="9"/>
  <c r="K136" i="9"/>
  <c r="R136" i="9"/>
  <c r="U136" i="9"/>
  <c r="P136" i="9"/>
  <c r="H136" i="9"/>
  <c r="W135" i="9"/>
  <c r="F136" i="9"/>
  <c r="D136" i="9"/>
  <c r="N136" i="9" l="1"/>
  <c r="X135" i="9"/>
  <c r="E136" i="9"/>
  <c r="J136" i="9"/>
  <c r="S136" i="9" l="1"/>
  <c r="Q136" i="9"/>
  <c r="G137" i="9"/>
  <c r="O137" i="9" s="1"/>
  <c r="V136" i="9"/>
  <c r="M137" i="9" l="1"/>
  <c r="K137" i="9"/>
  <c r="L137" i="9"/>
  <c r="C138" i="9"/>
  <c r="I137" i="9"/>
  <c r="T137" i="9" s="1"/>
  <c r="P137" i="9"/>
  <c r="R137" i="9"/>
  <c r="H137" i="9"/>
  <c r="U137" i="9"/>
  <c r="W136" i="9"/>
  <c r="D137" i="9"/>
  <c r="F137" i="9"/>
  <c r="X136" i="9" l="1"/>
  <c r="N137" i="9"/>
  <c r="E137" i="9"/>
  <c r="J137" i="9"/>
  <c r="Q137" i="9" s="1"/>
  <c r="G138" i="9" l="1"/>
  <c r="O138" i="9" s="1"/>
  <c r="S137" i="9"/>
  <c r="V137" i="9"/>
  <c r="F138" i="9"/>
  <c r="D138" i="9"/>
  <c r="E138" i="9" s="1"/>
  <c r="X137" i="9" l="1"/>
  <c r="M138" i="9"/>
  <c r="K138" i="9"/>
  <c r="L138" i="9"/>
  <c r="C139" i="9"/>
  <c r="W137" i="9"/>
  <c r="H138" i="9"/>
  <c r="J138" i="9" s="1"/>
  <c r="Q138" i="9" s="1"/>
  <c r="U138" i="9"/>
  <c r="R138" i="9"/>
  <c r="I138" i="9"/>
  <c r="T138" i="9" s="1"/>
  <c r="S138" i="9"/>
  <c r="P138" i="9"/>
  <c r="N138" i="9" l="1"/>
  <c r="V138" i="9"/>
  <c r="G139" i="9" l="1"/>
  <c r="O139" i="9" s="1"/>
  <c r="W138" i="9"/>
  <c r="M139" i="9" l="1"/>
  <c r="K139" i="9"/>
  <c r="L139" i="9"/>
  <c r="C140" i="9"/>
  <c r="H139" i="9"/>
  <c r="U139" i="9"/>
  <c r="S139" i="9"/>
  <c r="R139" i="9"/>
  <c r="P139" i="9"/>
  <c r="I139" i="9"/>
  <c r="T139" i="9" s="1"/>
  <c r="F139" i="9"/>
  <c r="D139" i="9"/>
  <c r="E139" i="9" s="1"/>
  <c r="X138" i="9" l="1"/>
  <c r="N139" i="9"/>
  <c r="G140" i="9" s="1"/>
  <c r="O140" i="9" s="1"/>
  <c r="J139" i="9"/>
  <c r="Q139" i="9" s="1"/>
  <c r="M140" i="9" l="1"/>
  <c r="K140" i="9"/>
  <c r="L140" i="9"/>
  <c r="C141" i="9"/>
  <c r="H140" i="9"/>
  <c r="U140" i="9"/>
  <c r="V139" i="9"/>
  <c r="W139" i="9" s="1"/>
  <c r="S140" i="9"/>
  <c r="R140" i="9"/>
  <c r="P140" i="9"/>
  <c r="I140" i="9"/>
  <c r="T140" i="9" l="1"/>
  <c r="F140" i="9"/>
  <c r="D140" i="9"/>
  <c r="N140" i="9" l="1"/>
  <c r="G141" i="9" s="1"/>
  <c r="O141" i="9" s="1"/>
  <c r="X139" i="9"/>
  <c r="E140" i="9"/>
  <c r="J140" i="9"/>
  <c r="Q140" i="9" s="1"/>
  <c r="M141" i="9" l="1"/>
  <c r="K141" i="9"/>
  <c r="L141" i="9"/>
  <c r="C142" i="9"/>
  <c r="V140" i="9"/>
  <c r="H141" i="9" l="1"/>
  <c r="S141" i="9"/>
  <c r="W140" i="9"/>
  <c r="I141" i="9"/>
  <c r="T141" i="9" s="1"/>
  <c r="P141" i="9"/>
  <c r="R141" i="9"/>
  <c r="U141" i="9"/>
  <c r="F141" i="9" l="1"/>
  <c r="D141" i="9"/>
  <c r="X140" i="9" l="1"/>
  <c r="N141" i="9"/>
  <c r="G142" i="9" s="1"/>
  <c r="O142" i="9" s="1"/>
  <c r="E141" i="9"/>
  <c r="J141" i="9"/>
  <c r="Q141" i="9" s="1"/>
  <c r="M142" i="9" l="1"/>
  <c r="C143" i="9"/>
  <c r="L142" i="9"/>
  <c r="K142" i="9"/>
  <c r="V141" i="9"/>
  <c r="U142" i="9"/>
  <c r="P142" i="9"/>
  <c r="R142" i="9"/>
  <c r="I142" i="9"/>
  <c r="H142" i="9" l="1"/>
  <c r="W141" i="9"/>
  <c r="T142" i="9"/>
  <c r="F142" i="9" l="1"/>
  <c r="D142" i="9"/>
  <c r="N142" i="9" l="1"/>
  <c r="G143" i="9" s="1"/>
  <c r="O143" i="9" s="1"/>
  <c r="X141" i="9"/>
  <c r="E142" i="9"/>
  <c r="J142" i="9"/>
  <c r="Q142" i="9" s="1"/>
  <c r="M143" i="9" l="1"/>
  <c r="K143" i="9"/>
  <c r="L143" i="9"/>
  <c r="C144" i="9"/>
  <c r="H143" i="9"/>
  <c r="U143" i="9"/>
  <c r="D143" i="9"/>
  <c r="E143" i="9" s="1"/>
  <c r="S142" i="9"/>
  <c r="V142" i="9"/>
  <c r="R143" i="9"/>
  <c r="P143" i="9"/>
  <c r="I143" i="9"/>
  <c r="T143" i="9" s="1"/>
  <c r="F143" i="9" l="1"/>
  <c r="W142" i="9"/>
  <c r="J143" i="9"/>
  <c r="N143" i="9" l="1"/>
  <c r="G144" i="9" s="1"/>
  <c r="O144" i="9" s="1"/>
  <c r="X142" i="9"/>
  <c r="V143" i="9"/>
  <c r="Q143" i="9"/>
  <c r="S143" i="9"/>
  <c r="M144" i="9" l="1"/>
  <c r="K144" i="9"/>
  <c r="L144" i="9"/>
  <c r="C145" i="9"/>
  <c r="H144" i="9"/>
  <c r="P144" i="9"/>
  <c r="R144" i="9"/>
  <c r="U144" i="9"/>
  <c r="I144" i="9"/>
  <c r="T144" i="9"/>
  <c r="W143" i="9"/>
  <c r="F144" i="9" l="1"/>
  <c r="N144" i="9" s="1"/>
  <c r="D144" i="9"/>
  <c r="X143" i="9" l="1"/>
  <c r="J144" i="9"/>
  <c r="E144" i="9"/>
  <c r="V144" i="9" l="1"/>
  <c r="Q144" i="9"/>
  <c r="S144" i="9"/>
  <c r="G145" i="9"/>
  <c r="O145" i="9" l="1"/>
  <c r="L145" i="9"/>
  <c r="M145" i="9"/>
  <c r="C146" i="9"/>
  <c r="W144" i="9"/>
  <c r="H145" i="9"/>
  <c r="R145" i="9"/>
  <c r="I145" i="9"/>
  <c r="T145" i="9" s="1"/>
  <c r="U145" i="9"/>
  <c r="P145" i="9"/>
  <c r="F145" i="9"/>
  <c r="N145" i="9" s="1"/>
  <c r="D145" i="9"/>
  <c r="K145" i="9" s="1"/>
  <c r="X144" i="9" l="1"/>
  <c r="E145" i="9"/>
  <c r="J145" i="9"/>
  <c r="Q145" i="9" s="1"/>
  <c r="G146" i="9" l="1"/>
  <c r="O146" i="9" s="1"/>
  <c r="S145" i="9"/>
  <c r="V145" i="9"/>
  <c r="M146" i="9" l="1"/>
  <c r="N146" i="9"/>
  <c r="C147" i="9"/>
  <c r="P146" i="9"/>
  <c r="R146" i="9"/>
  <c r="U146" i="9"/>
  <c r="I146" i="9"/>
  <c r="H146" i="9"/>
  <c r="T146" i="9"/>
  <c r="W145" i="9"/>
  <c r="D146" i="9"/>
  <c r="K146" i="9" s="1"/>
  <c r="F146" i="9"/>
  <c r="X145" i="9" l="1"/>
  <c r="E146" i="9"/>
  <c r="L146" i="9" s="1"/>
  <c r="J146" i="9"/>
  <c r="S146" i="9" l="1"/>
  <c r="Q146" i="9"/>
  <c r="G147" i="9"/>
  <c r="O147" i="9" s="1"/>
  <c r="V146" i="9"/>
  <c r="M147" i="9" l="1"/>
  <c r="N147" i="9"/>
  <c r="C148" i="9"/>
  <c r="I147" i="9"/>
  <c r="P147" i="9"/>
  <c r="R147" i="9"/>
  <c r="U147" i="9"/>
  <c r="H147" i="9"/>
  <c r="T147" i="9"/>
  <c r="W146" i="9"/>
  <c r="F147" i="9" l="1"/>
  <c r="D147" i="9"/>
  <c r="K147" i="9" s="1"/>
  <c r="X146" i="9" l="1"/>
  <c r="E147" i="9"/>
  <c r="L147" i="9" s="1"/>
  <c r="G148" i="9" s="1"/>
  <c r="O148" i="9" s="1"/>
  <c r="J147" i="9"/>
  <c r="Q147" i="9" l="1"/>
  <c r="S147" i="9"/>
  <c r="M148" i="9"/>
  <c r="K148" i="9"/>
  <c r="C149" i="9"/>
  <c r="V147" i="9"/>
  <c r="H148" i="9" l="1"/>
  <c r="U148" i="9"/>
  <c r="W147" i="9"/>
  <c r="R148" i="9"/>
  <c r="P148" i="9"/>
  <c r="I148" i="9"/>
  <c r="T148" i="9" s="1"/>
  <c r="F148" i="9" l="1"/>
  <c r="D148" i="9"/>
  <c r="N148" i="9" l="1"/>
  <c r="X147" i="9"/>
  <c r="D149" i="9"/>
  <c r="E149" i="9" s="1"/>
  <c r="E148" i="9"/>
  <c r="L148" i="9" s="1"/>
  <c r="J148" i="9"/>
  <c r="Q148" i="9" s="1"/>
  <c r="G149" i="9" l="1"/>
  <c r="O149" i="9" s="1"/>
  <c r="S148" i="9"/>
  <c r="V148" i="9"/>
  <c r="F149" i="9"/>
  <c r="X148" i="9" l="1"/>
  <c r="I149" i="9"/>
  <c r="T149" i="9" s="1"/>
  <c r="M149" i="9"/>
  <c r="K149" i="9"/>
  <c r="L149" i="9"/>
  <c r="C150" i="9"/>
  <c r="P149" i="9"/>
  <c r="W148" i="9"/>
  <c r="R149" i="9"/>
  <c r="U149" i="9"/>
  <c r="H149" i="9"/>
  <c r="N149" i="9" l="1"/>
  <c r="G150" i="9" s="1"/>
  <c r="O150" i="9" s="1"/>
  <c r="J149" i="9"/>
  <c r="M150" i="9" l="1"/>
  <c r="K150" i="9"/>
  <c r="L150" i="9"/>
  <c r="C151" i="9"/>
  <c r="S149" i="9"/>
  <c r="Q149" i="9"/>
  <c r="V149" i="9"/>
  <c r="H150" i="9"/>
  <c r="R150" i="9"/>
  <c r="P150" i="9"/>
  <c r="I150" i="9"/>
  <c r="T150" i="9" s="1"/>
  <c r="F150" i="9"/>
  <c r="D150" i="9"/>
  <c r="E150" i="9" s="1"/>
  <c r="X149" i="9" l="1"/>
  <c r="N150" i="9"/>
  <c r="W149" i="9"/>
  <c r="U150" i="9"/>
  <c r="J150" i="9"/>
  <c r="S150" i="9" l="1"/>
  <c r="Q150" i="9"/>
  <c r="G151" i="9"/>
  <c r="O151" i="9" s="1"/>
  <c r="V150" i="9"/>
  <c r="M151" i="9" l="1"/>
  <c r="K151" i="9"/>
  <c r="L151" i="9"/>
  <c r="C152" i="9"/>
  <c r="P151" i="9"/>
  <c r="S151" i="9"/>
  <c r="I151" i="9"/>
  <c r="T151" i="9" s="1"/>
  <c r="R151" i="9"/>
  <c r="H151" i="9"/>
  <c r="U151" i="9"/>
  <c r="W150" i="9"/>
  <c r="D151" i="9" l="1"/>
  <c r="F151" i="9"/>
  <c r="N151" i="9" l="1"/>
  <c r="G152" i="9" s="1"/>
  <c r="O152" i="9" s="1"/>
  <c r="X150" i="9"/>
  <c r="E151" i="9"/>
  <c r="J151" i="9"/>
  <c r="Q151" i="9" s="1"/>
  <c r="M152" i="9" l="1"/>
  <c r="K152" i="9"/>
  <c r="L152" i="9"/>
  <c r="C153" i="9"/>
  <c r="V151" i="9"/>
  <c r="H152" i="9" l="1"/>
  <c r="W151" i="9"/>
  <c r="U152" i="9"/>
  <c r="R152" i="9"/>
  <c r="I152" i="9"/>
  <c r="T152" i="9" s="1"/>
  <c r="S152" i="9"/>
  <c r="P152" i="9"/>
  <c r="F152" i="9" l="1"/>
  <c r="D152" i="9"/>
  <c r="N152" i="9" l="1"/>
  <c r="G153" i="9" s="1"/>
  <c r="O153" i="9" s="1"/>
  <c r="X151" i="9"/>
  <c r="E152" i="9"/>
  <c r="J152" i="9"/>
  <c r="Q152" i="9" s="1"/>
  <c r="M153" i="9" l="1"/>
  <c r="K153" i="9"/>
  <c r="L153" i="9"/>
  <c r="C154" i="9"/>
  <c r="V152" i="9"/>
  <c r="H153" i="9" l="1"/>
  <c r="I153" i="9"/>
  <c r="T153" i="9" s="1"/>
  <c r="P153" i="9"/>
  <c r="R153" i="9"/>
  <c r="W152" i="9"/>
  <c r="U153" i="9"/>
  <c r="D153" i="9" l="1"/>
  <c r="F153" i="9"/>
  <c r="N153" i="9" s="1"/>
  <c r="X152" i="9" l="1"/>
  <c r="E153" i="9"/>
  <c r="J153" i="9"/>
  <c r="S153" i="9" l="1"/>
  <c r="Q153" i="9"/>
  <c r="G154" i="9"/>
  <c r="V153" i="9"/>
  <c r="O154" i="9" l="1"/>
  <c r="L154" i="9"/>
  <c r="M154" i="9"/>
  <c r="C155" i="9"/>
  <c r="S154" i="9"/>
  <c r="I154" i="9"/>
  <c r="T154" i="9" s="1"/>
  <c r="H154" i="9"/>
  <c r="P154" i="9"/>
  <c r="R154" i="9"/>
  <c r="U154" i="9"/>
  <c r="W153" i="9"/>
  <c r="F154" i="9"/>
  <c r="N154" i="9" s="1"/>
  <c r="D154" i="9"/>
  <c r="K154" i="9" s="1"/>
  <c r="X153" i="9" l="1"/>
  <c r="G155" i="9"/>
  <c r="O155" i="9" s="1"/>
  <c r="E154" i="9"/>
  <c r="J154" i="9"/>
  <c r="Q154" i="9" s="1"/>
  <c r="M155" i="9" l="1"/>
  <c r="N155" i="9"/>
  <c r="C156" i="9"/>
  <c r="F155" i="9"/>
  <c r="V154" i="9"/>
  <c r="U155" i="9"/>
  <c r="R155" i="9"/>
  <c r="P155" i="9"/>
  <c r="D155" i="9"/>
  <c r="E155" i="9" s="1"/>
  <c r="I155" i="9"/>
  <c r="K155" i="9" l="1"/>
  <c r="X154" i="9"/>
  <c r="H155" i="9"/>
  <c r="J155" i="9" s="1"/>
  <c r="W154" i="9"/>
  <c r="T155" i="9"/>
  <c r="L155" i="9" l="1"/>
  <c r="G156" i="9" s="1"/>
  <c r="O156" i="9" s="1"/>
  <c r="Q155" i="9"/>
  <c r="S155" i="9"/>
  <c r="V155" i="9"/>
  <c r="M156" i="9" l="1"/>
  <c r="N156" i="9"/>
  <c r="C157" i="9"/>
  <c r="H156" i="9"/>
  <c r="D156" i="9"/>
  <c r="E156" i="9" s="1"/>
  <c r="U156" i="9"/>
  <c r="W155" i="9"/>
  <c r="R156" i="9"/>
  <c r="P156" i="9"/>
  <c r="I156" i="9"/>
  <c r="L156" i="9" l="1"/>
  <c r="K156" i="9"/>
  <c r="F156" i="9"/>
  <c r="T156" i="9"/>
  <c r="J156" i="9"/>
  <c r="X155" i="9" l="1"/>
  <c r="S156" i="9"/>
  <c r="Q156" i="9"/>
  <c r="G157" i="9"/>
  <c r="O157" i="9" s="1"/>
  <c r="V156" i="9"/>
  <c r="M157" i="9" l="1"/>
  <c r="K157" i="9"/>
  <c r="C158" i="9"/>
  <c r="W156" i="9"/>
  <c r="I157" i="9" l="1"/>
  <c r="T157" i="9" s="1"/>
  <c r="U157" i="9"/>
  <c r="P157" i="9"/>
  <c r="H157" i="9"/>
  <c r="R157" i="9"/>
  <c r="D157" i="9"/>
  <c r="F157" i="9"/>
  <c r="N157" i="9" l="1"/>
  <c r="X156" i="9"/>
  <c r="E157" i="9"/>
  <c r="L157" i="9" s="1"/>
  <c r="J157" i="9"/>
  <c r="G158" i="9" l="1"/>
  <c r="O158" i="9" s="1"/>
  <c r="Q157" i="9"/>
  <c r="S157" i="9"/>
  <c r="V157" i="9"/>
  <c r="C159" i="9" l="1"/>
  <c r="L158" i="9"/>
  <c r="K158" i="9"/>
  <c r="M158" i="9"/>
  <c r="W157" i="9"/>
  <c r="H158" i="9"/>
  <c r="U158" i="9"/>
  <c r="I158" i="9"/>
  <c r="T158" i="9" s="1"/>
  <c r="R158" i="9"/>
  <c r="P158" i="9"/>
  <c r="S158" i="9"/>
  <c r="D158" i="9" l="1"/>
  <c r="F158" i="9"/>
  <c r="N158" i="9" l="1"/>
  <c r="G159" i="9" s="1"/>
  <c r="O159" i="9" s="1"/>
  <c r="X157" i="9"/>
  <c r="E158" i="9"/>
  <c r="J158" i="9"/>
  <c r="Q158" i="9" s="1"/>
  <c r="M159" i="9" l="1"/>
  <c r="K159" i="9"/>
  <c r="L159" i="9"/>
  <c r="C160" i="9"/>
  <c r="H159" i="9"/>
  <c r="V158" i="9"/>
  <c r="U159" i="9"/>
  <c r="S159" i="9"/>
  <c r="P159" i="9"/>
  <c r="I159" i="9"/>
  <c r="T159" i="9" s="1"/>
  <c r="W158" i="9" l="1"/>
  <c r="R159" i="9"/>
  <c r="D159" i="9" l="1"/>
  <c r="F159" i="9"/>
  <c r="X158" i="9" l="1"/>
  <c r="N159" i="9"/>
  <c r="G160" i="9" s="1"/>
  <c r="O160" i="9" s="1"/>
  <c r="E159" i="9"/>
  <c r="J159" i="9"/>
  <c r="Q159" i="9" s="1"/>
  <c r="M160" i="9" l="1"/>
  <c r="C161" i="9"/>
  <c r="L160" i="9"/>
  <c r="K160" i="9"/>
  <c r="V159" i="9"/>
  <c r="H160" i="9" l="1"/>
  <c r="U160" i="9"/>
  <c r="W159" i="9"/>
  <c r="I160" i="9"/>
  <c r="R160" i="9"/>
  <c r="T160" i="9"/>
  <c r="P160" i="9"/>
  <c r="F160" i="9" l="1"/>
  <c r="N160" i="9" s="1"/>
  <c r="D160" i="9"/>
  <c r="X159" i="9" l="1"/>
  <c r="G161" i="9"/>
  <c r="E160" i="9"/>
  <c r="F161" i="9"/>
  <c r="J160" i="9"/>
  <c r="Q160" i="9" s="1"/>
  <c r="X160" i="9" l="1"/>
  <c r="O161" i="9"/>
  <c r="L161" i="9"/>
  <c r="M161" i="9"/>
  <c r="C162" i="9"/>
  <c r="H161" i="9"/>
  <c r="S160" i="9"/>
  <c r="V160" i="9"/>
  <c r="R161" i="9"/>
  <c r="D161" i="9"/>
  <c r="E161" i="9" s="1"/>
  <c r="I161" i="9"/>
  <c r="N161" i="9" s="1"/>
  <c r="K161" i="9" l="1"/>
  <c r="P161" i="9"/>
  <c r="T161" i="9"/>
  <c r="U161" i="9"/>
  <c r="W160" i="9"/>
  <c r="J161" i="9"/>
  <c r="G162" i="9" l="1"/>
  <c r="O162" i="9" s="1"/>
  <c r="V161" i="9"/>
  <c r="Q161" i="9"/>
  <c r="S161" i="9"/>
  <c r="M162" i="9" l="1"/>
  <c r="N162" i="9"/>
  <c r="C163" i="9"/>
  <c r="H162" i="9"/>
  <c r="U162" i="9"/>
  <c r="W161" i="9"/>
  <c r="R162" i="9"/>
  <c r="T162" i="9"/>
  <c r="I162" i="9"/>
  <c r="P162" i="9"/>
  <c r="F162" i="9"/>
  <c r="D162" i="9"/>
  <c r="K162" i="9" s="1"/>
  <c r="X161" i="9" l="1"/>
  <c r="E162" i="9"/>
  <c r="J162" i="9"/>
  <c r="L162" i="9" l="1"/>
  <c r="G163" i="9" s="1"/>
  <c r="O163" i="9" s="1"/>
  <c r="V162" i="9"/>
  <c r="Q162" i="9"/>
  <c r="S162" i="9"/>
  <c r="M163" i="9" l="1"/>
  <c r="N163" i="9"/>
  <c r="P163" i="9"/>
  <c r="I163" i="9"/>
  <c r="T163" i="9" s="1"/>
  <c r="C164" i="9"/>
  <c r="R163" i="9"/>
  <c r="U163" i="9"/>
  <c r="H163" i="9"/>
  <c r="W162" i="9"/>
  <c r="D163" i="9" l="1"/>
  <c r="K163" i="9" s="1"/>
  <c r="F163" i="9"/>
  <c r="X162" i="9" l="1"/>
  <c r="E163" i="9"/>
  <c r="J163" i="9"/>
  <c r="Q163" i="9" s="1"/>
  <c r="L163" i="9" l="1"/>
  <c r="G164" i="9" s="1"/>
  <c r="S163" i="9"/>
  <c r="V163" i="9"/>
  <c r="O164" i="9" l="1"/>
  <c r="R164" i="9"/>
  <c r="P164" i="9"/>
  <c r="I164" i="9"/>
  <c r="T164" i="9" s="1"/>
  <c r="C165" i="9"/>
  <c r="M164" i="9"/>
  <c r="K164" i="9"/>
  <c r="U164" i="9"/>
  <c r="H164" i="9"/>
  <c r="W163" i="9"/>
  <c r="F164" i="9"/>
  <c r="D164" i="9"/>
  <c r="N164" i="9" l="1"/>
  <c r="X163" i="9"/>
  <c r="E164" i="9"/>
  <c r="L164" i="9" s="1"/>
  <c r="J164" i="9"/>
  <c r="G165" i="9" l="1"/>
  <c r="O165" i="9" s="1"/>
  <c r="S164" i="9"/>
  <c r="Q164" i="9"/>
  <c r="V164" i="9"/>
  <c r="S165" i="9"/>
  <c r="R165" i="9"/>
  <c r="I165" i="9"/>
  <c r="C166" i="9" l="1"/>
  <c r="L165" i="9"/>
  <c r="K165" i="9"/>
  <c r="M165" i="9"/>
  <c r="T165" i="9"/>
  <c r="U165" i="9"/>
  <c r="P165" i="9"/>
  <c r="H165" i="9"/>
  <c r="W164" i="9"/>
  <c r="F165" i="9" l="1"/>
  <c r="D165" i="9"/>
  <c r="N165" i="9" l="1"/>
  <c r="G166" i="9" s="1"/>
  <c r="O166" i="9" s="1"/>
  <c r="X164" i="9"/>
  <c r="E165" i="9"/>
  <c r="J165" i="9"/>
  <c r="Q165" i="9" s="1"/>
  <c r="M166" i="9" l="1"/>
  <c r="K166" i="9"/>
  <c r="L166" i="9"/>
  <c r="C167" i="9"/>
  <c r="V165" i="9"/>
  <c r="S166" i="9"/>
  <c r="P166" i="9"/>
  <c r="I166" i="9"/>
  <c r="R166" i="9" l="1"/>
  <c r="U166" i="9"/>
  <c r="H166" i="9"/>
  <c r="T166" i="9"/>
  <c r="W165" i="9"/>
  <c r="F166" i="9"/>
  <c r="D166" i="9"/>
  <c r="N166" i="9" l="1"/>
  <c r="G167" i="9" s="1"/>
  <c r="O167" i="9" s="1"/>
  <c r="X165" i="9"/>
  <c r="E166" i="9"/>
  <c r="J166" i="9"/>
  <c r="Q166" i="9" s="1"/>
  <c r="M167" i="9" l="1"/>
  <c r="K167" i="9"/>
  <c r="L167" i="9"/>
  <c r="C168" i="9"/>
  <c r="F167" i="9"/>
  <c r="V166" i="9"/>
  <c r="R167" i="9"/>
  <c r="P167" i="9"/>
  <c r="I167" i="9"/>
  <c r="X166" i="9" l="1"/>
  <c r="N167" i="9"/>
  <c r="D167" i="9"/>
  <c r="U167" i="9"/>
  <c r="H167" i="9"/>
  <c r="W166" i="9"/>
  <c r="T167" i="9"/>
  <c r="E167" i="9" l="1"/>
  <c r="G168" i="9" s="1"/>
  <c r="O168" i="9" s="1"/>
  <c r="J167" i="9"/>
  <c r="M168" i="9" l="1"/>
  <c r="K168" i="9"/>
  <c r="L168" i="9"/>
  <c r="S167" i="9"/>
  <c r="Q167" i="9"/>
  <c r="C169" i="9"/>
  <c r="H168" i="9"/>
  <c r="V167" i="9"/>
  <c r="U168" i="9"/>
  <c r="R168" i="9"/>
  <c r="I168" i="9"/>
  <c r="T168" i="9" s="1"/>
  <c r="P168" i="9"/>
  <c r="F168" i="9"/>
  <c r="D168" i="9"/>
  <c r="E168" i="9" s="1"/>
  <c r="N168" i="9" l="1"/>
  <c r="G169" i="9" s="1"/>
  <c r="X167" i="9"/>
  <c r="W167" i="9"/>
  <c r="J168" i="9"/>
  <c r="O169" i="9" l="1"/>
  <c r="L169" i="9"/>
  <c r="M169" i="9"/>
  <c r="C170" i="9"/>
  <c r="S168" i="9"/>
  <c r="Q168" i="9"/>
  <c r="V168" i="9"/>
  <c r="U169" i="9"/>
  <c r="R169" i="9"/>
  <c r="P169" i="9"/>
  <c r="I169" i="9"/>
  <c r="T169" i="9" s="1"/>
  <c r="S169" i="9" l="1"/>
  <c r="H169" i="9"/>
  <c r="W168" i="9"/>
  <c r="F169" i="9" l="1"/>
  <c r="N169" i="9" s="1"/>
  <c r="D169" i="9"/>
  <c r="K169" i="9" s="1"/>
  <c r="X168" i="9" l="1"/>
  <c r="G170" i="9"/>
  <c r="O170" i="9" s="1"/>
  <c r="E169" i="9"/>
  <c r="J169" i="9"/>
  <c r="Q169" i="9" s="1"/>
  <c r="M170" i="9" l="1"/>
  <c r="N170" i="9"/>
  <c r="C171" i="9"/>
  <c r="V169" i="9"/>
  <c r="I170" i="9" l="1"/>
  <c r="T170" i="9" s="1"/>
  <c r="H170" i="9"/>
  <c r="P170" i="9"/>
  <c r="R170" i="9"/>
  <c r="U170" i="9"/>
  <c r="W169" i="9"/>
  <c r="F170" i="9"/>
  <c r="D170" i="9"/>
  <c r="K170" i="9" s="1"/>
  <c r="X169" i="9" l="1"/>
  <c r="E170" i="9"/>
  <c r="L170" i="9" s="1"/>
  <c r="J170" i="9"/>
  <c r="Q170" i="9" s="1"/>
  <c r="G171" i="9" l="1"/>
  <c r="R171" i="9" s="1"/>
  <c r="S170" i="9"/>
  <c r="V170" i="9"/>
  <c r="I171" i="9" l="1"/>
  <c r="P171" i="9"/>
  <c r="N171" i="9"/>
  <c r="O171" i="9"/>
  <c r="M171" i="9"/>
  <c r="H171" i="9"/>
  <c r="C172" i="9"/>
  <c r="T171" i="9"/>
  <c r="U171" i="9"/>
  <c r="W170" i="9"/>
  <c r="D171" i="9"/>
  <c r="K171" i="9" s="1"/>
  <c r="F171" i="9"/>
  <c r="X170" i="9" l="1"/>
  <c r="E171" i="9"/>
  <c r="J171" i="9"/>
  <c r="L171" i="9" l="1"/>
  <c r="G172" i="9" s="1"/>
  <c r="V171" i="9"/>
  <c r="Q171" i="9"/>
  <c r="S171" i="9"/>
  <c r="O172" i="9" l="1"/>
  <c r="C173" i="9"/>
  <c r="M172" i="9"/>
  <c r="K172" i="9"/>
  <c r="U172" i="9"/>
  <c r="H172" i="9"/>
  <c r="I172" i="9"/>
  <c r="T172" i="9" s="1"/>
  <c r="P172" i="9"/>
  <c r="R172" i="9"/>
  <c r="W171" i="9"/>
  <c r="F172" i="9" l="1"/>
  <c r="D172" i="9"/>
  <c r="N172" i="9" l="1"/>
  <c r="X171" i="9"/>
  <c r="J172" i="9"/>
  <c r="E172" i="9"/>
  <c r="L172" i="9" s="1"/>
  <c r="G173" i="9" l="1"/>
  <c r="O173" i="9" s="1"/>
  <c r="V172" i="9"/>
  <c r="Q172" i="9"/>
  <c r="S172" i="9"/>
  <c r="M173" i="9" l="1"/>
  <c r="K173" i="9"/>
  <c r="L173" i="9"/>
  <c r="C174" i="9"/>
  <c r="F173" i="9"/>
  <c r="W172" i="9"/>
  <c r="I173" i="9"/>
  <c r="T173" i="9" s="1"/>
  <c r="R173" i="9"/>
  <c r="H173" i="9"/>
  <c r="U173" i="9"/>
  <c r="P173" i="9"/>
  <c r="X172" i="9" l="1"/>
  <c r="N173" i="9"/>
  <c r="D173" i="9"/>
  <c r="E173" i="9" l="1"/>
  <c r="G174" i="9" s="1"/>
  <c r="O174" i="9" s="1"/>
  <c r="J173" i="9"/>
  <c r="M174" i="9" l="1"/>
  <c r="K174" i="9"/>
  <c r="L174" i="9"/>
  <c r="I174" i="9"/>
  <c r="V173" i="9"/>
  <c r="Q173" i="9"/>
  <c r="S173" i="9"/>
  <c r="C175" i="9"/>
  <c r="U174" i="9"/>
  <c r="H174" i="9"/>
  <c r="R174" i="9"/>
  <c r="P174" i="9"/>
  <c r="D174" i="9"/>
  <c r="W173" i="9" l="1"/>
  <c r="J174" i="9"/>
  <c r="Q174" i="9" s="1"/>
  <c r="T174" i="9"/>
  <c r="F174" i="9"/>
  <c r="E174" i="9"/>
  <c r="S174" i="9"/>
  <c r="N174" i="9" l="1"/>
  <c r="X173" i="9"/>
  <c r="V174" i="9"/>
  <c r="W174" i="9" s="1"/>
  <c r="G175" i="9" l="1"/>
  <c r="O175" i="9" s="1"/>
  <c r="F175" i="9"/>
  <c r="D175" i="9"/>
  <c r="X174" i="9" l="1"/>
  <c r="M175" i="9"/>
  <c r="K175" i="9"/>
  <c r="L175" i="9"/>
  <c r="C176" i="9"/>
  <c r="H175" i="9"/>
  <c r="J175" i="9" s="1"/>
  <c r="Q175" i="9" s="1"/>
  <c r="I175" i="9"/>
  <c r="T175" i="9" s="1"/>
  <c r="P175" i="9"/>
  <c r="S175" i="9"/>
  <c r="U175" i="9"/>
  <c r="R175" i="9"/>
  <c r="E175" i="9"/>
  <c r="N175" i="9" l="1"/>
  <c r="G176" i="9" s="1"/>
  <c r="O176" i="9" s="1"/>
  <c r="V175" i="9"/>
  <c r="M176" i="9" l="1"/>
  <c r="K176" i="9"/>
  <c r="L176" i="9"/>
  <c r="C177" i="9"/>
  <c r="H176" i="9"/>
  <c r="W175" i="9"/>
  <c r="U176" i="9"/>
  <c r="I176" i="9"/>
  <c r="T176" i="9" s="1"/>
  <c r="P176" i="9"/>
  <c r="R176" i="9"/>
  <c r="S176" i="9"/>
  <c r="F176" i="9" l="1"/>
  <c r="D176" i="9"/>
  <c r="N176" i="9" l="1"/>
  <c r="G177" i="9" s="1"/>
  <c r="O177" i="9" s="1"/>
  <c r="X175" i="9"/>
  <c r="E176" i="9"/>
  <c r="J176" i="9"/>
  <c r="Q176" i="9" s="1"/>
  <c r="M177" i="9" l="1"/>
  <c r="K177" i="9"/>
  <c r="L177" i="9"/>
  <c r="C178" i="9"/>
  <c r="H177" i="9"/>
  <c r="V176" i="9"/>
  <c r="U177" i="9"/>
  <c r="S177" i="9"/>
  <c r="R177" i="9"/>
  <c r="P177" i="9"/>
  <c r="I177" i="9"/>
  <c r="T177" i="9" s="1"/>
  <c r="W176" i="9" l="1"/>
  <c r="F177" i="9" l="1"/>
  <c r="D177" i="9"/>
  <c r="X176" i="9" l="1"/>
  <c r="N177" i="9"/>
  <c r="G178" i="9" s="1"/>
  <c r="O178" i="9" s="1"/>
  <c r="E177" i="9"/>
  <c r="J177" i="9"/>
  <c r="Q177" i="9" s="1"/>
  <c r="M178" i="9" l="1"/>
  <c r="C179" i="9"/>
  <c r="K178" i="9"/>
  <c r="L178" i="9"/>
  <c r="V177" i="9"/>
  <c r="R178" i="9" l="1"/>
  <c r="H178" i="9"/>
  <c r="I178" i="9"/>
  <c r="T178" i="9" s="1"/>
  <c r="P178" i="9"/>
  <c r="U178" i="9"/>
  <c r="W177" i="9"/>
  <c r="F178" i="9"/>
  <c r="D178" i="9"/>
  <c r="N178" i="9" l="1"/>
  <c r="G179" i="9" s="1"/>
  <c r="O179" i="9" s="1"/>
  <c r="X177" i="9"/>
  <c r="E178" i="9"/>
  <c r="J178" i="9"/>
  <c r="Q178" i="9" s="1"/>
  <c r="M179" i="9" l="1"/>
  <c r="K179" i="9"/>
  <c r="L179" i="9"/>
  <c r="C180" i="9"/>
  <c r="H179" i="9"/>
  <c r="U179" i="9"/>
  <c r="F179" i="9"/>
  <c r="S178" i="9"/>
  <c r="V178" i="9"/>
  <c r="R179" i="9"/>
  <c r="P179" i="9"/>
  <c r="I179" i="9"/>
  <c r="T179" i="9" s="1"/>
  <c r="X178" i="9" l="1"/>
  <c r="N179" i="9"/>
  <c r="D179" i="9"/>
  <c r="W178" i="9"/>
  <c r="E179" i="9" l="1"/>
  <c r="G180" i="9" s="1"/>
  <c r="O180" i="9" s="1"/>
  <c r="J179" i="9"/>
  <c r="M180" i="9" l="1"/>
  <c r="K180" i="9"/>
  <c r="L180" i="9"/>
  <c r="C181" i="9"/>
  <c r="V179" i="9"/>
  <c r="Q179" i="9"/>
  <c r="F180" i="9"/>
  <c r="S179" i="9"/>
  <c r="X179" i="9" l="1"/>
  <c r="W179" i="9"/>
  <c r="D180" i="9"/>
  <c r="H180" i="9"/>
  <c r="U180" i="9"/>
  <c r="P180" i="9"/>
  <c r="I180" i="9"/>
  <c r="N180" i="9" s="1"/>
  <c r="R180" i="9"/>
  <c r="T180" i="9" l="1"/>
  <c r="E180" i="9"/>
  <c r="G181" i="9" s="1"/>
  <c r="O181" i="9" s="1"/>
  <c r="J180" i="9"/>
  <c r="M181" i="9" l="1"/>
  <c r="K181" i="9"/>
  <c r="L181" i="9"/>
  <c r="C182" i="9"/>
  <c r="V180" i="9"/>
  <c r="Q180" i="9"/>
  <c r="P181" i="9"/>
  <c r="S180" i="9"/>
  <c r="I181" i="9"/>
  <c r="T181" i="9" s="1"/>
  <c r="H181" i="9"/>
  <c r="U181" i="9"/>
  <c r="R181" i="9"/>
  <c r="W180" i="9" l="1"/>
  <c r="F181" i="9"/>
  <c r="D181" i="9"/>
  <c r="N181" i="9" l="1"/>
  <c r="X180" i="9"/>
  <c r="E181" i="9"/>
  <c r="J181" i="9"/>
  <c r="Q181" i="9" s="1"/>
  <c r="G182" i="9" l="1"/>
  <c r="O182" i="9" s="1"/>
  <c r="S181" i="9"/>
  <c r="V181" i="9"/>
  <c r="I182" i="9" l="1"/>
  <c r="K182" i="9"/>
  <c r="L182" i="9"/>
  <c r="C183" i="9"/>
  <c r="M182" i="9"/>
  <c r="P182" i="9"/>
  <c r="R182" i="9"/>
  <c r="H182" i="9"/>
  <c r="U182" i="9"/>
  <c r="T182" i="9"/>
  <c r="W181" i="9"/>
  <c r="F182" i="9"/>
  <c r="N182" i="9" s="1"/>
  <c r="D182" i="9"/>
  <c r="X181" i="9" l="1"/>
  <c r="E182" i="9"/>
  <c r="G183" i="9" s="1"/>
  <c r="J182" i="9"/>
  <c r="O183" i="9" l="1"/>
  <c r="L183" i="9"/>
  <c r="M183" i="9"/>
  <c r="C184" i="9"/>
  <c r="S182" i="9"/>
  <c r="Q182" i="9"/>
  <c r="V182" i="9"/>
  <c r="I183" i="9"/>
  <c r="T183" i="9" l="1"/>
  <c r="P183" i="9"/>
  <c r="H183" i="9"/>
  <c r="R183" i="9"/>
  <c r="U183" i="9"/>
  <c r="S183" i="9"/>
  <c r="W182" i="9"/>
  <c r="D183" i="9" l="1"/>
  <c r="K183" i="9" s="1"/>
  <c r="F183" i="9"/>
  <c r="N183" i="9" s="1"/>
  <c r="X182" i="9" l="1"/>
  <c r="G184" i="9"/>
  <c r="O184" i="9" s="1"/>
  <c r="E183" i="9"/>
  <c r="J183" i="9"/>
  <c r="Q183" i="9" s="1"/>
  <c r="M184" i="9" l="1"/>
  <c r="N184" i="9"/>
  <c r="C185" i="9"/>
  <c r="V183" i="9"/>
  <c r="R184" i="9"/>
  <c r="P184" i="9"/>
  <c r="I184" i="9"/>
  <c r="U184" i="9" l="1"/>
  <c r="H184" i="9"/>
  <c r="T184" i="9"/>
  <c r="W183" i="9"/>
  <c r="F184" i="9"/>
  <c r="D184" i="9"/>
  <c r="K184" i="9" s="1"/>
  <c r="X183" i="9" l="1"/>
  <c r="E184" i="9"/>
  <c r="L184" i="9" s="1"/>
  <c r="J184" i="9"/>
  <c r="Q184" i="9" l="1"/>
  <c r="S184" i="9"/>
  <c r="G185" i="9"/>
  <c r="O185" i="9" s="1"/>
  <c r="D185" i="9"/>
  <c r="E185" i="9" s="1"/>
  <c r="V184" i="9"/>
  <c r="F185" i="9"/>
  <c r="X184" i="9" l="1"/>
  <c r="I185" i="9"/>
  <c r="T185" i="9" s="1"/>
  <c r="M185" i="9"/>
  <c r="N185" i="9"/>
  <c r="K185" i="9"/>
  <c r="P185" i="9"/>
  <c r="C186" i="9"/>
  <c r="R185" i="9"/>
  <c r="H185" i="9"/>
  <c r="L185" i="9" s="1"/>
  <c r="W184" i="9"/>
  <c r="U185" i="9"/>
  <c r="G186" i="9" l="1"/>
  <c r="O186" i="9" s="1"/>
  <c r="J185" i="9"/>
  <c r="Q185" i="9" l="1"/>
  <c r="S185" i="9"/>
  <c r="M186" i="9"/>
  <c r="K186" i="9"/>
  <c r="C187" i="9"/>
  <c r="H186" i="9"/>
  <c r="V185" i="9"/>
  <c r="U186" i="9"/>
  <c r="R186" i="9"/>
  <c r="P186" i="9"/>
  <c r="I186" i="9"/>
  <c r="T186" i="9" s="1"/>
  <c r="F186" i="9"/>
  <c r="D186" i="9"/>
  <c r="W185" i="9" l="1"/>
  <c r="X185" i="9"/>
  <c r="N186" i="9"/>
  <c r="E186" i="9"/>
  <c r="L186" i="9" s="1"/>
  <c r="J186" i="9"/>
  <c r="Q186" i="9" l="1"/>
  <c r="S186" i="9"/>
  <c r="G187" i="9"/>
  <c r="O187" i="9" s="1"/>
  <c r="V186" i="9"/>
  <c r="P187" i="9" l="1"/>
  <c r="R187" i="9"/>
  <c r="C188" i="9"/>
  <c r="U187" i="9"/>
  <c r="H187" i="9"/>
  <c r="M187" i="9"/>
  <c r="L187" i="9"/>
  <c r="I187" i="9"/>
  <c r="T187" i="9" s="1"/>
  <c r="K187" i="9"/>
  <c r="W186" i="9"/>
  <c r="D187" i="9" l="1"/>
  <c r="F187" i="9"/>
  <c r="N187" i="9" l="1"/>
  <c r="G188" i="9" s="1"/>
  <c r="O188" i="9" s="1"/>
  <c r="X186" i="9"/>
  <c r="E187" i="9"/>
  <c r="J187" i="9"/>
  <c r="Q187" i="9" s="1"/>
  <c r="M188" i="9" l="1"/>
  <c r="K188" i="9"/>
  <c r="L188" i="9"/>
  <c r="H188" i="9"/>
  <c r="C189" i="9"/>
  <c r="S187" i="9"/>
  <c r="V187" i="9"/>
  <c r="R188" i="9"/>
  <c r="P188" i="9"/>
  <c r="I188" i="9"/>
  <c r="T188" i="9" s="1"/>
  <c r="U188" i="9" l="1"/>
  <c r="W187" i="9"/>
  <c r="F188" i="9"/>
  <c r="D188" i="9"/>
  <c r="N188" i="9" l="1"/>
  <c r="X187" i="9"/>
  <c r="E188" i="9"/>
  <c r="J188" i="9"/>
  <c r="G189" i="9" l="1"/>
  <c r="O189" i="9" s="1"/>
  <c r="V188" i="9"/>
  <c r="Q188" i="9"/>
  <c r="S188" i="9"/>
  <c r="L189" i="9" l="1"/>
  <c r="K189" i="9"/>
  <c r="C190" i="9"/>
  <c r="M189" i="9"/>
  <c r="R189" i="9"/>
  <c r="U189" i="9"/>
  <c r="I189" i="9"/>
  <c r="T189" i="9" s="1"/>
  <c r="P189" i="9"/>
  <c r="H189" i="9"/>
  <c r="W188" i="9"/>
  <c r="F189" i="9" l="1"/>
  <c r="N189" i="9" s="1"/>
  <c r="D189" i="9"/>
  <c r="X188" i="9" l="1"/>
  <c r="J189" i="9"/>
  <c r="E189" i="9"/>
  <c r="G190" i="9" s="1"/>
  <c r="O190" i="9" l="1"/>
  <c r="L190" i="9"/>
  <c r="M190" i="9"/>
  <c r="C191" i="9"/>
  <c r="V189" i="9"/>
  <c r="Q189" i="9"/>
  <c r="S189" i="9"/>
  <c r="W189" i="9" l="1"/>
  <c r="I190" i="9"/>
  <c r="T190" i="9"/>
  <c r="P190" i="9"/>
  <c r="R190" i="9"/>
  <c r="U190" i="9"/>
  <c r="H190" i="9"/>
  <c r="D190" i="9"/>
  <c r="K190" i="9" s="1"/>
  <c r="F190" i="9"/>
  <c r="N190" i="9" s="1"/>
  <c r="X189" i="9" l="1"/>
  <c r="E190" i="9"/>
  <c r="G191" i="9" s="1"/>
  <c r="O191" i="9" s="1"/>
  <c r="J190" i="9"/>
  <c r="Q190" i="9" s="1"/>
  <c r="M191" i="9" l="1"/>
  <c r="N191" i="9"/>
  <c r="C192" i="9"/>
  <c r="D191" i="9"/>
  <c r="K191" i="9" s="1"/>
  <c r="F191" i="9"/>
  <c r="S190" i="9"/>
  <c r="V190" i="9"/>
  <c r="X190" i="9" l="1"/>
  <c r="E191" i="9"/>
  <c r="H191" i="9"/>
  <c r="J191" i="9" s="1"/>
  <c r="R191" i="9"/>
  <c r="I191" i="9"/>
  <c r="P191" i="9"/>
  <c r="U191" i="9"/>
  <c r="W190" i="9"/>
  <c r="T191" i="9"/>
  <c r="L191" i="9" l="1"/>
  <c r="G192" i="9" s="1"/>
  <c r="O192" i="9" s="1"/>
  <c r="V191" i="9"/>
  <c r="Q191" i="9"/>
  <c r="S191" i="9"/>
  <c r="M192" i="9" l="1"/>
  <c r="N192" i="9"/>
  <c r="C193" i="9"/>
  <c r="W191" i="9"/>
  <c r="I192" i="9"/>
  <c r="T192" i="9" s="1"/>
  <c r="F192" i="9"/>
  <c r="D192" i="9"/>
  <c r="E192" i="9" s="1"/>
  <c r="K192" i="9" l="1"/>
  <c r="X191" i="9"/>
  <c r="P192" i="9"/>
  <c r="H192" i="9"/>
  <c r="L192" i="9" s="1"/>
  <c r="U192" i="9"/>
  <c r="R192" i="9"/>
  <c r="G193" i="9" l="1"/>
  <c r="O193" i="9" s="1"/>
  <c r="J192" i="9"/>
  <c r="I193" i="9" l="1"/>
  <c r="T193" i="9" s="1"/>
  <c r="Q192" i="9"/>
  <c r="S192" i="9"/>
  <c r="M193" i="9"/>
  <c r="K193" i="9"/>
  <c r="C194" i="9"/>
  <c r="P193" i="9"/>
  <c r="R193" i="9"/>
  <c r="H193" i="9"/>
  <c r="U193" i="9"/>
  <c r="V192" i="9"/>
  <c r="F193" i="9"/>
  <c r="D193" i="9"/>
  <c r="W192" i="9" l="1"/>
  <c r="N193" i="9"/>
  <c r="X192" i="9"/>
  <c r="E193" i="9"/>
  <c r="L193" i="9" s="1"/>
  <c r="J193" i="9"/>
  <c r="G194" i="9" l="1"/>
  <c r="O194" i="9" s="1"/>
  <c r="Q193" i="9"/>
  <c r="S193" i="9"/>
  <c r="V193" i="9"/>
  <c r="S194" i="9" l="1"/>
  <c r="I194" i="9"/>
  <c r="K194" i="9"/>
  <c r="M194" i="9"/>
  <c r="P194" i="9"/>
  <c r="C195" i="9"/>
  <c r="R194" i="9"/>
  <c r="L194" i="9"/>
  <c r="U194" i="9"/>
  <c r="H194" i="9"/>
  <c r="T194" i="9"/>
  <c r="W193" i="9"/>
  <c r="D194" i="9"/>
  <c r="F194" i="9"/>
  <c r="N194" i="9" l="1"/>
  <c r="G195" i="9" s="1"/>
  <c r="O195" i="9" s="1"/>
  <c r="X193" i="9"/>
  <c r="E194" i="9"/>
  <c r="J194" i="9"/>
  <c r="Q194" i="9" s="1"/>
  <c r="M195" i="9" l="1"/>
  <c r="K195" i="9"/>
  <c r="L195" i="9"/>
  <c r="C196" i="9"/>
  <c r="V194" i="9"/>
  <c r="H195" i="9" l="1"/>
  <c r="P195" i="9"/>
  <c r="I195" i="9"/>
  <c r="T195" i="9" s="1"/>
  <c r="R195" i="9"/>
  <c r="S195" i="9"/>
  <c r="W194" i="9"/>
  <c r="U195" i="9"/>
  <c r="F195" i="9" l="1"/>
  <c r="D195" i="9"/>
  <c r="X194" i="9" l="1"/>
  <c r="N195" i="9"/>
  <c r="G196" i="9" s="1"/>
  <c r="O196" i="9" s="1"/>
  <c r="E195" i="9"/>
  <c r="J195" i="9"/>
  <c r="Q195" i="9" s="1"/>
  <c r="M196" i="9" l="1"/>
  <c r="C197" i="9"/>
  <c r="K196" i="9"/>
  <c r="L196" i="9"/>
  <c r="V195" i="9"/>
  <c r="H196" i="9" l="1"/>
  <c r="U196" i="9"/>
  <c r="W195" i="9"/>
  <c r="I196" i="9"/>
  <c r="T196" i="9" s="1"/>
  <c r="R196" i="9"/>
  <c r="P196" i="9"/>
  <c r="S196" i="9"/>
  <c r="D196" i="9" l="1"/>
  <c r="F196" i="9"/>
  <c r="X195" i="9" l="1"/>
  <c r="N196" i="9"/>
  <c r="G197" i="9" s="1"/>
  <c r="O197" i="9" s="1"/>
  <c r="E196" i="9"/>
  <c r="J196" i="9"/>
  <c r="Q196" i="9" s="1"/>
  <c r="M197" i="9" l="1"/>
  <c r="C198" i="9"/>
  <c r="K197" i="9"/>
  <c r="L197" i="9"/>
  <c r="V196" i="9"/>
  <c r="S197" i="9"/>
  <c r="R197" i="9"/>
  <c r="D197" i="9"/>
  <c r="P197" i="9"/>
  <c r="I197" i="9"/>
  <c r="E197" i="9" l="1"/>
  <c r="U197" i="9"/>
  <c r="H197" i="9"/>
  <c r="J197" i="9" s="1"/>
  <c r="Q197" i="9" s="1"/>
  <c r="W196" i="9"/>
  <c r="F197" i="9"/>
  <c r="T197" i="9"/>
  <c r="N197" i="9" l="1"/>
  <c r="G198" i="9" s="1"/>
  <c r="O198" i="9" s="1"/>
  <c r="X196" i="9"/>
  <c r="V197" i="9"/>
  <c r="M198" i="9" l="1"/>
  <c r="K198" i="9"/>
  <c r="L198" i="9"/>
  <c r="C199" i="9"/>
  <c r="H198" i="9"/>
  <c r="U198" i="9"/>
  <c r="I198" i="9"/>
  <c r="T198" i="9" s="1"/>
  <c r="S198" i="9"/>
  <c r="R198" i="9"/>
  <c r="P198" i="9"/>
  <c r="W197" i="9"/>
  <c r="D198" i="9" l="1"/>
  <c r="F198" i="9"/>
  <c r="N198" i="9" s="1"/>
  <c r="J198" i="9"/>
  <c r="Q198" i="9" s="1"/>
  <c r="G199" i="9" l="1"/>
  <c r="X197" i="9"/>
  <c r="E198" i="9"/>
  <c r="V198" i="9"/>
  <c r="W198" i="9" s="1"/>
  <c r="M199" i="9" l="1"/>
  <c r="L199" i="9"/>
  <c r="O199" i="9"/>
  <c r="C200" i="9"/>
  <c r="H199" i="9"/>
  <c r="I199" i="9"/>
  <c r="T199" i="9" s="1"/>
  <c r="S199" i="9"/>
  <c r="P199" i="9"/>
  <c r="R199" i="9"/>
  <c r="U199" i="9"/>
  <c r="F199" i="9"/>
  <c r="N199" i="9" s="1"/>
  <c r="D199" i="9"/>
  <c r="K199" i="9" s="1"/>
  <c r="X198" i="9" l="1"/>
  <c r="G200" i="9"/>
  <c r="O200" i="9" s="1"/>
  <c r="E199" i="9"/>
  <c r="J199" i="9"/>
  <c r="Q199" i="9" s="1"/>
  <c r="M200" i="9" l="1"/>
  <c r="N200" i="9"/>
  <c r="C201" i="9"/>
  <c r="V199" i="9"/>
  <c r="W199" i="9" l="1"/>
  <c r="R200" i="9" l="1"/>
  <c r="H200" i="9"/>
  <c r="U200" i="9"/>
  <c r="P200" i="9"/>
  <c r="I200" i="9"/>
  <c r="T200" i="9" s="1"/>
  <c r="F200" i="9"/>
  <c r="D200" i="9"/>
  <c r="K200" i="9" s="1"/>
  <c r="X199" i="9" l="1"/>
  <c r="E200" i="9"/>
  <c r="L200" i="9" s="1"/>
  <c r="J200" i="9"/>
  <c r="Q200" i="9" l="1"/>
  <c r="S200" i="9"/>
  <c r="G201" i="9"/>
  <c r="O201" i="9" s="1"/>
  <c r="V200" i="9"/>
  <c r="I201" i="9" l="1"/>
  <c r="T201" i="9" s="1"/>
  <c r="M201" i="9"/>
  <c r="N201" i="9"/>
  <c r="C202" i="9"/>
  <c r="U201" i="9"/>
  <c r="P201" i="9"/>
  <c r="R201" i="9"/>
  <c r="H201" i="9"/>
  <c r="W200" i="9"/>
  <c r="F201" i="9"/>
  <c r="D201" i="9"/>
  <c r="K201" i="9" s="1"/>
  <c r="X200" i="9" l="1"/>
  <c r="E201" i="9"/>
  <c r="L201" i="9" s="1"/>
  <c r="G202" i="9" s="1"/>
  <c r="O202" i="9" s="1"/>
  <c r="J201" i="9"/>
  <c r="Q201" i="9" l="1"/>
  <c r="S201" i="9"/>
  <c r="M202" i="9"/>
  <c r="K202" i="9"/>
  <c r="C203" i="9"/>
  <c r="R202" i="9"/>
  <c r="H202" i="9"/>
  <c r="V201" i="9"/>
  <c r="U202" i="9"/>
  <c r="P202" i="9"/>
  <c r="I202" i="9"/>
  <c r="W201" i="9" l="1"/>
  <c r="T202" i="9"/>
  <c r="D202" i="9" l="1"/>
  <c r="F202" i="9"/>
  <c r="N202" i="9" l="1"/>
  <c r="X201" i="9"/>
  <c r="E202" i="9"/>
  <c r="L202" i="9" s="1"/>
  <c r="J202" i="9"/>
  <c r="Q202" i="9" s="1"/>
  <c r="G203" i="9" l="1"/>
  <c r="O203" i="9" s="1"/>
  <c r="F203" i="9"/>
  <c r="S202" i="9"/>
  <c r="V202" i="9"/>
  <c r="R203" i="9"/>
  <c r="P203" i="9"/>
  <c r="I203" i="9"/>
  <c r="T203" i="9" s="1"/>
  <c r="C204" i="9" l="1"/>
  <c r="H203" i="9"/>
  <c r="L203" i="9"/>
  <c r="K203" i="9"/>
  <c r="M203" i="9"/>
  <c r="N203" i="9"/>
  <c r="X202" i="9"/>
  <c r="U203" i="9"/>
  <c r="D203" i="9"/>
  <c r="W202" i="9"/>
  <c r="E203" i="9" l="1"/>
  <c r="G204" i="9" s="1"/>
  <c r="J203" i="9"/>
  <c r="O204" i="9" l="1"/>
  <c r="L204" i="9"/>
  <c r="M204" i="9"/>
  <c r="C205" i="9"/>
  <c r="V203" i="9"/>
  <c r="Q203" i="9"/>
  <c r="D204" i="9"/>
  <c r="K204" i="9" s="1"/>
  <c r="S203" i="9"/>
  <c r="E204" i="9" l="1"/>
  <c r="F204" i="9"/>
  <c r="W203" i="9"/>
  <c r="X203" i="9" l="1"/>
  <c r="I204" i="9"/>
  <c r="N204" i="9" s="1"/>
  <c r="R204" i="9"/>
  <c r="T204" i="9"/>
  <c r="P204" i="9"/>
  <c r="H204" i="9"/>
  <c r="U204" i="9"/>
  <c r="G205" i="9" l="1"/>
  <c r="O205" i="9" s="1"/>
  <c r="J204" i="9"/>
  <c r="Q204" i="9" s="1"/>
  <c r="M205" i="9" l="1"/>
  <c r="N205" i="9"/>
  <c r="C206" i="9"/>
  <c r="P205" i="9"/>
  <c r="R205" i="9"/>
  <c r="I205" i="9"/>
  <c r="T205" i="9" s="1"/>
  <c r="U205" i="9"/>
  <c r="H205" i="9"/>
  <c r="V204" i="9"/>
  <c r="S204" i="9"/>
  <c r="F205" i="9"/>
  <c r="D205" i="9"/>
  <c r="K205" i="9" s="1"/>
  <c r="X204" i="9" l="1"/>
  <c r="W204" i="9"/>
  <c r="E205" i="9"/>
  <c r="J205" i="9"/>
  <c r="Q205" i="9" s="1"/>
  <c r="L205" i="9" l="1"/>
  <c r="G206" i="9" s="1"/>
  <c r="O206" i="9" s="1"/>
  <c r="S205" i="9"/>
  <c r="V205" i="9"/>
  <c r="M206" i="9" l="1"/>
  <c r="N206" i="9"/>
  <c r="C207" i="9"/>
  <c r="I206" i="9"/>
  <c r="P206" i="9"/>
  <c r="R206" i="9"/>
  <c r="H206" i="9"/>
  <c r="U206" i="9"/>
  <c r="T206" i="9"/>
  <c r="W205" i="9"/>
  <c r="F206" i="9"/>
  <c r="D206" i="9"/>
  <c r="K206" i="9" s="1"/>
  <c r="X205" i="9" l="1"/>
  <c r="E206" i="9"/>
  <c r="J206" i="9"/>
  <c r="L206" i="9" l="1"/>
  <c r="G207" i="9" s="1"/>
  <c r="S206" i="9"/>
  <c r="Q206" i="9"/>
  <c r="V206" i="9"/>
  <c r="O207" i="9" l="1"/>
  <c r="C208" i="9"/>
  <c r="M207" i="9"/>
  <c r="K207" i="9"/>
  <c r="P207" i="9"/>
  <c r="I207" i="9"/>
  <c r="T207" i="9" s="1"/>
  <c r="U207" i="9"/>
  <c r="R207" i="9"/>
  <c r="H207" i="9"/>
  <c r="W206" i="9"/>
  <c r="F207" i="9"/>
  <c r="D207" i="9"/>
  <c r="N207" i="9" l="1"/>
  <c r="X206" i="9"/>
  <c r="E207" i="9"/>
  <c r="L207" i="9" s="1"/>
  <c r="J207" i="9"/>
  <c r="Q207" i="9" l="1"/>
  <c r="S207" i="9"/>
  <c r="G208" i="9"/>
  <c r="O208" i="9" s="1"/>
  <c r="V207" i="9"/>
  <c r="M208" i="9" l="1"/>
  <c r="C209" i="9"/>
  <c r="L208" i="9"/>
  <c r="K208" i="9"/>
  <c r="S208" i="9"/>
  <c r="I208" i="9"/>
  <c r="T208" i="9" s="1"/>
  <c r="P208" i="9"/>
  <c r="R208" i="9"/>
  <c r="U208" i="9"/>
  <c r="H208" i="9"/>
  <c r="W207" i="9"/>
  <c r="D208" i="9"/>
  <c r="F208" i="9"/>
  <c r="X207" i="9" l="1"/>
  <c r="N208" i="9"/>
  <c r="G209" i="9" s="1"/>
  <c r="O209" i="9" s="1"/>
  <c r="E208" i="9"/>
  <c r="J208" i="9"/>
  <c r="Q208" i="9" s="1"/>
  <c r="M209" i="9" l="1"/>
  <c r="K209" i="9"/>
  <c r="L209" i="9"/>
  <c r="C210" i="9"/>
  <c r="V208" i="9"/>
  <c r="H209" i="9" l="1"/>
  <c r="J209" i="9" s="1"/>
  <c r="Q209" i="9" s="1"/>
  <c r="D209" i="9"/>
  <c r="P209" i="9"/>
  <c r="U209" i="9"/>
  <c r="I209" i="9"/>
  <c r="T209" i="9" s="1"/>
  <c r="S209" i="9"/>
  <c r="W208" i="9"/>
  <c r="R209" i="9"/>
  <c r="F209" i="9"/>
  <c r="N209" i="9" l="1"/>
  <c r="G210" i="9" s="1"/>
  <c r="O210" i="9" s="1"/>
  <c r="X208" i="9"/>
  <c r="E209" i="9"/>
  <c r="V209" i="9"/>
  <c r="M210" i="9" l="1"/>
  <c r="K210" i="9"/>
  <c r="L210" i="9"/>
  <c r="C211" i="9"/>
  <c r="H210" i="9"/>
  <c r="F210" i="9"/>
  <c r="W209" i="9"/>
  <c r="U210" i="9"/>
  <c r="R210" i="9"/>
  <c r="P210" i="9"/>
  <c r="I210" i="9"/>
  <c r="X209" i="9" l="1"/>
  <c r="N210" i="9"/>
  <c r="D210" i="9"/>
  <c r="T210" i="9"/>
  <c r="G211" i="9" l="1"/>
  <c r="O211" i="9" s="1"/>
  <c r="E210" i="9"/>
  <c r="J210" i="9"/>
  <c r="M211" i="9" l="1"/>
  <c r="K211" i="9"/>
  <c r="L211" i="9"/>
  <c r="C212" i="9"/>
  <c r="S210" i="9"/>
  <c r="Q210" i="9"/>
  <c r="H211" i="9"/>
  <c r="V210" i="9"/>
  <c r="F211" i="9"/>
  <c r="D211" i="9"/>
  <c r="X210" i="9" l="1"/>
  <c r="J211" i="9"/>
  <c r="U211" i="9"/>
  <c r="P211" i="9"/>
  <c r="I211" i="9"/>
  <c r="N211" i="9" s="1"/>
  <c r="R211" i="9"/>
  <c r="W210" i="9"/>
  <c r="S211" i="9"/>
  <c r="E211" i="9"/>
  <c r="T211" i="9" l="1"/>
  <c r="V211" i="9"/>
  <c r="Q211" i="9"/>
  <c r="G212" i="9"/>
  <c r="O212" i="9" s="1"/>
  <c r="M212" i="9" l="1"/>
  <c r="K212" i="9"/>
  <c r="L212" i="9"/>
  <c r="C213" i="9"/>
  <c r="W211" i="9"/>
  <c r="H212" i="9"/>
  <c r="P212" i="9"/>
  <c r="U212" i="9"/>
  <c r="I212" i="9"/>
  <c r="T212" i="9"/>
  <c r="R212" i="9"/>
  <c r="D212" i="9" l="1"/>
  <c r="F212" i="9"/>
  <c r="N212" i="9" s="1"/>
  <c r="X211" i="9" l="1"/>
  <c r="J212" i="9"/>
  <c r="E212" i="9"/>
  <c r="G213" i="9" s="1"/>
  <c r="O213" i="9" l="1"/>
  <c r="L213" i="9"/>
  <c r="M213" i="9"/>
  <c r="C214" i="9"/>
  <c r="S212" i="9"/>
  <c r="Q212" i="9"/>
  <c r="V212" i="9"/>
  <c r="W212" i="9" l="1"/>
  <c r="H213" i="9"/>
  <c r="U213" i="9"/>
  <c r="F213" i="9"/>
  <c r="D213" i="9"/>
  <c r="K213" i="9" s="1"/>
  <c r="X212" i="9" l="1"/>
  <c r="R213" i="9"/>
  <c r="T213" i="9"/>
  <c r="I213" i="9"/>
  <c r="N213" i="9" s="1"/>
  <c r="P213" i="9"/>
  <c r="E213" i="9"/>
  <c r="J213" i="9"/>
  <c r="Q213" i="9" s="1"/>
  <c r="G214" i="9" l="1"/>
  <c r="O214" i="9" s="1"/>
  <c r="S213" i="9"/>
  <c r="V213" i="9"/>
  <c r="M214" i="9" l="1"/>
  <c r="N214" i="9"/>
  <c r="C215" i="9"/>
  <c r="I214" i="9"/>
  <c r="T214" i="9" s="1"/>
  <c r="P214" i="9"/>
  <c r="H214" i="9"/>
  <c r="R214" i="9"/>
  <c r="U214" i="9"/>
  <c r="W213" i="9"/>
  <c r="F214" i="9"/>
  <c r="D214" i="9"/>
  <c r="K214" i="9" s="1"/>
  <c r="X213" i="9" l="1"/>
  <c r="E214" i="9"/>
  <c r="J214" i="9"/>
  <c r="L214" i="9" l="1"/>
  <c r="G215" i="9" s="1"/>
  <c r="O215" i="9" s="1"/>
  <c r="S214" i="9"/>
  <c r="Q214" i="9"/>
  <c r="V214" i="9"/>
  <c r="M215" i="9" l="1"/>
  <c r="N215" i="9"/>
  <c r="P215" i="9"/>
  <c r="R215" i="9"/>
  <c r="I215" i="9"/>
  <c r="C216" i="9"/>
  <c r="D215" i="9"/>
  <c r="K215" i="9" s="1"/>
  <c r="F215" i="9"/>
  <c r="T215" i="9"/>
  <c r="U215" i="9"/>
  <c r="H215" i="9"/>
  <c r="W214" i="9"/>
  <c r="X214" i="9" l="1"/>
  <c r="J215" i="9"/>
  <c r="Q215" i="9" s="1"/>
  <c r="E215" i="9"/>
  <c r="L215" i="9" s="1"/>
  <c r="S215" i="9" l="1"/>
  <c r="G216" i="9"/>
  <c r="R216" i="9" s="1"/>
  <c r="V215" i="9"/>
  <c r="W215" i="9" l="1"/>
  <c r="I216" i="9"/>
  <c r="O216" i="9"/>
  <c r="M216" i="9"/>
  <c r="N216" i="9"/>
  <c r="P216" i="9"/>
  <c r="H216" i="9"/>
  <c r="K216" i="9"/>
  <c r="U216" i="9"/>
  <c r="C217" i="9"/>
  <c r="T216" i="9"/>
  <c r="F216" i="9"/>
  <c r="D216" i="9"/>
  <c r="J216" i="9" l="1"/>
  <c r="V216" i="9" s="1"/>
  <c r="X215" i="9"/>
  <c r="E216" i="9"/>
  <c r="L216" i="9" s="1"/>
  <c r="G217" i="9" s="1"/>
  <c r="O217" i="9" s="1"/>
  <c r="Q216" i="9" l="1"/>
  <c r="S216" i="9"/>
  <c r="C218" i="9"/>
  <c r="K217" i="9"/>
  <c r="M217" i="9"/>
  <c r="I217" i="9"/>
  <c r="T217" i="9" s="1"/>
  <c r="P217" i="9"/>
  <c r="U217" i="9"/>
  <c r="R217" i="9"/>
  <c r="H217" i="9"/>
  <c r="F217" i="9"/>
  <c r="D217" i="9"/>
  <c r="W216" i="9" l="1"/>
  <c r="X216" i="9"/>
  <c r="N217" i="9"/>
  <c r="E217" i="9"/>
  <c r="L217" i="9" s="1"/>
  <c r="J217" i="9"/>
  <c r="Q217" i="9" l="1"/>
  <c r="S217" i="9"/>
  <c r="G218" i="9"/>
  <c r="O218" i="9" s="1"/>
  <c r="V217" i="9"/>
  <c r="I218" i="9" l="1"/>
  <c r="T218" i="9" s="1"/>
  <c r="P218" i="9"/>
  <c r="M218" i="9"/>
  <c r="C219" i="9"/>
  <c r="R218" i="9"/>
  <c r="L218" i="9"/>
  <c r="S218" i="9"/>
  <c r="K218" i="9"/>
  <c r="U218" i="9"/>
  <c r="H218" i="9"/>
  <c r="W217" i="9"/>
  <c r="D218" i="9"/>
  <c r="F218" i="9"/>
  <c r="N218" i="9" l="1"/>
  <c r="G219" i="9" s="1"/>
  <c r="O219" i="9" s="1"/>
  <c r="X217" i="9"/>
  <c r="E218" i="9"/>
  <c r="J218" i="9"/>
  <c r="Q218" i="9" s="1"/>
  <c r="M219" i="9" l="1"/>
  <c r="K219" i="9"/>
  <c r="L219" i="9"/>
  <c r="C220" i="9"/>
  <c r="V218" i="9"/>
  <c r="H219" i="9" l="1"/>
  <c r="W218" i="9"/>
  <c r="U219" i="9"/>
  <c r="I219" i="9"/>
  <c r="T219" i="9" s="1"/>
  <c r="S219" i="9"/>
  <c r="R219" i="9"/>
  <c r="P219" i="9"/>
  <c r="D219" i="9" l="1"/>
  <c r="F219" i="9"/>
  <c r="X218" i="9" l="1"/>
  <c r="N219" i="9"/>
  <c r="G220" i="9" s="1"/>
  <c r="O220" i="9" s="1"/>
  <c r="E219" i="9"/>
  <c r="J219" i="9"/>
  <c r="Q219" i="9" s="1"/>
  <c r="M220" i="9" l="1"/>
  <c r="C221" i="9"/>
  <c r="L220" i="9"/>
  <c r="K220" i="9"/>
  <c r="V219" i="9"/>
  <c r="W219" i="9" s="1"/>
  <c r="H220" i="9" l="1"/>
  <c r="U220" i="9"/>
  <c r="R220" i="9"/>
  <c r="P220" i="9"/>
  <c r="I220" i="9"/>
  <c r="T220" i="9" s="1"/>
  <c r="F220" i="9" l="1"/>
  <c r="N220" i="9" s="1"/>
  <c r="D220" i="9"/>
  <c r="X219" i="9" l="1"/>
  <c r="G221" i="9"/>
  <c r="E220" i="9"/>
  <c r="D221" i="9"/>
  <c r="E221" i="9" s="1"/>
  <c r="J220" i="9"/>
  <c r="O221" i="9" l="1"/>
  <c r="L221" i="9"/>
  <c r="M221" i="9"/>
  <c r="K221" i="9"/>
  <c r="C222" i="9"/>
  <c r="S220" i="9"/>
  <c r="Q220" i="9"/>
  <c r="H221" i="9"/>
  <c r="V220" i="9"/>
  <c r="T221" i="9"/>
  <c r="P221" i="9"/>
  <c r="F221" i="9"/>
  <c r="N221" i="9" s="1"/>
  <c r="I221" i="9"/>
  <c r="X220" i="9" l="1"/>
  <c r="R221" i="9"/>
  <c r="U221" i="9"/>
  <c r="W220" i="9"/>
  <c r="J221" i="9"/>
  <c r="V221" i="9" l="1"/>
  <c r="Q221" i="9"/>
  <c r="G222" i="9"/>
  <c r="O222" i="9" s="1"/>
  <c r="S221" i="9"/>
  <c r="M222" i="9" l="1"/>
  <c r="N222" i="9"/>
  <c r="I222" i="9"/>
  <c r="P222" i="9"/>
  <c r="H222" i="9"/>
  <c r="R222" i="9"/>
  <c r="U222" i="9"/>
  <c r="T222" i="9"/>
  <c r="C223" i="9"/>
  <c r="W221" i="9"/>
  <c r="F222" i="9"/>
  <c r="D222" i="9"/>
  <c r="K222" i="9" s="1"/>
  <c r="X221" i="9" l="1"/>
  <c r="E222" i="9"/>
  <c r="J222" i="9"/>
  <c r="L222" i="9" l="1"/>
  <c r="G223" i="9" s="1"/>
  <c r="O223" i="9" s="1"/>
  <c r="V222" i="9"/>
  <c r="Q222" i="9"/>
  <c r="S222" i="9"/>
  <c r="M223" i="9" l="1"/>
  <c r="N223" i="9"/>
  <c r="H223" i="9"/>
  <c r="P223" i="9"/>
  <c r="U223" i="9"/>
  <c r="I223" i="9"/>
  <c r="T223" i="9" s="1"/>
  <c r="C224" i="9"/>
  <c r="R223" i="9"/>
  <c r="W222" i="9"/>
  <c r="F223" i="9" l="1"/>
  <c r="D223" i="9"/>
  <c r="K223" i="9" s="1"/>
  <c r="X222" i="9" l="1"/>
  <c r="E223" i="9"/>
  <c r="J223" i="9"/>
  <c r="Q223" i="9" s="1"/>
  <c r="L223" i="9" l="1"/>
  <c r="G224" i="9" s="1"/>
  <c r="O224" i="9" s="1"/>
  <c r="S223" i="9"/>
  <c r="V223" i="9"/>
  <c r="M224" i="9" l="1"/>
  <c r="N224" i="9"/>
  <c r="K224" i="9"/>
  <c r="C225" i="9"/>
  <c r="R224" i="9"/>
  <c r="P224" i="9"/>
  <c r="I224" i="9"/>
  <c r="H224" i="9"/>
  <c r="U224" i="9"/>
  <c r="T224" i="9"/>
  <c r="W223" i="9"/>
  <c r="F224" i="9"/>
  <c r="D224" i="9"/>
  <c r="X223" i="9" l="1"/>
  <c r="E224" i="9"/>
  <c r="J224" i="9"/>
  <c r="L224" i="9" l="1"/>
  <c r="G225" i="9" s="1"/>
  <c r="S224" i="9"/>
  <c r="Q224" i="9"/>
  <c r="V224" i="9"/>
  <c r="O225" i="9" l="1"/>
  <c r="C226" i="9"/>
  <c r="U225" i="9"/>
  <c r="I225" i="9"/>
  <c r="T225" i="9" s="1"/>
  <c r="R225" i="9"/>
  <c r="P225" i="9"/>
  <c r="M225" i="9"/>
  <c r="K225" i="9"/>
  <c r="H225" i="9"/>
  <c r="W224" i="9"/>
  <c r="F225" i="9"/>
  <c r="D225" i="9"/>
  <c r="N225" i="9" l="1"/>
  <c r="X224" i="9"/>
  <c r="E225" i="9"/>
  <c r="L225" i="9" s="1"/>
  <c r="J225" i="9"/>
  <c r="G226" i="9" l="1"/>
  <c r="O226" i="9" s="1"/>
  <c r="Q225" i="9"/>
  <c r="S225" i="9"/>
  <c r="V225" i="9"/>
  <c r="C227" i="9" l="1"/>
  <c r="L226" i="9"/>
  <c r="K226" i="9"/>
  <c r="M226" i="9"/>
  <c r="H226" i="9"/>
  <c r="U226" i="9"/>
  <c r="W225" i="9"/>
  <c r="R226" i="9"/>
  <c r="I226" i="9"/>
  <c r="T226" i="9" s="1"/>
  <c r="P226" i="9"/>
  <c r="D226" i="9" l="1"/>
  <c r="F226" i="9"/>
  <c r="N226" i="9" l="1"/>
  <c r="G227" i="9" s="1"/>
  <c r="O227" i="9" s="1"/>
  <c r="X225" i="9"/>
  <c r="F227" i="9"/>
  <c r="X226" i="9" s="1"/>
  <c r="E226" i="9"/>
  <c r="J226" i="9"/>
  <c r="M227" i="9" l="1"/>
  <c r="K227" i="9"/>
  <c r="L227" i="9"/>
  <c r="S226" i="9"/>
  <c r="Q226" i="9"/>
  <c r="C228" i="9"/>
  <c r="U227" i="9"/>
  <c r="V226" i="9"/>
  <c r="R227" i="9"/>
  <c r="T227" i="9"/>
  <c r="P227" i="9"/>
  <c r="D227" i="9"/>
  <c r="E227" i="9" s="1"/>
  <c r="I227" i="9"/>
  <c r="N227" i="9" s="1"/>
  <c r="H227" i="9" l="1"/>
  <c r="J227" i="9" s="1"/>
  <c r="W226" i="9"/>
  <c r="V227" i="9" l="1"/>
  <c r="Q227" i="9"/>
  <c r="G228" i="9"/>
  <c r="S227" i="9"/>
  <c r="O228" i="9" l="1"/>
  <c r="L228" i="9"/>
  <c r="M228" i="9"/>
  <c r="C229" i="9"/>
  <c r="W227" i="9"/>
  <c r="T228" i="9"/>
  <c r="I228" i="9"/>
  <c r="P228" i="9"/>
  <c r="F228" i="9"/>
  <c r="N228" i="9" s="1"/>
  <c r="D228" i="9"/>
  <c r="E228" i="9" s="1"/>
  <c r="X227" i="9" l="1"/>
  <c r="K228" i="9"/>
  <c r="R228" i="9"/>
  <c r="H228" i="9"/>
  <c r="J228" i="9" s="1"/>
  <c r="U228" i="9"/>
  <c r="S228" i="9" l="1"/>
  <c r="Q228" i="9"/>
  <c r="G229" i="9"/>
  <c r="O229" i="9" s="1"/>
  <c r="V228" i="9"/>
  <c r="M229" i="9" l="1"/>
  <c r="N229" i="9"/>
  <c r="C230" i="9"/>
  <c r="U229" i="9"/>
  <c r="R229" i="9"/>
  <c r="P229" i="9"/>
  <c r="I229" i="9"/>
  <c r="T229" i="9" s="1"/>
  <c r="H229" i="9"/>
  <c r="W228" i="9"/>
  <c r="D229" i="9" l="1"/>
  <c r="K229" i="9" s="1"/>
  <c r="F229" i="9"/>
  <c r="X228" i="9" l="1"/>
  <c r="E229" i="9"/>
  <c r="J229" i="9"/>
  <c r="Q229" i="9" s="1"/>
  <c r="L229" i="9" l="1"/>
  <c r="G230" i="9" s="1"/>
  <c r="O230" i="9" s="1"/>
  <c r="S229" i="9"/>
  <c r="V229" i="9"/>
  <c r="M230" i="9" l="1"/>
  <c r="N230" i="9"/>
  <c r="C231" i="9"/>
  <c r="H230" i="9"/>
  <c r="W229" i="9"/>
  <c r="I230" i="9"/>
  <c r="T230" i="9" s="1"/>
  <c r="R230" i="9"/>
  <c r="P230" i="9"/>
  <c r="U230" i="9"/>
  <c r="F230" i="9" l="1"/>
  <c r="D230" i="9"/>
  <c r="K230" i="9" s="1"/>
  <c r="X229" i="9" l="1"/>
  <c r="E230" i="9"/>
  <c r="J230" i="9"/>
  <c r="Q230" i="9" s="1"/>
  <c r="L230" i="9" l="1"/>
  <c r="G231" i="9" s="1"/>
  <c r="O231" i="9" s="1"/>
  <c r="S230" i="9"/>
  <c r="V230" i="9"/>
  <c r="M231" i="9" l="1"/>
  <c r="N231" i="9"/>
  <c r="K231" i="9"/>
  <c r="C232" i="9"/>
  <c r="H231" i="9"/>
  <c r="W230" i="9"/>
  <c r="I231" i="9"/>
  <c r="T231" i="9" s="1"/>
  <c r="R231" i="9"/>
  <c r="P231" i="9"/>
  <c r="U231" i="9"/>
  <c r="F231" i="9" l="1"/>
  <c r="D231" i="9"/>
  <c r="X230" i="9" l="1"/>
  <c r="E231" i="9"/>
  <c r="L231" i="9" s="1"/>
  <c r="G232" i="9" s="1"/>
  <c r="O232" i="9" s="1"/>
  <c r="J231" i="9"/>
  <c r="Q231" i="9" s="1"/>
  <c r="K232" i="9" l="1"/>
  <c r="M232" i="9"/>
  <c r="C233" i="9"/>
  <c r="V231" i="9"/>
  <c r="S231" i="9"/>
  <c r="R232" i="9"/>
  <c r="U232" i="9"/>
  <c r="P232" i="9"/>
  <c r="I232" i="9"/>
  <c r="T232" i="9" s="1"/>
  <c r="H232" i="9" l="1"/>
  <c r="W231" i="9"/>
  <c r="F232" i="9" l="1"/>
  <c r="D232" i="9"/>
  <c r="X231" i="9" l="1"/>
  <c r="N232" i="9"/>
  <c r="E232" i="9"/>
  <c r="L232" i="9" s="1"/>
  <c r="J232" i="9"/>
  <c r="Q232" i="9" s="1"/>
  <c r="G233" i="9" l="1"/>
  <c r="O233" i="9" s="1"/>
  <c r="V232" i="9"/>
  <c r="S232" i="9"/>
  <c r="K233" i="9" l="1"/>
  <c r="L233" i="9"/>
  <c r="C234" i="9"/>
  <c r="M233" i="9"/>
  <c r="H233" i="9"/>
  <c r="F233" i="9"/>
  <c r="D233" i="9"/>
  <c r="R233" i="9"/>
  <c r="P233" i="9"/>
  <c r="U233" i="9"/>
  <c r="I233" i="9"/>
  <c r="T233" i="9" s="1"/>
  <c r="W232" i="9"/>
  <c r="X232" i="9" l="1"/>
  <c r="N233" i="9"/>
  <c r="G234" i="9" s="1"/>
  <c r="O234" i="9" s="1"/>
  <c r="E233" i="9"/>
  <c r="J233" i="9"/>
  <c r="M234" i="9" l="1"/>
  <c r="K234" i="9"/>
  <c r="L234" i="9"/>
  <c r="C235" i="9"/>
  <c r="S233" i="9"/>
  <c r="Q233" i="9"/>
  <c r="V233" i="9"/>
  <c r="F234" i="9"/>
  <c r="X233" i="9" l="1"/>
  <c r="W233" i="9"/>
  <c r="H234" i="9"/>
  <c r="D234" i="9"/>
  <c r="U234" i="9"/>
  <c r="P234" i="9"/>
  <c r="R234" i="9"/>
  <c r="I234" i="9"/>
  <c r="T234" i="9" s="1"/>
  <c r="N234" i="9" l="1"/>
  <c r="G235" i="9" s="1"/>
  <c r="E234" i="9"/>
  <c r="J234" i="9"/>
  <c r="Q234" i="9" s="1"/>
  <c r="O235" i="9" l="1"/>
  <c r="L235" i="9"/>
  <c r="M235" i="9"/>
  <c r="C236" i="9"/>
  <c r="S234" i="9"/>
  <c r="V234" i="9"/>
  <c r="H235" i="9" l="1"/>
  <c r="I235" i="9"/>
  <c r="T235" i="9" s="1"/>
  <c r="R235" i="9"/>
  <c r="U235" i="9"/>
  <c r="W234" i="9"/>
  <c r="P235" i="9"/>
  <c r="F235" i="9"/>
  <c r="N235" i="9" s="1"/>
  <c r="D235" i="9"/>
  <c r="K235" i="9" s="1"/>
  <c r="X234" i="9" l="1"/>
  <c r="E235" i="9"/>
  <c r="G236" i="9"/>
  <c r="O236" i="9" s="1"/>
  <c r="J235" i="9"/>
  <c r="Q235" i="9" s="1"/>
  <c r="M236" i="9" l="1"/>
  <c r="N236" i="9"/>
  <c r="C237" i="9"/>
  <c r="V235" i="9"/>
  <c r="S235" i="9"/>
  <c r="H236" i="9" l="1"/>
  <c r="U236" i="9"/>
  <c r="R236" i="9"/>
  <c r="T236" i="9"/>
  <c r="P236" i="9"/>
  <c r="I236" i="9"/>
  <c r="W235" i="9"/>
  <c r="F236" i="9" l="1"/>
  <c r="D236" i="9"/>
  <c r="K236" i="9" s="1"/>
  <c r="X235" i="9" l="1"/>
  <c r="E236" i="9"/>
  <c r="J236" i="9"/>
  <c r="Q236" i="9" s="1"/>
  <c r="L236" i="9" l="1"/>
  <c r="G237" i="9" s="1"/>
  <c r="O237" i="9" s="1"/>
  <c r="V236" i="9"/>
  <c r="S236" i="9"/>
  <c r="M237" i="9" l="1"/>
  <c r="N237" i="9"/>
  <c r="C238" i="9"/>
  <c r="H237" i="9"/>
  <c r="I237" i="9"/>
  <c r="W236" i="9"/>
  <c r="P237" i="9" l="1"/>
  <c r="R237" i="9"/>
  <c r="T237" i="9"/>
  <c r="U237" i="9"/>
  <c r="F237" i="9"/>
  <c r="D237" i="9"/>
  <c r="K237" i="9" s="1"/>
  <c r="X236" i="9" l="1"/>
  <c r="E237" i="9"/>
  <c r="J237" i="9"/>
  <c r="Q237" i="9" s="1"/>
  <c r="L237" i="9" l="1"/>
  <c r="G238" i="9" s="1"/>
  <c r="O238" i="9" s="1"/>
  <c r="V237" i="9"/>
  <c r="S237" i="9"/>
  <c r="M238" i="9" l="1"/>
  <c r="N238" i="9"/>
  <c r="K238" i="9"/>
  <c r="U238" i="9"/>
  <c r="R238" i="9"/>
  <c r="I238" i="9"/>
  <c r="T238" i="9" s="1"/>
  <c r="P238" i="9"/>
  <c r="C239" i="9"/>
  <c r="H238" i="9"/>
  <c r="W237" i="9"/>
  <c r="F238" i="9" l="1"/>
  <c r="D238" i="9"/>
  <c r="X237" i="9" l="1"/>
  <c r="E238" i="9"/>
  <c r="J238" i="9"/>
  <c r="Q238" i="9" s="1"/>
  <c r="L238" i="9" l="1"/>
  <c r="G239" i="9" s="1"/>
  <c r="V238" i="9"/>
  <c r="S238" i="9"/>
  <c r="O239" i="9" l="1"/>
  <c r="K239" i="9"/>
  <c r="M239" i="9"/>
  <c r="C240" i="9"/>
  <c r="H239" i="9"/>
  <c r="F239" i="9"/>
  <c r="D239" i="9"/>
  <c r="U239" i="9"/>
  <c r="P239" i="9"/>
  <c r="R239" i="9"/>
  <c r="I239" i="9"/>
  <c r="T239" i="9" s="1"/>
  <c r="W238" i="9"/>
  <c r="X238" i="9" l="1"/>
  <c r="N239" i="9"/>
  <c r="E239" i="9"/>
  <c r="L239" i="9" s="1"/>
  <c r="J239" i="9"/>
  <c r="G240" i="9" l="1"/>
  <c r="O240" i="9" s="1"/>
  <c r="S239" i="9"/>
  <c r="Q239" i="9"/>
  <c r="V239" i="9"/>
  <c r="F240" i="9"/>
  <c r="X239" i="9" l="1"/>
  <c r="M240" i="9"/>
  <c r="K240" i="9"/>
  <c r="L240" i="9"/>
  <c r="C241" i="9"/>
  <c r="W239" i="9"/>
  <c r="H240" i="9"/>
  <c r="D240" i="9"/>
  <c r="U240" i="9"/>
  <c r="P240" i="9"/>
  <c r="R240" i="9"/>
  <c r="I240" i="9"/>
  <c r="T240" i="9" s="1"/>
  <c r="N240" i="9" l="1"/>
  <c r="G241" i="9" s="1"/>
  <c r="O241" i="9" s="1"/>
  <c r="E240" i="9"/>
  <c r="J240" i="9"/>
  <c r="M241" i="9" l="1"/>
  <c r="K241" i="9"/>
  <c r="L241" i="9"/>
  <c r="C242" i="9"/>
  <c r="V240" i="9"/>
  <c r="Q240" i="9"/>
  <c r="S240" i="9"/>
  <c r="I241" i="9" l="1"/>
  <c r="T241" i="9" s="1"/>
  <c r="H241" i="9"/>
  <c r="U241" i="9"/>
  <c r="W240" i="9"/>
  <c r="P241" i="9"/>
  <c r="R241" i="9"/>
  <c r="D241" i="9"/>
  <c r="F241" i="9"/>
  <c r="N241" i="9" l="1"/>
  <c r="G242" i="9" s="1"/>
  <c r="O242" i="9" s="1"/>
  <c r="X240" i="9"/>
  <c r="E241" i="9"/>
  <c r="J241" i="9"/>
  <c r="Q241" i="9" s="1"/>
  <c r="M242" i="9" l="1"/>
  <c r="K242" i="9"/>
  <c r="L242" i="9"/>
  <c r="C243" i="9"/>
  <c r="V241" i="9"/>
  <c r="S241" i="9"/>
  <c r="H242" i="9" l="1"/>
  <c r="P242" i="9"/>
  <c r="U242" i="9"/>
  <c r="R242" i="9"/>
  <c r="I242" i="9"/>
  <c r="T242" i="9" s="1"/>
  <c r="W241" i="9"/>
  <c r="F242" i="9" l="1"/>
  <c r="D242" i="9"/>
  <c r="X241" i="9" l="1"/>
  <c r="N242" i="9"/>
  <c r="G243" i="9" s="1"/>
  <c r="O243" i="9" s="1"/>
  <c r="E242" i="9"/>
  <c r="J242" i="9"/>
  <c r="Q242" i="9" s="1"/>
  <c r="M243" i="9" l="1"/>
  <c r="C244" i="9"/>
  <c r="K243" i="9"/>
  <c r="L243" i="9"/>
  <c r="V242" i="9"/>
  <c r="S242" i="9"/>
  <c r="H243" i="9" l="1"/>
  <c r="R243" i="9"/>
  <c r="U243" i="9"/>
  <c r="P243" i="9"/>
  <c r="I243" i="9"/>
  <c r="T243" i="9" s="1"/>
  <c r="W242" i="9"/>
  <c r="F243" i="9" l="1"/>
  <c r="D243" i="9"/>
  <c r="N243" i="9" l="1"/>
  <c r="G244" i="9" s="1"/>
  <c r="O244" i="9" s="1"/>
  <c r="X242" i="9"/>
  <c r="E243" i="9"/>
  <c r="J243" i="9"/>
  <c r="Q243" i="9" s="1"/>
  <c r="M244" i="9" l="1"/>
  <c r="K244" i="9"/>
  <c r="L244" i="9"/>
  <c r="C245" i="9"/>
  <c r="V243" i="9"/>
  <c r="S243" i="9"/>
  <c r="R244" i="9"/>
  <c r="U244" i="9"/>
  <c r="P244" i="9"/>
  <c r="I244" i="9"/>
  <c r="T244" i="9" s="1"/>
  <c r="H244" i="9" l="1"/>
  <c r="W243" i="9"/>
  <c r="F244" i="9" l="1"/>
  <c r="D244" i="9"/>
  <c r="N244" i="9" l="1"/>
  <c r="X243" i="9"/>
  <c r="E244" i="9"/>
  <c r="J244" i="9"/>
  <c r="Q244" i="9" s="1"/>
  <c r="G245" i="9" l="1"/>
  <c r="O245" i="9" s="1"/>
  <c r="V244" i="9"/>
  <c r="S244" i="9"/>
  <c r="C246" i="9" l="1"/>
  <c r="L245" i="9"/>
  <c r="K245" i="9"/>
  <c r="M245" i="9"/>
  <c r="H245" i="9"/>
  <c r="F245" i="9"/>
  <c r="X244" i="9" s="1"/>
  <c r="D245" i="9"/>
  <c r="R245" i="9"/>
  <c r="U245" i="9"/>
  <c r="P245" i="9"/>
  <c r="I245" i="9"/>
  <c r="T245" i="9" s="1"/>
  <c r="W244" i="9"/>
  <c r="N245" i="9" l="1"/>
  <c r="E245" i="9"/>
  <c r="J245" i="9"/>
  <c r="V245" i="9" l="1"/>
  <c r="Q245" i="9"/>
  <c r="G246" i="9"/>
  <c r="S245" i="9"/>
  <c r="F246" i="9"/>
  <c r="D246" i="9"/>
  <c r="E246" i="9" s="1"/>
  <c r="X245" i="9" l="1"/>
  <c r="O246" i="9"/>
  <c r="L246" i="9"/>
  <c r="M246" i="9"/>
  <c r="K246" i="9"/>
  <c r="C247" i="9"/>
  <c r="H246" i="9"/>
  <c r="J246" i="9" s="1"/>
  <c r="Q246" i="9" s="1"/>
  <c r="W245" i="9"/>
  <c r="R246" i="9"/>
  <c r="P246" i="9"/>
  <c r="U246" i="9"/>
  <c r="I246" i="9"/>
  <c r="T246" i="9" s="1"/>
  <c r="N246" i="9" l="1"/>
  <c r="G247" i="9" s="1"/>
  <c r="O247" i="9" s="1"/>
  <c r="V246" i="9"/>
  <c r="S246" i="9"/>
  <c r="M247" i="9" l="1"/>
  <c r="N247" i="9"/>
  <c r="L247" i="9"/>
  <c r="C248" i="9"/>
  <c r="W246" i="9"/>
  <c r="H247" i="9" l="1"/>
  <c r="P247" i="9"/>
  <c r="R247" i="9"/>
  <c r="I247" i="9"/>
  <c r="T247" i="9" s="1"/>
  <c r="U247" i="9"/>
  <c r="D247" i="9"/>
  <c r="K247" i="9" s="1"/>
  <c r="F247" i="9"/>
  <c r="X246" i="9" l="1"/>
  <c r="E247" i="9"/>
  <c r="G248" i="9" s="1"/>
  <c r="O248" i="9" s="1"/>
  <c r="J247" i="9"/>
  <c r="Q247" i="9" s="1"/>
  <c r="M248" i="9" l="1"/>
  <c r="N248" i="9"/>
  <c r="L248" i="9"/>
  <c r="C249" i="9"/>
  <c r="V247" i="9"/>
  <c r="S247" i="9"/>
  <c r="H248" i="9" l="1"/>
  <c r="P248" i="9"/>
  <c r="R248" i="9"/>
  <c r="U248" i="9"/>
  <c r="I248" i="9"/>
  <c r="T248" i="9" s="1"/>
  <c r="W247" i="9"/>
  <c r="D248" i="9" l="1"/>
  <c r="K248" i="9" s="1"/>
  <c r="F248" i="9"/>
  <c r="G249" i="9" l="1"/>
  <c r="O249" i="9" s="1"/>
  <c r="X247" i="9"/>
  <c r="E248" i="9"/>
  <c r="J248" i="9"/>
  <c r="Q248" i="9" s="1"/>
  <c r="K249" i="9" l="1"/>
  <c r="N249" i="9"/>
  <c r="C250" i="9"/>
  <c r="M249" i="9"/>
  <c r="L249" i="9"/>
  <c r="V248" i="9"/>
  <c r="S248" i="9"/>
  <c r="U249" i="9"/>
  <c r="R249" i="9"/>
  <c r="P249" i="9"/>
  <c r="I249" i="9"/>
  <c r="T249" i="9" s="1"/>
  <c r="H249" i="9" l="1"/>
  <c r="W248" i="9"/>
  <c r="F249" i="9" l="1"/>
  <c r="D249" i="9"/>
  <c r="G250" i="9" l="1"/>
  <c r="O250" i="9" s="1"/>
  <c r="X248" i="9"/>
  <c r="E249" i="9"/>
  <c r="J249" i="9"/>
  <c r="Q249" i="9" s="1"/>
  <c r="L250" i="9" l="1"/>
  <c r="K250" i="9"/>
  <c r="N250" i="9"/>
  <c r="C251" i="9"/>
  <c r="M250" i="9"/>
  <c r="V249" i="9"/>
  <c r="S249" i="9"/>
  <c r="H250" i="9" l="1"/>
  <c r="U250" i="9"/>
  <c r="R250" i="9"/>
  <c r="P250" i="9"/>
  <c r="I250" i="9"/>
  <c r="T250" i="9" s="1"/>
  <c r="W249" i="9"/>
  <c r="F250" i="9" l="1"/>
  <c r="D250" i="9"/>
  <c r="X249" i="9" l="1"/>
  <c r="G251" i="9"/>
  <c r="O251" i="9" s="1"/>
  <c r="E250" i="9"/>
  <c r="J250" i="9"/>
  <c r="Q250" i="9" s="1"/>
  <c r="M251" i="9" l="1"/>
  <c r="N251" i="9"/>
  <c r="K251" i="9"/>
  <c r="L251" i="9"/>
  <c r="C252" i="9"/>
  <c r="F251" i="9"/>
  <c r="D251" i="9"/>
  <c r="E251" i="9" s="1"/>
  <c r="V250" i="9"/>
  <c r="S250" i="9"/>
  <c r="P251" i="9"/>
  <c r="X250" i="9" l="1"/>
  <c r="R251" i="9"/>
  <c r="I251" i="9"/>
  <c r="T251" i="9" s="1"/>
  <c r="U251" i="9"/>
  <c r="H251" i="9"/>
  <c r="J251" i="9" s="1"/>
  <c r="W250" i="9"/>
  <c r="S251" i="9" l="1"/>
  <c r="Q251" i="9"/>
  <c r="G252" i="9"/>
  <c r="O252" i="9" s="1"/>
  <c r="V251" i="9"/>
  <c r="M252" i="9" l="1"/>
  <c r="N252" i="9"/>
  <c r="K252" i="9"/>
  <c r="L252" i="9"/>
  <c r="C253" i="9"/>
  <c r="W251" i="9"/>
  <c r="H252" i="9"/>
  <c r="R252" i="9"/>
  <c r="P252" i="9"/>
  <c r="U252" i="9"/>
  <c r="I252" i="9"/>
  <c r="T252" i="9" s="1"/>
  <c r="F252" i="9"/>
  <c r="D252" i="9"/>
  <c r="E252" i="9" s="1"/>
  <c r="X251" i="9" l="1"/>
  <c r="J252" i="9"/>
  <c r="Q252" i="9" s="1"/>
  <c r="G253" i="9" l="1"/>
  <c r="O253" i="9" s="1"/>
  <c r="V252" i="9"/>
  <c r="S252" i="9"/>
  <c r="M253" i="9" l="1"/>
  <c r="N253" i="9"/>
  <c r="K253" i="9"/>
  <c r="L253" i="9"/>
  <c r="C254" i="9"/>
  <c r="I253" i="9"/>
  <c r="T253" i="9" s="1"/>
  <c r="P253" i="9"/>
  <c r="U253" i="9"/>
  <c r="R253" i="9"/>
  <c r="H253" i="9"/>
  <c r="W252" i="9"/>
  <c r="D253" i="9" l="1"/>
  <c r="F253" i="9"/>
  <c r="X252" i="9" l="1"/>
  <c r="E253" i="9"/>
  <c r="G254" i="9" s="1"/>
  <c r="O254" i="9" s="1"/>
  <c r="J253" i="9"/>
  <c r="Q253" i="9" s="1"/>
  <c r="M254" i="9" l="1"/>
  <c r="N254" i="9"/>
  <c r="K254" i="9"/>
  <c r="L254" i="9"/>
  <c r="C255" i="9"/>
  <c r="V253" i="9"/>
  <c r="S253" i="9"/>
  <c r="H254" i="9" l="1"/>
  <c r="R254" i="9"/>
  <c r="P254" i="9"/>
  <c r="U254" i="9"/>
  <c r="I254" i="9"/>
  <c r="T254" i="9" s="1"/>
  <c r="W253" i="9"/>
  <c r="F254" i="9" l="1"/>
  <c r="D254" i="9"/>
  <c r="X253" i="9" l="1"/>
  <c r="E254" i="9"/>
  <c r="G255" i="9" s="1"/>
  <c r="O255" i="9" s="1"/>
  <c r="J254" i="9"/>
  <c r="Q254" i="9" s="1"/>
  <c r="M255" i="9" l="1"/>
  <c r="N255" i="9"/>
  <c r="K255" i="9"/>
  <c r="L255" i="9"/>
  <c r="C256" i="9"/>
  <c r="H255" i="9"/>
  <c r="U255" i="9"/>
  <c r="R255" i="9"/>
  <c r="P255" i="9"/>
  <c r="I255" i="9"/>
  <c r="T255" i="9" s="1"/>
  <c r="V254" i="9"/>
  <c r="S254" i="9"/>
  <c r="W254" i="9" l="1"/>
  <c r="F255" i="9" l="1"/>
  <c r="D255" i="9"/>
  <c r="G256" i="9" l="1"/>
  <c r="O256" i="9" s="1"/>
  <c r="X254" i="9"/>
  <c r="E255" i="9"/>
  <c r="J255" i="9"/>
  <c r="Q255" i="9" s="1"/>
  <c r="C257" i="9" l="1"/>
  <c r="L256" i="9"/>
  <c r="N256" i="9"/>
  <c r="K256" i="9"/>
  <c r="M256" i="9"/>
  <c r="V255" i="9"/>
  <c r="S255" i="9"/>
  <c r="H256" i="9" l="1"/>
  <c r="W255" i="9"/>
  <c r="P256" i="9"/>
  <c r="R256" i="9"/>
  <c r="U256" i="9"/>
  <c r="I256" i="9"/>
  <c r="T256" i="9" s="1"/>
  <c r="D256" i="9" l="1"/>
  <c r="F256" i="9"/>
  <c r="G257" i="9" l="1"/>
  <c r="O257" i="9" s="1"/>
  <c r="X255" i="9"/>
  <c r="E256" i="9"/>
  <c r="J256" i="9"/>
  <c r="Q256" i="9" s="1"/>
  <c r="L257" i="9" l="1"/>
  <c r="K257" i="9"/>
  <c r="N257" i="9"/>
  <c r="C258" i="9"/>
  <c r="M257" i="9"/>
  <c r="F257" i="9"/>
  <c r="D257" i="9"/>
  <c r="V256" i="9"/>
  <c r="S256" i="9"/>
  <c r="P257" i="9"/>
  <c r="X256" i="9" l="1"/>
  <c r="E257" i="9"/>
  <c r="U257" i="9"/>
  <c r="I257" i="9"/>
  <c r="T257" i="9" s="1"/>
  <c r="R257" i="9"/>
  <c r="H257" i="9"/>
  <c r="J257" i="9" s="1"/>
  <c r="W256" i="9"/>
  <c r="S257" i="9" l="1"/>
  <c r="Q257" i="9"/>
  <c r="G258" i="9"/>
  <c r="O258" i="9" s="1"/>
  <c r="V257" i="9"/>
  <c r="M258" i="9" l="1"/>
  <c r="N258" i="9"/>
  <c r="K258" i="9"/>
  <c r="L258" i="9"/>
  <c r="C259" i="9"/>
  <c r="W257" i="9"/>
  <c r="H258" i="9"/>
  <c r="U258" i="9"/>
  <c r="R258" i="9"/>
  <c r="P258" i="9"/>
  <c r="I258" i="9"/>
  <c r="T258" i="9" s="1"/>
  <c r="F258" i="9"/>
  <c r="D258" i="9"/>
  <c r="E258" i="9" s="1"/>
  <c r="X257" i="9" l="1"/>
  <c r="J258" i="9"/>
  <c r="Q258" i="9" s="1"/>
  <c r="G259" i="9" l="1"/>
  <c r="O259" i="9" s="1"/>
  <c r="V258" i="9"/>
  <c r="S258" i="9"/>
  <c r="I259" i="9"/>
  <c r="T259" i="9" l="1"/>
  <c r="M259" i="9"/>
  <c r="N259" i="9"/>
  <c r="K259" i="9"/>
  <c r="L259" i="9"/>
  <c r="R259" i="9"/>
  <c r="U259" i="9"/>
  <c r="C260" i="9"/>
  <c r="P259" i="9"/>
  <c r="H259" i="9"/>
  <c r="W258" i="9"/>
  <c r="D259" i="9" l="1"/>
  <c r="F259" i="9"/>
  <c r="X258" i="9" l="1"/>
  <c r="E259" i="9"/>
  <c r="G260" i="9" s="1"/>
  <c r="O260" i="9" s="1"/>
  <c r="J259" i="9"/>
  <c r="Q259" i="9" s="1"/>
  <c r="M260" i="9" l="1"/>
  <c r="N260" i="9"/>
  <c r="K260" i="9"/>
  <c r="L260" i="9"/>
  <c r="C261" i="9"/>
  <c r="V259" i="9"/>
  <c r="S259" i="9"/>
  <c r="H260" i="9" l="1"/>
  <c r="U260" i="9"/>
  <c r="P260" i="9"/>
  <c r="R260" i="9"/>
  <c r="I260" i="9"/>
  <c r="T260" i="9" s="1"/>
  <c r="W259" i="9"/>
  <c r="F260" i="9" l="1"/>
  <c r="D260" i="9"/>
  <c r="X259" i="9" l="1"/>
  <c r="E260" i="9"/>
  <c r="G261" i="9" s="1"/>
  <c r="O261" i="9" s="1"/>
  <c r="J260" i="9"/>
  <c r="Q260" i="9" s="1"/>
  <c r="M261" i="9" l="1"/>
  <c r="N261" i="9"/>
  <c r="K261" i="9"/>
  <c r="L261" i="9"/>
  <c r="C262" i="9"/>
  <c r="V260" i="9"/>
  <c r="S260" i="9"/>
  <c r="P261" i="9" l="1"/>
  <c r="U261" i="9"/>
  <c r="I261" i="9"/>
  <c r="T261" i="9" s="1"/>
  <c r="R261" i="9"/>
  <c r="H261" i="9"/>
  <c r="W260" i="9"/>
  <c r="F261" i="9" l="1"/>
  <c r="D261" i="9"/>
  <c r="X260" i="9" l="1"/>
  <c r="E261" i="9"/>
  <c r="G262" i="9" s="1"/>
  <c r="O262" i="9" s="1"/>
  <c r="J261" i="9"/>
  <c r="Q261" i="9" s="1"/>
  <c r="M262" i="9" l="1"/>
  <c r="N262" i="9"/>
  <c r="K262" i="9"/>
  <c r="L262" i="9"/>
  <c r="C263" i="9"/>
  <c r="V261" i="9"/>
  <c r="S261" i="9"/>
  <c r="H262" i="9" l="1"/>
  <c r="R262" i="9"/>
  <c r="P262" i="9"/>
  <c r="U262" i="9"/>
  <c r="I262" i="9"/>
  <c r="T262" i="9" s="1"/>
  <c r="W261" i="9"/>
  <c r="F262" i="9" l="1"/>
  <c r="D262" i="9"/>
  <c r="G263" i="9" l="1"/>
  <c r="O263" i="9" s="1"/>
  <c r="X261" i="9"/>
  <c r="E262" i="9"/>
  <c r="J262" i="9"/>
  <c r="Q262" i="9" s="1"/>
  <c r="C264" i="9" l="1"/>
  <c r="L263" i="9"/>
  <c r="N263" i="9"/>
  <c r="K263" i="9"/>
  <c r="M263" i="9"/>
  <c r="V262" i="9"/>
  <c r="S262" i="9"/>
  <c r="U263" i="9"/>
  <c r="I263" i="9"/>
  <c r="D263" i="9" l="1"/>
  <c r="F263" i="9"/>
  <c r="T263" i="9"/>
  <c r="P263" i="9"/>
  <c r="R263" i="9"/>
  <c r="H263" i="9"/>
  <c r="J263" i="9" s="1"/>
  <c r="W262" i="9"/>
  <c r="X262" i="9" l="1"/>
  <c r="S263" i="9"/>
  <c r="Q263" i="9"/>
  <c r="G264" i="9"/>
  <c r="O264" i="9" s="1"/>
  <c r="E263" i="9"/>
  <c r="V263" i="9"/>
  <c r="M264" i="9" l="1"/>
  <c r="N264" i="9"/>
  <c r="K264" i="9"/>
  <c r="L264" i="9"/>
  <c r="C265" i="9"/>
  <c r="W263" i="9"/>
  <c r="F264" i="9"/>
  <c r="D264" i="9"/>
  <c r="E264" i="9" s="1"/>
  <c r="X263" i="9" l="1"/>
  <c r="H264" i="9"/>
  <c r="J264" i="9" s="1"/>
  <c r="Q264" i="9" s="1"/>
  <c r="U264" i="9"/>
  <c r="P264" i="9"/>
  <c r="I264" i="9"/>
  <c r="R264" i="9"/>
  <c r="G265" i="9" l="1"/>
  <c r="O265" i="9" s="1"/>
  <c r="T264" i="9"/>
  <c r="V264" i="9"/>
  <c r="S264" i="9"/>
  <c r="M265" i="9" l="1"/>
  <c r="N265" i="9"/>
  <c r="K265" i="9"/>
  <c r="L265" i="9"/>
  <c r="C266" i="9"/>
  <c r="I265" i="9"/>
  <c r="T265" i="9" s="1"/>
  <c r="P265" i="9"/>
  <c r="U265" i="9"/>
  <c r="H265" i="9"/>
  <c r="R265" i="9"/>
  <c r="W264" i="9"/>
  <c r="F265" i="9" l="1"/>
  <c r="D265" i="9"/>
  <c r="G266" i="9" l="1"/>
  <c r="O266" i="9" s="1"/>
  <c r="X264" i="9"/>
  <c r="E265" i="9"/>
  <c r="J265" i="9"/>
  <c r="Q265" i="9" s="1"/>
  <c r="C267" i="9" l="1"/>
  <c r="L266" i="9"/>
  <c r="N266" i="9"/>
  <c r="K266" i="9"/>
  <c r="M266" i="9"/>
  <c r="V265" i="9"/>
  <c r="S265" i="9"/>
  <c r="H266" i="9" l="1"/>
  <c r="W265" i="9"/>
  <c r="R266" i="9"/>
  <c r="U266" i="9"/>
  <c r="P266" i="9"/>
  <c r="I266" i="9"/>
  <c r="T266" i="9" s="1"/>
  <c r="F266" i="9" l="1"/>
  <c r="D266" i="9"/>
  <c r="G267" i="9" l="1"/>
  <c r="O267" i="9" s="1"/>
  <c r="X265" i="9"/>
  <c r="E266" i="9"/>
  <c r="J266" i="9"/>
  <c r="Q266" i="9" s="1"/>
  <c r="K267" i="9" l="1"/>
  <c r="L267" i="9"/>
  <c r="N267" i="9"/>
  <c r="C268" i="9"/>
  <c r="M267" i="9"/>
  <c r="V266" i="9"/>
  <c r="S266" i="9"/>
  <c r="H267" i="9" l="1"/>
  <c r="I267" i="9"/>
  <c r="T267" i="9" s="1"/>
  <c r="U267" i="9"/>
  <c r="P267" i="9"/>
  <c r="R267" i="9"/>
  <c r="W266" i="9"/>
  <c r="F267" i="9"/>
  <c r="D267" i="9"/>
  <c r="X266" i="9" l="1"/>
  <c r="G268" i="9"/>
  <c r="O268" i="9" s="1"/>
  <c r="E267" i="9"/>
  <c r="J267" i="9"/>
  <c r="Q267" i="9" s="1"/>
  <c r="M268" i="9" l="1"/>
  <c r="N268" i="9"/>
  <c r="K268" i="9"/>
  <c r="L268" i="9"/>
  <c r="C269" i="9"/>
  <c r="V267" i="9"/>
  <c r="S267" i="9"/>
  <c r="H268" i="9" l="1"/>
  <c r="U268" i="9"/>
  <c r="P268" i="9"/>
  <c r="R268" i="9"/>
  <c r="I268" i="9"/>
  <c r="T268" i="9" s="1"/>
  <c r="W267" i="9"/>
  <c r="D268" i="9" l="1"/>
  <c r="F268" i="9"/>
  <c r="X267" i="9" l="1"/>
  <c r="G269" i="9"/>
  <c r="O269" i="9" s="1"/>
  <c r="E268" i="9"/>
  <c r="J268" i="9"/>
  <c r="Q268" i="9" s="1"/>
  <c r="M269" i="9" l="1"/>
  <c r="N269" i="9"/>
  <c r="K269" i="9"/>
  <c r="L269" i="9"/>
  <c r="C270" i="9"/>
  <c r="H269" i="9"/>
  <c r="J269" i="9" s="1"/>
  <c r="Q269" i="9" s="1"/>
  <c r="D269" i="9"/>
  <c r="E269" i="9" s="1"/>
  <c r="F269" i="9"/>
  <c r="V268" i="9"/>
  <c r="S268" i="9"/>
  <c r="R269" i="9"/>
  <c r="U269" i="9"/>
  <c r="T269" i="9"/>
  <c r="P269" i="9"/>
  <c r="I269" i="9"/>
  <c r="X268" i="9" l="1"/>
  <c r="V269" i="9"/>
  <c r="S269" i="9"/>
  <c r="W268" i="9"/>
  <c r="G270" i="9" l="1"/>
  <c r="O270" i="9" s="1"/>
  <c r="W269" i="9"/>
  <c r="M270" i="9" l="1"/>
  <c r="N270" i="9"/>
  <c r="K270" i="9"/>
  <c r="L270" i="9"/>
  <c r="C271" i="9"/>
  <c r="H270" i="9"/>
  <c r="P270" i="9"/>
  <c r="R270" i="9"/>
  <c r="U270" i="9"/>
  <c r="T270" i="9"/>
  <c r="I270" i="9"/>
  <c r="F270" i="9"/>
  <c r="D270" i="9"/>
  <c r="X269" i="9" l="1"/>
  <c r="G271" i="9"/>
  <c r="O271" i="9" s="1"/>
  <c r="E270" i="9"/>
  <c r="H271" i="9"/>
  <c r="J270" i="9"/>
  <c r="Q270" i="9" s="1"/>
  <c r="L271" i="9" l="1"/>
  <c r="N271" i="9"/>
  <c r="C272" i="9"/>
  <c r="K271" i="9"/>
  <c r="G272" i="9" s="1"/>
  <c r="O272" i="9" s="1"/>
  <c r="M271" i="9"/>
  <c r="V270" i="9"/>
  <c r="S270" i="9"/>
  <c r="U271" i="9"/>
  <c r="R271" i="9"/>
  <c r="P271" i="9"/>
  <c r="I271" i="9"/>
  <c r="T271" i="9" s="1"/>
  <c r="M272" i="9" l="1"/>
  <c r="N272" i="9"/>
  <c r="K272" i="9"/>
  <c r="L272" i="9"/>
  <c r="C273" i="9"/>
  <c r="W270" i="9"/>
  <c r="F271" i="9" l="1"/>
  <c r="D271" i="9"/>
  <c r="X270" i="9" l="1"/>
  <c r="H272" i="9"/>
  <c r="E271" i="9"/>
  <c r="J271" i="9"/>
  <c r="Q271" i="9" s="1"/>
  <c r="V271" i="9" l="1"/>
  <c r="S271" i="9"/>
  <c r="G273" i="9" l="1"/>
  <c r="O273" i="9" s="1"/>
  <c r="P272" i="9"/>
  <c r="U272" i="9"/>
  <c r="R272" i="9"/>
  <c r="T272" i="9"/>
  <c r="I272" i="9"/>
  <c r="W271" i="9"/>
  <c r="M273" i="9" l="1"/>
  <c r="N273" i="9"/>
  <c r="K273" i="9"/>
  <c r="L273" i="9"/>
  <c r="C274" i="9"/>
  <c r="F272" i="9"/>
  <c r="D272" i="9"/>
  <c r="X271" i="9" l="1"/>
  <c r="H273" i="9"/>
  <c r="E272" i="9"/>
  <c r="J272" i="9"/>
  <c r="Q272" i="9" s="1"/>
  <c r="G274" i="9" l="1"/>
  <c r="O274" i="9" s="1"/>
  <c r="V272" i="9"/>
  <c r="S272" i="9"/>
  <c r="P273" i="9"/>
  <c r="R273" i="9"/>
  <c r="T273" i="9"/>
  <c r="U273" i="9"/>
  <c r="I273" i="9"/>
  <c r="M274" i="9" l="1"/>
  <c r="N274" i="9"/>
  <c r="K274" i="9"/>
  <c r="L274" i="9"/>
  <c r="C275" i="9"/>
  <c r="W272" i="9"/>
  <c r="D273" i="9" l="1"/>
  <c r="F273" i="9"/>
  <c r="X272" i="9" l="1"/>
  <c r="H274" i="9"/>
  <c r="E273" i="9"/>
  <c r="J273" i="9"/>
  <c r="Q273" i="9" s="1"/>
  <c r="V273" i="9" l="1"/>
  <c r="S273" i="9"/>
  <c r="G275" i="9" l="1"/>
  <c r="O275" i="9" s="1"/>
  <c r="U274" i="9"/>
  <c r="P274" i="9"/>
  <c r="R274" i="9"/>
  <c r="I274" i="9"/>
  <c r="T274" i="9" s="1"/>
  <c r="W273" i="9"/>
  <c r="M275" i="9" l="1"/>
  <c r="N275" i="9"/>
  <c r="K275" i="9"/>
  <c r="L275" i="9"/>
  <c r="C276" i="9"/>
  <c r="F274" i="9"/>
  <c r="D274" i="9"/>
  <c r="X273" i="9" l="1"/>
  <c r="H275" i="9"/>
  <c r="F275" i="9"/>
  <c r="E274" i="9"/>
  <c r="J274" i="9"/>
  <c r="Q274" i="9" s="1"/>
  <c r="X274" i="9" l="1"/>
  <c r="G276" i="9"/>
  <c r="O276" i="9" s="1"/>
  <c r="D275" i="9"/>
  <c r="V274" i="9"/>
  <c r="S274" i="9"/>
  <c r="U275" i="9"/>
  <c r="R275" i="9"/>
  <c r="P275" i="9"/>
  <c r="I275" i="9"/>
  <c r="T275" i="9" s="1"/>
  <c r="M276" i="9" l="1"/>
  <c r="N276" i="9"/>
  <c r="K276" i="9"/>
  <c r="L276" i="9"/>
  <c r="C277" i="9"/>
  <c r="E275" i="9"/>
  <c r="H276" i="9"/>
  <c r="J275" i="9"/>
  <c r="W274" i="9"/>
  <c r="V275" i="9" l="1"/>
  <c r="Q275" i="9"/>
  <c r="S275" i="9"/>
  <c r="G277" i="9" l="1"/>
  <c r="O277" i="9" s="1"/>
  <c r="W275" i="9"/>
  <c r="P276" i="9"/>
  <c r="R276" i="9"/>
  <c r="U276" i="9"/>
  <c r="I276" i="9"/>
  <c r="T276" i="9" s="1"/>
  <c r="F276" i="9"/>
  <c r="D276" i="9"/>
  <c r="X275" i="9" l="1"/>
  <c r="M277" i="9"/>
  <c r="N277" i="9"/>
  <c r="K277" i="9"/>
  <c r="L277" i="9"/>
  <c r="C278" i="9"/>
  <c r="E276" i="9"/>
  <c r="H277" i="9"/>
  <c r="J276" i="9"/>
  <c r="Q276" i="9" s="1"/>
  <c r="G278" i="9" l="1"/>
  <c r="O278" i="9" s="1"/>
  <c r="V276" i="9"/>
  <c r="S276" i="9"/>
  <c r="P277" i="9"/>
  <c r="R277" i="9"/>
  <c r="U277" i="9"/>
  <c r="T277" i="9"/>
  <c r="I277" i="9"/>
  <c r="M278" i="9" l="1"/>
  <c r="N278" i="9"/>
  <c r="K278" i="9"/>
  <c r="L278" i="9"/>
  <c r="C279" i="9"/>
  <c r="W276" i="9"/>
  <c r="D277" i="9" l="1"/>
  <c r="F277" i="9"/>
  <c r="X276" i="9" l="1"/>
  <c r="H278" i="9"/>
  <c r="E277" i="9"/>
  <c r="J277" i="9"/>
  <c r="Q277" i="9" s="1"/>
  <c r="V277" i="9" l="1"/>
  <c r="S277" i="9"/>
  <c r="G279" i="9" l="1"/>
  <c r="O279" i="9" s="1"/>
  <c r="P278" i="9"/>
  <c r="R278" i="9"/>
  <c r="U278" i="9"/>
  <c r="T278" i="9"/>
  <c r="I278" i="9"/>
  <c r="W277" i="9"/>
  <c r="M279" i="9" l="1"/>
  <c r="N279" i="9"/>
  <c r="K279" i="9"/>
  <c r="L279" i="9"/>
  <c r="C280" i="9"/>
  <c r="F278" i="9"/>
  <c r="D278" i="9"/>
  <c r="X277" i="9" l="1"/>
  <c r="H279" i="9"/>
  <c r="E278" i="9"/>
  <c r="J278" i="9"/>
  <c r="Q278" i="9" s="1"/>
  <c r="G280" i="9" l="1"/>
  <c r="O280" i="9" s="1"/>
  <c r="V278" i="9"/>
  <c r="S278" i="9"/>
  <c r="R279" i="9"/>
  <c r="U279" i="9"/>
  <c r="T279" i="9"/>
  <c r="P279" i="9"/>
  <c r="I279" i="9"/>
  <c r="M280" i="9" l="1"/>
  <c r="N280" i="9"/>
  <c r="K280" i="9"/>
  <c r="L280" i="9"/>
  <c r="C281" i="9"/>
  <c r="W278" i="9"/>
  <c r="F279" i="9" l="1"/>
  <c r="D279" i="9"/>
  <c r="X278" i="9" l="1"/>
  <c r="H280" i="9"/>
  <c r="E279" i="9"/>
  <c r="J279" i="9"/>
  <c r="Q279" i="9" s="1"/>
  <c r="V279" i="9" l="1"/>
  <c r="S279" i="9"/>
  <c r="G281" i="9" l="1"/>
  <c r="O281" i="9" s="1"/>
  <c r="W279" i="9"/>
  <c r="P280" i="9"/>
  <c r="U280" i="9"/>
  <c r="R280" i="9"/>
  <c r="I280" i="9"/>
  <c r="T280" i="9" s="1"/>
  <c r="M281" i="9" l="1"/>
  <c r="N281" i="9"/>
  <c r="K281" i="9"/>
  <c r="L281" i="9"/>
  <c r="C282" i="9"/>
  <c r="F280" i="9"/>
  <c r="D280" i="9"/>
  <c r="X279" i="9" l="1"/>
  <c r="H281" i="9"/>
  <c r="E280" i="9"/>
  <c r="J280" i="9"/>
  <c r="Q280" i="9" s="1"/>
  <c r="G282" i="9" l="1"/>
  <c r="O282" i="9" s="1"/>
  <c r="F281" i="9"/>
  <c r="D281" i="9"/>
  <c r="V280" i="9"/>
  <c r="S280" i="9"/>
  <c r="P281" i="9"/>
  <c r="U281" i="9"/>
  <c r="R281" i="9"/>
  <c r="I281" i="9"/>
  <c r="T281" i="9" s="1"/>
  <c r="J281" i="9"/>
  <c r="Q281" i="9" s="1"/>
  <c r="X280" i="9" l="1"/>
  <c r="M282" i="9"/>
  <c r="N282" i="9"/>
  <c r="K282" i="9"/>
  <c r="L282" i="9"/>
  <c r="C283" i="9"/>
  <c r="E281" i="9"/>
  <c r="H282" i="9"/>
  <c r="V281" i="9"/>
  <c r="S281" i="9"/>
  <c r="W280" i="9"/>
  <c r="W281" i="9" l="1"/>
  <c r="G283" i="9" l="1"/>
  <c r="O283" i="9" s="1"/>
  <c r="R282" i="9"/>
  <c r="U282" i="9"/>
  <c r="T282" i="9"/>
  <c r="P282" i="9"/>
  <c r="I282" i="9"/>
  <c r="D282" i="9"/>
  <c r="F282" i="9"/>
  <c r="X281" i="9" l="1"/>
  <c r="M283" i="9"/>
  <c r="N283" i="9"/>
  <c r="K283" i="9"/>
  <c r="L283" i="9"/>
  <c r="C284" i="9"/>
  <c r="E282" i="9"/>
  <c r="H283" i="9"/>
  <c r="J282" i="9"/>
  <c r="Q282" i="9" s="1"/>
  <c r="G284" i="9" l="1"/>
  <c r="O284" i="9" s="1"/>
  <c r="V282" i="9"/>
  <c r="S282" i="9"/>
  <c r="U283" i="9"/>
  <c r="P283" i="9"/>
  <c r="R283" i="9"/>
  <c r="T283" i="9"/>
  <c r="I283" i="9"/>
  <c r="M284" i="9" l="1"/>
  <c r="N284" i="9"/>
  <c r="K284" i="9"/>
  <c r="L284" i="9"/>
  <c r="C285" i="9"/>
  <c r="W282" i="9"/>
  <c r="D283" i="9" l="1"/>
  <c r="F283" i="9"/>
  <c r="X282" i="9" l="1"/>
  <c r="H284" i="9"/>
  <c r="E283" i="9"/>
  <c r="J283" i="9"/>
  <c r="Q283" i="9" s="1"/>
  <c r="V283" i="9" l="1"/>
  <c r="S283" i="9"/>
  <c r="G285" i="9" l="1"/>
  <c r="O285" i="9" s="1"/>
  <c r="R284" i="9"/>
  <c r="T284" i="9"/>
  <c r="U284" i="9"/>
  <c r="P284" i="9"/>
  <c r="I284" i="9"/>
  <c r="W283" i="9"/>
  <c r="M285" i="9" l="1"/>
  <c r="N285" i="9"/>
  <c r="K285" i="9"/>
  <c r="L285" i="9"/>
  <c r="C286" i="9"/>
  <c r="F284" i="9"/>
  <c r="D284" i="9"/>
  <c r="X283" i="9" l="1"/>
  <c r="H285" i="9"/>
  <c r="E284" i="9"/>
  <c r="J284" i="9"/>
  <c r="Q284" i="9" s="1"/>
  <c r="G286" i="9" l="1"/>
  <c r="O286" i="9" s="1"/>
  <c r="U285" i="9"/>
  <c r="T285" i="9"/>
  <c r="P285" i="9"/>
  <c r="R285" i="9"/>
  <c r="I285" i="9"/>
  <c r="V284" i="9"/>
  <c r="S284" i="9"/>
  <c r="M286" i="9" l="1"/>
  <c r="N286" i="9"/>
  <c r="K286" i="9"/>
  <c r="L286" i="9"/>
  <c r="C287" i="9"/>
  <c r="W284" i="9"/>
  <c r="F285" i="9"/>
  <c r="D285" i="9"/>
  <c r="X284" i="9" l="1"/>
  <c r="H286" i="9"/>
  <c r="E285" i="9"/>
  <c r="J285" i="9"/>
  <c r="Q285" i="9" s="1"/>
  <c r="V285" i="9" l="1"/>
  <c r="S285" i="9"/>
  <c r="G287" i="9" l="1"/>
  <c r="O287" i="9" s="1"/>
  <c r="R286" i="9"/>
  <c r="P286" i="9"/>
  <c r="U286" i="9"/>
  <c r="T286" i="9"/>
  <c r="I286" i="9"/>
  <c r="W285" i="9"/>
  <c r="M287" i="9" l="1"/>
  <c r="N287" i="9"/>
  <c r="K287" i="9"/>
  <c r="L287" i="9"/>
  <c r="C288" i="9"/>
  <c r="D286" i="9"/>
  <c r="F286" i="9"/>
  <c r="X285" i="9" l="1"/>
  <c r="H287" i="9"/>
  <c r="E286" i="9"/>
  <c r="J286" i="9"/>
  <c r="Q286" i="9" s="1"/>
  <c r="V286" i="9" l="1"/>
  <c r="S286" i="9"/>
  <c r="G288" i="9" l="1"/>
  <c r="O288" i="9" s="1"/>
  <c r="W286" i="9"/>
  <c r="D287" i="9"/>
  <c r="F287" i="9"/>
  <c r="U287" i="9"/>
  <c r="P287" i="9"/>
  <c r="R287" i="9"/>
  <c r="I287" i="9"/>
  <c r="T287" i="9" s="1"/>
  <c r="X286" i="9" l="1"/>
  <c r="M288" i="9"/>
  <c r="N288" i="9"/>
  <c r="K288" i="9"/>
  <c r="L288" i="9"/>
  <c r="C289" i="9"/>
  <c r="E287" i="9"/>
  <c r="H288" i="9"/>
  <c r="J287" i="9"/>
  <c r="Q287" i="9" s="1"/>
  <c r="V287" i="9" l="1"/>
  <c r="S287" i="9"/>
  <c r="F288" i="9"/>
  <c r="X287" i="9" l="1"/>
  <c r="G289" i="9"/>
  <c r="O289" i="9" s="1"/>
  <c r="D288" i="9"/>
  <c r="R288" i="9"/>
  <c r="P288" i="9"/>
  <c r="U288" i="9"/>
  <c r="T288" i="9"/>
  <c r="I288" i="9"/>
  <c r="W287" i="9"/>
  <c r="M289" i="9" l="1"/>
  <c r="N289" i="9"/>
  <c r="K289" i="9"/>
  <c r="L289" i="9"/>
  <c r="C290" i="9"/>
  <c r="E288" i="9"/>
  <c r="H289" i="9"/>
  <c r="J288" i="9"/>
  <c r="S288" i="9" l="1"/>
  <c r="Q288" i="9"/>
  <c r="V288" i="9"/>
  <c r="W288" i="9" l="1"/>
  <c r="G290" i="9"/>
  <c r="O290" i="9" s="1"/>
  <c r="R289" i="9"/>
  <c r="P289" i="9"/>
  <c r="T289" i="9"/>
  <c r="U289" i="9"/>
  <c r="I289" i="9"/>
  <c r="F289" i="9"/>
  <c r="D289" i="9"/>
  <c r="X288" i="9" l="1"/>
  <c r="M290" i="9"/>
  <c r="N290" i="9"/>
  <c r="K290" i="9"/>
  <c r="L290" i="9"/>
  <c r="C291" i="9"/>
  <c r="E289" i="9"/>
  <c r="H290" i="9"/>
  <c r="J289" i="9"/>
  <c r="Q289" i="9" s="1"/>
  <c r="V289" i="9" l="1"/>
  <c r="S289" i="9"/>
  <c r="R290" i="9"/>
  <c r="T290" i="9"/>
  <c r="I290" i="9"/>
  <c r="U290" i="9" l="1"/>
  <c r="G291" i="9"/>
  <c r="O291" i="9" s="1"/>
  <c r="P290" i="9"/>
  <c r="W289" i="9"/>
  <c r="M291" i="9" l="1"/>
  <c r="N291" i="9"/>
  <c r="K291" i="9"/>
  <c r="L291" i="9"/>
  <c r="C292" i="9"/>
  <c r="F290" i="9"/>
  <c r="D290" i="9"/>
  <c r="X289" i="9" l="1"/>
  <c r="H291" i="9"/>
  <c r="E290" i="9"/>
  <c r="J290" i="9"/>
  <c r="Q290" i="9" s="1"/>
  <c r="V290" i="9" l="1"/>
  <c r="S290" i="9"/>
  <c r="G292" i="9" l="1"/>
  <c r="O292" i="9" s="1"/>
  <c r="R291" i="9"/>
  <c r="T291" i="9"/>
  <c r="U291" i="9"/>
  <c r="P291" i="9"/>
  <c r="I291" i="9"/>
  <c r="W290" i="9"/>
  <c r="M292" i="9" l="1"/>
  <c r="N292" i="9"/>
  <c r="K292" i="9"/>
  <c r="L292" i="9"/>
  <c r="C293" i="9"/>
  <c r="F291" i="9"/>
  <c r="D291" i="9"/>
  <c r="X290" i="9" l="1"/>
  <c r="H292" i="9"/>
  <c r="E291" i="9"/>
  <c r="J291" i="9"/>
  <c r="Q291" i="9" s="1"/>
  <c r="G293" i="9" l="1"/>
  <c r="O293" i="9" s="1"/>
  <c r="V291" i="9"/>
  <c r="S291" i="9"/>
  <c r="R292" i="9"/>
  <c r="U292" i="9"/>
  <c r="P292" i="9"/>
  <c r="I292" i="9"/>
  <c r="T292" i="9" s="1"/>
  <c r="M293" i="9" l="1"/>
  <c r="N293" i="9"/>
  <c r="K293" i="9"/>
  <c r="L293" i="9"/>
  <c r="C294" i="9"/>
  <c r="W291" i="9"/>
  <c r="F292" i="9" l="1"/>
  <c r="D292" i="9"/>
  <c r="X291" i="9" l="1"/>
  <c r="H293" i="9"/>
  <c r="E292" i="9"/>
  <c r="J292" i="9"/>
  <c r="Q292" i="9" s="1"/>
  <c r="V292" i="9" l="1"/>
  <c r="S292" i="9"/>
  <c r="G294" i="9" l="1"/>
  <c r="O294" i="9" s="1"/>
  <c r="W292" i="9"/>
  <c r="F293" i="9"/>
  <c r="D293" i="9"/>
  <c r="R293" i="9"/>
  <c r="U293" i="9"/>
  <c r="T293" i="9"/>
  <c r="P293" i="9"/>
  <c r="I293" i="9"/>
  <c r="X292" i="9" l="1"/>
  <c r="M294" i="9"/>
  <c r="N294" i="9"/>
  <c r="K294" i="9"/>
  <c r="L294" i="9"/>
  <c r="C295" i="9"/>
  <c r="E293" i="9"/>
  <c r="H294" i="9"/>
  <c r="J293" i="9"/>
  <c r="Q293" i="9" s="1"/>
  <c r="I294" i="9" l="1"/>
  <c r="V293" i="9"/>
  <c r="S293" i="9"/>
  <c r="F294" i="9"/>
  <c r="D294" i="9"/>
  <c r="X293" i="9" l="1"/>
  <c r="E294" i="9"/>
  <c r="G295" i="9"/>
  <c r="O295" i="9" s="1"/>
  <c r="T294" i="9"/>
  <c r="H295" i="9"/>
  <c r="R294" i="9"/>
  <c r="U294" i="9"/>
  <c r="P294" i="9"/>
  <c r="J294" i="9"/>
  <c r="Q294" i="9" s="1"/>
  <c r="W293" i="9"/>
  <c r="M295" i="9" l="1"/>
  <c r="N295" i="9"/>
  <c r="K295" i="9"/>
  <c r="G296" i="9" s="1"/>
  <c r="O296" i="9" s="1"/>
  <c r="L295" i="9"/>
  <c r="C296" i="9"/>
  <c r="V294" i="9"/>
  <c r="S294" i="9"/>
  <c r="U295" i="9"/>
  <c r="P295" i="9"/>
  <c r="R295" i="9"/>
  <c r="T295" i="9"/>
  <c r="I295" i="9"/>
  <c r="M296" i="9" l="1"/>
  <c r="N296" i="9"/>
  <c r="K296" i="9"/>
  <c r="L296" i="9"/>
  <c r="C297" i="9"/>
  <c r="W294" i="9"/>
  <c r="F295" i="9" l="1"/>
  <c r="D295" i="9"/>
  <c r="X294" i="9" l="1"/>
  <c r="H296" i="9"/>
  <c r="E295" i="9"/>
  <c r="J295" i="9"/>
  <c r="Q295" i="9" s="1"/>
  <c r="V295" i="9" l="1"/>
  <c r="S295" i="9"/>
  <c r="G297" i="9" l="1"/>
  <c r="O297" i="9" s="1"/>
  <c r="P296" i="9"/>
  <c r="T296" i="9"/>
  <c r="U296" i="9"/>
  <c r="R296" i="9"/>
  <c r="I296" i="9"/>
  <c r="W295" i="9"/>
  <c r="M297" i="9" l="1"/>
  <c r="N297" i="9"/>
  <c r="K297" i="9"/>
  <c r="L297" i="9"/>
  <c r="C298" i="9"/>
  <c r="F296" i="9"/>
  <c r="D296" i="9"/>
  <c r="X295" i="9" l="1"/>
  <c r="H297" i="9"/>
  <c r="E296" i="9"/>
  <c r="J296" i="9"/>
  <c r="Q296" i="9" s="1"/>
  <c r="G298" i="9" l="1"/>
  <c r="O298" i="9" s="1"/>
  <c r="V296" i="9"/>
  <c r="S296" i="9"/>
  <c r="U297" i="9"/>
  <c r="P297" i="9"/>
  <c r="R297" i="9"/>
  <c r="T297" i="9"/>
  <c r="I297" i="9"/>
  <c r="M298" i="9" l="1"/>
  <c r="N298" i="9"/>
  <c r="K298" i="9"/>
  <c r="L298" i="9"/>
  <c r="C299" i="9"/>
  <c r="W296" i="9"/>
  <c r="F297" i="9" l="1"/>
  <c r="D297" i="9"/>
  <c r="X296" i="9" l="1"/>
  <c r="H298" i="9"/>
  <c r="E297" i="9"/>
  <c r="J297" i="9"/>
  <c r="Q297" i="9" s="1"/>
  <c r="V297" i="9" l="1"/>
  <c r="S297" i="9"/>
  <c r="G299" i="9" l="1"/>
  <c r="O299" i="9" s="1"/>
  <c r="R298" i="9"/>
  <c r="U298" i="9"/>
  <c r="T298" i="9"/>
  <c r="P298" i="9"/>
  <c r="I298" i="9"/>
  <c r="W297" i="9"/>
  <c r="M299" i="9" l="1"/>
  <c r="N299" i="9"/>
  <c r="K299" i="9"/>
  <c r="L299" i="9"/>
  <c r="C300" i="9"/>
  <c r="F298" i="9"/>
  <c r="D298" i="9"/>
  <c r="X297" i="9" l="1"/>
  <c r="H299" i="9"/>
  <c r="E298" i="9"/>
  <c r="J298" i="9"/>
  <c r="Q298" i="9" s="1"/>
  <c r="G300" i="9" l="1"/>
  <c r="O300" i="9" s="1"/>
  <c r="D299" i="9"/>
  <c r="F299" i="9"/>
  <c r="V298" i="9"/>
  <c r="S298" i="9"/>
  <c r="T299" i="9"/>
  <c r="U299" i="9"/>
  <c r="P299" i="9"/>
  <c r="R299" i="9"/>
  <c r="J299" i="9"/>
  <c r="I299" i="9"/>
  <c r="X298" i="9" l="1"/>
  <c r="M300" i="9"/>
  <c r="N300" i="9"/>
  <c r="K300" i="9"/>
  <c r="L300" i="9"/>
  <c r="C301" i="9"/>
  <c r="S299" i="9"/>
  <c r="Q299" i="9"/>
  <c r="E299" i="9"/>
  <c r="H300" i="9"/>
  <c r="V299" i="9"/>
  <c r="W298" i="9"/>
  <c r="W299" i="9" l="1"/>
  <c r="G301" i="9" l="1"/>
  <c r="O301" i="9" s="1"/>
  <c r="R300" i="9"/>
  <c r="I300" i="9"/>
  <c r="P300" i="9"/>
  <c r="U300" i="9"/>
  <c r="T300" i="9"/>
  <c r="D300" i="9"/>
  <c r="F300" i="9"/>
  <c r="X299" i="9" l="1"/>
  <c r="M301" i="9"/>
  <c r="N301" i="9"/>
  <c r="K301" i="9"/>
  <c r="L301" i="9"/>
  <c r="C302" i="9"/>
  <c r="E300" i="9"/>
  <c r="H301" i="9"/>
  <c r="J300" i="9"/>
  <c r="Q300" i="9" s="1"/>
  <c r="G302" i="9" l="1"/>
  <c r="O302" i="9" s="1"/>
  <c r="V300" i="9"/>
  <c r="S300" i="9"/>
  <c r="T301" i="9"/>
  <c r="P301" i="9"/>
  <c r="R301" i="9"/>
  <c r="U301" i="9"/>
  <c r="I301" i="9"/>
  <c r="M302" i="9" l="1"/>
  <c r="N302" i="9"/>
  <c r="K302" i="9"/>
  <c r="L302" i="9"/>
  <c r="C303" i="9"/>
  <c r="W300" i="9"/>
  <c r="D301" i="9" l="1"/>
  <c r="F301" i="9"/>
  <c r="X300" i="9" l="1"/>
  <c r="H302" i="9"/>
  <c r="E301" i="9"/>
  <c r="J301" i="9"/>
  <c r="Q301" i="9" s="1"/>
  <c r="V301" i="9" l="1"/>
  <c r="S301" i="9"/>
  <c r="G303" i="9" l="1"/>
  <c r="O303" i="9" s="1"/>
  <c r="R302" i="9"/>
  <c r="P302" i="9"/>
  <c r="T302" i="9"/>
  <c r="U302" i="9"/>
  <c r="I302" i="9"/>
  <c r="W301" i="9"/>
  <c r="M303" i="9" l="1"/>
  <c r="N303" i="9"/>
  <c r="K303" i="9"/>
  <c r="L303" i="9"/>
  <c r="C304" i="9"/>
  <c r="F302" i="9"/>
  <c r="D302" i="9"/>
  <c r="X301" i="9" l="1"/>
  <c r="H303" i="9"/>
  <c r="E302" i="9"/>
  <c r="J302" i="9"/>
  <c r="Q302" i="9" s="1"/>
  <c r="G304" i="9" l="1"/>
  <c r="O304" i="9" s="1"/>
  <c r="V302" i="9"/>
  <c r="S302" i="9"/>
  <c r="U303" i="9"/>
  <c r="P303" i="9"/>
  <c r="R303" i="9"/>
  <c r="I303" i="9"/>
  <c r="T303" i="9" s="1"/>
  <c r="M304" i="9" l="1"/>
  <c r="N304" i="9"/>
  <c r="K304" i="9"/>
  <c r="L304" i="9"/>
  <c r="C305" i="9"/>
  <c r="W302" i="9"/>
  <c r="F303" i="9" l="1"/>
  <c r="D303" i="9"/>
  <c r="X302" i="9" l="1"/>
  <c r="H304" i="9"/>
  <c r="E303" i="9"/>
  <c r="J303" i="9"/>
  <c r="Q303" i="9" s="1"/>
  <c r="V303" i="9" l="1"/>
  <c r="S303" i="9"/>
  <c r="G305" i="9" l="1"/>
  <c r="O305" i="9" s="1"/>
  <c r="P304" i="9"/>
  <c r="R304" i="9"/>
  <c r="U304" i="9"/>
  <c r="T304" i="9"/>
  <c r="I304" i="9"/>
  <c r="W303" i="9"/>
  <c r="M305" i="9" l="1"/>
  <c r="N305" i="9"/>
  <c r="K305" i="9"/>
  <c r="L305" i="9"/>
  <c r="C306" i="9"/>
  <c r="F304" i="9"/>
  <c r="D304" i="9"/>
  <c r="X303" i="9" l="1"/>
  <c r="H305" i="9"/>
  <c r="E304" i="9"/>
  <c r="J304" i="9"/>
  <c r="Q304" i="9" s="1"/>
  <c r="G306" i="9" l="1"/>
  <c r="O306" i="9" s="1"/>
  <c r="F305" i="9"/>
  <c r="D305" i="9"/>
  <c r="V304" i="9"/>
  <c r="S304" i="9"/>
  <c r="U305" i="9"/>
  <c r="P305" i="9"/>
  <c r="R305" i="9"/>
  <c r="T305" i="9"/>
  <c r="J305" i="9"/>
  <c r="I305" i="9"/>
  <c r="X304" i="9" l="1"/>
  <c r="M306" i="9"/>
  <c r="N306" i="9"/>
  <c r="K306" i="9"/>
  <c r="L306" i="9"/>
  <c r="C307" i="9"/>
  <c r="S305" i="9"/>
  <c r="Q305" i="9"/>
  <c r="E305" i="9"/>
  <c r="H306" i="9"/>
  <c r="V305" i="9"/>
  <c r="W304" i="9"/>
  <c r="W305" i="9" l="1"/>
  <c r="G307" i="9" l="1"/>
  <c r="O307" i="9" s="1"/>
  <c r="U306" i="9"/>
  <c r="R306" i="9"/>
  <c r="P306" i="9"/>
  <c r="I306" i="9"/>
  <c r="T306" i="9" s="1"/>
  <c r="F306" i="9"/>
  <c r="D306" i="9"/>
  <c r="X305" i="9" l="1"/>
  <c r="M307" i="9"/>
  <c r="N307" i="9"/>
  <c r="K307" i="9"/>
  <c r="L307" i="9"/>
  <c r="C308" i="9"/>
  <c r="E306" i="9"/>
  <c r="H307" i="9"/>
  <c r="J306" i="9"/>
  <c r="Q306" i="9" s="1"/>
  <c r="G308" i="9" l="1"/>
  <c r="O308" i="9" s="1"/>
  <c r="V306" i="9"/>
  <c r="S306" i="9"/>
  <c r="U307" i="9"/>
  <c r="P307" i="9"/>
  <c r="R307" i="9"/>
  <c r="I307" i="9"/>
  <c r="T307" i="9" s="1"/>
  <c r="M308" i="9" l="1"/>
  <c r="N308" i="9"/>
  <c r="K308" i="9"/>
  <c r="L308" i="9"/>
  <c r="C309" i="9"/>
  <c r="W306" i="9"/>
  <c r="F307" i="9" l="1"/>
  <c r="D307" i="9"/>
  <c r="X306" i="9" l="1"/>
  <c r="H308" i="9"/>
  <c r="E307" i="9"/>
  <c r="J307" i="9"/>
  <c r="Q307" i="9" s="1"/>
  <c r="V307" i="9" l="1"/>
  <c r="S307" i="9"/>
  <c r="G309" i="9" l="1"/>
  <c r="O309" i="9" s="1"/>
  <c r="W307" i="9"/>
  <c r="P308" i="9"/>
  <c r="T308" i="9"/>
  <c r="R308" i="9"/>
  <c r="U308" i="9"/>
  <c r="I308" i="9"/>
  <c r="D308" i="9"/>
  <c r="F308" i="9"/>
  <c r="X307" i="9" l="1"/>
  <c r="M309" i="9"/>
  <c r="N309" i="9"/>
  <c r="K309" i="9"/>
  <c r="L309" i="9"/>
  <c r="C310" i="9"/>
  <c r="E308" i="9"/>
  <c r="H309" i="9"/>
  <c r="J308" i="9"/>
  <c r="Q308" i="9" s="1"/>
  <c r="G310" i="9" l="1"/>
  <c r="O310" i="9" s="1"/>
  <c r="V308" i="9"/>
  <c r="S308" i="9"/>
  <c r="P309" i="9"/>
  <c r="R309" i="9"/>
  <c r="U309" i="9"/>
  <c r="T309" i="9"/>
  <c r="I309" i="9"/>
  <c r="M310" i="9" l="1"/>
  <c r="N310" i="9"/>
  <c r="K310" i="9"/>
  <c r="L310" i="9"/>
  <c r="C311" i="9"/>
  <c r="W308" i="9"/>
  <c r="F309" i="9"/>
  <c r="D309" i="9"/>
  <c r="X308" i="9" l="1"/>
  <c r="H310" i="9"/>
  <c r="E309" i="9"/>
  <c r="J309" i="9"/>
  <c r="Q309" i="9" s="1"/>
  <c r="G311" i="9" l="1"/>
  <c r="O311" i="9" s="1"/>
  <c r="V309" i="9"/>
  <c r="S309" i="9"/>
  <c r="U310" i="9"/>
  <c r="R310" i="9"/>
  <c r="T310" i="9"/>
  <c r="P310" i="9"/>
  <c r="I310" i="9"/>
  <c r="F310" i="9"/>
  <c r="D310" i="9"/>
  <c r="X309" i="9" l="1"/>
  <c r="M311" i="9"/>
  <c r="N311" i="9"/>
  <c r="K311" i="9"/>
  <c r="L311" i="9"/>
  <c r="C312" i="9"/>
  <c r="E310" i="9"/>
  <c r="H311" i="9"/>
  <c r="J310" i="9"/>
  <c r="Q310" i="9" s="1"/>
  <c r="W309" i="9"/>
  <c r="F311" i="9" l="1"/>
  <c r="D311" i="9"/>
  <c r="I311" i="9"/>
  <c r="V310" i="9"/>
  <c r="S310" i="9"/>
  <c r="X310" i="9" l="1"/>
  <c r="E311" i="9"/>
  <c r="T311" i="9"/>
  <c r="P311" i="9"/>
  <c r="G312" i="9"/>
  <c r="O312" i="9" s="1"/>
  <c r="H312" i="9"/>
  <c r="R311" i="9"/>
  <c r="U311" i="9"/>
  <c r="J311" i="9"/>
  <c r="Q311" i="9" s="1"/>
  <c r="W310" i="9"/>
  <c r="M312" i="9" l="1"/>
  <c r="N312" i="9"/>
  <c r="K312" i="9"/>
  <c r="L312" i="9"/>
  <c r="C313" i="9"/>
  <c r="S311" i="9"/>
  <c r="V311" i="9"/>
  <c r="G313" i="9" l="1"/>
  <c r="O313" i="9" s="1"/>
  <c r="W311" i="9"/>
  <c r="P312" i="9"/>
  <c r="U312" i="9"/>
  <c r="R312" i="9"/>
  <c r="T312" i="9"/>
  <c r="I312" i="9"/>
  <c r="D312" i="9"/>
  <c r="F312" i="9"/>
  <c r="X311" i="9" l="1"/>
  <c r="M313" i="9"/>
  <c r="N313" i="9"/>
  <c r="K313" i="9"/>
  <c r="L313" i="9"/>
  <c r="C314" i="9"/>
  <c r="E312" i="9"/>
  <c r="H313" i="9"/>
  <c r="J312" i="9"/>
  <c r="Q312" i="9" s="1"/>
  <c r="V312" i="9" l="1"/>
  <c r="S312" i="9"/>
  <c r="F313" i="9"/>
  <c r="D313" i="9"/>
  <c r="X312" i="9" l="1"/>
  <c r="E313" i="9"/>
  <c r="G314" i="9"/>
  <c r="O314" i="9" s="1"/>
  <c r="P313" i="9"/>
  <c r="H314" i="9"/>
  <c r="I313" i="9"/>
  <c r="T313" i="9"/>
  <c r="U313" i="9"/>
  <c r="R313" i="9"/>
  <c r="J313" i="9"/>
  <c r="Q313" i="9" s="1"/>
  <c r="W312" i="9"/>
  <c r="M314" i="9" l="1"/>
  <c r="N314" i="9"/>
  <c r="K314" i="9"/>
  <c r="G315" i="9" s="1"/>
  <c r="O315" i="9" s="1"/>
  <c r="L314" i="9"/>
  <c r="C315" i="9"/>
  <c r="V313" i="9"/>
  <c r="S313" i="9"/>
  <c r="U314" i="9"/>
  <c r="R314" i="9"/>
  <c r="T314" i="9"/>
  <c r="P314" i="9"/>
  <c r="I314" i="9"/>
  <c r="F314" i="9"/>
  <c r="D314" i="9"/>
  <c r="E314" i="9" s="1"/>
  <c r="X313" i="9" l="1"/>
  <c r="M315" i="9"/>
  <c r="N315" i="9"/>
  <c r="K315" i="9"/>
  <c r="L315" i="9"/>
  <c r="C316" i="9"/>
  <c r="H315" i="9"/>
  <c r="W313" i="9"/>
  <c r="J314" i="9"/>
  <c r="Q314" i="9" s="1"/>
  <c r="G316" i="9" l="1"/>
  <c r="O316" i="9" s="1"/>
  <c r="V314" i="9"/>
  <c r="S314" i="9"/>
  <c r="U315" i="9"/>
  <c r="R315" i="9"/>
  <c r="P315" i="9"/>
  <c r="I315" i="9"/>
  <c r="T315" i="9" s="1"/>
  <c r="F315" i="9"/>
  <c r="D315" i="9"/>
  <c r="X314" i="9" l="1"/>
  <c r="M316" i="9"/>
  <c r="N316" i="9"/>
  <c r="K316" i="9"/>
  <c r="L316" i="9"/>
  <c r="C317" i="9"/>
  <c r="E315" i="9"/>
  <c r="H316" i="9"/>
  <c r="J315" i="9"/>
  <c r="Q315" i="9" s="1"/>
  <c r="W314" i="9"/>
  <c r="V315" i="9" l="1"/>
  <c r="S315" i="9"/>
  <c r="P316" i="9"/>
  <c r="I316" i="9"/>
  <c r="F316" i="9"/>
  <c r="D316" i="9"/>
  <c r="X315" i="9" l="1"/>
  <c r="E316" i="9"/>
  <c r="R316" i="9"/>
  <c r="U316" i="9"/>
  <c r="G317" i="9"/>
  <c r="O317" i="9" s="1"/>
  <c r="T316" i="9"/>
  <c r="H317" i="9"/>
  <c r="W315" i="9"/>
  <c r="J316" i="9"/>
  <c r="Q316" i="9" s="1"/>
  <c r="M317" i="9" l="1"/>
  <c r="N317" i="9"/>
  <c r="K317" i="9"/>
  <c r="G318" i="9" s="1"/>
  <c r="O318" i="9" s="1"/>
  <c r="L317" i="9"/>
  <c r="C318" i="9"/>
  <c r="V316" i="9"/>
  <c r="S316" i="9"/>
  <c r="R317" i="9"/>
  <c r="U317" i="9"/>
  <c r="P317" i="9"/>
  <c r="I317" i="9"/>
  <c r="T317" i="9" s="1"/>
  <c r="F317" i="9"/>
  <c r="D317" i="9"/>
  <c r="E317" i="9" s="1"/>
  <c r="X316" i="9" l="1"/>
  <c r="M318" i="9"/>
  <c r="N318" i="9"/>
  <c r="K318" i="9"/>
  <c r="L318" i="9"/>
  <c r="C319" i="9"/>
  <c r="H318" i="9"/>
  <c r="J317" i="9"/>
  <c r="Q317" i="9" s="1"/>
  <c r="W316" i="9"/>
  <c r="G319" i="9" l="1"/>
  <c r="O319" i="9" s="1"/>
  <c r="R318" i="9"/>
  <c r="P318" i="9"/>
  <c r="U318" i="9"/>
  <c r="I318" i="9"/>
  <c r="T318" i="9" s="1"/>
  <c r="V317" i="9"/>
  <c r="S317" i="9"/>
  <c r="F318" i="9"/>
  <c r="D318" i="9"/>
  <c r="X317" i="9" l="1"/>
  <c r="M319" i="9"/>
  <c r="N319" i="9"/>
  <c r="K319" i="9"/>
  <c r="L319" i="9"/>
  <c r="C320" i="9"/>
  <c r="E318" i="9"/>
  <c r="H319" i="9"/>
  <c r="W317" i="9"/>
  <c r="J318" i="9"/>
  <c r="Q318" i="9" s="1"/>
  <c r="G320" i="9" l="1"/>
  <c r="O320" i="9" s="1"/>
  <c r="V318" i="9"/>
  <c r="S318" i="9"/>
  <c r="P319" i="9"/>
  <c r="R319" i="9"/>
  <c r="U319" i="9"/>
  <c r="T319" i="9"/>
  <c r="I319" i="9"/>
  <c r="D319" i="9"/>
  <c r="F319" i="9"/>
  <c r="X318" i="9" l="1"/>
  <c r="M320" i="9"/>
  <c r="N320" i="9"/>
  <c r="K320" i="9"/>
  <c r="L320" i="9"/>
  <c r="C321" i="9"/>
  <c r="E319" i="9"/>
  <c r="H320" i="9"/>
  <c r="W318" i="9"/>
  <c r="J319" i="9"/>
  <c r="Q319" i="9" s="1"/>
  <c r="V319" i="9" l="1"/>
  <c r="S319" i="9"/>
  <c r="P320" i="9"/>
  <c r="I320" i="9"/>
  <c r="T320" i="9" s="1"/>
  <c r="F320" i="9"/>
  <c r="D320" i="9"/>
  <c r="X319" i="9" l="1"/>
  <c r="E320" i="9"/>
  <c r="U320" i="9"/>
  <c r="G321" i="9"/>
  <c r="O321" i="9" s="1"/>
  <c r="H321" i="9"/>
  <c r="R320" i="9"/>
  <c r="J320" i="9"/>
  <c r="Q320" i="9" s="1"/>
  <c r="W319" i="9"/>
  <c r="M321" i="9" l="1"/>
  <c r="N321" i="9"/>
  <c r="K321" i="9"/>
  <c r="G322" i="9" s="1"/>
  <c r="O322" i="9" s="1"/>
  <c r="L321" i="9"/>
  <c r="C322" i="9"/>
  <c r="V320" i="9"/>
  <c r="S320" i="9"/>
  <c r="R321" i="9"/>
  <c r="U321" i="9"/>
  <c r="P321" i="9"/>
  <c r="I321" i="9"/>
  <c r="T321" i="9" s="1"/>
  <c r="F321" i="9"/>
  <c r="D321" i="9"/>
  <c r="E321" i="9" s="1"/>
  <c r="X320" i="9" l="1"/>
  <c r="M322" i="9"/>
  <c r="N322" i="9"/>
  <c r="K322" i="9"/>
  <c r="L322" i="9"/>
  <c r="C323" i="9"/>
  <c r="H322" i="9"/>
  <c r="J321" i="9"/>
  <c r="Q321" i="9" s="1"/>
  <c r="W320" i="9"/>
  <c r="I322" i="9" l="1"/>
  <c r="V321" i="9"/>
  <c r="S321" i="9"/>
  <c r="F322" i="9"/>
  <c r="D322" i="9"/>
  <c r="X321" i="9" l="1"/>
  <c r="E322" i="9"/>
  <c r="R322" i="9"/>
  <c r="G323" i="9"/>
  <c r="O323" i="9" s="1"/>
  <c r="P322" i="9"/>
  <c r="H323" i="9"/>
  <c r="U322" i="9"/>
  <c r="T322" i="9"/>
  <c r="J322" i="9"/>
  <c r="Q322" i="9" s="1"/>
  <c r="W321" i="9"/>
  <c r="M323" i="9" l="1"/>
  <c r="N323" i="9"/>
  <c r="K323" i="9"/>
  <c r="G324" i="9" s="1"/>
  <c r="O324" i="9" s="1"/>
  <c r="L323" i="9"/>
  <c r="C324" i="9"/>
  <c r="V322" i="9"/>
  <c r="S322" i="9"/>
  <c r="R323" i="9"/>
  <c r="P323" i="9"/>
  <c r="U323" i="9"/>
  <c r="I323" i="9"/>
  <c r="T323" i="9" s="1"/>
  <c r="D323" i="9"/>
  <c r="E323" i="9" s="1"/>
  <c r="F323" i="9"/>
  <c r="X322" i="9" l="1"/>
  <c r="M324" i="9"/>
  <c r="N324" i="9"/>
  <c r="K324" i="9"/>
  <c r="L324" i="9"/>
  <c r="C325" i="9"/>
  <c r="H324" i="9"/>
  <c r="J323" i="9"/>
  <c r="Q323" i="9" s="1"/>
  <c r="W322" i="9"/>
  <c r="G325" i="9" l="1"/>
  <c r="O325" i="9" s="1"/>
  <c r="R324" i="9"/>
  <c r="U324" i="9"/>
  <c r="P324" i="9"/>
  <c r="I324" i="9"/>
  <c r="T324" i="9" s="1"/>
  <c r="V323" i="9"/>
  <c r="S323" i="9"/>
  <c r="D324" i="9"/>
  <c r="F324" i="9"/>
  <c r="X323" i="9" l="1"/>
  <c r="M325" i="9"/>
  <c r="N325" i="9"/>
  <c r="K325" i="9"/>
  <c r="L325" i="9"/>
  <c r="C326" i="9"/>
  <c r="E324" i="9"/>
  <c r="H325" i="9"/>
  <c r="W323" i="9"/>
  <c r="J324" i="9"/>
  <c r="Q324" i="9" s="1"/>
  <c r="G326" i="9" l="1"/>
  <c r="O326" i="9" s="1"/>
  <c r="V324" i="9"/>
  <c r="S324" i="9"/>
  <c r="U325" i="9"/>
  <c r="R325" i="9"/>
  <c r="T325" i="9"/>
  <c r="P325" i="9"/>
  <c r="I325" i="9"/>
  <c r="F325" i="9"/>
  <c r="D325" i="9"/>
  <c r="X324" i="9" l="1"/>
  <c r="M326" i="9"/>
  <c r="N326" i="9"/>
  <c r="K326" i="9"/>
  <c r="L326" i="9"/>
  <c r="C327" i="9"/>
  <c r="E325" i="9"/>
  <c r="H326" i="9"/>
  <c r="J325" i="9"/>
  <c r="Q325" i="9" s="1"/>
  <c r="W324" i="9"/>
  <c r="G327" i="9" l="1"/>
  <c r="O327" i="9" s="1"/>
  <c r="V325" i="9"/>
  <c r="S325" i="9"/>
  <c r="R326" i="9"/>
  <c r="P326" i="9"/>
  <c r="T326" i="9"/>
  <c r="U326" i="9"/>
  <c r="I326" i="9"/>
  <c r="D326" i="9"/>
  <c r="F326" i="9"/>
  <c r="X325" i="9" l="1"/>
  <c r="M327" i="9"/>
  <c r="N327" i="9"/>
  <c r="K327" i="9"/>
  <c r="L327" i="9"/>
  <c r="C328" i="9"/>
  <c r="E326" i="9"/>
  <c r="H327" i="9"/>
  <c r="W325" i="9"/>
  <c r="J326" i="9"/>
  <c r="Q326" i="9" s="1"/>
  <c r="G328" i="9" l="1"/>
  <c r="O328" i="9" s="1"/>
  <c r="V326" i="9"/>
  <c r="S326" i="9"/>
  <c r="U327" i="9"/>
  <c r="P327" i="9"/>
  <c r="R327" i="9"/>
  <c r="I327" i="9"/>
  <c r="T327" i="9" s="1"/>
  <c r="F327" i="9"/>
  <c r="D327" i="9"/>
  <c r="X326" i="9" l="1"/>
  <c r="M328" i="9"/>
  <c r="N328" i="9"/>
  <c r="K328" i="9"/>
  <c r="L328" i="9"/>
  <c r="C329" i="9"/>
  <c r="E327" i="9"/>
  <c r="H328" i="9"/>
  <c r="J327" i="9"/>
  <c r="Q327" i="9" s="1"/>
  <c r="S327" i="9"/>
  <c r="W326" i="9"/>
  <c r="G329" i="9" l="1"/>
  <c r="O329" i="9" s="1"/>
  <c r="V327" i="9"/>
  <c r="W327" i="9" s="1"/>
  <c r="R328" i="9"/>
  <c r="T328" i="9"/>
  <c r="U328" i="9"/>
  <c r="P328" i="9"/>
  <c r="I328" i="9"/>
  <c r="F328" i="9"/>
  <c r="D328" i="9"/>
  <c r="X327" i="9" l="1"/>
  <c r="M329" i="9"/>
  <c r="N329" i="9"/>
  <c r="K329" i="9"/>
  <c r="L329" i="9"/>
  <c r="C330" i="9"/>
  <c r="E328" i="9"/>
  <c r="H329" i="9"/>
  <c r="J328" i="9"/>
  <c r="Q328" i="9" s="1"/>
  <c r="G330" i="9" l="1"/>
  <c r="O330" i="9" s="1"/>
  <c r="P329" i="9"/>
  <c r="R329" i="9"/>
  <c r="U329" i="9"/>
  <c r="I329" i="9"/>
  <c r="T329" i="9" s="1"/>
  <c r="V328" i="9"/>
  <c r="S328" i="9"/>
  <c r="D329" i="9"/>
  <c r="F329" i="9"/>
  <c r="X328" i="9" l="1"/>
  <c r="M330" i="9"/>
  <c r="N330" i="9"/>
  <c r="K330" i="9"/>
  <c r="L330" i="9"/>
  <c r="C331" i="9"/>
  <c r="E329" i="9"/>
  <c r="H330" i="9"/>
  <c r="J329" i="9"/>
  <c r="Q329" i="9" s="1"/>
  <c r="W328" i="9"/>
  <c r="G331" i="9" l="1"/>
  <c r="O331" i="9" s="1"/>
  <c r="V329" i="9"/>
  <c r="S329" i="9"/>
  <c r="T330" i="9"/>
  <c r="P330" i="9"/>
  <c r="U330" i="9"/>
  <c r="R330" i="9"/>
  <c r="I330" i="9"/>
  <c r="F330" i="9"/>
  <c r="D330" i="9"/>
  <c r="X329" i="9" l="1"/>
  <c r="M331" i="9"/>
  <c r="N331" i="9"/>
  <c r="K331" i="9"/>
  <c r="L331" i="9"/>
  <c r="C332" i="9"/>
  <c r="E330" i="9"/>
  <c r="H331" i="9"/>
  <c r="W329" i="9"/>
  <c r="J330" i="9"/>
  <c r="Q330" i="9" s="1"/>
  <c r="V330" i="9" l="1"/>
  <c r="S330" i="9"/>
  <c r="P331" i="9"/>
  <c r="I331" i="9"/>
  <c r="D331" i="9"/>
  <c r="F331" i="9"/>
  <c r="X330" i="9" l="1"/>
  <c r="E331" i="9"/>
  <c r="T331" i="9"/>
  <c r="R331" i="9"/>
  <c r="G332" i="9"/>
  <c r="O332" i="9" s="1"/>
  <c r="H332" i="9"/>
  <c r="U331" i="9"/>
  <c r="W330" i="9"/>
  <c r="J331" i="9"/>
  <c r="Q331" i="9" s="1"/>
  <c r="M332" i="9" l="1"/>
  <c r="N332" i="9"/>
  <c r="K332" i="9"/>
  <c r="L332" i="9"/>
  <c r="C333" i="9"/>
  <c r="V331" i="9"/>
  <c r="S331" i="9"/>
  <c r="U332" i="9"/>
  <c r="I332" i="9"/>
  <c r="T332" i="9" s="1"/>
  <c r="F332" i="9"/>
  <c r="D332" i="9"/>
  <c r="E332" i="9" s="1"/>
  <c r="X331" i="9" l="1"/>
  <c r="P332" i="9"/>
  <c r="G333" i="9"/>
  <c r="O333" i="9" s="1"/>
  <c r="R332" i="9"/>
  <c r="H333" i="9"/>
  <c r="J332" i="9"/>
  <c r="Q332" i="9" s="1"/>
  <c r="W331" i="9"/>
  <c r="M333" i="9" l="1"/>
  <c r="N333" i="9"/>
  <c r="K333" i="9"/>
  <c r="L333" i="9"/>
  <c r="C334" i="9"/>
  <c r="V332" i="9"/>
  <c r="S332" i="9"/>
  <c r="R333" i="9"/>
  <c r="I333" i="9"/>
  <c r="T333" i="9" s="1"/>
  <c r="D333" i="9"/>
  <c r="E333" i="9" s="1"/>
  <c r="F333" i="9"/>
  <c r="X332" i="9" l="1"/>
  <c r="U333" i="9"/>
  <c r="G334" i="9"/>
  <c r="O334" i="9" s="1"/>
  <c r="P333" i="9"/>
  <c r="H334" i="9"/>
  <c r="J333" i="9"/>
  <c r="Q333" i="9" s="1"/>
  <c r="W332" i="9"/>
  <c r="M334" i="9" l="1"/>
  <c r="N334" i="9"/>
  <c r="K334" i="9"/>
  <c r="G335" i="9" s="1"/>
  <c r="O335" i="9" s="1"/>
  <c r="L334" i="9"/>
  <c r="C335" i="9"/>
  <c r="U334" i="9"/>
  <c r="T334" i="9"/>
  <c r="P334" i="9"/>
  <c r="R334" i="9"/>
  <c r="I334" i="9"/>
  <c r="V333" i="9"/>
  <c r="S333" i="9"/>
  <c r="F334" i="9"/>
  <c r="D334" i="9"/>
  <c r="E334" i="9" s="1"/>
  <c r="X333" i="9" l="1"/>
  <c r="M335" i="9"/>
  <c r="N335" i="9"/>
  <c r="K335" i="9"/>
  <c r="L335" i="9"/>
  <c r="C336" i="9"/>
  <c r="H335" i="9"/>
  <c r="W333" i="9"/>
  <c r="J334" i="9"/>
  <c r="Q334" i="9" s="1"/>
  <c r="G336" i="9" l="1"/>
  <c r="O336" i="9" s="1"/>
  <c r="V334" i="9"/>
  <c r="S334" i="9"/>
  <c r="P335" i="9"/>
  <c r="R335" i="9"/>
  <c r="U335" i="9"/>
  <c r="I335" i="9"/>
  <c r="T335" i="9" s="1"/>
  <c r="F335" i="9"/>
  <c r="D335" i="9"/>
  <c r="X334" i="9" l="1"/>
  <c r="M336" i="9"/>
  <c r="N336" i="9"/>
  <c r="K336" i="9"/>
  <c r="L336" i="9"/>
  <c r="C337" i="9"/>
  <c r="E335" i="9"/>
  <c r="H336" i="9"/>
  <c r="J335" i="9"/>
  <c r="Q335" i="9" s="1"/>
  <c r="W334" i="9"/>
  <c r="G337" i="9" l="1"/>
  <c r="O337" i="9" s="1"/>
  <c r="V335" i="9"/>
  <c r="S335" i="9"/>
  <c r="R336" i="9"/>
  <c r="T336" i="9"/>
  <c r="P336" i="9"/>
  <c r="U336" i="9"/>
  <c r="I336" i="9"/>
  <c r="F336" i="9"/>
  <c r="D336" i="9"/>
  <c r="X335" i="9" l="1"/>
  <c r="M337" i="9"/>
  <c r="N337" i="9"/>
  <c r="K337" i="9"/>
  <c r="L337" i="9"/>
  <c r="C338" i="9"/>
  <c r="E336" i="9"/>
  <c r="H337" i="9"/>
  <c r="J336" i="9"/>
  <c r="Q336" i="9" s="1"/>
  <c r="W335" i="9"/>
  <c r="G338" i="9" l="1"/>
  <c r="O338" i="9" s="1"/>
  <c r="P337" i="9"/>
  <c r="R337" i="9"/>
  <c r="U337" i="9"/>
  <c r="I337" i="9"/>
  <c r="T337" i="9" s="1"/>
  <c r="V336" i="9"/>
  <c r="S336" i="9"/>
  <c r="F337" i="9"/>
  <c r="D337" i="9"/>
  <c r="X336" i="9" l="1"/>
  <c r="M338" i="9"/>
  <c r="N338" i="9"/>
  <c r="K338" i="9"/>
  <c r="L338" i="9"/>
  <c r="C339" i="9"/>
  <c r="E337" i="9"/>
  <c r="H338" i="9"/>
  <c r="W336" i="9"/>
  <c r="J337" i="9"/>
  <c r="Q337" i="9" s="1"/>
  <c r="V337" i="9" l="1"/>
  <c r="S337" i="9"/>
  <c r="F338" i="9"/>
  <c r="D338" i="9"/>
  <c r="X337" i="9" l="1"/>
  <c r="E338" i="9"/>
  <c r="G339" i="9"/>
  <c r="O339" i="9" s="1"/>
  <c r="H339" i="9"/>
  <c r="T338" i="9"/>
  <c r="I338" i="9"/>
  <c r="J338" i="9"/>
  <c r="Q338" i="9" s="1"/>
  <c r="P338" i="9"/>
  <c r="U338" i="9"/>
  <c r="R338" i="9"/>
  <c r="W337" i="9"/>
  <c r="M339" i="9" l="1"/>
  <c r="N339" i="9"/>
  <c r="K339" i="9"/>
  <c r="L339" i="9"/>
  <c r="C340" i="9"/>
  <c r="V338" i="9"/>
  <c r="S338" i="9"/>
  <c r="F339" i="9" l="1"/>
  <c r="D339" i="9"/>
  <c r="R339" i="9"/>
  <c r="P339" i="9"/>
  <c r="W338" i="9"/>
  <c r="X338" i="9" l="1"/>
  <c r="E339" i="9"/>
  <c r="G340" i="9"/>
  <c r="O340" i="9" s="1"/>
  <c r="H340" i="9"/>
  <c r="T339" i="9"/>
  <c r="U339" i="9"/>
  <c r="I339" i="9"/>
  <c r="J339" i="9"/>
  <c r="M340" i="9" l="1"/>
  <c r="N340" i="9"/>
  <c r="K340" i="9"/>
  <c r="G341" i="9" s="1"/>
  <c r="O341" i="9" s="1"/>
  <c r="L340" i="9"/>
  <c r="C341" i="9"/>
  <c r="V339" i="9"/>
  <c r="Q339" i="9"/>
  <c r="U340" i="9"/>
  <c r="S339" i="9"/>
  <c r="P340" i="9"/>
  <c r="I340" i="9"/>
  <c r="R340" i="9"/>
  <c r="T340" i="9"/>
  <c r="M341" i="9" l="1"/>
  <c r="N341" i="9"/>
  <c r="K341" i="9"/>
  <c r="L341" i="9"/>
  <c r="C342" i="9"/>
  <c r="W339" i="9"/>
  <c r="D340" i="9"/>
  <c r="F340" i="9"/>
  <c r="X339" i="9" l="1"/>
  <c r="H341" i="9"/>
  <c r="E340" i="9"/>
  <c r="J340" i="9"/>
  <c r="Q340" i="9" s="1"/>
  <c r="G342" i="9" l="1"/>
  <c r="O342" i="9" s="1"/>
  <c r="V340" i="9"/>
  <c r="S340" i="9"/>
  <c r="U341" i="9"/>
  <c r="T341" i="9"/>
  <c r="I341" i="9"/>
  <c r="R341" i="9"/>
  <c r="P341" i="9"/>
  <c r="F341" i="9"/>
  <c r="D341" i="9"/>
  <c r="X340" i="9" l="1"/>
  <c r="M342" i="9"/>
  <c r="N342" i="9"/>
  <c r="K342" i="9"/>
  <c r="L342" i="9"/>
  <c r="C343" i="9"/>
  <c r="E341" i="9"/>
  <c r="H342" i="9"/>
  <c r="W340" i="9"/>
  <c r="J341" i="9"/>
  <c r="Q341" i="9" s="1"/>
  <c r="G343" i="9" l="1"/>
  <c r="O343" i="9" s="1"/>
  <c r="F342" i="9"/>
  <c r="D342" i="9"/>
  <c r="V341" i="9"/>
  <c r="S341" i="9"/>
  <c r="T342" i="9"/>
  <c r="I342" i="9"/>
  <c r="R342" i="9"/>
  <c r="J342" i="9"/>
  <c r="U342" i="9"/>
  <c r="P342" i="9"/>
  <c r="X341" i="9" l="1"/>
  <c r="M343" i="9"/>
  <c r="N343" i="9"/>
  <c r="K343" i="9"/>
  <c r="L343" i="9"/>
  <c r="C344" i="9"/>
  <c r="V342" i="9"/>
  <c r="Q342" i="9"/>
  <c r="E342" i="9"/>
  <c r="H343" i="9"/>
  <c r="W341" i="9"/>
  <c r="S342" i="9"/>
  <c r="W342" i="9" l="1"/>
  <c r="D343" i="9"/>
  <c r="F343" i="9"/>
  <c r="X342" i="9" l="1"/>
  <c r="E343" i="9"/>
  <c r="D344" i="9"/>
  <c r="E344" i="9" s="1"/>
  <c r="G344" i="9"/>
  <c r="O344" i="9" s="1"/>
  <c r="H344" i="9"/>
  <c r="U343" i="9"/>
  <c r="J343" i="9"/>
  <c r="Q343" i="9" s="1"/>
  <c r="R343" i="9"/>
  <c r="I343" i="9"/>
  <c r="P343" i="9"/>
  <c r="T343" i="9"/>
  <c r="M344" i="9" l="1"/>
  <c r="N344" i="9"/>
  <c r="K344" i="9"/>
  <c r="L344" i="9"/>
  <c r="C345" i="9"/>
  <c r="V343" i="9"/>
  <c r="S343" i="9"/>
  <c r="F344" i="9"/>
  <c r="X343" i="9" l="1"/>
  <c r="H345" i="9"/>
  <c r="G345" i="9"/>
  <c r="O345" i="9" s="1"/>
  <c r="W343" i="9"/>
  <c r="P344" i="9"/>
  <c r="I344" i="9"/>
  <c r="T344" i="9" s="1"/>
  <c r="R344" i="9"/>
  <c r="J344" i="9"/>
  <c r="U344" i="9"/>
  <c r="M345" i="9" l="1"/>
  <c r="N345" i="9"/>
  <c r="K345" i="9"/>
  <c r="L345" i="9"/>
  <c r="C346" i="9"/>
  <c r="V344" i="9"/>
  <c r="Q344" i="9"/>
  <c r="S344" i="9"/>
  <c r="W344" i="9" l="1"/>
  <c r="G346" i="9" l="1"/>
  <c r="O346" i="9" s="1"/>
  <c r="P345" i="9"/>
  <c r="U345" i="9"/>
  <c r="I345" i="9"/>
  <c r="T345" i="9" s="1"/>
  <c r="R345" i="9"/>
  <c r="F345" i="9"/>
  <c r="D345" i="9"/>
  <c r="X344" i="9" l="1"/>
  <c r="M346" i="9"/>
  <c r="N346" i="9"/>
  <c r="K346" i="9"/>
  <c r="L346" i="9"/>
  <c r="C347" i="9"/>
  <c r="E345" i="9"/>
  <c r="G347" i="9"/>
  <c r="O347" i="9" s="1"/>
  <c r="H346" i="9"/>
  <c r="J345" i="9"/>
  <c r="Q345" i="9" s="1"/>
  <c r="P346" i="9"/>
  <c r="I346" i="9"/>
  <c r="T346" i="9"/>
  <c r="R346" i="9"/>
  <c r="U346" i="9"/>
  <c r="M347" i="9" l="1"/>
  <c r="N347" i="9"/>
  <c r="K347" i="9"/>
  <c r="L347" i="9"/>
  <c r="C348" i="9"/>
  <c r="D346" i="9"/>
  <c r="F346" i="9"/>
  <c r="S345" i="9"/>
  <c r="V345" i="9"/>
  <c r="J346" i="9"/>
  <c r="X345" i="9" l="1"/>
  <c r="S346" i="9"/>
  <c r="Q346" i="9"/>
  <c r="H347" i="9"/>
  <c r="J347" i="9" s="1"/>
  <c r="G348" i="9"/>
  <c r="O348" i="9" s="1"/>
  <c r="E346" i="9"/>
  <c r="W345" i="9"/>
  <c r="V346" i="9"/>
  <c r="P347" i="9"/>
  <c r="R347" i="9"/>
  <c r="I347" i="9"/>
  <c r="T347" i="9" s="1"/>
  <c r="U347" i="9"/>
  <c r="M348" i="9" l="1"/>
  <c r="N348" i="9"/>
  <c r="K348" i="9"/>
  <c r="L348" i="9"/>
  <c r="C349" i="9"/>
  <c r="S347" i="9"/>
  <c r="Q347" i="9"/>
  <c r="W346" i="9"/>
  <c r="V347" i="9"/>
  <c r="F347" i="9" l="1"/>
  <c r="D347" i="9"/>
  <c r="W347" i="9"/>
  <c r="X346" i="9" l="1"/>
  <c r="H348" i="9"/>
  <c r="G349" i="9"/>
  <c r="O349" i="9" s="1"/>
  <c r="E347" i="9"/>
  <c r="F348" i="9"/>
  <c r="R348" i="9"/>
  <c r="U348" i="9"/>
  <c r="I348" i="9"/>
  <c r="T348" i="9" s="1"/>
  <c r="P348" i="9"/>
  <c r="X347" i="9" l="1"/>
  <c r="M349" i="9"/>
  <c r="N349" i="9"/>
  <c r="K349" i="9"/>
  <c r="L349" i="9"/>
  <c r="C350" i="9"/>
  <c r="D348" i="9"/>
  <c r="J348" i="9"/>
  <c r="S348" i="9" l="1"/>
  <c r="Q348" i="9"/>
  <c r="E348" i="9"/>
  <c r="H349" i="9"/>
  <c r="J349" i="9" s="1"/>
  <c r="Q349" i="9" s="1"/>
  <c r="V348" i="9"/>
  <c r="P349" i="9"/>
  <c r="I349" i="9"/>
  <c r="F349" i="9" l="1"/>
  <c r="D349" i="9"/>
  <c r="H350" i="9" s="1"/>
  <c r="S349" i="9"/>
  <c r="T349" i="9"/>
  <c r="G350" i="9"/>
  <c r="O350" i="9" s="1"/>
  <c r="U349" i="9"/>
  <c r="R349" i="9"/>
  <c r="W348" i="9"/>
  <c r="V349" i="9"/>
  <c r="X348" i="9" l="1"/>
  <c r="M350" i="9"/>
  <c r="N350" i="9"/>
  <c r="K350" i="9"/>
  <c r="L350" i="9"/>
  <c r="C351" i="9"/>
  <c r="E349" i="9"/>
  <c r="F350" i="9"/>
  <c r="D350" i="9"/>
  <c r="E350" i="9" s="1"/>
  <c r="W349" i="9"/>
  <c r="X349" i="9" l="1"/>
  <c r="G351" i="9"/>
  <c r="O351" i="9" s="1"/>
  <c r="U350" i="9"/>
  <c r="H351" i="9"/>
  <c r="R350" i="9"/>
  <c r="P350" i="9"/>
  <c r="I350" i="9"/>
  <c r="T350" i="9" s="1"/>
  <c r="J350" i="9"/>
  <c r="M351" i="9" l="1"/>
  <c r="N351" i="9"/>
  <c r="K351" i="9"/>
  <c r="L351" i="9"/>
  <c r="C352" i="9"/>
  <c r="S350" i="9"/>
  <c r="Q350" i="9"/>
  <c r="V350" i="9"/>
  <c r="W350" i="9" l="1"/>
  <c r="G352" i="9" l="1"/>
  <c r="O352" i="9" s="1"/>
  <c r="R351" i="9"/>
  <c r="U351" i="9"/>
  <c r="I351" i="9"/>
  <c r="P351" i="9"/>
  <c r="T351" i="9"/>
  <c r="D351" i="9"/>
  <c r="F351" i="9"/>
  <c r="X350" i="9" l="1"/>
  <c r="M352" i="9"/>
  <c r="N352" i="9"/>
  <c r="K352" i="9"/>
  <c r="L352" i="9"/>
  <c r="C353" i="9"/>
  <c r="E351" i="9"/>
  <c r="H352" i="9"/>
  <c r="J351" i="9"/>
  <c r="Q351" i="9" s="1"/>
  <c r="G353" i="9" l="1"/>
  <c r="O353" i="9" s="1"/>
  <c r="S351" i="9"/>
  <c r="V351" i="9"/>
  <c r="P352" i="9"/>
  <c r="I352" i="9"/>
  <c r="T352" i="9" s="1"/>
  <c r="U352" i="9"/>
  <c r="R352" i="9"/>
  <c r="F352" i="9"/>
  <c r="D352" i="9"/>
  <c r="X351" i="9" l="1"/>
  <c r="M353" i="9"/>
  <c r="N353" i="9"/>
  <c r="K353" i="9"/>
  <c r="L353" i="9"/>
  <c r="C354" i="9"/>
  <c r="E352" i="9"/>
  <c r="H353" i="9"/>
  <c r="J352" i="9"/>
  <c r="Q352" i="9" s="1"/>
  <c r="W351" i="9"/>
  <c r="G354" i="9" l="1"/>
  <c r="O354" i="9" s="1"/>
  <c r="V352" i="9"/>
  <c r="S352" i="9"/>
  <c r="R353" i="9"/>
  <c r="P353" i="9"/>
  <c r="U353" i="9"/>
  <c r="I353" i="9"/>
  <c r="T353" i="9" s="1"/>
  <c r="D353" i="9"/>
  <c r="F353" i="9"/>
  <c r="X352" i="9" l="1"/>
  <c r="M354" i="9"/>
  <c r="N354" i="9"/>
  <c r="K354" i="9"/>
  <c r="L354" i="9"/>
  <c r="C355" i="9"/>
  <c r="E353" i="9"/>
  <c r="H354" i="9"/>
  <c r="J353" i="9"/>
  <c r="Q353" i="9" s="1"/>
  <c r="W352" i="9"/>
  <c r="F354" i="9" l="1"/>
  <c r="D354" i="9"/>
  <c r="S353" i="9"/>
  <c r="V353" i="9"/>
  <c r="X353" i="9" l="1"/>
  <c r="E354" i="9"/>
  <c r="G355" i="9"/>
  <c r="O355" i="9" s="1"/>
  <c r="H355" i="9"/>
  <c r="R354" i="9"/>
  <c r="U354" i="9"/>
  <c r="I354" i="9"/>
  <c r="P354" i="9"/>
  <c r="T354" i="9"/>
  <c r="W353" i="9"/>
  <c r="M355" i="9" l="1"/>
  <c r="N355" i="9"/>
  <c r="K355" i="9"/>
  <c r="L355" i="9"/>
  <c r="C356" i="9"/>
  <c r="J354" i="9"/>
  <c r="Q354" i="9" s="1"/>
  <c r="S354" i="9" l="1"/>
  <c r="V354" i="9"/>
  <c r="G356" i="9" l="1"/>
  <c r="O356" i="9" s="1"/>
  <c r="W354" i="9"/>
  <c r="U355" i="9"/>
  <c r="P355" i="9"/>
  <c r="I355" i="9"/>
  <c r="T355" i="9" s="1"/>
  <c r="R355" i="9"/>
  <c r="D355" i="9"/>
  <c r="F355" i="9"/>
  <c r="X354" i="9" l="1"/>
  <c r="M356" i="9"/>
  <c r="N356" i="9"/>
  <c r="K356" i="9"/>
  <c r="L356" i="9"/>
  <c r="C357" i="9"/>
  <c r="E355" i="9"/>
  <c r="H356" i="9"/>
  <c r="J355" i="9"/>
  <c r="Q355" i="9" s="1"/>
  <c r="G357" i="9" l="1"/>
  <c r="O357" i="9" s="1"/>
  <c r="S355" i="9"/>
  <c r="V355" i="9"/>
  <c r="R356" i="9"/>
  <c r="I356" i="9"/>
  <c r="T356" i="9" s="1"/>
  <c r="P356" i="9"/>
  <c r="U356" i="9"/>
  <c r="F356" i="9"/>
  <c r="D356" i="9"/>
  <c r="X355" i="9" l="1"/>
  <c r="M357" i="9"/>
  <c r="N357" i="9"/>
  <c r="K357" i="9"/>
  <c r="L357" i="9"/>
  <c r="C358" i="9"/>
  <c r="E356" i="9"/>
  <c r="H357" i="9"/>
  <c r="J356" i="9"/>
  <c r="Q356" i="9" s="1"/>
  <c r="W355" i="9"/>
  <c r="I357" i="9"/>
  <c r="T357" i="9" l="1"/>
  <c r="R357" i="9"/>
  <c r="G358" i="9"/>
  <c r="O358" i="9" s="1"/>
  <c r="P357" i="9"/>
  <c r="U357" i="9"/>
  <c r="D357" i="9"/>
  <c r="F357" i="9"/>
  <c r="S356" i="9"/>
  <c r="V356" i="9"/>
  <c r="J357" i="9"/>
  <c r="X356" i="9" l="1"/>
  <c r="M358" i="9"/>
  <c r="N358" i="9"/>
  <c r="K358" i="9"/>
  <c r="G359" i="9" s="1"/>
  <c r="O359" i="9" s="1"/>
  <c r="L358" i="9"/>
  <c r="C359" i="9"/>
  <c r="S357" i="9"/>
  <c r="Q357" i="9"/>
  <c r="E357" i="9"/>
  <c r="H358" i="9"/>
  <c r="J358" i="9" s="1"/>
  <c r="W356" i="9"/>
  <c r="V357" i="9"/>
  <c r="P358" i="9"/>
  <c r="R358" i="9"/>
  <c r="T358" i="9"/>
  <c r="U358" i="9"/>
  <c r="I358" i="9"/>
  <c r="M359" i="9" l="1"/>
  <c r="N359" i="9"/>
  <c r="K359" i="9"/>
  <c r="L359" i="9"/>
  <c r="C360" i="9"/>
  <c r="S358" i="9"/>
  <c r="Q358" i="9"/>
  <c r="W357" i="9"/>
  <c r="D358" i="9"/>
  <c r="F358" i="9"/>
  <c r="V358" i="9"/>
  <c r="X357" i="9" l="1"/>
  <c r="H359" i="9"/>
  <c r="W358" i="9"/>
  <c r="E358" i="9"/>
  <c r="G360" i="9" l="1"/>
  <c r="O360" i="9" s="1"/>
  <c r="P359" i="9"/>
  <c r="R359" i="9"/>
  <c r="U359" i="9"/>
  <c r="I359" i="9"/>
  <c r="T359" i="9" s="1"/>
  <c r="D359" i="9"/>
  <c r="F359" i="9"/>
  <c r="X358" i="9" l="1"/>
  <c r="M360" i="9"/>
  <c r="N360" i="9"/>
  <c r="K360" i="9"/>
  <c r="L360" i="9"/>
  <c r="C361" i="9"/>
  <c r="E359" i="9"/>
  <c r="H360" i="9"/>
  <c r="J359" i="9"/>
  <c r="S359" i="9" l="1"/>
  <c r="Q359" i="9"/>
  <c r="V359" i="9"/>
  <c r="W359" i="9" l="1"/>
  <c r="G361" i="9"/>
  <c r="O361" i="9" s="1"/>
  <c r="R360" i="9"/>
  <c r="U360" i="9"/>
  <c r="P360" i="9"/>
  <c r="I360" i="9"/>
  <c r="T360" i="9" s="1"/>
  <c r="F360" i="9"/>
  <c r="D360" i="9"/>
  <c r="X359" i="9" l="1"/>
  <c r="M361" i="9"/>
  <c r="N361" i="9"/>
  <c r="K361" i="9"/>
  <c r="L361" i="9"/>
  <c r="C362" i="9"/>
  <c r="E360" i="9"/>
  <c r="H361" i="9"/>
  <c r="J360" i="9"/>
  <c r="S360" i="9" l="1"/>
  <c r="Q360" i="9"/>
  <c r="G362" i="9"/>
  <c r="O362" i="9" s="1"/>
  <c r="V360" i="9"/>
  <c r="P361" i="9"/>
  <c r="R361" i="9"/>
  <c r="T361" i="9"/>
  <c r="U361" i="9"/>
  <c r="I361" i="9"/>
  <c r="D361" i="9"/>
  <c r="F361" i="9"/>
  <c r="X360" i="9" l="1"/>
  <c r="M362" i="9"/>
  <c r="N362" i="9"/>
  <c r="K362" i="9"/>
  <c r="L362" i="9"/>
  <c r="C363" i="9"/>
  <c r="E361" i="9"/>
  <c r="H362" i="9"/>
  <c r="D362" i="9"/>
  <c r="E362" i="9" s="1"/>
  <c r="J361" i="9"/>
  <c r="W360" i="9"/>
  <c r="S361" i="9" l="1"/>
  <c r="Q361" i="9"/>
  <c r="V361" i="9"/>
  <c r="F362" i="9"/>
  <c r="I362" i="9"/>
  <c r="J362" i="9"/>
  <c r="Q362" i="9" s="1"/>
  <c r="X361" i="9" l="1"/>
  <c r="W361" i="9"/>
  <c r="H363" i="9"/>
  <c r="G363" i="9"/>
  <c r="O363" i="9" s="1"/>
  <c r="S362" i="9"/>
  <c r="T362" i="9"/>
  <c r="U362" i="9"/>
  <c r="R362" i="9"/>
  <c r="P362" i="9"/>
  <c r="V362" i="9"/>
  <c r="M363" i="9" l="1"/>
  <c r="N363" i="9"/>
  <c r="K363" i="9"/>
  <c r="L363" i="9"/>
  <c r="C364" i="9"/>
  <c r="W362" i="9"/>
  <c r="G364" i="9" l="1"/>
  <c r="O364" i="9" s="1"/>
  <c r="P363" i="9"/>
  <c r="R363" i="9"/>
  <c r="U363" i="9"/>
  <c r="I363" i="9"/>
  <c r="T363" i="9" s="1"/>
  <c r="F363" i="9"/>
  <c r="D363" i="9"/>
  <c r="X362" i="9" l="1"/>
  <c r="M364" i="9"/>
  <c r="N364" i="9"/>
  <c r="K364" i="9"/>
  <c r="L364" i="9"/>
  <c r="C365" i="9"/>
  <c r="E363" i="9"/>
  <c r="H364" i="9"/>
  <c r="J363" i="9"/>
  <c r="S363" i="9" l="1"/>
  <c r="Q363" i="9"/>
  <c r="G365" i="9"/>
  <c r="O365" i="9" s="1"/>
  <c r="F364" i="9"/>
  <c r="D364" i="9"/>
  <c r="V363" i="9"/>
  <c r="P364" i="9"/>
  <c r="R364" i="9"/>
  <c r="T364" i="9"/>
  <c r="U364" i="9"/>
  <c r="J364" i="9"/>
  <c r="I364" i="9"/>
  <c r="X363" i="9" l="1"/>
  <c r="M365" i="9"/>
  <c r="N365" i="9"/>
  <c r="K365" i="9"/>
  <c r="L365" i="9"/>
  <c r="C366" i="9"/>
  <c r="S364" i="9"/>
  <c r="Q364" i="9"/>
  <c r="E364" i="9"/>
  <c r="H365" i="9"/>
  <c r="W363" i="9"/>
  <c r="V364" i="9"/>
  <c r="G366" i="9" l="1"/>
  <c r="O366" i="9" s="1"/>
  <c r="D365" i="9"/>
  <c r="F365" i="9"/>
  <c r="W364" i="9"/>
  <c r="P365" i="9"/>
  <c r="R365" i="9"/>
  <c r="U365" i="9"/>
  <c r="T365" i="9"/>
  <c r="I365" i="9"/>
  <c r="J365" i="9"/>
  <c r="X364" i="9" l="1"/>
  <c r="M366" i="9"/>
  <c r="N366" i="9"/>
  <c r="K366" i="9"/>
  <c r="L366" i="9"/>
  <c r="C367" i="9"/>
  <c r="S365" i="9"/>
  <c r="Q365" i="9"/>
  <c r="E365" i="9"/>
  <c r="H366" i="9"/>
  <c r="V365" i="9"/>
  <c r="W365" i="9" l="1"/>
  <c r="G367" i="9" l="1"/>
  <c r="O367" i="9" s="1"/>
  <c r="R366" i="9"/>
  <c r="P366" i="9"/>
  <c r="T366" i="9"/>
  <c r="U366" i="9"/>
  <c r="I366" i="9"/>
  <c r="F366" i="9"/>
  <c r="D366" i="9"/>
  <c r="X365" i="9" l="1"/>
  <c r="M367" i="9"/>
  <c r="N367" i="9"/>
  <c r="K367" i="9"/>
  <c r="L367" i="9"/>
  <c r="C368" i="9"/>
  <c r="E366" i="9"/>
  <c r="H367" i="9"/>
  <c r="J366" i="9"/>
  <c r="S366" i="9" l="1"/>
  <c r="Q366" i="9"/>
  <c r="G368" i="9"/>
  <c r="O368" i="9" s="1"/>
  <c r="V366" i="9"/>
  <c r="D367" i="9"/>
  <c r="F367" i="9"/>
  <c r="R367" i="9"/>
  <c r="U367" i="9"/>
  <c r="P367" i="9"/>
  <c r="J367" i="9"/>
  <c r="I367" i="9"/>
  <c r="T367" i="9" s="1"/>
  <c r="X366" i="9" l="1"/>
  <c r="M368" i="9"/>
  <c r="N368" i="9"/>
  <c r="K368" i="9"/>
  <c r="L368" i="9"/>
  <c r="C369" i="9"/>
  <c r="S367" i="9"/>
  <c r="Q367" i="9"/>
  <c r="E367" i="9"/>
  <c r="W366" i="9"/>
  <c r="H368" i="9"/>
  <c r="V367" i="9"/>
  <c r="W367" i="9" l="1"/>
  <c r="G369" i="9" l="1"/>
  <c r="O369" i="9" s="1"/>
  <c r="U368" i="9"/>
  <c r="P368" i="9"/>
  <c r="R368" i="9"/>
  <c r="T368" i="9"/>
  <c r="I368" i="9"/>
  <c r="D368" i="9"/>
  <c r="F368" i="9"/>
  <c r="X367" i="9" l="1"/>
  <c r="M369" i="9"/>
  <c r="N369" i="9"/>
  <c r="K369" i="9"/>
  <c r="L369" i="9"/>
  <c r="C370" i="9"/>
  <c r="E368" i="9"/>
  <c r="H369" i="9"/>
  <c r="J368" i="9"/>
  <c r="S368" i="9" l="1"/>
  <c r="Q368" i="9"/>
  <c r="V368" i="9"/>
  <c r="G370" i="9" l="1"/>
  <c r="O370" i="9" s="1"/>
  <c r="W368" i="9"/>
  <c r="U369" i="9"/>
  <c r="P369" i="9"/>
  <c r="R369" i="9"/>
  <c r="I369" i="9"/>
  <c r="T369" i="9" s="1"/>
  <c r="D369" i="9"/>
  <c r="F369" i="9"/>
  <c r="X368" i="9" l="1"/>
  <c r="M370" i="9"/>
  <c r="N370" i="9"/>
  <c r="K370" i="9"/>
  <c r="L370" i="9"/>
  <c r="C371" i="9"/>
  <c r="E369" i="9"/>
  <c r="H370" i="9"/>
  <c r="J369" i="9"/>
  <c r="S369" i="9" l="1"/>
  <c r="Q369" i="9"/>
  <c r="G371" i="9"/>
  <c r="O371" i="9" s="1"/>
  <c r="V369" i="9"/>
  <c r="P370" i="9"/>
  <c r="U370" i="9"/>
  <c r="R370" i="9"/>
  <c r="I370" i="9"/>
  <c r="T370" i="9" s="1"/>
  <c r="F370" i="9"/>
  <c r="D370" i="9"/>
  <c r="X369" i="9" l="1"/>
  <c r="M371" i="9"/>
  <c r="N371" i="9"/>
  <c r="K371" i="9"/>
  <c r="L371" i="9"/>
  <c r="C372" i="9"/>
  <c r="E370" i="9"/>
  <c r="H371" i="9"/>
  <c r="J370" i="9"/>
  <c r="W369" i="9"/>
  <c r="S370" i="9" l="1"/>
  <c r="Q370" i="9"/>
  <c r="G372" i="9"/>
  <c r="O372" i="9" s="1"/>
  <c r="V370" i="9"/>
  <c r="P371" i="9"/>
  <c r="R371" i="9"/>
  <c r="U371" i="9"/>
  <c r="I371" i="9"/>
  <c r="T371" i="9" s="1"/>
  <c r="D371" i="9"/>
  <c r="F371" i="9"/>
  <c r="X370" i="9" l="1"/>
  <c r="M372" i="9"/>
  <c r="N372" i="9"/>
  <c r="K372" i="9"/>
  <c r="L372" i="9"/>
  <c r="C373" i="9"/>
  <c r="E371" i="9"/>
  <c r="W370" i="9"/>
  <c r="H372" i="9"/>
  <c r="J371" i="9"/>
  <c r="S371" i="9" l="1"/>
  <c r="Q371" i="9"/>
  <c r="V371" i="9"/>
  <c r="G373" i="9" l="1"/>
  <c r="O373" i="9" s="1"/>
  <c r="W371" i="9"/>
  <c r="R372" i="9"/>
  <c r="U372" i="9"/>
  <c r="P372" i="9"/>
  <c r="I372" i="9"/>
  <c r="T372" i="9" s="1"/>
  <c r="F372" i="9"/>
  <c r="D372" i="9"/>
  <c r="X371" i="9" l="1"/>
  <c r="M373" i="9"/>
  <c r="N373" i="9"/>
  <c r="K373" i="9"/>
  <c r="L373" i="9"/>
  <c r="C374" i="9"/>
  <c r="E372" i="9"/>
  <c r="H373" i="9"/>
  <c r="J372" i="9"/>
  <c r="S372" i="9" l="1"/>
  <c r="Q372" i="9"/>
  <c r="G374" i="9"/>
  <c r="O374" i="9" s="1"/>
  <c r="F373" i="9"/>
  <c r="D373" i="9"/>
  <c r="V372" i="9"/>
  <c r="U373" i="9"/>
  <c r="T373" i="9"/>
  <c r="R373" i="9"/>
  <c r="P373" i="9"/>
  <c r="I373" i="9"/>
  <c r="J373" i="9"/>
  <c r="X372" i="9" l="1"/>
  <c r="M374" i="9"/>
  <c r="N374" i="9"/>
  <c r="K374" i="9"/>
  <c r="L374" i="9"/>
  <c r="C375" i="9"/>
  <c r="S373" i="9"/>
  <c r="Q373" i="9"/>
  <c r="E373" i="9"/>
  <c r="H374" i="9"/>
  <c r="W372" i="9"/>
  <c r="V373" i="9"/>
  <c r="W373" i="9" l="1"/>
  <c r="G375" i="9" l="1"/>
  <c r="O375" i="9" s="1"/>
  <c r="R374" i="9"/>
  <c r="P374" i="9"/>
  <c r="U374" i="9"/>
  <c r="I374" i="9"/>
  <c r="T374" i="9" s="1"/>
  <c r="F374" i="9"/>
  <c r="D374" i="9"/>
  <c r="X373" i="9" l="1"/>
  <c r="M375" i="9"/>
  <c r="N375" i="9"/>
  <c r="K375" i="9"/>
  <c r="L375" i="9"/>
  <c r="C376" i="9"/>
  <c r="E374" i="9"/>
  <c r="H375" i="9"/>
  <c r="J374" i="9"/>
  <c r="S374" i="9" l="1"/>
  <c r="Q374" i="9"/>
  <c r="G376" i="9"/>
  <c r="O376" i="9" s="1"/>
  <c r="D375" i="9"/>
  <c r="F375" i="9"/>
  <c r="V374" i="9"/>
  <c r="R375" i="9"/>
  <c r="P375" i="9"/>
  <c r="U375" i="9"/>
  <c r="J375" i="9"/>
  <c r="I375" i="9"/>
  <c r="T375" i="9" s="1"/>
  <c r="X374" i="9" l="1"/>
  <c r="M376" i="9"/>
  <c r="N376" i="9"/>
  <c r="K376" i="9"/>
  <c r="L376" i="9"/>
  <c r="C377" i="9"/>
  <c r="S375" i="9"/>
  <c r="Q375" i="9"/>
  <c r="E375" i="9"/>
  <c r="H376" i="9"/>
  <c r="W374" i="9"/>
  <c r="V375" i="9"/>
  <c r="W375" i="9" l="1"/>
  <c r="G377" i="9" l="1"/>
  <c r="O377" i="9" s="1"/>
  <c r="R376" i="9"/>
  <c r="U376" i="9"/>
  <c r="T376" i="9"/>
  <c r="P376" i="9"/>
  <c r="I376" i="9"/>
  <c r="D376" i="9"/>
  <c r="F376" i="9"/>
  <c r="X375" i="9" l="1"/>
  <c r="M377" i="9"/>
  <c r="N377" i="9"/>
  <c r="K377" i="9"/>
  <c r="L377" i="9"/>
  <c r="C378" i="9"/>
  <c r="E376" i="9"/>
  <c r="H377" i="9"/>
  <c r="J376" i="9"/>
  <c r="S376" i="9" l="1"/>
  <c r="Q376" i="9"/>
  <c r="V376" i="9"/>
  <c r="W376" i="9" l="1"/>
  <c r="G378" i="9"/>
  <c r="O378" i="9" s="1"/>
  <c r="R377" i="9"/>
  <c r="T377" i="9"/>
  <c r="U377" i="9"/>
  <c r="P377" i="9"/>
  <c r="I377" i="9"/>
  <c r="D377" i="9"/>
  <c r="F377" i="9"/>
  <c r="X376" i="9" l="1"/>
  <c r="M378" i="9"/>
  <c r="N378" i="9"/>
  <c r="K378" i="9"/>
  <c r="L378" i="9"/>
  <c r="C379" i="9"/>
  <c r="E377" i="9"/>
  <c r="H378" i="9"/>
  <c r="J377" i="9"/>
  <c r="S377" i="9" l="1"/>
  <c r="Q377" i="9"/>
  <c r="V377" i="9"/>
  <c r="G379" i="9" l="1"/>
  <c r="O379" i="9" s="1"/>
  <c r="W377" i="9"/>
  <c r="D378" i="9"/>
  <c r="F378" i="9"/>
  <c r="U378" i="9"/>
  <c r="P378" i="9"/>
  <c r="R378" i="9"/>
  <c r="I378" i="9"/>
  <c r="T378" i="9" s="1"/>
  <c r="X377" i="9" l="1"/>
  <c r="M379" i="9"/>
  <c r="N379" i="9"/>
  <c r="K379" i="9"/>
  <c r="L379" i="9"/>
  <c r="C380" i="9"/>
  <c r="E378" i="9"/>
  <c r="H379" i="9"/>
  <c r="J378" i="9"/>
  <c r="S378" i="9" l="1"/>
  <c r="Q378" i="9"/>
  <c r="V378" i="9"/>
  <c r="G380" i="9" l="1"/>
  <c r="O380" i="9" s="1"/>
  <c r="W378" i="9"/>
  <c r="R379" i="9"/>
  <c r="T379" i="9"/>
  <c r="U379" i="9"/>
  <c r="P379" i="9"/>
  <c r="I379" i="9"/>
  <c r="F379" i="9"/>
  <c r="D379" i="9"/>
  <c r="X378" i="9" l="1"/>
  <c r="M380" i="9"/>
  <c r="N380" i="9"/>
  <c r="K380" i="9"/>
  <c r="L380" i="9"/>
  <c r="C381" i="9"/>
  <c r="E379" i="9"/>
  <c r="H380" i="9"/>
  <c r="J379" i="9"/>
  <c r="S379" i="9" l="1"/>
  <c r="Q379" i="9"/>
  <c r="G381" i="9"/>
  <c r="O381" i="9" s="1"/>
  <c r="F380" i="9"/>
  <c r="D380" i="9"/>
  <c r="V379" i="9"/>
  <c r="R380" i="9"/>
  <c r="P380" i="9"/>
  <c r="U380" i="9"/>
  <c r="T380" i="9"/>
  <c r="J380" i="9"/>
  <c r="I380" i="9"/>
  <c r="X379" i="9" l="1"/>
  <c r="M381" i="9"/>
  <c r="N381" i="9"/>
  <c r="K381" i="9"/>
  <c r="L381" i="9"/>
  <c r="C382" i="9"/>
  <c r="S380" i="9"/>
  <c r="Q380" i="9"/>
  <c r="E380" i="9"/>
  <c r="H381" i="9"/>
  <c r="W379" i="9"/>
  <c r="V380" i="9"/>
  <c r="W380" i="9" l="1"/>
  <c r="G382" i="9" l="1"/>
  <c r="O382" i="9" s="1"/>
  <c r="R381" i="9"/>
  <c r="U381" i="9"/>
  <c r="P381" i="9"/>
  <c r="I381" i="9"/>
  <c r="T381" i="9" s="1"/>
  <c r="D381" i="9"/>
  <c r="F381" i="9"/>
  <c r="X380" i="9" l="1"/>
  <c r="M382" i="9"/>
  <c r="N382" i="9"/>
  <c r="K382" i="9"/>
  <c r="L382" i="9"/>
  <c r="C383" i="9"/>
  <c r="E381" i="9"/>
  <c r="H382" i="9"/>
  <c r="J381" i="9"/>
  <c r="S381" i="9" l="1"/>
  <c r="Q381" i="9"/>
  <c r="G383" i="9"/>
  <c r="O383" i="9" s="1"/>
  <c r="V381" i="9"/>
  <c r="U382" i="9"/>
  <c r="P382" i="9"/>
  <c r="R382" i="9"/>
  <c r="T382" i="9"/>
  <c r="I382" i="9"/>
  <c r="D382" i="9"/>
  <c r="F382" i="9"/>
  <c r="X381" i="9" l="1"/>
  <c r="M383" i="9"/>
  <c r="N383" i="9"/>
  <c r="K383" i="9"/>
  <c r="L383" i="9"/>
  <c r="C384" i="9"/>
  <c r="E382" i="9"/>
  <c r="W381" i="9"/>
  <c r="H383" i="9"/>
  <c r="J382" i="9"/>
  <c r="S382" i="9" l="1"/>
  <c r="Q382" i="9"/>
  <c r="V382" i="9"/>
  <c r="G384" i="9" l="1"/>
  <c r="O384" i="9" s="1"/>
  <c r="W382" i="9"/>
  <c r="U383" i="9"/>
  <c r="P383" i="9"/>
  <c r="R383" i="9"/>
  <c r="I383" i="9"/>
  <c r="T383" i="9" s="1"/>
  <c r="F383" i="9"/>
  <c r="D383" i="9"/>
  <c r="X382" i="9" l="1"/>
  <c r="M384" i="9"/>
  <c r="N384" i="9"/>
  <c r="K384" i="9"/>
  <c r="L384" i="9"/>
  <c r="C385" i="9"/>
  <c r="E383" i="9"/>
  <c r="H384" i="9"/>
  <c r="J383" i="9"/>
  <c r="S383" i="9" l="1"/>
  <c r="Q383" i="9"/>
  <c r="G385" i="9"/>
  <c r="O385" i="9" s="1"/>
  <c r="F384" i="9"/>
  <c r="D384" i="9"/>
  <c r="V383" i="9"/>
  <c r="U384" i="9"/>
  <c r="R384" i="9"/>
  <c r="T384" i="9"/>
  <c r="P384" i="9"/>
  <c r="I384" i="9"/>
  <c r="J384" i="9"/>
  <c r="X383" i="9" l="1"/>
  <c r="M385" i="9"/>
  <c r="N385" i="9"/>
  <c r="K385" i="9"/>
  <c r="L385" i="9"/>
  <c r="C386" i="9"/>
  <c r="S384" i="9"/>
  <c r="Q384" i="9"/>
  <c r="E384" i="9"/>
  <c r="H385" i="9"/>
  <c r="W383" i="9"/>
  <c r="V384" i="9"/>
  <c r="W384" i="9" l="1"/>
  <c r="G386" i="9" l="1"/>
  <c r="O386" i="9" s="1"/>
  <c r="U385" i="9"/>
  <c r="P385" i="9"/>
  <c r="R385" i="9"/>
  <c r="I385" i="9"/>
  <c r="T385" i="9" s="1"/>
  <c r="D385" i="9"/>
  <c r="F385" i="9"/>
  <c r="X384" i="9" l="1"/>
  <c r="M386" i="9"/>
  <c r="N386" i="9"/>
  <c r="K386" i="9"/>
  <c r="L386" i="9"/>
  <c r="C387" i="9"/>
  <c r="E385" i="9"/>
  <c r="H386" i="9"/>
  <c r="J385" i="9"/>
  <c r="S385" i="9" l="1"/>
  <c r="Q385" i="9"/>
  <c r="G387" i="9"/>
  <c r="O387" i="9" s="1"/>
  <c r="D386" i="9"/>
  <c r="F386" i="9"/>
  <c r="V385" i="9"/>
  <c r="U386" i="9"/>
  <c r="R386" i="9"/>
  <c r="P386" i="9"/>
  <c r="I386" i="9"/>
  <c r="T386" i="9" s="1"/>
  <c r="J386" i="9"/>
  <c r="X385" i="9" l="1"/>
  <c r="M387" i="9"/>
  <c r="N387" i="9"/>
  <c r="K387" i="9"/>
  <c r="L387" i="9"/>
  <c r="C388" i="9"/>
  <c r="S386" i="9"/>
  <c r="Q386" i="9"/>
  <c r="E386" i="9"/>
  <c r="H387" i="9"/>
  <c r="W385" i="9"/>
  <c r="V386" i="9"/>
  <c r="W386" i="9" l="1"/>
  <c r="G388" i="9" l="1"/>
  <c r="O388" i="9" s="1"/>
  <c r="U387" i="9"/>
  <c r="R387" i="9"/>
  <c r="P387" i="9"/>
  <c r="I387" i="9"/>
  <c r="T387" i="9" s="1"/>
  <c r="D387" i="9"/>
  <c r="F387" i="9"/>
  <c r="X386" i="9" l="1"/>
  <c r="M388" i="9"/>
  <c r="N388" i="9"/>
  <c r="K388" i="9"/>
  <c r="L388" i="9"/>
  <c r="C389" i="9"/>
  <c r="E387" i="9"/>
  <c r="H388" i="9"/>
  <c r="J387" i="9"/>
  <c r="S387" i="9" l="1"/>
  <c r="Q387" i="9"/>
  <c r="G389" i="9"/>
  <c r="O389" i="9" s="1"/>
  <c r="D388" i="9"/>
  <c r="F388" i="9"/>
  <c r="V387" i="9"/>
  <c r="U388" i="9"/>
  <c r="R388" i="9"/>
  <c r="P388" i="9"/>
  <c r="I388" i="9"/>
  <c r="T388" i="9" s="1"/>
  <c r="J388" i="9"/>
  <c r="X387" i="9" l="1"/>
  <c r="M389" i="9"/>
  <c r="N389" i="9"/>
  <c r="K389" i="9"/>
  <c r="L389" i="9"/>
  <c r="C390" i="9"/>
  <c r="S388" i="9"/>
  <c r="Q388" i="9"/>
  <c r="E388" i="9"/>
  <c r="H389" i="9"/>
  <c r="W387" i="9"/>
  <c r="V388" i="9"/>
  <c r="W388" i="9" l="1"/>
  <c r="G390" i="9" l="1"/>
  <c r="O390" i="9" s="1"/>
  <c r="P389" i="9"/>
  <c r="U389" i="9"/>
  <c r="R389" i="9"/>
  <c r="I389" i="9"/>
  <c r="T389" i="9" s="1"/>
  <c r="F389" i="9"/>
  <c r="D389" i="9"/>
  <c r="X388" i="9" l="1"/>
  <c r="M390" i="9"/>
  <c r="N390" i="9"/>
  <c r="K390" i="9"/>
  <c r="L390" i="9"/>
  <c r="C391" i="9"/>
  <c r="E389" i="9"/>
  <c r="H390" i="9"/>
  <c r="J389" i="9"/>
  <c r="S389" i="9" l="1"/>
  <c r="Q389" i="9"/>
  <c r="G391" i="9"/>
  <c r="O391" i="9" s="1"/>
  <c r="D390" i="9"/>
  <c r="F390" i="9"/>
  <c r="V389" i="9"/>
  <c r="P390" i="9"/>
  <c r="U390" i="9"/>
  <c r="R390" i="9"/>
  <c r="J390" i="9"/>
  <c r="I390" i="9"/>
  <c r="T390" i="9" s="1"/>
  <c r="X389" i="9" l="1"/>
  <c r="M391" i="9"/>
  <c r="N391" i="9"/>
  <c r="K391" i="9"/>
  <c r="L391" i="9"/>
  <c r="C392" i="9"/>
  <c r="S390" i="9"/>
  <c r="Q390" i="9"/>
  <c r="E390" i="9"/>
  <c r="W389" i="9"/>
  <c r="H391" i="9"/>
  <c r="V390" i="9"/>
  <c r="W390" i="9" l="1"/>
  <c r="G392" i="9" l="1"/>
  <c r="O392" i="9" s="1"/>
  <c r="U391" i="9"/>
  <c r="R391" i="9"/>
  <c r="P391" i="9"/>
  <c r="T391" i="9"/>
  <c r="I391" i="9"/>
  <c r="D391" i="9"/>
  <c r="F391" i="9"/>
  <c r="X390" i="9" l="1"/>
  <c r="M392" i="9"/>
  <c r="N392" i="9"/>
  <c r="K392" i="9"/>
  <c r="L392" i="9"/>
  <c r="C393" i="9"/>
  <c r="E391" i="9"/>
  <c r="H392" i="9"/>
  <c r="J391" i="9"/>
  <c r="S391" i="9" l="1"/>
  <c r="Q391" i="9"/>
  <c r="V391" i="9"/>
  <c r="G393" i="9" l="1"/>
  <c r="O393" i="9" s="1"/>
  <c r="W391" i="9"/>
  <c r="P392" i="9"/>
  <c r="R392" i="9"/>
  <c r="U392" i="9"/>
  <c r="I392" i="9"/>
  <c r="T392" i="9" s="1"/>
  <c r="D392" i="9"/>
  <c r="F392" i="9"/>
  <c r="X391" i="9" l="1"/>
  <c r="M393" i="9"/>
  <c r="N393" i="9"/>
  <c r="K393" i="9"/>
  <c r="L393" i="9"/>
  <c r="C394" i="9"/>
  <c r="E392" i="9"/>
  <c r="H393" i="9"/>
  <c r="J392" i="9"/>
  <c r="S392" i="9" l="1"/>
  <c r="Q392" i="9"/>
  <c r="G394" i="9"/>
  <c r="O394" i="9" s="1"/>
  <c r="V392" i="9"/>
  <c r="P393" i="9"/>
  <c r="R393" i="9"/>
  <c r="U393" i="9"/>
  <c r="I393" i="9"/>
  <c r="T393" i="9" s="1"/>
  <c r="D393" i="9"/>
  <c r="F393" i="9"/>
  <c r="X392" i="9" l="1"/>
  <c r="M394" i="9"/>
  <c r="N394" i="9"/>
  <c r="K394" i="9"/>
  <c r="L394" i="9"/>
  <c r="C395" i="9"/>
  <c r="E393" i="9"/>
  <c r="H394" i="9"/>
  <c r="W392" i="9"/>
  <c r="J393" i="9"/>
  <c r="S393" i="9" l="1"/>
  <c r="Q393" i="9"/>
  <c r="G395" i="9"/>
  <c r="O395" i="9" s="1"/>
  <c r="D394" i="9"/>
  <c r="V393" i="9"/>
  <c r="P394" i="9"/>
  <c r="R394" i="9"/>
  <c r="T394" i="9"/>
  <c r="U394" i="9"/>
  <c r="I394" i="9"/>
  <c r="F394" i="9"/>
  <c r="X393" i="9" l="1"/>
  <c r="M395" i="9"/>
  <c r="N395" i="9"/>
  <c r="K395" i="9"/>
  <c r="L395" i="9"/>
  <c r="C396" i="9"/>
  <c r="E394" i="9"/>
  <c r="F395" i="9"/>
  <c r="H395" i="9"/>
  <c r="W393" i="9"/>
  <c r="J394" i="9"/>
  <c r="X394" i="9" l="1"/>
  <c r="S394" i="9"/>
  <c r="Q394" i="9"/>
  <c r="D395" i="9"/>
  <c r="V394" i="9"/>
  <c r="P395" i="9"/>
  <c r="U395" i="9"/>
  <c r="T395" i="9"/>
  <c r="I395" i="9"/>
  <c r="W394" i="9" l="1"/>
  <c r="E395" i="9"/>
  <c r="R395" i="9"/>
  <c r="G396" i="9"/>
  <c r="O396" i="9" s="1"/>
  <c r="H396" i="9"/>
  <c r="J395" i="9"/>
  <c r="M396" i="9" l="1"/>
  <c r="N396" i="9"/>
  <c r="K396" i="9"/>
  <c r="L396" i="9"/>
  <c r="C397" i="9"/>
  <c r="S395" i="9"/>
  <c r="Q395" i="9"/>
  <c r="V395" i="9"/>
  <c r="G397" i="9" l="1"/>
  <c r="O397" i="9" s="1"/>
  <c r="W395" i="9"/>
  <c r="P396" i="9"/>
  <c r="R396" i="9"/>
  <c r="T396" i="9"/>
  <c r="U396" i="9"/>
  <c r="I396" i="9"/>
  <c r="F396" i="9"/>
  <c r="D396" i="9"/>
  <c r="X395" i="9" l="1"/>
  <c r="M397" i="9"/>
  <c r="N397" i="9"/>
  <c r="K397" i="9"/>
  <c r="L397" i="9"/>
  <c r="C398" i="9"/>
  <c r="E396" i="9"/>
  <c r="H397" i="9"/>
  <c r="J396" i="9"/>
  <c r="S396" i="9" l="1"/>
  <c r="Q396" i="9"/>
  <c r="G398" i="9"/>
  <c r="O398" i="9" s="1"/>
  <c r="D397" i="9"/>
  <c r="F397" i="9"/>
  <c r="V396" i="9"/>
  <c r="R397" i="9"/>
  <c r="T397" i="9"/>
  <c r="P397" i="9"/>
  <c r="U397" i="9"/>
  <c r="J397" i="9"/>
  <c r="I397" i="9"/>
  <c r="X396" i="9" l="1"/>
  <c r="M398" i="9"/>
  <c r="N398" i="9"/>
  <c r="K398" i="9"/>
  <c r="L398" i="9"/>
  <c r="C399" i="9"/>
  <c r="S397" i="9"/>
  <c r="Q397" i="9"/>
  <c r="E397" i="9"/>
  <c r="H398" i="9"/>
  <c r="W396" i="9"/>
  <c r="V397" i="9"/>
  <c r="W397" i="9" l="1"/>
  <c r="G399" i="9" l="1"/>
  <c r="O399" i="9" s="1"/>
  <c r="R398" i="9"/>
  <c r="U398" i="9"/>
  <c r="P398" i="9"/>
  <c r="T398" i="9"/>
  <c r="I398" i="9"/>
  <c r="F398" i="9"/>
  <c r="D398" i="9"/>
  <c r="X397" i="9" l="1"/>
  <c r="M399" i="9"/>
  <c r="N399" i="9"/>
  <c r="K399" i="9"/>
  <c r="L399" i="9"/>
  <c r="C400" i="9"/>
  <c r="E398" i="9"/>
  <c r="H399" i="9"/>
  <c r="J398" i="9"/>
  <c r="S398" i="9" l="1"/>
  <c r="Q398" i="9"/>
  <c r="G400" i="9"/>
  <c r="O400" i="9" s="1"/>
  <c r="V398" i="9"/>
  <c r="P399" i="9"/>
  <c r="R399" i="9"/>
  <c r="U399" i="9"/>
  <c r="I399" i="9"/>
  <c r="T399" i="9" s="1"/>
  <c r="D399" i="9"/>
  <c r="F399" i="9"/>
  <c r="X398" i="9" l="1"/>
  <c r="M400" i="9"/>
  <c r="N400" i="9"/>
  <c r="K400" i="9"/>
  <c r="L400" i="9"/>
  <c r="C401" i="9"/>
  <c r="E399" i="9"/>
  <c r="W398" i="9"/>
  <c r="H400" i="9"/>
  <c r="J399" i="9"/>
  <c r="S399" i="9" l="1"/>
  <c r="Q399" i="9"/>
  <c r="V399" i="9"/>
  <c r="G401" i="9" l="1"/>
  <c r="O401" i="9" s="1"/>
  <c r="W399" i="9"/>
  <c r="R400" i="9"/>
  <c r="P400" i="9"/>
  <c r="U400" i="9"/>
  <c r="I400" i="9"/>
  <c r="T400" i="9" s="1"/>
  <c r="F400" i="9"/>
  <c r="D400" i="9"/>
  <c r="X399" i="9" l="1"/>
  <c r="M401" i="9"/>
  <c r="N401" i="9"/>
  <c r="K401" i="9"/>
  <c r="L401" i="9"/>
  <c r="C402" i="9"/>
  <c r="E400" i="9"/>
  <c r="H401" i="9"/>
  <c r="J400" i="9"/>
  <c r="S400" i="9" l="1"/>
  <c r="Q400" i="9"/>
  <c r="G402" i="9"/>
  <c r="O402" i="9" s="1"/>
  <c r="V400" i="9"/>
  <c r="D401" i="9"/>
  <c r="F401" i="9"/>
  <c r="R401" i="9"/>
  <c r="U401" i="9"/>
  <c r="P401" i="9"/>
  <c r="J401" i="9"/>
  <c r="I401" i="9"/>
  <c r="T401" i="9" s="1"/>
  <c r="X400" i="9" l="1"/>
  <c r="M402" i="9"/>
  <c r="N402" i="9"/>
  <c r="K402" i="9"/>
  <c r="L402" i="9"/>
  <c r="C403" i="9"/>
  <c r="S401" i="9"/>
  <c r="Q401" i="9"/>
  <c r="E401" i="9"/>
  <c r="W400" i="9"/>
  <c r="H402" i="9"/>
  <c r="V401" i="9"/>
  <c r="W401" i="9" l="1"/>
  <c r="G403" i="9" l="1"/>
  <c r="O403" i="9" s="1"/>
  <c r="U402" i="9"/>
  <c r="P402" i="9"/>
  <c r="R402" i="9"/>
  <c r="I402" i="9"/>
  <c r="T402" i="9" s="1"/>
  <c r="F402" i="9"/>
  <c r="D402" i="9"/>
  <c r="X401" i="9" l="1"/>
  <c r="M403" i="9"/>
  <c r="N403" i="9"/>
  <c r="K403" i="9"/>
  <c r="L403" i="9"/>
  <c r="C404" i="9"/>
  <c r="E402" i="9"/>
  <c r="H403" i="9"/>
  <c r="J402" i="9"/>
  <c r="S402" i="9" l="1"/>
  <c r="Q402" i="9"/>
  <c r="G404" i="9"/>
  <c r="O404" i="9" s="1"/>
  <c r="D403" i="9"/>
  <c r="F403" i="9"/>
  <c r="V402" i="9"/>
  <c r="U403" i="9"/>
  <c r="P403" i="9"/>
  <c r="R403" i="9"/>
  <c r="T403" i="9"/>
  <c r="I403" i="9"/>
  <c r="J403" i="9"/>
  <c r="X402" i="9" l="1"/>
  <c r="M404" i="9"/>
  <c r="N404" i="9"/>
  <c r="K404" i="9"/>
  <c r="L404" i="9"/>
  <c r="C405" i="9"/>
  <c r="S403" i="9"/>
  <c r="Q403" i="9"/>
  <c r="E403" i="9"/>
  <c r="H404" i="9"/>
  <c r="W402" i="9"/>
  <c r="V403" i="9"/>
  <c r="W403" i="9" l="1"/>
  <c r="G405" i="9" l="1"/>
  <c r="O405" i="9" s="1"/>
  <c r="P404" i="9"/>
  <c r="U404" i="9"/>
  <c r="R404" i="9"/>
  <c r="I404" i="9"/>
  <c r="T404" i="9" s="1"/>
  <c r="F404" i="9"/>
  <c r="D404" i="9"/>
  <c r="X403" i="9" l="1"/>
  <c r="M405" i="9"/>
  <c r="N405" i="9"/>
  <c r="K405" i="9"/>
  <c r="L405" i="9"/>
  <c r="C406" i="9"/>
  <c r="E404" i="9"/>
  <c r="H405" i="9"/>
  <c r="J404" i="9"/>
  <c r="S404" i="9" l="1"/>
  <c r="Q404" i="9"/>
  <c r="G406" i="9"/>
  <c r="O406" i="9" s="1"/>
  <c r="D405" i="9"/>
  <c r="F405" i="9"/>
  <c r="V404" i="9"/>
  <c r="P405" i="9"/>
  <c r="U405" i="9"/>
  <c r="R405" i="9"/>
  <c r="T405" i="9"/>
  <c r="J405" i="9"/>
  <c r="I405" i="9"/>
  <c r="X404" i="9" l="1"/>
  <c r="M406" i="9"/>
  <c r="N406" i="9"/>
  <c r="K406" i="9"/>
  <c r="L406" i="9"/>
  <c r="C407" i="9"/>
  <c r="S405" i="9"/>
  <c r="Q405" i="9"/>
  <c r="E405" i="9"/>
  <c r="H406" i="9"/>
  <c r="W404" i="9"/>
  <c r="V405" i="9"/>
  <c r="W405" i="9" l="1"/>
  <c r="G407" i="9" l="1"/>
  <c r="O407" i="9" s="1"/>
  <c r="R406" i="9"/>
  <c r="P406" i="9"/>
  <c r="U406" i="9"/>
  <c r="I406" i="9"/>
  <c r="T406" i="9" s="1"/>
  <c r="F406" i="9"/>
  <c r="D406" i="9"/>
  <c r="X405" i="9" l="1"/>
  <c r="M407" i="9"/>
  <c r="N407" i="9"/>
  <c r="K407" i="9"/>
  <c r="L407" i="9"/>
  <c r="C408" i="9"/>
  <c r="E406" i="9"/>
  <c r="H407" i="9"/>
  <c r="J406" i="9"/>
  <c r="S406" i="9" l="1"/>
  <c r="Q406" i="9"/>
  <c r="G408" i="9"/>
  <c r="O408" i="9" s="1"/>
  <c r="D407" i="9"/>
  <c r="F407" i="9"/>
  <c r="V406" i="9"/>
  <c r="P407" i="9"/>
  <c r="U407" i="9"/>
  <c r="R407" i="9"/>
  <c r="I407" i="9"/>
  <c r="T407" i="9" s="1"/>
  <c r="J407" i="9"/>
  <c r="X406" i="9" l="1"/>
  <c r="M408" i="9"/>
  <c r="N408" i="9"/>
  <c r="K408" i="9"/>
  <c r="L408" i="9"/>
  <c r="C409" i="9"/>
  <c r="S407" i="9"/>
  <c r="Q407" i="9"/>
  <c r="E407" i="9"/>
  <c r="H408" i="9"/>
  <c r="W406" i="9"/>
  <c r="V407" i="9"/>
  <c r="W407" i="9" l="1"/>
  <c r="G409" i="9" l="1"/>
  <c r="O409" i="9" s="1"/>
  <c r="U408" i="9"/>
  <c r="P408" i="9"/>
  <c r="R408" i="9"/>
  <c r="I408" i="9"/>
  <c r="T408" i="9" s="1"/>
  <c r="D408" i="9"/>
  <c r="F408" i="9"/>
  <c r="X407" i="9" l="1"/>
  <c r="M409" i="9"/>
  <c r="N409" i="9"/>
  <c r="K409" i="9"/>
  <c r="L409" i="9"/>
  <c r="C410" i="9"/>
  <c r="E408" i="9"/>
  <c r="H409" i="9"/>
  <c r="J408" i="9"/>
  <c r="S408" i="9" l="1"/>
  <c r="Q408" i="9"/>
  <c r="G410" i="9"/>
  <c r="O410" i="9" s="1"/>
  <c r="V408" i="9"/>
  <c r="F409" i="9"/>
  <c r="D409" i="9"/>
  <c r="P409" i="9"/>
  <c r="U409" i="9"/>
  <c r="R409" i="9"/>
  <c r="J409" i="9"/>
  <c r="I409" i="9"/>
  <c r="T409" i="9" s="1"/>
  <c r="X408" i="9" l="1"/>
  <c r="M410" i="9"/>
  <c r="N410" i="9"/>
  <c r="K410" i="9"/>
  <c r="L410" i="9"/>
  <c r="C411" i="9"/>
  <c r="S409" i="9"/>
  <c r="Q409" i="9"/>
  <c r="E409" i="9"/>
  <c r="W408" i="9"/>
  <c r="H410" i="9"/>
  <c r="V409" i="9"/>
  <c r="W409" i="9" l="1"/>
  <c r="G411" i="9" l="1"/>
  <c r="O411" i="9" s="1"/>
  <c r="R410" i="9"/>
  <c r="P410" i="9"/>
  <c r="U410" i="9"/>
  <c r="I410" i="9"/>
  <c r="T410" i="9" s="1"/>
  <c r="F410" i="9"/>
  <c r="D410" i="9"/>
  <c r="X409" i="9" l="1"/>
  <c r="M411" i="9"/>
  <c r="N411" i="9"/>
  <c r="K411" i="9"/>
  <c r="L411" i="9"/>
  <c r="C412" i="9"/>
  <c r="E410" i="9"/>
  <c r="H411" i="9"/>
  <c r="J410" i="9"/>
  <c r="S410" i="9" l="1"/>
  <c r="Q410" i="9"/>
  <c r="G412" i="9"/>
  <c r="O412" i="9" s="1"/>
  <c r="V410" i="9"/>
  <c r="P411" i="9"/>
  <c r="U411" i="9"/>
  <c r="R411" i="9"/>
  <c r="I411" i="9"/>
  <c r="T411" i="9" s="1"/>
  <c r="F411" i="9"/>
  <c r="D411" i="9"/>
  <c r="X410" i="9" l="1"/>
  <c r="M412" i="9"/>
  <c r="N412" i="9"/>
  <c r="K412" i="9"/>
  <c r="L412" i="9"/>
  <c r="C413" i="9"/>
  <c r="E411" i="9"/>
  <c r="H412" i="9"/>
  <c r="J411" i="9"/>
  <c r="W410" i="9"/>
  <c r="S411" i="9" l="1"/>
  <c r="Q411" i="9"/>
  <c r="D412" i="9"/>
  <c r="F412" i="9"/>
  <c r="V411" i="9"/>
  <c r="I412" i="9"/>
  <c r="J412" i="9"/>
  <c r="Q412" i="9" s="1"/>
  <c r="X411" i="9" l="1"/>
  <c r="E412" i="9"/>
  <c r="H413" i="9"/>
  <c r="G413" i="9"/>
  <c r="O413" i="9" s="1"/>
  <c r="S412" i="9"/>
  <c r="U412" i="9"/>
  <c r="P412" i="9"/>
  <c r="R412" i="9"/>
  <c r="W411" i="9"/>
  <c r="T412" i="9"/>
  <c r="V412" i="9"/>
  <c r="M413" i="9" l="1"/>
  <c r="N413" i="9"/>
  <c r="K413" i="9"/>
  <c r="G414" i="9" s="1"/>
  <c r="O414" i="9" s="1"/>
  <c r="L413" i="9"/>
  <c r="C414" i="9"/>
  <c r="W412" i="9"/>
  <c r="R413" i="9"/>
  <c r="T413" i="9"/>
  <c r="U413" i="9"/>
  <c r="P413" i="9"/>
  <c r="I413" i="9"/>
  <c r="F413" i="9"/>
  <c r="D413" i="9"/>
  <c r="E413" i="9" s="1"/>
  <c r="X412" i="9" l="1"/>
  <c r="M414" i="9"/>
  <c r="N414" i="9"/>
  <c r="K414" i="9"/>
  <c r="L414" i="9"/>
  <c r="C415" i="9"/>
  <c r="H414" i="9"/>
  <c r="J413" i="9"/>
  <c r="S413" i="9" l="1"/>
  <c r="Q413" i="9"/>
  <c r="G415" i="9"/>
  <c r="O415" i="9" s="1"/>
  <c r="V413" i="9"/>
  <c r="F414" i="9"/>
  <c r="D414" i="9"/>
  <c r="R414" i="9"/>
  <c r="U414" i="9"/>
  <c r="P414" i="9"/>
  <c r="T414" i="9"/>
  <c r="I414" i="9"/>
  <c r="J414" i="9"/>
  <c r="X413" i="9" l="1"/>
  <c r="M415" i="9"/>
  <c r="N415" i="9"/>
  <c r="K415" i="9"/>
  <c r="L415" i="9"/>
  <c r="C416" i="9"/>
  <c r="S414" i="9"/>
  <c r="Q414" i="9"/>
  <c r="E414" i="9"/>
  <c r="D415" i="9"/>
  <c r="E415" i="9" s="1"/>
  <c r="W413" i="9"/>
  <c r="H415" i="9"/>
  <c r="V414" i="9"/>
  <c r="G416" i="9" l="1"/>
  <c r="O416" i="9" s="1"/>
  <c r="H416" i="9"/>
  <c r="W414" i="9"/>
  <c r="F415" i="9"/>
  <c r="U415" i="9"/>
  <c r="P415" i="9"/>
  <c r="R415" i="9"/>
  <c r="J415" i="9"/>
  <c r="I415" i="9"/>
  <c r="T415" i="9" s="1"/>
  <c r="X414" i="9" l="1"/>
  <c r="M416" i="9"/>
  <c r="N416" i="9"/>
  <c r="K416" i="9"/>
  <c r="L416" i="9"/>
  <c r="C417" i="9"/>
  <c r="S415" i="9"/>
  <c r="Q415" i="9"/>
  <c r="V415" i="9"/>
  <c r="W415" i="9" l="1"/>
  <c r="G417" i="9" l="1"/>
  <c r="O417" i="9" s="1"/>
  <c r="R416" i="9"/>
  <c r="U416" i="9"/>
  <c r="P416" i="9"/>
  <c r="I416" i="9"/>
  <c r="T416" i="9" s="1"/>
  <c r="D416" i="9"/>
  <c r="F416" i="9"/>
  <c r="X415" i="9" l="1"/>
  <c r="M417" i="9"/>
  <c r="N417" i="9"/>
  <c r="K417" i="9"/>
  <c r="L417" i="9"/>
  <c r="C418" i="9"/>
  <c r="E416" i="9"/>
  <c r="H417" i="9"/>
  <c r="J416" i="9"/>
  <c r="S416" i="9" l="1"/>
  <c r="Q416" i="9"/>
  <c r="G418" i="9"/>
  <c r="O418" i="9" s="1"/>
  <c r="V416" i="9"/>
  <c r="R417" i="9"/>
  <c r="P417" i="9"/>
  <c r="U417" i="9"/>
  <c r="I417" i="9"/>
  <c r="T417" i="9" s="1"/>
  <c r="F417" i="9"/>
  <c r="D417" i="9"/>
  <c r="X416" i="9" l="1"/>
  <c r="M418" i="9"/>
  <c r="N418" i="9"/>
  <c r="K418" i="9"/>
  <c r="L418" i="9"/>
  <c r="C419" i="9"/>
  <c r="E417" i="9"/>
  <c r="W416" i="9"/>
  <c r="H418" i="9"/>
  <c r="J417" i="9"/>
  <c r="S417" i="9" l="1"/>
  <c r="Q417" i="9"/>
  <c r="G419" i="9"/>
  <c r="O419" i="9" s="1"/>
  <c r="D418" i="9"/>
  <c r="F418" i="9"/>
  <c r="V417" i="9"/>
  <c r="R418" i="9"/>
  <c r="P418" i="9"/>
  <c r="U418" i="9"/>
  <c r="T418" i="9"/>
  <c r="J418" i="9"/>
  <c r="I418" i="9"/>
  <c r="X417" i="9" l="1"/>
  <c r="M419" i="9"/>
  <c r="N419" i="9"/>
  <c r="K419" i="9"/>
  <c r="L419" i="9"/>
  <c r="C420" i="9"/>
  <c r="S418" i="9"/>
  <c r="Q418" i="9"/>
  <c r="E418" i="9"/>
  <c r="H419" i="9"/>
  <c r="W417" i="9"/>
  <c r="V418" i="9"/>
  <c r="W418" i="9" l="1"/>
  <c r="G420" i="9" l="1"/>
  <c r="O420" i="9" s="1"/>
  <c r="R419" i="9"/>
  <c r="U419" i="9"/>
  <c r="P419" i="9"/>
  <c r="I419" i="9"/>
  <c r="T419" i="9" s="1"/>
  <c r="D419" i="9"/>
  <c r="F419" i="9"/>
  <c r="X418" i="9" l="1"/>
  <c r="M420" i="9"/>
  <c r="N420" i="9"/>
  <c r="K420" i="9"/>
  <c r="L420" i="9"/>
  <c r="C421" i="9"/>
  <c r="E419" i="9"/>
  <c r="H420" i="9"/>
  <c r="J419" i="9"/>
  <c r="S419" i="9" l="1"/>
  <c r="Q419" i="9"/>
  <c r="G421" i="9"/>
  <c r="O421" i="9" s="1"/>
  <c r="V419" i="9"/>
  <c r="U420" i="9"/>
  <c r="P420" i="9"/>
  <c r="R420" i="9"/>
  <c r="I420" i="9"/>
  <c r="T420" i="9" s="1"/>
  <c r="D420" i="9"/>
  <c r="F420" i="9"/>
  <c r="X419" i="9" l="1"/>
  <c r="M421" i="9"/>
  <c r="N421" i="9"/>
  <c r="K421" i="9"/>
  <c r="L421" i="9"/>
  <c r="C422" i="9"/>
  <c r="E420" i="9"/>
  <c r="H421" i="9"/>
  <c r="W419" i="9"/>
  <c r="J420" i="9"/>
  <c r="S420" i="9" l="1"/>
  <c r="Q420" i="9"/>
  <c r="V420" i="9"/>
  <c r="G422" i="9" l="1"/>
  <c r="O422" i="9" s="1"/>
  <c r="W420" i="9"/>
  <c r="U421" i="9"/>
  <c r="R421" i="9"/>
  <c r="P421" i="9"/>
  <c r="I421" i="9"/>
  <c r="T421" i="9" s="1"/>
  <c r="D421" i="9"/>
  <c r="F421" i="9"/>
  <c r="X420" i="9" l="1"/>
  <c r="M422" i="9"/>
  <c r="N422" i="9"/>
  <c r="K422" i="9"/>
  <c r="L422" i="9"/>
  <c r="C423" i="9"/>
  <c r="E421" i="9"/>
  <c r="H422" i="9"/>
  <c r="J421" i="9"/>
  <c r="S421" i="9" l="1"/>
  <c r="Q421" i="9"/>
  <c r="V421" i="9"/>
  <c r="G423" i="9" l="1"/>
  <c r="O423" i="9" s="1"/>
  <c r="W421" i="9"/>
  <c r="U422" i="9"/>
  <c r="P422" i="9"/>
  <c r="R422" i="9"/>
  <c r="I422" i="9"/>
  <c r="T422" i="9" s="1"/>
  <c r="F422" i="9"/>
  <c r="D422" i="9"/>
  <c r="X421" i="9" l="1"/>
  <c r="M423" i="9"/>
  <c r="N423" i="9"/>
  <c r="K423" i="9"/>
  <c r="L423" i="9"/>
  <c r="C424" i="9"/>
  <c r="E422" i="9"/>
  <c r="H423" i="9"/>
  <c r="J422" i="9"/>
  <c r="S422" i="9" l="1"/>
  <c r="Q422" i="9"/>
  <c r="G424" i="9"/>
  <c r="O424" i="9" s="1"/>
  <c r="F423" i="9"/>
  <c r="D423" i="9"/>
  <c r="V422" i="9"/>
  <c r="U423" i="9"/>
  <c r="P423" i="9"/>
  <c r="T423" i="9"/>
  <c r="R423" i="9"/>
  <c r="S423" i="9"/>
  <c r="I423" i="9"/>
  <c r="J423" i="9"/>
  <c r="Q423" i="9" s="1"/>
  <c r="X422" i="9" l="1"/>
  <c r="M424" i="9"/>
  <c r="N424" i="9"/>
  <c r="K424" i="9"/>
  <c r="L424" i="9"/>
  <c r="C425" i="9"/>
  <c r="E423" i="9"/>
  <c r="H424" i="9"/>
  <c r="W422" i="9"/>
  <c r="V423" i="9"/>
  <c r="G425" i="9" l="1"/>
  <c r="O425" i="9" s="1"/>
  <c r="W423" i="9"/>
  <c r="F424" i="9"/>
  <c r="D424" i="9"/>
  <c r="P424" i="9"/>
  <c r="R424" i="9"/>
  <c r="T424" i="9"/>
  <c r="U424" i="9"/>
  <c r="I424" i="9"/>
  <c r="J424" i="9"/>
  <c r="X423" i="9" l="1"/>
  <c r="M425" i="9"/>
  <c r="N425" i="9"/>
  <c r="K425" i="9"/>
  <c r="L425" i="9"/>
  <c r="C426" i="9"/>
  <c r="S424" i="9"/>
  <c r="Q424" i="9"/>
  <c r="E424" i="9"/>
  <c r="H425" i="9"/>
  <c r="F425" i="9"/>
  <c r="V424" i="9"/>
  <c r="X424" i="9" l="1"/>
  <c r="W424" i="9"/>
  <c r="G426" i="9"/>
  <c r="O426" i="9" s="1"/>
  <c r="D425" i="9"/>
  <c r="R425" i="9"/>
  <c r="P425" i="9"/>
  <c r="U425" i="9"/>
  <c r="I425" i="9"/>
  <c r="T425" i="9" s="1"/>
  <c r="J425" i="9"/>
  <c r="M426" i="9" l="1"/>
  <c r="N426" i="9"/>
  <c r="K426" i="9"/>
  <c r="L426" i="9"/>
  <c r="C427" i="9"/>
  <c r="S425" i="9"/>
  <c r="Q425" i="9"/>
  <c r="E425" i="9"/>
  <c r="H426" i="9"/>
  <c r="V425" i="9"/>
  <c r="W425" i="9" l="1"/>
  <c r="G427" i="9" l="1"/>
  <c r="O427" i="9" s="1"/>
  <c r="R426" i="9"/>
  <c r="U426" i="9"/>
  <c r="T426" i="9"/>
  <c r="P426" i="9"/>
  <c r="I426" i="9"/>
  <c r="F426" i="9"/>
  <c r="D426" i="9"/>
  <c r="X425" i="9" l="1"/>
  <c r="M427" i="9"/>
  <c r="N427" i="9"/>
  <c r="K427" i="9"/>
  <c r="L427" i="9"/>
  <c r="C428" i="9"/>
  <c r="E426" i="9"/>
  <c r="H427" i="9"/>
  <c r="J426" i="9"/>
  <c r="S426" i="9" l="1"/>
  <c r="Q426" i="9"/>
  <c r="G428" i="9"/>
  <c r="O428" i="9" s="1"/>
  <c r="D427" i="9"/>
  <c r="F427" i="9"/>
  <c r="V426" i="9"/>
  <c r="R427" i="9"/>
  <c r="U427" i="9"/>
  <c r="P427" i="9"/>
  <c r="J427" i="9"/>
  <c r="I427" i="9"/>
  <c r="T427" i="9" s="1"/>
  <c r="X426" i="9" l="1"/>
  <c r="M428" i="9"/>
  <c r="N428" i="9"/>
  <c r="K428" i="9"/>
  <c r="L428" i="9"/>
  <c r="C429" i="9"/>
  <c r="S427" i="9"/>
  <c r="Q427" i="9"/>
  <c r="E427" i="9"/>
  <c r="D428" i="9"/>
  <c r="E428" i="9" s="1"/>
  <c r="H428" i="9"/>
  <c r="W426" i="9"/>
  <c r="V427" i="9"/>
  <c r="F428" i="9" l="1"/>
  <c r="W427" i="9"/>
  <c r="I428" i="9"/>
  <c r="T428" i="9" s="1"/>
  <c r="J428" i="9"/>
  <c r="X427" i="9" l="1"/>
  <c r="S428" i="9"/>
  <c r="Q428" i="9"/>
  <c r="U428" i="9"/>
  <c r="R428" i="9"/>
  <c r="G429" i="9"/>
  <c r="O429" i="9" s="1"/>
  <c r="P428" i="9"/>
  <c r="H429" i="9"/>
  <c r="V428" i="9"/>
  <c r="M429" i="9" l="1"/>
  <c r="N429" i="9"/>
  <c r="K429" i="9"/>
  <c r="L429" i="9"/>
  <c r="C430" i="9"/>
  <c r="W428" i="9"/>
  <c r="G430" i="9" l="1"/>
  <c r="O430" i="9" s="1"/>
  <c r="U429" i="9"/>
  <c r="P429" i="9"/>
  <c r="R429" i="9"/>
  <c r="I429" i="9"/>
  <c r="T429" i="9" s="1"/>
  <c r="F429" i="9"/>
  <c r="D429" i="9"/>
  <c r="X428" i="9" l="1"/>
  <c r="M430" i="9"/>
  <c r="N430" i="9"/>
  <c r="K430" i="9"/>
  <c r="L430" i="9"/>
  <c r="C431" i="9"/>
  <c r="E429" i="9"/>
  <c r="H430" i="9"/>
  <c r="J429" i="9"/>
  <c r="S429" i="9" l="1"/>
  <c r="Q429" i="9"/>
  <c r="G431" i="9"/>
  <c r="O431" i="9" s="1"/>
  <c r="V429" i="9"/>
  <c r="R430" i="9"/>
  <c r="U430" i="9"/>
  <c r="P430" i="9"/>
  <c r="I430" i="9"/>
  <c r="T430" i="9" s="1"/>
  <c r="D430" i="9"/>
  <c r="F430" i="9"/>
  <c r="X429" i="9" l="1"/>
  <c r="M431" i="9"/>
  <c r="N431" i="9"/>
  <c r="K431" i="9"/>
  <c r="L431" i="9"/>
  <c r="C432" i="9"/>
  <c r="E430" i="9"/>
  <c r="W429" i="9"/>
  <c r="H431" i="9"/>
  <c r="J430" i="9"/>
  <c r="S430" i="9" l="1"/>
  <c r="Q430" i="9"/>
  <c r="V430" i="9"/>
  <c r="G432" i="9" l="1"/>
  <c r="O432" i="9" s="1"/>
  <c r="W430" i="9"/>
  <c r="U431" i="9"/>
  <c r="P431" i="9"/>
  <c r="R431" i="9"/>
  <c r="I431" i="9"/>
  <c r="T431" i="9" s="1"/>
  <c r="F431" i="9"/>
  <c r="D431" i="9"/>
  <c r="X430" i="9" l="1"/>
  <c r="M432" i="9"/>
  <c r="N432" i="9"/>
  <c r="K432" i="9"/>
  <c r="L432" i="9"/>
  <c r="C433" i="9"/>
  <c r="E431" i="9"/>
  <c r="H432" i="9"/>
  <c r="J431" i="9"/>
  <c r="S431" i="9" l="1"/>
  <c r="Q431" i="9"/>
  <c r="G433" i="9"/>
  <c r="O433" i="9" s="1"/>
  <c r="F432" i="9"/>
  <c r="D432" i="9"/>
  <c r="V431" i="9"/>
  <c r="U432" i="9"/>
  <c r="R432" i="9"/>
  <c r="P432" i="9"/>
  <c r="J432" i="9"/>
  <c r="I432" i="9"/>
  <c r="T432" i="9" s="1"/>
  <c r="X431" i="9" l="1"/>
  <c r="M433" i="9"/>
  <c r="N433" i="9"/>
  <c r="K433" i="9"/>
  <c r="L433" i="9"/>
  <c r="C434" i="9"/>
  <c r="S432" i="9"/>
  <c r="Q432" i="9"/>
  <c r="E432" i="9"/>
  <c r="F433" i="9"/>
  <c r="W431" i="9"/>
  <c r="H433" i="9"/>
  <c r="V432" i="9"/>
  <c r="X432" i="9" l="1"/>
  <c r="G434" i="9"/>
  <c r="O434" i="9" s="1"/>
  <c r="D433" i="9"/>
  <c r="W432" i="9"/>
  <c r="P433" i="9"/>
  <c r="U433" i="9"/>
  <c r="R433" i="9"/>
  <c r="I433" i="9"/>
  <c r="T433" i="9" s="1"/>
  <c r="J433" i="9"/>
  <c r="M434" i="9" l="1"/>
  <c r="N434" i="9"/>
  <c r="K434" i="9"/>
  <c r="L434" i="9"/>
  <c r="C435" i="9"/>
  <c r="S433" i="9"/>
  <c r="Q433" i="9"/>
  <c r="E433" i="9"/>
  <c r="H434" i="9"/>
  <c r="V433" i="9"/>
  <c r="W433" i="9" l="1"/>
  <c r="G435" i="9" l="1"/>
  <c r="O435" i="9" s="1"/>
  <c r="P434" i="9"/>
  <c r="R434" i="9"/>
  <c r="U434" i="9"/>
  <c r="T434" i="9"/>
  <c r="I434" i="9"/>
  <c r="D434" i="9"/>
  <c r="F434" i="9"/>
  <c r="X433" i="9" l="1"/>
  <c r="M435" i="9"/>
  <c r="N435" i="9"/>
  <c r="K435" i="9"/>
  <c r="L435" i="9"/>
  <c r="C436" i="9"/>
  <c r="E434" i="9"/>
  <c r="H435" i="9"/>
  <c r="J434" i="9"/>
  <c r="S434" i="9" l="1"/>
  <c r="Q434" i="9"/>
  <c r="G436" i="9"/>
  <c r="O436" i="9" s="1"/>
  <c r="D435" i="9"/>
  <c r="F435" i="9"/>
  <c r="V434" i="9"/>
  <c r="P435" i="9"/>
  <c r="U435" i="9"/>
  <c r="R435" i="9"/>
  <c r="J435" i="9"/>
  <c r="I435" i="9"/>
  <c r="T435" i="9" s="1"/>
  <c r="X434" i="9" l="1"/>
  <c r="M436" i="9"/>
  <c r="N436" i="9"/>
  <c r="K436" i="9"/>
  <c r="L436" i="9"/>
  <c r="C437" i="9"/>
  <c r="S435" i="9"/>
  <c r="Q435" i="9"/>
  <c r="E435" i="9"/>
  <c r="F436" i="9"/>
  <c r="W434" i="9"/>
  <c r="H436" i="9"/>
  <c r="V435" i="9"/>
  <c r="X435" i="9" l="1"/>
  <c r="D436" i="9"/>
  <c r="W435" i="9"/>
  <c r="U436" i="9"/>
  <c r="I436" i="9"/>
  <c r="T436" i="9" s="1"/>
  <c r="E436" i="9" l="1"/>
  <c r="D437" i="9"/>
  <c r="E437" i="9" s="1"/>
  <c r="G437" i="9"/>
  <c r="O437" i="9" s="1"/>
  <c r="H437" i="9"/>
  <c r="P436" i="9"/>
  <c r="R436" i="9"/>
  <c r="J436" i="9"/>
  <c r="M437" i="9" l="1"/>
  <c r="N437" i="9"/>
  <c r="K437" i="9"/>
  <c r="L437" i="9"/>
  <c r="C438" i="9"/>
  <c r="S436" i="9"/>
  <c r="Q436" i="9"/>
  <c r="V436" i="9"/>
  <c r="F437" i="9"/>
  <c r="X436" i="9" l="1"/>
  <c r="H438" i="9"/>
  <c r="G438" i="9"/>
  <c r="O438" i="9" s="1"/>
  <c r="R437" i="9"/>
  <c r="I437" i="9"/>
  <c r="T437" i="9" s="1"/>
  <c r="J437" i="9"/>
  <c r="P437" i="9"/>
  <c r="W436" i="9"/>
  <c r="U437" i="9"/>
  <c r="M438" i="9" l="1"/>
  <c r="N438" i="9"/>
  <c r="K438" i="9"/>
  <c r="L438" i="9"/>
  <c r="C439" i="9"/>
  <c r="S437" i="9"/>
  <c r="Q437" i="9"/>
  <c r="V437" i="9"/>
  <c r="G439" i="9" l="1"/>
  <c r="O439" i="9" s="1"/>
  <c r="W437" i="9"/>
  <c r="R438" i="9"/>
  <c r="P438" i="9"/>
  <c r="U438" i="9"/>
  <c r="I438" i="9"/>
  <c r="T438" i="9" s="1"/>
  <c r="F438" i="9"/>
  <c r="D438" i="9"/>
  <c r="X437" i="9" l="1"/>
  <c r="M439" i="9"/>
  <c r="N439" i="9"/>
  <c r="K439" i="9"/>
  <c r="L439" i="9"/>
  <c r="C440" i="9"/>
  <c r="E438" i="9"/>
  <c r="H439" i="9"/>
  <c r="J438" i="9"/>
  <c r="S438" i="9" l="1"/>
  <c r="Q438" i="9"/>
  <c r="G440" i="9"/>
  <c r="O440" i="9" s="1"/>
  <c r="V438" i="9"/>
  <c r="R439" i="9"/>
  <c r="U439" i="9"/>
  <c r="P439" i="9"/>
  <c r="I439" i="9"/>
  <c r="T439" i="9" s="1"/>
  <c r="D439" i="9"/>
  <c r="F439" i="9"/>
  <c r="X438" i="9" l="1"/>
  <c r="M440" i="9"/>
  <c r="N440" i="9"/>
  <c r="K440" i="9"/>
  <c r="L440" i="9"/>
  <c r="C441" i="9"/>
  <c r="E439" i="9"/>
  <c r="F440" i="9"/>
  <c r="W438" i="9"/>
  <c r="H440" i="9"/>
  <c r="J439" i="9"/>
  <c r="X439" i="9" l="1"/>
  <c r="S439" i="9"/>
  <c r="Q439" i="9"/>
  <c r="D440" i="9"/>
  <c r="V439" i="9"/>
  <c r="J440" i="9"/>
  <c r="Q440" i="9" s="1"/>
  <c r="E440" i="9" l="1"/>
  <c r="F441" i="9"/>
  <c r="G441" i="9"/>
  <c r="O441" i="9" s="1"/>
  <c r="R440" i="9"/>
  <c r="H441" i="9"/>
  <c r="S440" i="9"/>
  <c r="T440" i="9"/>
  <c r="P440" i="9"/>
  <c r="I440" i="9"/>
  <c r="U440" i="9"/>
  <c r="W439" i="9"/>
  <c r="V440" i="9"/>
  <c r="X440" i="9" l="1"/>
  <c r="M441" i="9"/>
  <c r="N441" i="9"/>
  <c r="K441" i="9"/>
  <c r="L441" i="9"/>
  <c r="C442" i="9"/>
  <c r="D441" i="9"/>
  <c r="E441" i="9" s="1"/>
  <c r="W440" i="9"/>
  <c r="I441" i="9"/>
  <c r="T441" i="9" s="1"/>
  <c r="P441" i="9" l="1"/>
  <c r="G442" i="9"/>
  <c r="O442" i="9" s="1"/>
  <c r="R441" i="9"/>
  <c r="U441" i="9"/>
  <c r="H442" i="9"/>
  <c r="J441" i="9"/>
  <c r="M442" i="9" l="1"/>
  <c r="N442" i="9"/>
  <c r="K442" i="9"/>
  <c r="L442" i="9"/>
  <c r="C443" i="9"/>
  <c r="S441" i="9"/>
  <c r="Q441" i="9"/>
  <c r="V441" i="9"/>
  <c r="G443" i="9" l="1"/>
  <c r="O443" i="9" s="1"/>
  <c r="W441" i="9"/>
  <c r="P442" i="9"/>
  <c r="R442" i="9"/>
  <c r="U442" i="9"/>
  <c r="I442" i="9"/>
  <c r="T442" i="9" s="1"/>
  <c r="D442" i="9"/>
  <c r="F442" i="9"/>
  <c r="X441" i="9" l="1"/>
  <c r="M443" i="9"/>
  <c r="N443" i="9"/>
  <c r="K443" i="9"/>
  <c r="L443" i="9"/>
  <c r="C444" i="9"/>
  <c r="E442" i="9"/>
  <c r="H443" i="9"/>
  <c r="J442" i="9"/>
  <c r="S442" i="9" l="1"/>
  <c r="Q442" i="9"/>
  <c r="G444" i="9"/>
  <c r="O444" i="9" s="1"/>
  <c r="V442" i="9"/>
  <c r="R443" i="9"/>
  <c r="P443" i="9"/>
  <c r="T443" i="9"/>
  <c r="U443" i="9"/>
  <c r="I443" i="9"/>
  <c r="F443" i="9"/>
  <c r="D443" i="9"/>
  <c r="X442" i="9" l="1"/>
  <c r="M444" i="9"/>
  <c r="N444" i="9"/>
  <c r="K444" i="9"/>
  <c r="L444" i="9"/>
  <c r="C445" i="9"/>
  <c r="E443" i="9"/>
  <c r="W442" i="9"/>
  <c r="H444" i="9"/>
  <c r="J443" i="9"/>
  <c r="S443" i="9" l="1"/>
  <c r="Q443" i="9"/>
  <c r="G445" i="9"/>
  <c r="O445" i="9" s="1"/>
  <c r="F444" i="9"/>
  <c r="D444" i="9"/>
  <c r="V443" i="9"/>
  <c r="U444" i="9"/>
  <c r="R444" i="9"/>
  <c r="T444" i="9"/>
  <c r="P444" i="9"/>
  <c r="J444" i="9"/>
  <c r="I444" i="9"/>
  <c r="X443" i="9" l="1"/>
  <c r="M445" i="9"/>
  <c r="N445" i="9"/>
  <c r="K445" i="9"/>
  <c r="L445" i="9"/>
  <c r="C446" i="9"/>
  <c r="S444" i="9"/>
  <c r="Q444" i="9"/>
  <c r="E444" i="9"/>
  <c r="H445" i="9"/>
  <c r="F445" i="9"/>
  <c r="W443" i="9"/>
  <c r="V444" i="9"/>
  <c r="X444" i="9" l="1"/>
  <c r="G446" i="9"/>
  <c r="O446" i="9" s="1"/>
  <c r="D445" i="9"/>
  <c r="W444" i="9"/>
  <c r="R445" i="9"/>
  <c r="U445" i="9"/>
  <c r="P445" i="9"/>
  <c r="T445" i="9"/>
  <c r="I445" i="9"/>
  <c r="M446" i="9" l="1"/>
  <c r="N446" i="9"/>
  <c r="K446" i="9"/>
  <c r="L446" i="9"/>
  <c r="C447" i="9"/>
  <c r="E445" i="9"/>
  <c r="H446" i="9"/>
  <c r="J445" i="9"/>
  <c r="S445" i="9" l="1"/>
  <c r="Q445" i="9"/>
  <c r="V445" i="9"/>
  <c r="G447" i="9" l="1"/>
  <c r="O447" i="9" s="1"/>
  <c r="W445" i="9"/>
  <c r="P446" i="9"/>
  <c r="U446" i="9"/>
  <c r="R446" i="9"/>
  <c r="T446" i="9"/>
  <c r="I446" i="9"/>
  <c r="D446" i="9"/>
  <c r="F446" i="9"/>
  <c r="X445" i="9" l="1"/>
  <c r="M447" i="9"/>
  <c r="N447" i="9"/>
  <c r="K447" i="9"/>
  <c r="L447" i="9"/>
  <c r="C448" i="9"/>
  <c r="E446" i="9"/>
  <c r="H447" i="9"/>
  <c r="J446" i="9"/>
  <c r="S446" i="9" l="1"/>
  <c r="Q446" i="9"/>
  <c r="G448" i="9"/>
  <c r="O448" i="9" s="1"/>
  <c r="V446" i="9"/>
  <c r="U447" i="9"/>
  <c r="R447" i="9"/>
  <c r="P447" i="9"/>
  <c r="I447" i="9"/>
  <c r="T447" i="9" s="1"/>
  <c r="F447" i="9"/>
  <c r="D447" i="9"/>
  <c r="X446" i="9" l="1"/>
  <c r="M448" i="9"/>
  <c r="N448" i="9"/>
  <c r="K448" i="9"/>
  <c r="L448" i="9"/>
  <c r="C449" i="9"/>
  <c r="E447" i="9"/>
  <c r="H448" i="9"/>
  <c r="J447" i="9"/>
  <c r="W446" i="9"/>
  <c r="S447" i="9" l="1"/>
  <c r="Q447" i="9"/>
  <c r="G449" i="9"/>
  <c r="O449" i="9" s="1"/>
  <c r="F448" i="9"/>
  <c r="D448" i="9"/>
  <c r="V447" i="9"/>
  <c r="P448" i="9"/>
  <c r="R448" i="9"/>
  <c r="U448" i="9"/>
  <c r="I448" i="9"/>
  <c r="T448" i="9" s="1"/>
  <c r="J448" i="9"/>
  <c r="X447" i="9" l="1"/>
  <c r="M449" i="9"/>
  <c r="N449" i="9"/>
  <c r="K449" i="9"/>
  <c r="L449" i="9"/>
  <c r="C450" i="9"/>
  <c r="S448" i="9"/>
  <c r="Q448" i="9"/>
  <c r="E448" i="9"/>
  <c r="W447" i="9"/>
  <c r="H449" i="9"/>
  <c r="V448" i="9"/>
  <c r="W448" i="9" l="1"/>
  <c r="G450" i="9" l="1"/>
  <c r="O450" i="9" s="1"/>
  <c r="P449" i="9"/>
  <c r="R449" i="9"/>
  <c r="U449" i="9"/>
  <c r="I449" i="9"/>
  <c r="T449" i="9" s="1"/>
  <c r="D449" i="9"/>
  <c r="F449" i="9"/>
  <c r="X448" i="9" l="1"/>
  <c r="M450" i="9"/>
  <c r="N450" i="9"/>
  <c r="K450" i="9"/>
  <c r="L450" i="9"/>
  <c r="C451" i="9"/>
  <c r="E449" i="9"/>
  <c r="H450" i="9"/>
  <c r="J449" i="9"/>
  <c r="S449" i="9" l="1"/>
  <c r="Q449" i="9"/>
  <c r="V449" i="9"/>
  <c r="G451" i="9" l="1"/>
  <c r="O451" i="9" s="1"/>
  <c r="W449" i="9"/>
  <c r="P450" i="9"/>
  <c r="U450" i="9"/>
  <c r="R450" i="9"/>
  <c r="I450" i="9"/>
  <c r="T450" i="9" s="1"/>
  <c r="F450" i="9"/>
  <c r="D450" i="9"/>
  <c r="X449" i="9" l="1"/>
  <c r="M451" i="9"/>
  <c r="N451" i="9"/>
  <c r="K451" i="9"/>
  <c r="L451" i="9"/>
  <c r="C452" i="9"/>
  <c r="E450" i="9"/>
  <c r="H451" i="9"/>
  <c r="J450" i="9"/>
  <c r="S450" i="9" l="1"/>
  <c r="Q450" i="9"/>
  <c r="G452" i="9"/>
  <c r="O452" i="9" s="1"/>
  <c r="D451" i="9"/>
  <c r="F451" i="9"/>
  <c r="V450" i="9"/>
  <c r="P451" i="9"/>
  <c r="U451" i="9"/>
  <c r="R451" i="9"/>
  <c r="J451" i="9"/>
  <c r="I451" i="9"/>
  <c r="T451" i="9" s="1"/>
  <c r="X450" i="9" l="1"/>
  <c r="M452" i="9"/>
  <c r="N452" i="9"/>
  <c r="K452" i="9"/>
  <c r="L452" i="9"/>
  <c r="C453" i="9"/>
  <c r="S451" i="9"/>
  <c r="Q451" i="9"/>
  <c r="E451" i="9"/>
  <c r="W450" i="9"/>
  <c r="H452" i="9"/>
  <c r="V451" i="9"/>
  <c r="W451" i="9" l="1"/>
  <c r="G453" i="9" l="1"/>
  <c r="O453" i="9" s="1"/>
  <c r="R452" i="9"/>
  <c r="U452" i="9"/>
  <c r="P452" i="9"/>
  <c r="I452" i="9"/>
  <c r="T452" i="9" s="1"/>
  <c r="D452" i="9"/>
  <c r="F452" i="9"/>
  <c r="X451" i="9" l="1"/>
  <c r="M453" i="9"/>
  <c r="N453" i="9"/>
  <c r="K453" i="9"/>
  <c r="L453" i="9"/>
  <c r="C454" i="9"/>
  <c r="E452" i="9"/>
  <c r="H453" i="9"/>
  <c r="J452" i="9"/>
  <c r="S452" i="9" l="1"/>
  <c r="Q452" i="9"/>
  <c r="G454" i="9"/>
  <c r="O454" i="9" s="1"/>
  <c r="V452" i="9"/>
  <c r="P453" i="9"/>
  <c r="U453" i="9"/>
  <c r="R453" i="9"/>
  <c r="I453" i="9"/>
  <c r="T453" i="9" s="1"/>
  <c r="D453" i="9"/>
  <c r="F453" i="9"/>
  <c r="X452" i="9" l="1"/>
  <c r="M454" i="9"/>
  <c r="N454" i="9"/>
  <c r="K454" i="9"/>
  <c r="L454" i="9"/>
  <c r="C455" i="9"/>
  <c r="E453" i="9"/>
  <c r="F454" i="9"/>
  <c r="H454" i="9"/>
  <c r="W452" i="9"/>
  <c r="J453" i="9"/>
  <c r="X453" i="9" l="1"/>
  <c r="S453" i="9"/>
  <c r="Q453" i="9"/>
  <c r="V453" i="9"/>
  <c r="D454" i="9"/>
  <c r="U454" i="9"/>
  <c r="I454" i="9"/>
  <c r="E454" i="9" l="1"/>
  <c r="P454" i="9"/>
  <c r="G455" i="9"/>
  <c r="O455" i="9" s="1"/>
  <c r="R454" i="9"/>
  <c r="T454" i="9"/>
  <c r="H455" i="9"/>
  <c r="F455" i="9"/>
  <c r="W453" i="9"/>
  <c r="J454" i="9"/>
  <c r="X454" i="9" l="1"/>
  <c r="M455" i="9"/>
  <c r="N455" i="9"/>
  <c r="K455" i="9"/>
  <c r="L455" i="9"/>
  <c r="C456" i="9"/>
  <c r="S454" i="9"/>
  <c r="Q454" i="9"/>
  <c r="V454" i="9"/>
  <c r="D455" i="9"/>
  <c r="E455" i="9" s="1"/>
  <c r="U455" i="9"/>
  <c r="T455" i="9"/>
  <c r="I455" i="9"/>
  <c r="R455" i="9" l="1"/>
  <c r="G456" i="9"/>
  <c r="O456" i="9" s="1"/>
  <c r="P455" i="9"/>
  <c r="H456" i="9"/>
  <c r="W454" i="9"/>
  <c r="J455" i="9"/>
  <c r="M456" i="9" l="1"/>
  <c r="N456" i="9"/>
  <c r="K456" i="9"/>
  <c r="L456" i="9"/>
  <c r="C457" i="9"/>
  <c r="S455" i="9"/>
  <c r="Q455" i="9"/>
  <c r="V455" i="9"/>
  <c r="W455" i="9" l="1"/>
  <c r="G457" i="9"/>
  <c r="O457" i="9" s="1"/>
  <c r="R456" i="9"/>
  <c r="U456" i="9"/>
  <c r="P456" i="9"/>
  <c r="I456" i="9"/>
  <c r="T456" i="9" s="1"/>
  <c r="F456" i="9"/>
  <c r="D456" i="9"/>
  <c r="X455" i="9" l="1"/>
  <c r="M457" i="9"/>
  <c r="N457" i="9"/>
  <c r="K457" i="9"/>
  <c r="L457" i="9"/>
  <c r="C458" i="9"/>
  <c r="E456" i="9"/>
  <c r="H457" i="9"/>
  <c r="J456" i="9"/>
  <c r="S456" i="9" l="1"/>
  <c r="Q456" i="9"/>
  <c r="G458" i="9"/>
  <c r="O458" i="9" s="1"/>
  <c r="V456" i="9"/>
  <c r="D457" i="9"/>
  <c r="F457" i="9"/>
  <c r="U457" i="9"/>
  <c r="P457" i="9"/>
  <c r="T457" i="9"/>
  <c r="R457" i="9"/>
  <c r="J457" i="9"/>
  <c r="I457" i="9"/>
  <c r="X456" i="9" l="1"/>
  <c r="M458" i="9"/>
  <c r="N458" i="9"/>
  <c r="K458" i="9"/>
  <c r="L458" i="9"/>
  <c r="C459" i="9"/>
  <c r="S457" i="9"/>
  <c r="Q457" i="9"/>
  <c r="E457" i="9"/>
  <c r="F458" i="9"/>
  <c r="W456" i="9"/>
  <c r="H458" i="9"/>
  <c r="V457" i="9"/>
  <c r="X457" i="9" l="1"/>
  <c r="W457" i="9"/>
  <c r="D458" i="9"/>
  <c r="P458" i="9"/>
  <c r="R458" i="9"/>
  <c r="U458" i="9"/>
  <c r="I458" i="9"/>
  <c r="T458" i="9" s="1"/>
  <c r="E458" i="9" l="1"/>
  <c r="G459" i="9"/>
  <c r="O459" i="9" s="1"/>
  <c r="H459" i="9"/>
  <c r="J458" i="9"/>
  <c r="M459" i="9" l="1"/>
  <c r="N459" i="9"/>
  <c r="K459" i="9"/>
  <c r="L459" i="9"/>
  <c r="C460" i="9"/>
  <c r="S458" i="9"/>
  <c r="Q458" i="9"/>
  <c r="V458" i="9"/>
  <c r="G460" i="9" l="1"/>
  <c r="O460" i="9" s="1"/>
  <c r="W458" i="9"/>
  <c r="U459" i="9"/>
  <c r="P459" i="9"/>
  <c r="R459" i="9"/>
  <c r="I459" i="9"/>
  <c r="T459" i="9" s="1"/>
  <c r="D459" i="9"/>
  <c r="F459" i="9"/>
  <c r="X458" i="9" l="1"/>
  <c r="M460" i="9"/>
  <c r="N460" i="9"/>
  <c r="K460" i="9"/>
  <c r="L460" i="9"/>
  <c r="C461" i="9"/>
  <c r="E459" i="9"/>
  <c r="H460" i="9"/>
  <c r="J459" i="9"/>
  <c r="S459" i="9" l="1"/>
  <c r="Q459" i="9"/>
  <c r="G461" i="9"/>
  <c r="O461" i="9" s="1"/>
  <c r="D460" i="9"/>
  <c r="F460" i="9"/>
  <c r="V459" i="9"/>
  <c r="P460" i="9"/>
  <c r="U460" i="9"/>
  <c r="R460" i="9"/>
  <c r="I460" i="9"/>
  <c r="T460" i="9" s="1"/>
  <c r="J460" i="9"/>
  <c r="X459" i="9" l="1"/>
  <c r="M461" i="9"/>
  <c r="N461" i="9"/>
  <c r="K461" i="9"/>
  <c r="L461" i="9"/>
  <c r="C462" i="9"/>
  <c r="S460" i="9"/>
  <c r="Q460" i="9"/>
  <c r="E460" i="9"/>
  <c r="H461" i="9"/>
  <c r="W459" i="9"/>
  <c r="V460" i="9"/>
  <c r="W460" i="9" l="1"/>
  <c r="G462" i="9" l="1"/>
  <c r="O462" i="9" s="1"/>
  <c r="U461" i="9"/>
  <c r="R461" i="9"/>
  <c r="P461" i="9"/>
  <c r="I461" i="9"/>
  <c r="T461" i="9" s="1"/>
  <c r="F461" i="9"/>
  <c r="D461" i="9"/>
  <c r="X460" i="9" l="1"/>
  <c r="M462" i="9"/>
  <c r="N462" i="9"/>
  <c r="K462" i="9"/>
  <c r="L462" i="9"/>
  <c r="C463" i="9"/>
  <c r="E461" i="9"/>
  <c r="H462" i="9"/>
  <c r="J461" i="9"/>
  <c r="S461" i="9" l="1"/>
  <c r="Q461" i="9"/>
  <c r="G463" i="9"/>
  <c r="O463" i="9" s="1"/>
  <c r="D462" i="9"/>
  <c r="F462" i="9"/>
  <c r="V461" i="9"/>
  <c r="R462" i="9"/>
  <c r="U462" i="9"/>
  <c r="P462" i="9"/>
  <c r="J462" i="9"/>
  <c r="I462" i="9"/>
  <c r="T462" i="9" s="1"/>
  <c r="X461" i="9" l="1"/>
  <c r="M463" i="9"/>
  <c r="N463" i="9"/>
  <c r="K463" i="9"/>
  <c r="L463" i="9"/>
  <c r="C464" i="9"/>
  <c r="S462" i="9"/>
  <c r="Q462" i="9"/>
  <c r="E462" i="9"/>
  <c r="D463" i="9"/>
  <c r="E463" i="9" s="1"/>
  <c r="W461" i="9"/>
  <c r="H463" i="9"/>
  <c r="V462" i="9"/>
  <c r="G464" i="9" l="1"/>
  <c r="O464" i="9" s="1"/>
  <c r="H464" i="9"/>
  <c r="F463" i="9"/>
  <c r="W462" i="9"/>
  <c r="R463" i="9"/>
  <c r="U463" i="9"/>
  <c r="P463" i="9"/>
  <c r="J463" i="9"/>
  <c r="I463" i="9"/>
  <c r="T463" i="9" s="1"/>
  <c r="X462" i="9" l="1"/>
  <c r="M464" i="9"/>
  <c r="N464" i="9"/>
  <c r="K464" i="9"/>
  <c r="L464" i="9"/>
  <c r="C465" i="9"/>
  <c r="S463" i="9"/>
  <c r="Q463" i="9"/>
  <c r="V463" i="9"/>
  <c r="W463" i="9" l="1"/>
  <c r="G465" i="9" l="1"/>
  <c r="O465" i="9" s="1"/>
  <c r="R464" i="9"/>
  <c r="U464" i="9"/>
  <c r="P464" i="9"/>
  <c r="I464" i="9"/>
  <c r="T464" i="9" s="1"/>
  <c r="D464" i="9"/>
  <c r="F464" i="9"/>
  <c r="X463" i="9" l="1"/>
  <c r="M465" i="9"/>
  <c r="N465" i="9"/>
  <c r="K465" i="9"/>
  <c r="L465" i="9"/>
  <c r="C466" i="9"/>
  <c r="E464" i="9"/>
  <c r="H465" i="9"/>
  <c r="J464" i="9"/>
  <c r="S464" i="9" l="1"/>
  <c r="Q464" i="9"/>
  <c r="G466" i="9"/>
  <c r="O466" i="9" s="1"/>
  <c r="V464" i="9"/>
  <c r="P465" i="9"/>
  <c r="R465" i="9"/>
  <c r="U465" i="9"/>
  <c r="I465" i="9"/>
  <c r="T465" i="9" s="1"/>
  <c r="F465" i="9"/>
  <c r="D465" i="9"/>
  <c r="X464" i="9" l="1"/>
  <c r="M466" i="9"/>
  <c r="N466" i="9"/>
  <c r="K466" i="9"/>
  <c r="L466" i="9"/>
  <c r="C467" i="9"/>
  <c r="E465" i="9"/>
  <c r="H466" i="9"/>
  <c r="W464" i="9"/>
  <c r="J465" i="9"/>
  <c r="S465" i="9" l="1"/>
  <c r="Q465" i="9"/>
  <c r="G467" i="9"/>
  <c r="O467" i="9" s="1"/>
  <c r="D466" i="9"/>
  <c r="F466" i="9"/>
  <c r="V465" i="9"/>
  <c r="U466" i="9"/>
  <c r="P466" i="9"/>
  <c r="R466" i="9"/>
  <c r="J466" i="9"/>
  <c r="I466" i="9"/>
  <c r="T466" i="9" s="1"/>
  <c r="X465" i="9" l="1"/>
  <c r="M467" i="9"/>
  <c r="N467" i="9"/>
  <c r="K467" i="9"/>
  <c r="L467" i="9"/>
  <c r="C468" i="9"/>
  <c r="S466" i="9"/>
  <c r="Q466" i="9"/>
  <c r="E466" i="9"/>
  <c r="H467" i="9"/>
  <c r="F467" i="9"/>
  <c r="W465" i="9"/>
  <c r="V466" i="9"/>
  <c r="X466" i="9" l="1"/>
  <c r="G468" i="9"/>
  <c r="O468" i="9" s="1"/>
  <c r="D467" i="9"/>
  <c r="W466" i="9"/>
  <c r="P467" i="9"/>
  <c r="R467" i="9"/>
  <c r="U467" i="9"/>
  <c r="I467" i="9"/>
  <c r="T467" i="9" s="1"/>
  <c r="J467" i="9"/>
  <c r="M468" i="9" l="1"/>
  <c r="N468" i="9"/>
  <c r="K468" i="9"/>
  <c r="L468" i="9"/>
  <c r="C469" i="9"/>
  <c r="S467" i="9"/>
  <c r="Q467" i="9"/>
  <c r="E467" i="9"/>
  <c r="H468" i="9"/>
  <c r="V467" i="9"/>
  <c r="W467" i="9" l="1"/>
  <c r="G469" i="9" l="1"/>
  <c r="O469" i="9" s="1"/>
  <c r="U468" i="9"/>
  <c r="R468" i="9"/>
  <c r="P468" i="9"/>
  <c r="I468" i="9"/>
  <c r="T468" i="9" s="1"/>
  <c r="F468" i="9"/>
  <c r="D468" i="9"/>
  <c r="X467" i="9" l="1"/>
  <c r="M469" i="9"/>
  <c r="N469" i="9"/>
  <c r="K469" i="9"/>
  <c r="L469" i="9"/>
  <c r="C470" i="9"/>
  <c r="E468" i="9"/>
  <c r="H469" i="9"/>
  <c r="J468" i="9"/>
  <c r="S468" i="9" l="1"/>
  <c r="Q468" i="9"/>
  <c r="G470" i="9"/>
  <c r="O470" i="9" s="1"/>
  <c r="F469" i="9"/>
  <c r="D469" i="9"/>
  <c r="V468" i="9"/>
  <c r="P469" i="9"/>
  <c r="R469" i="9"/>
  <c r="T469" i="9"/>
  <c r="U469" i="9"/>
  <c r="J469" i="9"/>
  <c r="I469" i="9"/>
  <c r="X468" i="9" l="1"/>
  <c r="M470" i="9"/>
  <c r="N470" i="9"/>
  <c r="K470" i="9"/>
  <c r="L470" i="9"/>
  <c r="C471" i="9"/>
  <c r="S469" i="9"/>
  <c r="Q469" i="9"/>
  <c r="E469" i="9"/>
  <c r="H470" i="9"/>
  <c r="W468" i="9"/>
  <c r="V469" i="9"/>
  <c r="G471" i="9" l="1"/>
  <c r="O471" i="9" s="1"/>
  <c r="F470" i="9"/>
  <c r="D470" i="9"/>
  <c r="W469" i="9"/>
  <c r="U470" i="9"/>
  <c r="P470" i="9"/>
  <c r="R470" i="9"/>
  <c r="J470" i="9"/>
  <c r="I470" i="9"/>
  <c r="T470" i="9" s="1"/>
  <c r="X469" i="9" l="1"/>
  <c r="M471" i="9"/>
  <c r="N471" i="9"/>
  <c r="K471" i="9"/>
  <c r="L471" i="9"/>
  <c r="C472" i="9"/>
  <c r="S470" i="9"/>
  <c r="Q470" i="9"/>
  <c r="E470" i="9"/>
  <c r="H471" i="9"/>
  <c r="V470" i="9"/>
  <c r="W470" i="9" l="1"/>
  <c r="G472" i="9" l="1"/>
  <c r="O472" i="9" s="1"/>
  <c r="U471" i="9"/>
  <c r="P471" i="9"/>
  <c r="R471" i="9"/>
  <c r="I471" i="9"/>
  <c r="T471" i="9" s="1"/>
  <c r="F471" i="9"/>
  <c r="D471" i="9"/>
  <c r="X470" i="9" l="1"/>
  <c r="M472" i="9"/>
  <c r="N472" i="9"/>
  <c r="K472" i="9"/>
  <c r="L472" i="9"/>
  <c r="C473" i="9"/>
  <c r="E471" i="9"/>
  <c r="F472" i="9"/>
  <c r="H472" i="9"/>
  <c r="J471" i="9"/>
  <c r="X471" i="9" l="1"/>
  <c r="S471" i="9"/>
  <c r="Q471" i="9"/>
  <c r="D472" i="9"/>
  <c r="V471" i="9"/>
  <c r="I472" i="9"/>
  <c r="E472" i="9" l="1"/>
  <c r="P472" i="9"/>
  <c r="G473" i="9"/>
  <c r="O473" i="9" s="1"/>
  <c r="H473" i="9"/>
  <c r="T472" i="9"/>
  <c r="R472" i="9"/>
  <c r="W471" i="9"/>
  <c r="U472" i="9"/>
  <c r="M473" i="9" l="1"/>
  <c r="N473" i="9"/>
  <c r="K473" i="9"/>
  <c r="L473" i="9"/>
  <c r="C474" i="9"/>
  <c r="J472" i="9"/>
  <c r="Q472" i="9" s="1"/>
  <c r="S472" i="9" l="1"/>
  <c r="V472" i="9"/>
  <c r="G474" i="9" l="1"/>
  <c r="O474" i="9" s="1"/>
  <c r="T473" i="9"/>
  <c r="U473" i="9"/>
  <c r="P473" i="9"/>
  <c r="I473" i="9"/>
  <c r="R473" i="9"/>
  <c r="W472" i="9"/>
  <c r="F473" i="9"/>
  <c r="D473" i="9"/>
  <c r="X472" i="9" l="1"/>
  <c r="M474" i="9"/>
  <c r="N474" i="9"/>
  <c r="K474" i="9"/>
  <c r="L474" i="9"/>
  <c r="C475" i="9"/>
  <c r="E473" i="9"/>
  <c r="H474" i="9"/>
  <c r="J473" i="9"/>
  <c r="S473" i="9" l="1"/>
  <c r="Q473" i="9"/>
  <c r="V473" i="9"/>
  <c r="G475" i="9" l="1"/>
  <c r="O475" i="9" s="1"/>
  <c r="W473" i="9"/>
  <c r="R474" i="9"/>
  <c r="P474" i="9"/>
  <c r="I474" i="9"/>
  <c r="T474" i="9" s="1"/>
  <c r="U474" i="9"/>
  <c r="D474" i="9"/>
  <c r="F474" i="9"/>
  <c r="X473" i="9" l="1"/>
  <c r="M475" i="9"/>
  <c r="N475" i="9"/>
  <c r="K475" i="9"/>
  <c r="L475" i="9"/>
  <c r="C476" i="9"/>
  <c r="E474" i="9"/>
  <c r="H475" i="9"/>
  <c r="J474" i="9"/>
  <c r="Q474" i="9" s="1"/>
  <c r="G476" i="9" l="1"/>
  <c r="O476" i="9" s="1"/>
  <c r="V474" i="9"/>
  <c r="S474" i="9"/>
  <c r="I475" i="9"/>
  <c r="U475" i="9"/>
  <c r="R475" i="9"/>
  <c r="T475" i="9"/>
  <c r="P475" i="9"/>
  <c r="F475" i="9"/>
  <c r="D475" i="9"/>
  <c r="X474" i="9" l="1"/>
  <c r="M476" i="9"/>
  <c r="N476" i="9"/>
  <c r="K476" i="9"/>
  <c r="L476" i="9"/>
  <c r="C477" i="9"/>
  <c r="E475" i="9"/>
  <c r="H476" i="9"/>
  <c r="W474" i="9"/>
  <c r="J475" i="9"/>
  <c r="Q475" i="9" s="1"/>
  <c r="V475" i="9" l="1"/>
  <c r="S475" i="9"/>
  <c r="G477" i="9" l="1"/>
  <c r="O477" i="9" s="1"/>
  <c r="D476" i="9"/>
  <c r="F476" i="9"/>
  <c r="W475" i="9"/>
  <c r="P476" i="9"/>
  <c r="I476" i="9"/>
  <c r="T476" i="9" s="1"/>
  <c r="R476" i="9"/>
  <c r="U476" i="9"/>
  <c r="X475" i="9" l="1"/>
  <c r="M477" i="9"/>
  <c r="N477" i="9"/>
  <c r="K477" i="9"/>
  <c r="L477" i="9"/>
  <c r="C478" i="9"/>
  <c r="E476" i="9"/>
  <c r="H477" i="9"/>
  <c r="J476" i="9"/>
  <c r="S476" i="9" l="1"/>
  <c r="Q476" i="9"/>
  <c r="V476" i="9"/>
  <c r="W476" i="9" l="1"/>
  <c r="G478" i="9"/>
  <c r="O478" i="9" s="1"/>
  <c r="D477" i="9"/>
  <c r="F477" i="9"/>
  <c r="U477" i="9"/>
  <c r="T477" i="9"/>
  <c r="R477" i="9"/>
  <c r="I477" i="9"/>
  <c r="P477" i="9"/>
  <c r="X476" i="9" l="1"/>
  <c r="M478" i="9"/>
  <c r="N478" i="9"/>
  <c r="K478" i="9"/>
  <c r="L478" i="9"/>
  <c r="C479" i="9"/>
  <c r="E477" i="9"/>
  <c r="H478" i="9"/>
  <c r="J477" i="9"/>
  <c r="Q477" i="9" s="1"/>
  <c r="S477" i="9"/>
  <c r="V477" i="9" l="1"/>
  <c r="W477" i="9" s="1"/>
  <c r="G479" i="9" l="1"/>
  <c r="O479" i="9" s="1"/>
  <c r="U478" i="9"/>
  <c r="I478" i="9"/>
  <c r="T478" i="9" s="1"/>
  <c r="R478" i="9"/>
  <c r="P478" i="9"/>
  <c r="F478" i="9"/>
  <c r="D478" i="9"/>
  <c r="X477" i="9" l="1"/>
  <c r="M479" i="9"/>
  <c r="N479" i="9"/>
  <c r="K479" i="9"/>
  <c r="L479" i="9"/>
  <c r="C480" i="9"/>
  <c r="E478" i="9"/>
  <c r="H479" i="9"/>
  <c r="J478" i="9"/>
  <c r="Q478" i="9" s="1"/>
  <c r="G480" i="9" l="1"/>
  <c r="O480" i="9" s="1"/>
  <c r="U479" i="9"/>
  <c r="I479" i="9"/>
  <c r="T479" i="9" s="1"/>
  <c r="P479" i="9"/>
  <c r="R479" i="9"/>
  <c r="V478" i="9"/>
  <c r="S478" i="9"/>
  <c r="D479" i="9"/>
  <c r="F479" i="9"/>
  <c r="X478" i="9" l="1"/>
  <c r="M480" i="9"/>
  <c r="N480" i="9"/>
  <c r="K480" i="9"/>
  <c r="L480" i="9"/>
  <c r="C481" i="9"/>
  <c r="E479" i="9"/>
  <c r="H480" i="9"/>
  <c r="W478" i="9"/>
  <c r="J479" i="9"/>
  <c r="Q479" i="9" s="1"/>
  <c r="G481" i="9" l="1"/>
  <c r="O481" i="9" s="1"/>
  <c r="D480" i="9"/>
  <c r="F480" i="9"/>
  <c r="V479" i="9"/>
  <c r="S479" i="9"/>
  <c r="U480" i="9"/>
  <c r="P480" i="9"/>
  <c r="I480" i="9"/>
  <c r="R480" i="9"/>
  <c r="T480" i="9"/>
  <c r="J480" i="9"/>
  <c r="Q480" i="9" s="1"/>
  <c r="X479" i="9" l="1"/>
  <c r="M481" i="9"/>
  <c r="N481" i="9"/>
  <c r="K481" i="9"/>
  <c r="L481" i="9"/>
  <c r="C482" i="9"/>
  <c r="E480" i="9"/>
  <c r="H481" i="9"/>
  <c r="V480" i="9"/>
  <c r="S480" i="9"/>
  <c r="W479" i="9"/>
  <c r="W480" i="9" l="1"/>
  <c r="I481" i="9"/>
  <c r="T481" i="9"/>
  <c r="U481" i="9"/>
  <c r="P481" i="9"/>
  <c r="F481" i="9"/>
  <c r="D481" i="9"/>
  <c r="X480" i="9" l="1"/>
  <c r="E481" i="9"/>
  <c r="G482" i="9"/>
  <c r="O482" i="9" s="1"/>
  <c r="R481" i="9"/>
  <c r="H482" i="9"/>
  <c r="J481" i="9"/>
  <c r="M482" i="9" l="1"/>
  <c r="N482" i="9"/>
  <c r="K482" i="9"/>
  <c r="G483" i="9" s="1"/>
  <c r="O483" i="9" s="1"/>
  <c r="L482" i="9"/>
  <c r="C483" i="9"/>
  <c r="S481" i="9"/>
  <c r="Q481" i="9"/>
  <c r="V481" i="9"/>
  <c r="D482" i="9"/>
  <c r="E482" i="9" s="1"/>
  <c r="F482" i="9"/>
  <c r="R482" i="9"/>
  <c r="P482" i="9"/>
  <c r="I482" i="9"/>
  <c r="U482" i="9"/>
  <c r="T482" i="9"/>
  <c r="X481" i="9" l="1"/>
  <c r="M483" i="9"/>
  <c r="N483" i="9"/>
  <c r="K483" i="9"/>
  <c r="L483" i="9"/>
  <c r="C484" i="9"/>
  <c r="W481" i="9"/>
  <c r="H483" i="9"/>
  <c r="J482" i="9"/>
  <c r="S482" i="9" l="1"/>
  <c r="Q482" i="9"/>
  <c r="V482" i="9"/>
  <c r="I483" i="9"/>
  <c r="D483" i="9"/>
  <c r="F483" i="9"/>
  <c r="X482" i="9" l="1"/>
  <c r="E483" i="9"/>
  <c r="G484" i="9"/>
  <c r="O484" i="9" s="1"/>
  <c r="H484" i="9"/>
  <c r="T483" i="9"/>
  <c r="R483" i="9"/>
  <c r="P483" i="9"/>
  <c r="W482" i="9"/>
  <c r="U483" i="9"/>
  <c r="J483" i="9"/>
  <c r="Q483" i="9" s="1"/>
  <c r="M484" i="9" l="1"/>
  <c r="N484" i="9"/>
  <c r="K484" i="9"/>
  <c r="G485" i="9" s="1"/>
  <c r="O485" i="9" s="1"/>
  <c r="L484" i="9"/>
  <c r="C485" i="9"/>
  <c r="V483" i="9"/>
  <c r="S483" i="9"/>
  <c r="T484" i="9"/>
  <c r="P484" i="9"/>
  <c r="R484" i="9"/>
  <c r="U484" i="9"/>
  <c r="I484" i="9"/>
  <c r="F484" i="9"/>
  <c r="D484" i="9"/>
  <c r="E484" i="9" s="1"/>
  <c r="X483" i="9" l="1"/>
  <c r="M485" i="9"/>
  <c r="N485" i="9"/>
  <c r="K485" i="9"/>
  <c r="L485" i="9"/>
  <c r="C486" i="9"/>
  <c r="H485" i="9"/>
  <c r="J484" i="9"/>
  <c r="W483" i="9"/>
  <c r="S484" i="9" l="1"/>
  <c r="Q484" i="9"/>
  <c r="G486" i="9"/>
  <c r="O486" i="9" s="1"/>
  <c r="V484" i="9"/>
  <c r="F485" i="9"/>
  <c r="D485" i="9"/>
  <c r="T485" i="9"/>
  <c r="U485" i="9"/>
  <c r="R485" i="9"/>
  <c r="I485" i="9"/>
  <c r="P485" i="9"/>
  <c r="X484" i="9" l="1"/>
  <c r="M486" i="9"/>
  <c r="N486" i="9"/>
  <c r="K486" i="9"/>
  <c r="L486" i="9"/>
  <c r="C487" i="9"/>
  <c r="E485" i="9"/>
  <c r="H486" i="9"/>
  <c r="W484" i="9"/>
  <c r="J485" i="9"/>
  <c r="S485" i="9" l="1"/>
  <c r="Q485" i="9"/>
  <c r="V485" i="9"/>
  <c r="W485" i="9" l="1"/>
  <c r="G487" i="9"/>
  <c r="O487" i="9" s="1"/>
  <c r="P486" i="9"/>
  <c r="I486" i="9"/>
  <c r="T486" i="9"/>
  <c r="U486" i="9"/>
  <c r="R486" i="9"/>
  <c r="F486" i="9"/>
  <c r="D486" i="9"/>
  <c r="X485" i="9" l="1"/>
  <c r="M487" i="9"/>
  <c r="N487" i="9"/>
  <c r="K487" i="9"/>
  <c r="L487" i="9"/>
  <c r="C488" i="9"/>
  <c r="E486" i="9"/>
  <c r="H487" i="9"/>
  <c r="J486" i="9"/>
  <c r="Q486" i="9" s="1"/>
  <c r="G488" i="9" l="1"/>
  <c r="O488" i="9" s="1"/>
  <c r="R487" i="9"/>
  <c r="P487" i="9"/>
  <c r="I487" i="9"/>
  <c r="T487" i="9" s="1"/>
  <c r="U487" i="9"/>
  <c r="F487" i="9"/>
  <c r="D487" i="9"/>
  <c r="V486" i="9"/>
  <c r="S486" i="9"/>
  <c r="X486" i="9" l="1"/>
  <c r="M488" i="9"/>
  <c r="N488" i="9"/>
  <c r="K488" i="9"/>
  <c r="L488" i="9"/>
  <c r="C489" i="9"/>
  <c r="E487" i="9"/>
  <c r="H488" i="9"/>
  <c r="J487" i="9"/>
  <c r="Q487" i="9" s="1"/>
  <c r="W486" i="9"/>
  <c r="G489" i="9" l="1"/>
  <c r="O489" i="9" s="1"/>
  <c r="V487" i="9"/>
  <c r="S487" i="9"/>
  <c r="P488" i="9"/>
  <c r="R488" i="9"/>
  <c r="I488" i="9"/>
  <c r="T488" i="9" s="1"/>
  <c r="U488" i="9"/>
  <c r="D488" i="9"/>
  <c r="F488" i="9"/>
  <c r="X487" i="9" l="1"/>
  <c r="M489" i="9"/>
  <c r="N489" i="9"/>
  <c r="K489" i="9"/>
  <c r="L489" i="9"/>
  <c r="C490" i="9"/>
  <c r="E488" i="9"/>
  <c r="H489" i="9"/>
  <c r="W487" i="9"/>
  <c r="J488" i="9"/>
  <c r="Q488" i="9" s="1"/>
  <c r="G490" i="9" l="1"/>
  <c r="O490" i="9" s="1"/>
  <c r="V488" i="9"/>
  <c r="S488" i="9"/>
  <c r="P489" i="9"/>
  <c r="U489" i="9"/>
  <c r="I489" i="9"/>
  <c r="T489" i="9" s="1"/>
  <c r="R489" i="9"/>
  <c r="D489" i="9"/>
  <c r="F489" i="9"/>
  <c r="X488" i="9" l="1"/>
  <c r="M490" i="9"/>
  <c r="N490" i="9"/>
  <c r="K490" i="9"/>
  <c r="L490" i="9"/>
  <c r="C491" i="9"/>
  <c r="E489" i="9"/>
  <c r="H490" i="9"/>
  <c r="J489" i="9"/>
  <c r="Q489" i="9" s="1"/>
  <c r="W488" i="9"/>
  <c r="G491" i="9" l="1"/>
  <c r="O491" i="9" s="1"/>
  <c r="U490" i="9"/>
  <c r="R490" i="9"/>
  <c r="P490" i="9"/>
  <c r="I490" i="9"/>
  <c r="T490" i="9" s="1"/>
  <c r="V489" i="9"/>
  <c r="S489" i="9"/>
  <c r="M491" i="9" l="1"/>
  <c r="N491" i="9"/>
  <c r="K491" i="9"/>
  <c r="L491" i="9"/>
  <c r="C492" i="9"/>
  <c r="F490" i="9"/>
  <c r="D490" i="9"/>
  <c r="W489" i="9"/>
  <c r="X489" i="9" l="1"/>
  <c r="H491" i="9"/>
  <c r="E490" i="9"/>
  <c r="J490" i="9"/>
  <c r="Q490" i="9" s="1"/>
  <c r="S490" i="9" l="1"/>
  <c r="V490" i="9"/>
  <c r="G492" i="9" l="1"/>
  <c r="O492" i="9" s="1"/>
  <c r="F491" i="9"/>
  <c r="D491" i="9"/>
  <c r="P491" i="9"/>
  <c r="R491" i="9"/>
  <c r="U491" i="9"/>
  <c r="I491" i="9"/>
  <c r="T491" i="9" s="1"/>
  <c r="W490" i="9"/>
  <c r="X490" i="9" l="1"/>
  <c r="M492" i="9"/>
  <c r="N492" i="9"/>
  <c r="K492" i="9"/>
  <c r="L492" i="9"/>
  <c r="C493" i="9"/>
  <c r="E491" i="9"/>
  <c r="H492" i="9"/>
  <c r="J491" i="9"/>
  <c r="Q491" i="9" s="1"/>
  <c r="G493" i="9" l="1"/>
  <c r="O493" i="9" s="1"/>
  <c r="F492" i="9"/>
  <c r="D492" i="9"/>
  <c r="S491" i="9"/>
  <c r="V491" i="9"/>
  <c r="T492" i="9"/>
  <c r="I492" i="9"/>
  <c r="R492" i="9"/>
  <c r="J492" i="9"/>
  <c r="Q492" i="9" s="1"/>
  <c r="U492" i="9"/>
  <c r="P492" i="9"/>
  <c r="S492" i="9"/>
  <c r="X491" i="9" l="1"/>
  <c r="M493" i="9"/>
  <c r="N493" i="9"/>
  <c r="K493" i="9"/>
  <c r="L493" i="9"/>
  <c r="C494" i="9"/>
  <c r="E492" i="9"/>
  <c r="H493" i="9"/>
  <c r="V492" i="9"/>
  <c r="W491" i="9"/>
  <c r="G494" i="9" l="1"/>
  <c r="O494" i="9" s="1"/>
  <c r="W492" i="9"/>
  <c r="U493" i="9"/>
  <c r="R493" i="9"/>
  <c r="I493" i="9"/>
  <c r="T493" i="9" s="1"/>
  <c r="P493" i="9"/>
  <c r="D493" i="9"/>
  <c r="F493" i="9"/>
  <c r="X492" i="9" l="1"/>
  <c r="M494" i="9"/>
  <c r="N494" i="9"/>
  <c r="K494" i="9"/>
  <c r="L494" i="9"/>
  <c r="C495" i="9"/>
  <c r="E493" i="9"/>
  <c r="H494" i="9"/>
  <c r="J493" i="9"/>
  <c r="Q493" i="9" s="1"/>
  <c r="G495" i="9" l="1"/>
  <c r="O495" i="9" s="1"/>
  <c r="T494" i="9"/>
  <c r="U494" i="9"/>
  <c r="R494" i="9"/>
  <c r="P494" i="9"/>
  <c r="I494" i="9"/>
  <c r="D494" i="9"/>
  <c r="F494" i="9"/>
  <c r="S493" i="9"/>
  <c r="V493" i="9"/>
  <c r="X493" i="9" l="1"/>
  <c r="M495" i="9"/>
  <c r="N495" i="9"/>
  <c r="K495" i="9"/>
  <c r="L495" i="9"/>
  <c r="C496" i="9"/>
  <c r="E494" i="9"/>
  <c r="H495" i="9"/>
  <c r="J494" i="9"/>
  <c r="Q494" i="9" s="1"/>
  <c r="W493" i="9"/>
  <c r="I495" i="9" l="1"/>
  <c r="F495" i="9"/>
  <c r="D495" i="9"/>
  <c r="S494" i="9"/>
  <c r="V494" i="9"/>
  <c r="X494" i="9" l="1"/>
  <c r="E495" i="9"/>
  <c r="T495" i="9"/>
  <c r="G496" i="9"/>
  <c r="O496" i="9" s="1"/>
  <c r="P495" i="9"/>
  <c r="U495" i="9"/>
  <c r="H496" i="9"/>
  <c r="R495" i="9"/>
  <c r="J495" i="9"/>
  <c r="Q495" i="9" s="1"/>
  <c r="W494" i="9"/>
  <c r="M496" i="9" l="1"/>
  <c r="N496" i="9"/>
  <c r="K496" i="9"/>
  <c r="G497" i="9" s="1"/>
  <c r="O497" i="9" s="1"/>
  <c r="L496" i="9"/>
  <c r="C497" i="9"/>
  <c r="S495" i="9"/>
  <c r="V495" i="9"/>
  <c r="P496" i="9"/>
  <c r="U496" i="9"/>
  <c r="I496" i="9"/>
  <c r="R496" i="9"/>
  <c r="T496" i="9"/>
  <c r="D496" i="9"/>
  <c r="E496" i="9" s="1"/>
  <c r="F496" i="9"/>
  <c r="X495" i="9" l="1"/>
  <c r="M497" i="9"/>
  <c r="N497" i="9"/>
  <c r="K497" i="9"/>
  <c r="L497" i="9"/>
  <c r="C498" i="9"/>
  <c r="H497" i="9"/>
  <c r="J496" i="9"/>
  <c r="Q496" i="9" s="1"/>
  <c r="W495" i="9"/>
  <c r="G498" i="9" l="1"/>
  <c r="O498" i="9" s="1"/>
  <c r="P497" i="9"/>
  <c r="I497" i="9"/>
  <c r="U497" i="9"/>
  <c r="R497" i="9"/>
  <c r="T497" i="9"/>
  <c r="D497" i="9"/>
  <c r="F497" i="9"/>
  <c r="S496" i="9"/>
  <c r="V496" i="9"/>
  <c r="X496" i="9" l="1"/>
  <c r="M498" i="9"/>
  <c r="N498" i="9"/>
  <c r="K498" i="9"/>
  <c r="L498" i="9"/>
  <c r="C499" i="9"/>
  <c r="E497" i="9"/>
  <c r="H498" i="9"/>
  <c r="W496" i="9"/>
  <c r="J497" i="9"/>
  <c r="Q497" i="9" s="1"/>
  <c r="V497" i="9" l="1"/>
  <c r="S497" i="9"/>
  <c r="U498" i="9"/>
  <c r="I498" i="9"/>
  <c r="R498" i="9"/>
  <c r="D498" i="9"/>
  <c r="F498" i="9"/>
  <c r="X497" i="9" l="1"/>
  <c r="E498" i="9"/>
  <c r="T498" i="9"/>
  <c r="G499" i="9"/>
  <c r="O499" i="9" s="1"/>
  <c r="P498" i="9"/>
  <c r="H499" i="9"/>
  <c r="J498" i="9"/>
  <c r="Q498" i="9" s="1"/>
  <c r="W497" i="9"/>
  <c r="M499" i="9" l="1"/>
  <c r="N499" i="9"/>
  <c r="K499" i="9"/>
  <c r="L499" i="9"/>
  <c r="C500" i="9"/>
  <c r="D499" i="9"/>
  <c r="E499" i="9" s="1"/>
  <c r="F499" i="9"/>
  <c r="S498" i="9"/>
  <c r="V498" i="9"/>
  <c r="X498" i="9" l="1"/>
  <c r="G500" i="9"/>
  <c r="O500" i="9" s="1"/>
  <c r="H500" i="9"/>
  <c r="R499" i="9"/>
  <c r="P499" i="9"/>
  <c r="J499" i="9"/>
  <c r="U499" i="9"/>
  <c r="I499" i="9"/>
  <c r="T499" i="9"/>
  <c r="W498" i="9"/>
  <c r="M500" i="9" l="1"/>
  <c r="N500" i="9"/>
  <c r="K500" i="9"/>
  <c r="L500" i="9"/>
  <c r="C501" i="9"/>
  <c r="S499" i="9"/>
  <c r="Q499" i="9"/>
  <c r="V499" i="9"/>
  <c r="G501" i="9" l="1"/>
  <c r="O501" i="9" s="1"/>
  <c r="W499" i="9"/>
  <c r="R500" i="9"/>
  <c r="I500" i="9"/>
  <c r="T500" i="9" s="1"/>
  <c r="P500" i="9"/>
  <c r="U500" i="9"/>
  <c r="F500" i="9"/>
  <c r="D500" i="9"/>
  <c r="X499" i="9" l="1"/>
  <c r="M501" i="9"/>
  <c r="N501" i="9"/>
  <c r="K501" i="9"/>
  <c r="L501" i="9"/>
  <c r="C502" i="9"/>
  <c r="E500" i="9"/>
  <c r="H501" i="9"/>
  <c r="J500" i="9"/>
  <c r="Q500" i="9" s="1"/>
  <c r="I501" i="9"/>
  <c r="U501" i="9" l="1"/>
  <c r="G502" i="9"/>
  <c r="O502" i="9" s="1"/>
  <c r="T501" i="9"/>
  <c r="R501" i="9"/>
  <c r="F501" i="9"/>
  <c r="D501" i="9"/>
  <c r="P501" i="9"/>
  <c r="S500" i="9"/>
  <c r="V500" i="9"/>
  <c r="J501" i="9"/>
  <c r="X500" i="9" l="1"/>
  <c r="M502" i="9"/>
  <c r="N502" i="9"/>
  <c r="K502" i="9"/>
  <c r="G503" i="9" s="1"/>
  <c r="O503" i="9" s="1"/>
  <c r="L502" i="9"/>
  <c r="C503" i="9"/>
  <c r="S501" i="9"/>
  <c r="Q501" i="9"/>
  <c r="E501" i="9"/>
  <c r="H502" i="9"/>
  <c r="J502" i="9" s="1"/>
  <c r="W500" i="9"/>
  <c r="V501" i="9"/>
  <c r="T502" i="9"/>
  <c r="R502" i="9"/>
  <c r="P502" i="9"/>
  <c r="U502" i="9"/>
  <c r="I502" i="9"/>
  <c r="M503" i="9" l="1"/>
  <c r="N503" i="9"/>
  <c r="K503" i="9"/>
  <c r="L503" i="9"/>
  <c r="C504" i="9"/>
  <c r="S502" i="9"/>
  <c r="Q502" i="9"/>
  <c r="W501" i="9"/>
  <c r="D502" i="9"/>
  <c r="F502" i="9"/>
  <c r="V502" i="9"/>
  <c r="X501" i="9" l="1"/>
  <c r="H503" i="9"/>
  <c r="W502" i="9"/>
  <c r="E502" i="9"/>
  <c r="G504" i="9" l="1"/>
  <c r="O504" i="9" s="1"/>
  <c r="U503" i="9"/>
  <c r="P503" i="9"/>
  <c r="R503" i="9"/>
  <c r="I503" i="9"/>
  <c r="T503" i="9" s="1"/>
  <c r="F503" i="9"/>
  <c r="D503" i="9"/>
  <c r="X502" i="9" l="1"/>
  <c r="M504" i="9"/>
  <c r="N504" i="9"/>
  <c r="K504" i="9"/>
  <c r="L504" i="9"/>
  <c r="C505" i="9"/>
  <c r="E503" i="9"/>
  <c r="H504" i="9"/>
  <c r="J503" i="9"/>
  <c r="S503" i="9" l="1"/>
  <c r="Q503" i="9"/>
  <c r="G505" i="9"/>
  <c r="O505" i="9" s="1"/>
  <c r="F504" i="9"/>
  <c r="D504" i="9"/>
  <c r="V503" i="9"/>
  <c r="T504" i="9"/>
  <c r="R504" i="9"/>
  <c r="P504" i="9"/>
  <c r="U504" i="9"/>
  <c r="J504" i="9"/>
  <c r="I504" i="9"/>
  <c r="X503" i="9" l="1"/>
  <c r="M505" i="9"/>
  <c r="N505" i="9"/>
  <c r="K505" i="9"/>
  <c r="L505" i="9"/>
  <c r="C506" i="9"/>
  <c r="S504" i="9"/>
  <c r="Q504" i="9"/>
  <c r="E504" i="9"/>
  <c r="D505" i="9"/>
  <c r="E505" i="9" s="1"/>
  <c r="W503" i="9"/>
  <c r="H505" i="9"/>
  <c r="V504" i="9"/>
  <c r="W504" i="9" l="1"/>
  <c r="F505" i="9"/>
  <c r="J505" i="9"/>
  <c r="I505" i="9"/>
  <c r="T505" i="9" s="1"/>
  <c r="X504" i="9" l="1"/>
  <c r="S505" i="9"/>
  <c r="Q505" i="9"/>
  <c r="G506" i="9"/>
  <c r="O506" i="9" s="1"/>
  <c r="H506" i="9"/>
  <c r="U505" i="9"/>
  <c r="R505" i="9"/>
  <c r="P505" i="9"/>
  <c r="V505" i="9"/>
  <c r="M506" i="9" l="1"/>
  <c r="N506" i="9"/>
  <c r="K506" i="9"/>
  <c r="L506" i="9"/>
  <c r="W505" i="9"/>
  <c r="R506" i="9" l="1"/>
  <c r="U506" i="9"/>
  <c r="P506" i="9"/>
  <c r="I506" i="9"/>
  <c r="T506" i="9" s="1"/>
  <c r="F506" i="9"/>
  <c r="D506" i="9"/>
  <c r="X506" i="9" l="1"/>
  <c r="X505" i="9"/>
  <c r="E506" i="9"/>
  <c r="J506" i="9"/>
  <c r="S506" i="9" l="1"/>
  <c r="Q506" i="9"/>
  <c r="V506" i="9"/>
  <c r="W506" i="9" l="1"/>
</calcChain>
</file>

<file path=xl/sharedStrings.xml><?xml version="1.0" encoding="utf-8"?>
<sst xmlns="http://schemas.openxmlformats.org/spreadsheetml/2006/main" count="1485" uniqueCount="898">
  <si>
    <t>name</t>
  </si>
  <si>
    <t>on</t>
  </si>
  <si>
    <t>friendly_name</t>
  </si>
  <si>
    <t>Alarm Clock</t>
  </si>
  <si>
    <t>Card</t>
  </si>
  <si>
    <t>Card Name</t>
  </si>
  <si>
    <t>Bedroom</t>
  </si>
  <si>
    <t>Living Room</t>
  </si>
  <si>
    <t>card</t>
  </si>
  <si>
    <t>automation</t>
  </si>
  <si>
    <t>blank</t>
  </si>
  <si>
    <t/>
  </si>
  <si>
    <t xml:space="preserve">  entities:</t>
  </si>
  <si>
    <t>Code Beginning</t>
  </si>
  <si>
    <t>Line #</t>
  </si>
  <si>
    <t xml:space="preserve">  name: "</t>
  </si>
  <si>
    <t>Code End</t>
  </si>
  <si>
    <t>:</t>
  </si>
  <si>
    <t>"</t>
  </si>
  <si>
    <t>automation.almclk_wake_up_script_triggered_by_alarm_clock</t>
  </si>
  <si>
    <t>automation.locaway_devices_in_bedroom_off_when_at_the_computer</t>
  </si>
  <si>
    <t>automation.locaway_devices_off_when_away</t>
  </si>
  <si>
    <t>automation.locaway_devices_on_desk_off_when_leave_the_computer</t>
  </si>
  <si>
    <t>automation.not_notification_when_multisensor_battery_is_low</t>
  </si>
  <si>
    <t>automation.not_notification_when_tank_turns_off</t>
  </si>
  <si>
    <t>automation.rmbd_fan_off_at_12_pm</t>
  </si>
  <si>
    <t>automation.rmbd_one_bulb_off_at_sunset</t>
  </si>
  <si>
    <t>automation.rmbd_one_bulb_on_with_switch_at_night</t>
  </si>
  <si>
    <t>automation.rmlv_amp_off_at_3_am</t>
  </si>
  <si>
    <t>automation.rmlv_amp_off_with_humvee</t>
  </si>
  <si>
    <t>automation.rmlvtv_chromecast_volume_to_4_on_start</t>
  </si>
  <si>
    <t>automation.rmlvtv_tv_on_with_chromecast</t>
  </si>
  <si>
    <t>automation.statfriend_friend_visiting_off_from_device_tracker</t>
  </si>
  <si>
    <t>automation.statfriend_friend_visiting_on_from_device_tracker</t>
  </si>
  <si>
    <t>automation.statron_away_status_from_device_tracker</t>
  </si>
  <si>
    <t>automation.statron_computer_status_from_monitor_status</t>
  </si>
  <si>
    <t>automation.statron_home_status_from_device_tracker</t>
  </si>
  <si>
    <t>automation.statron_home_status_from_monitor_status</t>
  </si>
  <si>
    <t>automation.statvac_vacation_mode_off_when_home</t>
  </si>
  <si>
    <t>automation.statvac_vacation_mode_on_when_gone_24_hours</t>
  </si>
  <si>
    <t>off</t>
  </si>
  <si>
    <t>device_tracker.carolyn_phone</t>
  </si>
  <si>
    <t>not_home</t>
  </si>
  <si>
    <t>device_tracker.carolyn_smbp</t>
  </si>
  <si>
    <t>device_tracker.carolyn_tablet</t>
  </si>
  <si>
    <t>device_tracker.carolyn_watch</t>
  </si>
  <si>
    <t>device_tracker.carolynsair</t>
  </si>
  <si>
    <t>device_tracker.chromecast</t>
  </si>
  <si>
    <t>device_tracker.chromecast_2</t>
  </si>
  <si>
    <t>home</t>
  </si>
  <si>
    <t>device_tracker.daniel_br</t>
  </si>
  <si>
    <t>device_tracker.daniel_laptop</t>
  </si>
  <si>
    <t>device_tracker.daniel_phone</t>
  </si>
  <si>
    <t>device_tracker.echo_dot</t>
  </si>
  <si>
    <t>device_tracker.gear_fit_2</t>
  </si>
  <si>
    <t>device_tracker.growler</t>
  </si>
  <si>
    <t>device_tracker.hue_hub</t>
  </si>
  <si>
    <t>device_tracker.humvee</t>
  </si>
  <si>
    <t>device_tracker.jeep</t>
  </si>
  <si>
    <t>device_tracker.jtac</t>
  </si>
  <si>
    <t>device_tracker.raspi_vpn</t>
  </si>
  <si>
    <t>device_tracker.ron_phone</t>
  </si>
  <si>
    <t>device_tracker.tank</t>
  </si>
  <si>
    <t>device_tracker.tplink_switch</t>
  </si>
  <si>
    <t>device_tracker.vera_lite</t>
  </si>
  <si>
    <t>device_tracker.wf2ir</t>
  </si>
  <si>
    <t>device_tracker.withings_scale</t>
  </si>
  <si>
    <t>group.alarm_clock</t>
  </si>
  <si>
    <t>group.all_automations</t>
  </si>
  <si>
    <t>group.all_devices</t>
  </si>
  <si>
    <t>group.all_lights</t>
  </si>
  <si>
    <t>group.all_scripts</t>
  </si>
  <si>
    <t>group.all_switches</t>
  </si>
  <si>
    <t>group.automation_almclk</t>
  </si>
  <si>
    <t>group.automation_ifttt</t>
  </si>
  <si>
    <t>group.automation_locaway</t>
  </si>
  <si>
    <t>group.automation_not</t>
  </si>
  <si>
    <t>group.automation_rmbd</t>
  </si>
  <si>
    <t>group.automation_rmlv</t>
  </si>
  <si>
    <t>group.automation_rmlvtv</t>
  </si>
  <si>
    <t>group.automation_statfriend</t>
  </si>
  <si>
    <t>group.automation_statron</t>
  </si>
  <si>
    <t>group.automation_statvac</t>
  </si>
  <si>
    <t>group.bedroom</t>
  </si>
  <si>
    <t>group.bedroom_lights</t>
  </si>
  <si>
    <t>group.bedroom_view</t>
  </si>
  <si>
    <t>group.environment</t>
  </si>
  <si>
    <t>unknown</t>
  </si>
  <si>
    <t>group.environment_detail</t>
  </si>
  <si>
    <t>group.environment_view</t>
  </si>
  <si>
    <t>group.host_device</t>
  </si>
  <si>
    <t>group.iot_devices</t>
  </si>
  <si>
    <t>group.network</t>
  </si>
  <si>
    <t>group.network_view</t>
  </si>
  <si>
    <t>group.personal_devices</t>
  </si>
  <si>
    <t>group.phones</t>
  </si>
  <si>
    <t>group.status</t>
  </si>
  <si>
    <t>input_boolean.alarm_clock_status</t>
  </si>
  <si>
    <t>input_boolean.friend_visiting</t>
  </si>
  <si>
    <t>input_boolean.vacation_mode</t>
  </si>
  <si>
    <t>input_select.ron_status</t>
  </si>
  <si>
    <t>input_slider.alarm_clock_hour</t>
  </si>
  <si>
    <t>input_slider.alarm_clock_minute</t>
  </si>
  <si>
    <t>light.lux_lamp</t>
  </si>
  <si>
    <t>light.lux_lamp_1</t>
  </si>
  <si>
    <t>script.all_off</t>
  </si>
  <si>
    <t>script.bright</t>
  </si>
  <si>
    <t>script.dusk</t>
  </si>
  <si>
    <t>script.full_bright</t>
  </si>
  <si>
    <t>script.half_bright</t>
  </si>
  <si>
    <t>script.reading</t>
  </si>
  <si>
    <t>script.twilight</t>
  </si>
  <si>
    <t>script.wake_up</t>
  </si>
  <si>
    <t>sensor.alarm_clock_hour</t>
  </si>
  <si>
    <t>sensor.alarm_clock_minute</t>
  </si>
  <si>
    <t>sensor.alarm_clock_time</t>
  </si>
  <si>
    <t>sensor.alarm_clock_time_long</t>
  </si>
  <si>
    <t>sensor.batt_multi_sensor</t>
  </si>
  <si>
    <t>sensor.cpu_temp</t>
  </si>
  <si>
    <t>sensor.cpu_use</t>
  </si>
  <si>
    <t>sensor.dark_sky_apparent_temperature</t>
  </si>
  <si>
    <t>sensor.dark_sky_cloud_coverage</t>
  </si>
  <si>
    <t>sensor.dark_sky_daily_high_apparent_temperature</t>
  </si>
  <si>
    <t>sensor.dark_sky_daily_high_temperature</t>
  </si>
  <si>
    <t>sensor.dark_sky_daily_low_apparent_temperature</t>
  </si>
  <si>
    <t>sensor.dark_sky_daily_low_temperature</t>
  </si>
  <si>
    <t>sensor.dark_sky_daily_max_precip_intensity</t>
  </si>
  <si>
    <t>sensor.dark_sky_daily_summary</t>
  </si>
  <si>
    <t>sensor.dark_sky_hourly_summary</t>
  </si>
  <si>
    <t>sensor.dark_sky_humidity</t>
  </si>
  <si>
    <t>sensor.dark_sky_minutely_summary</t>
  </si>
  <si>
    <t>sensor.dark_sky_precip</t>
  </si>
  <si>
    <t>sensor.dark_sky_precip_intensity</t>
  </si>
  <si>
    <t>sensor.dark_sky_precip_probability</t>
  </si>
  <si>
    <t>sensor.dark_sky_temperature</t>
  </si>
  <si>
    <t>sensor.dark_sky_visibility</t>
  </si>
  <si>
    <t>sensor.date</t>
  </si>
  <si>
    <t>sensor.date_odd</t>
  </si>
  <si>
    <t>sensor.disk_use_home</t>
  </si>
  <si>
    <t>sensor.last_boot</t>
  </si>
  <si>
    <t>sensor.ram_free</t>
  </si>
  <si>
    <t>sensor.speedtest_download</t>
  </si>
  <si>
    <t>sensor.speedtest_ping</t>
  </si>
  <si>
    <t>sensor.speedtest_upload</t>
  </si>
  <si>
    <t>sensor.time</t>
  </si>
  <si>
    <t>sun.sun</t>
  </si>
  <si>
    <t>switch.amp</t>
  </si>
  <si>
    <t>switch.bedroom_fan</t>
  </si>
  <si>
    <t>switch.bedroom_nightstand</t>
  </si>
  <si>
    <t>switch.switch4</t>
  </si>
  <si>
    <t>switch.switch5</t>
  </si>
  <si>
    <t>zone.home</t>
  </si>
  <si>
    <t>zoning</t>
  </si>
  <si>
    <t>hidden</t>
  </si>
  <si>
    <t>icon</t>
  </si>
  <si>
    <t>entity_id</t>
  </si>
  <si>
    <t>domain</t>
  </si>
  <si>
    <t>object_id</t>
  </si>
  <si>
    <t>binary_sensor</t>
  </si>
  <si>
    <t>device_tracker</t>
  </si>
  <si>
    <t>carolyn_phone</t>
  </si>
  <si>
    <t>carolyn_smbp</t>
  </si>
  <si>
    <t>carolyn_tablet</t>
  </si>
  <si>
    <t>carolyn_watch</t>
  </si>
  <si>
    <t>carolynsair</t>
  </si>
  <si>
    <t>chromecast</t>
  </si>
  <si>
    <t>chromecast_2</t>
  </si>
  <si>
    <t>daniel_br</t>
  </si>
  <si>
    <t>daniel_laptop</t>
  </si>
  <si>
    <t>daniel_phone</t>
  </si>
  <si>
    <t>echo_dot</t>
  </si>
  <si>
    <t>gear_fit_2</t>
  </si>
  <si>
    <t>growler</t>
  </si>
  <si>
    <t>hue_hub</t>
  </si>
  <si>
    <t>humvee</t>
  </si>
  <si>
    <t>jeep</t>
  </si>
  <si>
    <t>jtac</t>
  </si>
  <si>
    <t>raspi_vpn</t>
  </si>
  <si>
    <t>ron_phone</t>
  </si>
  <si>
    <t>tank</t>
  </si>
  <si>
    <t>tplink_switch</t>
  </si>
  <si>
    <t>vera_lite</t>
  </si>
  <si>
    <t>wf2ir</t>
  </si>
  <si>
    <t>withings_scale</t>
  </si>
  <si>
    <t>input_boolean</t>
  </si>
  <si>
    <t>alarm_clock_status</t>
  </si>
  <si>
    <t>friend_visiting</t>
  </si>
  <si>
    <t>vacation_mode</t>
  </si>
  <si>
    <t>input_select</t>
  </si>
  <si>
    <t>ron_status</t>
  </si>
  <si>
    <t>input_slider</t>
  </si>
  <si>
    <t>alarm_clock_hour</t>
  </si>
  <si>
    <t>alarm_clock_minute</t>
  </si>
  <si>
    <t>light</t>
  </si>
  <si>
    <t>lux_lamp</t>
  </si>
  <si>
    <t>lux_lamp_1</t>
  </si>
  <si>
    <t>script</t>
  </si>
  <si>
    <t>all_off</t>
  </si>
  <si>
    <t>bright</t>
  </si>
  <si>
    <t>dusk</t>
  </si>
  <si>
    <t>full_bright</t>
  </si>
  <si>
    <t>half_bright</t>
  </si>
  <si>
    <t>reading</t>
  </si>
  <si>
    <t>twilight</t>
  </si>
  <si>
    <t>wake_up</t>
  </si>
  <si>
    <t>sensor</t>
  </si>
  <si>
    <t>alarm_clock_time</t>
  </si>
  <si>
    <t>alarm_clock_time_long</t>
  </si>
  <si>
    <t>batt_multi_sensor</t>
  </si>
  <si>
    <t>cpu_temp</t>
  </si>
  <si>
    <t>cpu_use</t>
  </si>
  <si>
    <t>dark_sky_apparent_temperature</t>
  </si>
  <si>
    <t>dark_sky_cloud_coverage</t>
  </si>
  <si>
    <t>dark_sky_daily_high_apparent_temperature</t>
  </si>
  <si>
    <t>dark_sky_daily_high_temperature</t>
  </si>
  <si>
    <t>dark_sky_daily_low_apparent_temperature</t>
  </si>
  <si>
    <t>dark_sky_daily_low_temperature</t>
  </si>
  <si>
    <t>dark_sky_daily_max_precip_intensity</t>
  </si>
  <si>
    <t>dark_sky_daily_summary</t>
  </si>
  <si>
    <t>dark_sky_hourly_summary</t>
  </si>
  <si>
    <t>dark_sky_humidity</t>
  </si>
  <si>
    <t>dark_sky_minutely_summary</t>
  </si>
  <si>
    <t>dark_sky_precip</t>
  </si>
  <si>
    <t>dark_sky_precip_intensity</t>
  </si>
  <si>
    <t>dark_sky_precip_probability</t>
  </si>
  <si>
    <t>dark_sky_temperature</t>
  </si>
  <si>
    <t>dark_sky_visibility</t>
  </si>
  <si>
    <t>date</t>
  </si>
  <si>
    <t>date_odd</t>
  </si>
  <si>
    <t>disk_use_home</t>
  </si>
  <si>
    <t>last_boot</t>
  </si>
  <si>
    <t>ram_free</t>
  </si>
  <si>
    <t>speedtest_download</t>
  </si>
  <si>
    <t>speedtest_ping</t>
  </si>
  <si>
    <t>speedtest_upload</t>
  </si>
  <si>
    <t>time</t>
  </si>
  <si>
    <t>sun</t>
  </si>
  <si>
    <t>switch</t>
  </si>
  <si>
    <t>amp</t>
  </si>
  <si>
    <t>bedroom_fan</t>
  </si>
  <si>
    <t>bedroom_nightstand</t>
  </si>
  <si>
    <t>switch4</t>
  </si>
  <si>
    <t>switch5</t>
  </si>
  <si>
    <t>true</t>
  </si>
  <si>
    <t>Motion</t>
  </si>
  <si>
    <t>mdi:account-switch</t>
  </si>
  <si>
    <t>loc of mdi</t>
  </si>
  <si>
    <t>mdi:cellphone-iphone</t>
  </si>
  <si>
    <t>mdi:tablet-ipad</t>
  </si>
  <si>
    <t>mdi:laptop-mac</t>
  </si>
  <si>
    <t>mdi:google-chrome</t>
  </si>
  <si>
    <t>mdi:disk</t>
  </si>
  <si>
    <t>mdi:laptop</t>
  </si>
  <si>
    <t>mdi:amazon</t>
  </si>
  <si>
    <t>mdi:laptop-windows</t>
  </si>
  <si>
    <t>mdi:desktop-tower</t>
  </si>
  <si>
    <t>mdi:pi</t>
  </si>
  <si>
    <t>mdi:cellphone-android</t>
  </si>
  <si>
    <t>mdi:tablet-android</t>
  </si>
  <si>
    <t>mdi:server</t>
  </si>
  <si>
    <t>mdi:remote</t>
  </si>
  <si>
    <t>mdi:scale-bathroom</t>
  </si>
  <si>
    <t>mdi:alarm-check</t>
  </si>
  <si>
    <t>Alarm Clock Status</t>
  </si>
  <si>
    <t>Temp</t>
  </si>
  <si>
    <t>Light</t>
  </si>
  <si>
    <t>mdi:candle</t>
  </si>
  <si>
    <t>mdi:water-percent</t>
  </si>
  <si>
    <t>Humidity</t>
  </si>
  <si>
    <t>mdi:raspberrypi</t>
  </si>
  <si>
    <t>mdi:download</t>
  </si>
  <si>
    <t>mdi:lan-connect</t>
  </si>
  <si>
    <t>mdi:upload</t>
  </si>
  <si>
    <t>Feels Like</t>
  </si>
  <si>
    <t>Now</t>
  </si>
  <si>
    <t>Today</t>
  </si>
  <si>
    <t>Week</t>
  </si>
  <si>
    <t>Precip Chance</t>
  </si>
  <si>
    <t>Alarm Clock Setting</t>
  </si>
  <si>
    <t>Headphone Amp</t>
  </si>
  <si>
    <t>Bedroom Fan</t>
  </si>
  <si>
    <t>Nightstand</t>
  </si>
  <si>
    <t>Multi-Sensor</t>
  </si>
  <si>
    <t>Nightstand Light</t>
  </si>
  <si>
    <t xml:space="preserve">emulated_hue_name: </t>
  </si>
  <si>
    <t>humvee_monitor</t>
  </si>
  <si>
    <t>icon parsed</t>
  </si>
  <si>
    <t>emulated_hue:</t>
  </si>
  <si>
    <t>false</t>
  </si>
  <si>
    <t>Hour</t>
  </si>
  <si>
    <t>Minute</t>
  </si>
  <si>
    <t>TV</t>
  </si>
  <si>
    <t>Bright</t>
  </si>
  <si>
    <t>Twilight</t>
  </si>
  <si>
    <t>Dusk</t>
  </si>
  <si>
    <t>Reading</t>
  </si>
  <si>
    <t>All Off</t>
  </si>
  <si>
    <t>loc of space after mdi</t>
  </si>
  <si>
    <t>custom entity #</t>
  </si>
  <si>
    <t>1</t>
  </si>
  <si>
    <t>2</t>
  </si>
  <si>
    <t>3</t>
  </si>
  <si>
    <t>Attribute</t>
  </si>
  <si>
    <t xml:space="preserve">  emulated_hue_name: </t>
  </si>
  <si>
    <t xml:space="preserve">  hidden: </t>
  </si>
  <si>
    <t xml:space="preserve">  friendly_name: </t>
  </si>
  <si>
    <t xml:space="preserve">  emulated_hue: </t>
  </si>
  <si>
    <t xml:space="preserve">  icon: </t>
  </si>
  <si>
    <t>entity code</t>
  </si>
  <si>
    <t>mdi:amplifier</t>
  </si>
  <si>
    <t>mdi:fan</t>
  </si>
  <si>
    <t>mdi:lamp</t>
  </si>
  <si>
    <t>mdi:toggle-switch</t>
  </si>
  <si>
    <t>mdi:timer</t>
  </si>
  <si>
    <t>mdi:weather-night</t>
  </si>
  <si>
    <t>mdi:weather-sunny</t>
  </si>
  <si>
    <t>mdi:weather-sunset-down</t>
  </si>
  <si>
    <t>mdi:book-open-variant</t>
  </si>
  <si>
    <t>mdi:weather-sunset</t>
  </si>
  <si>
    <t>In 'Entities' tab?</t>
  </si>
  <si>
    <t>almclk_wake_up_script_triggered_by_alarm_clock</t>
  </si>
  <si>
    <t>locaway_devices_in_bedroom_off_when_at_the_computer</t>
  </si>
  <si>
    <t>locaway_devices_off_when_away</t>
  </si>
  <si>
    <t>locaway_devices_on_desk_off_when_leave_the_computer</t>
  </si>
  <si>
    <t>not_notification_when_multisensor_battery_is_low</t>
  </si>
  <si>
    <t>not_notification_when_tank_turns_off</t>
  </si>
  <si>
    <t>rmbd_fan_off_at_12_pm</t>
  </si>
  <si>
    <t>rmbd_one_bulb_off_at_sunset</t>
  </si>
  <si>
    <t>rmbd_one_bulb_on_with_switch_at_night</t>
  </si>
  <si>
    <t>rmlv_amp_off_at_3_am</t>
  </si>
  <si>
    <t>rmlv_amp_off_with_humvee</t>
  </si>
  <si>
    <t>rmlvtv_chromecast_volume_to_4_on_start</t>
  </si>
  <si>
    <t>rmlvtv_tv_on_with_chromecast</t>
  </si>
  <si>
    <t>statfriend_friend_visiting_off_from_device_tracker</t>
  </si>
  <si>
    <t>statfriend_friend_visiting_on_from_device_tracker</t>
  </si>
  <si>
    <t>statron_away_status_from_device_tracker</t>
  </si>
  <si>
    <t>statron_computer_status_from_monitor_status</t>
  </si>
  <si>
    <t>statron_home_status_from_device_tracker</t>
  </si>
  <si>
    <t>statron_home_status_from_monitor_status</t>
  </si>
  <si>
    <t>statvac_vacation_mode_off_when_home</t>
  </si>
  <si>
    <t>statvac_vacation_mode_on_when_gone_24_hours</t>
  </si>
  <si>
    <t>view</t>
  </si>
  <si>
    <t>Entities</t>
  </si>
  <si>
    <t>bedroom_view</t>
  </si>
  <si>
    <t>environment_view</t>
  </si>
  <si>
    <t>network_view</t>
  </si>
  <si>
    <t>Network</t>
  </si>
  <si>
    <t>mdi:access-point-network</t>
  </si>
  <si>
    <t>mdi:thermometer</t>
  </si>
  <si>
    <t>mdi:sofa</t>
  </si>
  <si>
    <t>mdi:hotel</t>
  </si>
  <si>
    <t>4</t>
  </si>
  <si>
    <t>5</t>
  </si>
  <si>
    <t>6</t>
  </si>
  <si>
    <t>7</t>
  </si>
  <si>
    <t>8</t>
  </si>
  <si>
    <t>9</t>
  </si>
  <si>
    <t>10</t>
  </si>
  <si>
    <t>11</t>
  </si>
  <si>
    <t>12</t>
  </si>
  <si>
    <t>13</t>
  </si>
  <si>
    <t>14</t>
  </si>
  <si>
    <t>15</t>
  </si>
  <si>
    <t>16</t>
  </si>
  <si>
    <t>17</t>
  </si>
  <si>
    <t>18</t>
  </si>
  <si>
    <t>19</t>
  </si>
  <si>
    <t>20</t>
  </si>
  <si>
    <t>21</t>
  </si>
  <si>
    <t>22</t>
  </si>
  <si>
    <t>23</t>
  </si>
  <si>
    <t>24</t>
  </si>
  <si>
    <t>25</t>
  </si>
  <si>
    <t xml:space="preserve">  name: Network</t>
  </si>
  <si>
    <t xml:space="preserve">    - device_tracker.ron_phone</t>
  </si>
  <si>
    <t xml:space="preserve">    - device_tracker.daniel_phone</t>
  </si>
  <si>
    <t xml:space="preserve">    - device_tracker.carolyn_phone</t>
  </si>
  <si>
    <t>First space</t>
  </si>
  <si>
    <t>automation_almclk:</t>
  </si>
  <si>
    <t xml:space="preserve">  name: "Automation - Alarm Clock"</t>
  </si>
  <si>
    <t xml:space="preserve">    - automation.almclk_wake_up_script_triggered_by_alarm_clock</t>
  </si>
  <si>
    <t>automation_ifttt:</t>
  </si>
  <si>
    <t xml:space="preserve">  name: "Automation - IFTTT"</t>
  </si>
  <si>
    <t xml:space="preserve">    - automation.ifttt_speed_test_record</t>
  </si>
  <si>
    <t>automation_locaway:</t>
  </si>
  <si>
    <t xml:space="preserve">  name: "Automation - Away"</t>
  </si>
  <si>
    <t xml:space="preserve">    - automation.locaway_devices_in_bedroom_off_when_at_the_computer</t>
  </si>
  <si>
    <t xml:space="preserve">    - automation.locaway_devices_off_when_away</t>
  </si>
  <si>
    <t xml:space="preserve">    - automation.locaway_devices_on_desk_off_when_leave_the_computer</t>
  </si>
  <si>
    <t>automation_not:</t>
  </si>
  <si>
    <t xml:space="preserve">  name: "Automation - Notifications"</t>
  </si>
  <si>
    <t xml:space="preserve">    - automation.not_notification_when_multisensor_battery_is_low</t>
  </si>
  <si>
    <t xml:space="preserve">    - automation.not_notification_when_tank_turns_off</t>
  </si>
  <si>
    <t>automation_rmbd:</t>
  </si>
  <si>
    <t xml:space="preserve">  name: "Automation - Bedroom"</t>
  </si>
  <si>
    <t xml:space="preserve">    - automation.rmbd_fan_off_at_12_pm</t>
  </si>
  <si>
    <t xml:space="preserve">    - automation.rmbd_one_bulb_off_at_sunset</t>
  </si>
  <si>
    <t xml:space="preserve">    - automation.rmbd_one_bulb_on_with_switch_at_night</t>
  </si>
  <si>
    <t>automation_rmlv:</t>
  </si>
  <si>
    <t xml:space="preserve">  name: "Automation - Living Room"</t>
  </si>
  <si>
    <t xml:space="preserve">    - automation.rmlv_amp_off_at_3_am</t>
  </si>
  <si>
    <t xml:space="preserve">    - automation.rmlv_amp_off_with_humvee</t>
  </si>
  <si>
    <t>automation_rmlvtv:</t>
  </si>
  <si>
    <t xml:space="preserve">  name: "Automation - Living Room TV"</t>
  </si>
  <si>
    <t xml:space="preserve">    - automation.rmlvtv_chromecast_volume_to_4_on_start</t>
  </si>
  <si>
    <t xml:space="preserve">    - automation.rmlvtv_tv_off_with_chromecast</t>
  </si>
  <si>
    <t xml:space="preserve">    - automation.rmlvtv_tv_off_with_chromecast_2</t>
  </si>
  <si>
    <t xml:space="preserve">    - automation.rmlvtv_tv_off_with_chromecast_3</t>
  </si>
  <si>
    <t xml:space="preserve">    - automation.rmlvtv_tv_on_with_chromecast</t>
  </si>
  <si>
    <t>automation_statfriend:</t>
  </si>
  <si>
    <t xml:space="preserve">  name: "Automation - Friend Status"</t>
  </si>
  <si>
    <t xml:space="preserve">    - automation.statfriend_friend_visiting_off_from_device_tracker</t>
  </si>
  <si>
    <t xml:space="preserve">    - automation.statfriend_friend_visiting_on_from_device_tracker</t>
  </si>
  <si>
    <t>automation_statron:</t>
  </si>
  <si>
    <t xml:space="preserve">  name: "Automation - Ron Status"</t>
  </si>
  <si>
    <t xml:space="preserve">    - automation.statron_away_status_from_device_tracker</t>
  </si>
  <si>
    <t xml:space="preserve">    - automation.statron_computer_status_from_monitor_status</t>
  </si>
  <si>
    <t xml:space="preserve">    - automation.statron_home_status_from_device_tracker</t>
  </si>
  <si>
    <t xml:space="preserve">    - automation.statron_home_status_from_monitor_status</t>
  </si>
  <si>
    <t>automation_statvac:</t>
  </si>
  <si>
    <t xml:space="preserve">  name: "Automation - Vacation Status"</t>
  </si>
  <si>
    <t xml:space="preserve">    - automation.statvac_vacation_mode_off_when_home</t>
  </si>
  <si>
    <t xml:space="preserve">    - automation.statvac_vacation_mode_on_when_gone_24_hours</t>
  </si>
  <si>
    <t>bedroom_lighting:</t>
  </si>
  <si>
    <t xml:space="preserve">  name: Bedroom Lighting</t>
  </si>
  <si>
    <t xml:space="preserve">    - script.bright</t>
  </si>
  <si>
    <t xml:space="preserve">    - script.twilight</t>
  </si>
  <si>
    <t xml:space="preserve">    - script.dusk</t>
  </si>
  <si>
    <t xml:space="preserve">    - script.reading</t>
  </si>
  <si>
    <t xml:space="preserve">    - script.all_off</t>
  </si>
  <si>
    <t>bedroom:</t>
  </si>
  <si>
    <t xml:space="preserve">  name: Bedroom</t>
  </si>
  <si>
    <t xml:space="preserve">    - switch.bedroom_fan</t>
  </si>
  <si>
    <t xml:space="preserve">    - switch.bedroom_tv</t>
  </si>
  <si>
    <t xml:space="preserve">    - switch.bedroom_audio</t>
  </si>
  <si>
    <t xml:space="preserve">    - group.bedroom_lights</t>
  </si>
  <si>
    <t xml:space="preserve">    - switch.bedroom_nightstand</t>
  </si>
  <si>
    <t>bedroom_lights:</t>
  </si>
  <si>
    <t xml:space="preserve">  name: Bedroom Lights</t>
  </si>
  <si>
    <t xml:space="preserve">    - light.lux_lamp</t>
  </si>
  <si>
    <t xml:space="preserve">    - light.lux_lamp_1</t>
  </si>
  <si>
    <t># Alarm clock</t>
  </si>
  <si>
    <t>alarm_clock:</t>
  </si>
  <si>
    <t xml:space="preserve">  name: 'Alarm Clock'</t>
  </si>
  <si>
    <t xml:space="preserve">    - sensor.alarm_clock_time</t>
  </si>
  <si>
    <t xml:space="preserve">    - input_slider.alarm_clock_hour</t>
  </si>
  <si>
    <t xml:space="preserve">    - input_slider.alarm_clock_minute</t>
  </si>
  <si>
    <t xml:space="preserve">    - input_boolean.alarm_clock_status</t>
  </si>
  <si>
    <t>environment:</t>
  </si>
  <si>
    <t xml:space="preserve">  name: Environment</t>
  </si>
  <si>
    <t xml:space="preserve">    - sensor.dark_sky_apparent_temperature</t>
  </si>
  <si>
    <t xml:space="preserve">    - sensor.dark_sky_hourly_summary</t>
  </si>
  <si>
    <t xml:space="preserve">    - sensor.dark_sky_daily_summary</t>
  </si>
  <si>
    <t xml:space="preserve">    - sensor.dark_sky_precip_probability</t>
  </si>
  <si>
    <t>environment_detail:</t>
  </si>
  <si>
    <t xml:space="preserve">  name: Environment Detail</t>
  </si>
  <si>
    <t xml:space="preserve">    - sensor.dark_sky_minutely_summary</t>
  </si>
  <si>
    <t xml:space="preserve">    - camera.radar</t>
  </si>
  <si>
    <t xml:space="preserve">    - sensor.dark_sky_precip</t>
  </si>
  <si>
    <t xml:space="preserve">    - sensor.dark_sky_precip_intensity</t>
  </si>
  <si>
    <t xml:space="preserve">    - sensor.dark_sky_daily_max_precip_intensity</t>
  </si>
  <si>
    <t xml:space="preserve">    - sensor.dark_sky_daily_high_temperature</t>
  </si>
  <si>
    <t xml:space="preserve">    - sensor.dark_sky_daily_low_temperature</t>
  </si>
  <si>
    <t xml:space="preserve">    - sensor.dark_sky_daily_high_apparent_temperature</t>
  </si>
  <si>
    <t xml:space="preserve">    - sensor.dark_sky_temperature</t>
  </si>
  <si>
    <t xml:space="preserve">    - sensor.dark_sky_daily_low_apparent_temperature</t>
  </si>
  <si>
    <t xml:space="preserve">    # - sensor.dark_sky_summary</t>
  </si>
  <si>
    <t xml:space="preserve">    # - sensor.dark_sky_icon</t>
  </si>
  <si>
    <t xml:space="preserve">    - sensor.dark_sky_nearest_storm_distance</t>
  </si>
  <si>
    <t xml:space="preserve">    - sensor.dark_sky_nearest_storm_bearing</t>
  </si>
  <si>
    <t xml:space="preserve">    - sensor.dark_sky_dew_point</t>
  </si>
  <si>
    <t xml:space="preserve">    - sensor.dark_sky_wind_speed</t>
  </si>
  <si>
    <t xml:space="preserve">    - sensor.dark_sky_wind_bearing</t>
  </si>
  <si>
    <t xml:space="preserve">    - sensor.dark_sky_cloud_coverage</t>
  </si>
  <si>
    <t xml:space="preserve">    - sensor.dark_sky_humidity</t>
  </si>
  <si>
    <t xml:space="preserve">    - sensor.dark_sky_pressure</t>
  </si>
  <si>
    <t xml:space="preserve">    - sensor.dark_sky_visibility</t>
  </si>
  <si>
    <t xml:space="preserve">    - sensor.dark_sky_ozone</t>
  </si>
  <si>
    <t xml:space="preserve">    - sun.sun</t>
  </si>
  <si>
    <t>livingroom:</t>
  </si>
  <si>
    <t xml:space="preserve">  name: Living Room</t>
  </si>
  <si>
    <t xml:space="preserve">    - switch.amp</t>
  </si>
  <si>
    <t>livingroom_sensors:</t>
  </si>
  <si>
    <t xml:space="preserve">  name: Living Room Sensors</t>
  </si>
  <si>
    <t xml:space="preserve">    - sensor.temperature_sensor</t>
  </si>
  <si>
    <t xml:space="preserve">    - binary_sensor.mutli_sensor</t>
  </si>
  <si>
    <t xml:space="preserve">    - sensor.light_sensor</t>
  </si>
  <si>
    <t xml:space="preserve">    - sensor.humidity_sensor</t>
  </si>
  <si>
    <t xml:space="preserve">    - switch.mutli_sensor</t>
  </si>
  <si>
    <t xml:space="preserve">    - sensor.batt_multi_sensor</t>
  </si>
  <si>
    <t>## Cards for Network Status</t>
  </si>
  <si>
    <t>status:</t>
  </si>
  <si>
    <t xml:space="preserve">  name: Status</t>
  </si>
  <si>
    <t xml:space="preserve">    - input_select.ron_status</t>
  </si>
  <si>
    <t xml:space="preserve">    - input_boolean.friend_visiting</t>
  </si>
  <si>
    <t xml:space="preserve">    - input_boolean.vacation_mode</t>
  </si>
  <si>
    <t>network:</t>
  </si>
  <si>
    <t xml:space="preserve">    - sensor.speedtest_download</t>
  </si>
  <si>
    <t xml:space="preserve">    - sensor.speedtest_upload</t>
  </si>
  <si>
    <t xml:space="preserve">    - sensor.speedtest_ping</t>
  </si>
  <si>
    <t xml:space="preserve">    - sensor.sabnzbd_status</t>
  </si>
  <si>
    <t xml:space="preserve">    - sensor.sabnzbd_speed</t>
  </si>
  <si>
    <t xml:space="preserve">    - sensor.plex</t>
  </si>
  <si>
    <t>phones:</t>
  </si>
  <si>
    <t xml:space="preserve">  name: Phones</t>
  </si>
  <si>
    <t>personal_devices:</t>
  </si>
  <si>
    <t xml:space="preserve">  name: Personal Devices</t>
  </si>
  <si>
    <t xml:space="preserve">    - device_tracker.humvee</t>
  </si>
  <si>
    <t xml:space="preserve">    - device_tracker.tank</t>
  </si>
  <si>
    <t xml:space="preserve">    - device_tracker.tank_ipmi</t>
  </si>
  <si>
    <t xml:space="preserve">    - device_tracker.tank_plex</t>
  </si>
  <si>
    <t xml:space="preserve">    - device_tracker.growler</t>
  </si>
  <si>
    <t xml:space="preserve">    - device_tracker.jeep</t>
  </si>
  <si>
    <t xml:space="preserve">    - device_tracker.daniel_laptop</t>
  </si>
  <si>
    <t xml:space="preserve">    - device_tracker.carolynsair</t>
  </si>
  <si>
    <t xml:space="preserve">    - device_tracker.daniel_br</t>
  </si>
  <si>
    <t xml:space="preserve">    - device_tracker.ron_tablet</t>
  </si>
  <si>
    <t xml:space="preserve">    - device_tracker.carolyn_tablet</t>
  </si>
  <si>
    <t xml:space="preserve">    - device_tracker.carolynlipssmbp</t>
  </si>
  <si>
    <t xml:space="preserve">    - device_tracker.gear_fit_2</t>
  </si>
  <si>
    <t xml:space="preserve">    - device_tracker.carolyn_watch</t>
  </si>
  <si>
    <t xml:space="preserve">    </t>
  </si>
  <si>
    <t>iot_devices:</t>
  </si>
  <si>
    <t xml:space="preserve">  name: IoT Devices</t>
  </si>
  <si>
    <t xml:space="preserve">    - device_tracker.echo_dot</t>
  </si>
  <si>
    <t xml:space="preserve">    - device_tracker.echo_tab</t>
  </si>
  <si>
    <t xml:space="preserve">    - device_tracker.chromecast</t>
  </si>
  <si>
    <t xml:space="preserve">    - device_tracker.chromecast_2</t>
  </si>
  <si>
    <t xml:space="preserve">    - device_tracker.withings_scale</t>
  </si>
  <si>
    <t xml:space="preserve">    - device_tracker.vera_lite</t>
  </si>
  <si>
    <t xml:space="preserve">    - device_tracker.hue_hub</t>
  </si>
  <si>
    <t xml:space="preserve">    - device_tracker.wf2ir</t>
  </si>
  <si>
    <t xml:space="preserve">    - device_tracker.raspi_vpn</t>
  </si>
  <si>
    <t xml:space="preserve">    - device_tracker.jtac</t>
  </si>
  <si>
    <t xml:space="preserve">    - device_tracker.tplink_switch</t>
  </si>
  <si>
    <t>host_device:</t>
  </si>
  <si>
    <t xml:space="preserve">  name: Raspi-HA</t>
  </si>
  <si>
    <t xml:space="preserve">    - sensor.cpu_temp</t>
  </si>
  <si>
    <t xml:space="preserve">    - sensor.cpu_use</t>
  </si>
  <si>
    <t xml:space="preserve">    - sensor.ram_free</t>
  </si>
  <si>
    <t xml:space="preserve">    - sensor.disk_use_home</t>
  </si>
  <si>
    <t xml:space="preserve">    - sensor.last_boot</t>
  </si>
  <si>
    <t>unknown_devices:</t>
  </si>
  <si>
    <t xml:space="preserve">  name: Unknown Devices</t>
  </si>
  <si>
    <t xml:space="preserve">    - device_tracker.libp03pgs4bhl9</t>
  </si>
  <si>
    <t xml:space="preserve">    - device_tracker.unknown</t>
  </si>
  <si>
    <t xml:space="preserve">    - device_tracker.unknown_2</t>
  </si>
  <si>
    <t xml:space="preserve">    - device_tracker.unknown_3</t>
  </si>
  <si>
    <t xml:space="preserve">    - device_tracker.unknown_4</t>
  </si>
  <si>
    <t xml:space="preserve">    - device_tracker.unknown_5</t>
  </si>
  <si>
    <t xml:space="preserve">    - device_tracker.unknown_6</t>
  </si>
  <si>
    <t xml:space="preserve">    - device_tracker.unknown_7</t>
  </si>
  <si>
    <t xml:space="preserve">    - device_tracker.unknown_8</t>
  </si>
  <si>
    <t xml:space="preserve">    - device_tracker.unknown_9</t>
  </si>
  <si>
    <t xml:space="preserve">    - device_tracker.unknown_10</t>
  </si>
  <si>
    <t xml:space="preserve">    - device_tracker.unknown_11</t>
  </si>
  <si>
    <t xml:space="preserve">    - device_tracker.unknown_12</t>
  </si>
  <si>
    <t xml:space="preserve">    - device_tracker.unknown_13</t>
  </si>
  <si>
    <t xml:space="preserve">    - device_tracker.unknown_14</t>
  </si>
  <si>
    <t xml:space="preserve">    - device_tracker.unknown_15</t>
  </si>
  <si>
    <t xml:space="preserve">    - device_tracker.unknown_16</t>
  </si>
  <si>
    <t xml:space="preserve">    - device_tracker.unknown_17</t>
  </si>
  <si>
    <t xml:space="preserve">    - device_tracker.unknown_18</t>
  </si>
  <si>
    <t xml:space="preserve">    - device_tracker.unknown_19</t>
  </si>
  <si>
    <t xml:space="preserve">    - device_tracker.unknown_20</t>
  </si>
  <si>
    <t xml:space="preserve">    - device_tracker.unknown_21</t>
  </si>
  <si>
    <t>dictionary</t>
  </si>
  <si>
    <t>two indents</t>
  </si>
  <si>
    <t>list</t>
  </si>
  <si>
    <t>text</t>
  </si>
  <si>
    <t>modified1</t>
  </si>
  <si>
    <t>modified2</t>
  </si>
  <si>
    <t>CODE</t>
  </si>
  <si>
    <t>automation_almclk</t>
  </si>
  <si>
    <t>automation_ifttt</t>
  </si>
  <si>
    <t>automation_locaway</t>
  </si>
  <si>
    <t>automation_not</t>
  </si>
  <si>
    <t>automation_rmbd</t>
  </si>
  <si>
    <t>automation_rmlv</t>
  </si>
  <si>
    <t>automation_rmlvtv</t>
  </si>
  <si>
    <t>automation_statfriend</t>
  </si>
  <si>
    <t>automation_statron</t>
  </si>
  <si>
    <t>automation_statvac</t>
  </si>
  <si>
    <t>bedroom</t>
  </si>
  <si>
    <t>bedroom_lights</t>
  </si>
  <si>
    <t>alarm_clock</t>
  </si>
  <si>
    <t>environment</t>
  </si>
  <si>
    <t>environment_detail</t>
  </si>
  <si>
    <t>status</t>
  </si>
  <si>
    <t>network</t>
  </si>
  <si>
    <t>phones</t>
  </si>
  <si>
    <t>personal_devices</t>
  </si>
  <si>
    <t>iot_devices</t>
  </si>
  <si>
    <t>host_device</t>
  </si>
  <si>
    <t>Automation - Vacation Status</t>
  </si>
  <si>
    <t>Bedroom Lights</t>
  </si>
  <si>
    <t>Environment Detail</t>
  </si>
  <si>
    <t>Status</t>
  </si>
  <si>
    <t>Flags</t>
  </si>
  <si>
    <t>object_id #</t>
  </si>
  <si>
    <t>Num entities</t>
  </si>
  <si>
    <t xml:space="preserve">    - </t>
  </si>
  <si>
    <t>End of code</t>
  </si>
  <si>
    <t>Code</t>
  </si>
  <si>
    <t>Entities count</t>
  </si>
  <si>
    <t>Code for 'group:' section</t>
  </si>
  <si>
    <t>Copy the text with a yellow background into your configuration.</t>
  </si>
  <si>
    <t>Instructions: fill out the green columns with relevant data</t>
  </si>
  <si>
    <t>Check</t>
  </si>
  <si>
    <t>'Entities' tab</t>
  </si>
  <si>
    <t>'card-code' tab</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</si>
  <si>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</si>
  <si>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</si>
  <si>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</si>
  <si>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</si>
  <si>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</si>
  <si>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</si>
  <si>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</si>
  <si>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</si>
  <si>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</si>
  <si>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</si>
  <si>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</si>
  <si>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</si>
  <si>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</si>
  <si>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</si>
  <si>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</si>
  <si>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</si>
  <si>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</si>
  <si>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</si>
  <si>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</si>
  <si>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</si>
  <si>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</si>
  <si>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</si>
  <si>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</si>
  <si>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</si>
  <si>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</si>
  <si>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ref:</t>
  </si>
  <si>
    <t>## Customizations (generated by spreadsheet)</t>
  </si>
  <si>
    <t>Code for 'customize:' section</t>
  </si>
  <si>
    <t>No blanks</t>
  </si>
  <si>
    <t>default_view</t>
  </si>
  <si>
    <t>See below for an example of how I parsed yaml to populate the 'Cards' tab. I pasted yaml code in the green cells.</t>
  </si>
  <si>
    <t>entity</t>
  </si>
  <si>
    <t>script.good_night</t>
  </si>
  <si>
    <t>good_night</t>
  </si>
  <si>
    <t>Good Night</t>
  </si>
  <si>
    <t>mdi:sleep</t>
  </si>
  <si>
    <t>bedroom_devices</t>
  </si>
  <si>
    <t>group.bedroom_devices</t>
  </si>
  <si>
    <t>bazooka</t>
  </si>
  <si>
    <t>device_tracker.bazooka</t>
  </si>
  <si>
    <t>mdi:vpn</t>
  </si>
  <si>
    <t>Misc Devices</t>
  </si>
  <si>
    <t>misc_devices</t>
  </si>
  <si>
    <t>remote.tv</t>
  </si>
  <si>
    <t>group.all_remotes</t>
  </si>
  <si>
    <t>group.misc_devices</t>
  </si>
  <si>
    <t>media_player</t>
  </si>
  <si>
    <t>tv_master</t>
  </si>
  <si>
    <t>HA Host</t>
  </si>
  <si>
    <t>binary_sensor.tv_status</t>
  </si>
  <si>
    <t>remote</t>
  </si>
  <si>
    <t>tv</t>
  </si>
  <si>
    <t>tv_status</t>
  </si>
  <si>
    <t>light.dimmable_light_5</t>
  </si>
  <si>
    <t>media_player.living_room</t>
  </si>
  <si>
    <t>even</t>
  </si>
  <si>
    <t>sensor.humidity_sensor_14</t>
  </si>
  <si>
    <t>sensor.light_sensor_13</t>
  </si>
  <si>
    <t>sensor.temperature_sensor_12</t>
  </si>
  <si>
    <t>above_horizon</t>
  </si>
  <si>
    <t>switch.smart_switch1_3</t>
  </si>
  <si>
    <t>switch.smart_switch2_7</t>
  </si>
  <si>
    <t>dimmable_light_5</t>
  </si>
  <si>
    <t>living_room</t>
  </si>
  <si>
    <t>humidity_sensor_14</t>
  </si>
  <si>
    <t>light_sensor_13</t>
  </si>
  <si>
    <t>temperature_sensor_12</t>
  </si>
  <si>
    <t>smart_switch1_3</t>
  </si>
  <si>
    <t>smart_switch2_7</t>
  </si>
  <si>
    <t>living_room_tv</t>
  </si>
  <si>
    <t>multi_sensor_4</t>
  </si>
  <si>
    <t>binary_sensor.multi_sensor_4</t>
  </si>
  <si>
    <t>media_player.living_room_tv</t>
  </si>
  <si>
    <t>## Code</t>
  </si>
  <si>
    <t>rmlvtv_tv_off_with_chromecast_from_playing</t>
  </si>
  <si>
    <t>rmlvtv_tv_off_with_chromecast_from_idle</t>
  </si>
  <si>
    <t>rmlvtv_tv_off_with_chromecast_from_paused</t>
  </si>
  <si>
    <t>Entity</t>
  </si>
  <si>
    <t>State</t>
  </si>
  <si>
    <t>Attributes</t>
  </si>
  <si>
    <t>automation.rmlvtv_tv_off_with_chromecast_from_idle</t>
  </si>
  <si>
    <t>automation.rmlvtv_tv_off_with_chromecast_from_paused</t>
  </si>
  <si>
    <t>automation.rmlvtv_tv_off_with_chromecast_from_playing</t>
  </si>
  <si>
    <t>automation.statron_tv_status_from_chromecast</t>
  </si>
  <si>
    <t>group.default_view</t>
  </si>
  <si>
    <t>script.living_room_vol_to_4</t>
  </si>
  <si>
    <t>switch.multi_sensor_4</t>
  </si>
  <si>
    <t>statron_tv_status_from_chromecast</t>
  </si>
  <si>
    <t>living_room_vol_to_4</t>
  </si>
  <si>
    <t>group</t>
  </si>
  <si>
    <t>all_automations</t>
  </si>
  <si>
    <t>all_devices</t>
  </si>
  <si>
    <t>all_lights</t>
  </si>
  <si>
    <t>all_remotes</t>
  </si>
  <si>
    <t>all_scripts</t>
  </si>
  <si>
    <t>all_switches</t>
  </si>
  <si>
    <t>zone</t>
  </si>
  <si>
    <t>environment_living_room</t>
  </si>
  <si>
    <t>humvee_monitor_status</t>
  </si>
  <si>
    <t>living_room_view</t>
  </si>
  <si>
    <t>group.living_room</t>
  </si>
  <si>
    <t>binary_sensor.humvee_monitor_status</t>
  </si>
  <si>
    <t>group.environment_living_room</t>
  </si>
  <si>
    <t>group.living_room_view</t>
  </si>
  <si>
    <t>galaxy_s7</t>
  </si>
  <si>
    <t>automation.statvac_vacation_lights_at_sunset_when_vacation_mode_on</t>
  </si>
  <si>
    <t>script.vacation_lights</t>
  </si>
  <si>
    <t>statvac_vacation_lights_at_sunset_when_vacation_mode_on</t>
  </si>
  <si>
    <t>vacation_lights</t>
  </si>
  <si>
    <t>object_id order</t>
  </si>
  <si>
    <t>Calculations</t>
  </si>
  <si>
    <t>Note: The order (i.e., the row) of each card in the table impacts the order in Home Assistant. Be careful when sorting the table! Entities in orange-highlighted cells are not in the 'Entities' tab.</t>
  </si>
  <si>
    <t>#</t>
  </si>
  <si>
    <t>device_tracker.echo_tap</t>
  </si>
  <si>
    <t>Using Computer</t>
  </si>
  <si>
    <t>Mixed precipitation tomorrow through Thursday, with temperatures bottoming out at 35°F on Saturday.</t>
  </si>
  <si>
    <t>Light snow (under 1 in.) tomorrow morning.</t>
  </si>
  <si>
    <t>Clear for the hour.</t>
  </si>
  <si>
    <t>echo_tap</t>
  </si>
  <si>
    <t>automation.not_notification_when_humvee_left_on</t>
  </si>
  <si>
    <t>automation.not_speed_test_record</t>
  </si>
  <si>
    <t>automation.rmlvtv_turn_off_tv_if_chromecast_off</t>
  </si>
  <si>
    <t>last_triggered: null friendly_name: almclk_wake_up script triggered by alarm clock hidden: true</t>
  </si>
  <si>
    <t>last_triggered: null friendly_name: loc-away_Devices in bedroom off when at the computer hidden: true</t>
  </si>
  <si>
    <t>last_triggered: null friendly_name: loc-away_Devices off when away hidden: true</t>
  </si>
  <si>
    <t>last_triggered: null friendly_name: loc-away_Devices on desk off when leave the computer hidden: true</t>
  </si>
  <si>
    <t>last_triggered: 2017-03-30T15:29:12.605611+00:00 friendly_name: not_Notification when Humvee left on</t>
  </si>
  <si>
    <t>last_triggered: null friendly_name: not_Notification when multi-sensor battery is low hidden: true</t>
  </si>
  <si>
    <t>last_triggered: 2017-03-30T15:06:06.322898+00:00 friendly_name: not_Notification when Tank turns off</t>
  </si>
  <si>
    <t>last_triggered: null friendly_name: rm-bd_Fan off at 12 PM hidden: true</t>
  </si>
  <si>
    <t>last_triggered: null friendly_name: rm-bd_One bulb off at sunset hidden: true</t>
  </si>
  <si>
    <t>last_triggered: null friendly_name: rm-lv_Amp off at 3 AM hidden: true</t>
  </si>
  <si>
    <t>last_triggered: null friendly_name: rm-lv_Amp off with Humvee hidden: true</t>
  </si>
  <si>
    <t>last_triggered: null friendly_name: rm-lv-tv_Chromecast volume to 4 on start hidden: true</t>
  </si>
  <si>
    <t>last_triggered: null friendly_name: rm-lv-tv_Turn off TV if chromecast off</t>
  </si>
  <si>
    <t>last_triggered: null friendly_name: rm-lv-tv_TV off with chromecast from idle hidden: true</t>
  </si>
  <si>
    <t>last_triggered: null friendly_name: rm-lv-tv_TV off with chromecast from paused hidden: true</t>
  </si>
  <si>
    <t>last_triggered: null friendly_name: rm-lv-tv_TV off with chromecast from playing hidden: true</t>
  </si>
  <si>
    <t>last_triggered: null friendly_name: rm-lv-tv_TV on with chromecast hidden: true</t>
  </si>
  <si>
    <t>last_triggered: null friendly_name: stat-friend_Friend Visiting off from device tracker hidden: true</t>
  </si>
  <si>
    <t>last_triggered: null friendly_name: stat-friend_Friend Visiting on from device tracker hidden: true</t>
  </si>
  <si>
    <t>last_triggered: null friendly_name: stat-ron_Away status from device tracker hidden: true</t>
  </si>
  <si>
    <t>last_triggered: null friendly_name: stat-ron_Computer status from monitor status hidden: true</t>
  </si>
  <si>
    <t>last_triggered: null friendly_name: stat-ron_Home status from device tracker hidden: true</t>
  </si>
  <si>
    <t>last_triggered: null friendly_name: stat-ron_Home status from monitor status hidden: true</t>
  </si>
  <si>
    <t>last_triggered: null friendly_name: stat-ron_TV status from chromecast hidden: true</t>
  </si>
  <si>
    <t>last_triggered: null friendly_name: stat-vac_Vacation lights at sunset when vacation mode on hidden: true</t>
  </si>
  <si>
    <t>last_triggered: null friendly_name: stat-vac_Vacation mode off when home hidden: true</t>
  </si>
  <si>
    <t>last_triggered: null friendly_name: stat-vac_Vacation mode on when gone 24 hours hidden: true</t>
  </si>
  <si>
    <t>not_notification_when_humvee_left_on</t>
  </si>
  <si>
    <t>not_speed_test_record</t>
  </si>
  <si>
    <t>rmlvtv_turn_off_tv_if_chromecast_off</t>
  </si>
  <si>
    <t>last_triggered: 2017-03-30T15:41:14.677746+00:00 friendly_name: not_Speed test record</t>
  </si>
  <si>
    <t>last_triggered: 2017-03-30T15:41:47.704310+00:00 friendly_name: rm-bd_One bulb on with switch at night hidden: true</t>
  </si>
  <si>
    <t>This sheets allows the quick processing of Entities from Home Assistant</t>
  </si>
  <si>
    <t>Note: Note, if your prior configuration had many entities, some may remain after copying new data from Home Assistant. After step 1, ensure that there aren't any duplicate or old entries in the table.</t>
  </si>
  <si>
    <t>States (from Home Assistant)</t>
  </si>
  <si>
    <t xml:space="preserve"> </t>
  </si>
  <si>
    <t>Export new entities to "Entities" tab: (1) Filter the table by column J to show rows labeled "missing...". (Note: If all the rows say "yes", then the "Entities" tab is already updated); (2) Select the "domain" and "object_id" (Coumns E and F) of the "missing" rows and copy. (3) Navigate to the "Entities" tab and paste the new 'domain' and 'object_id' entries into the corresponding columns. Use the shortcut [ctrl]+[alt]+[v] to 'Paste Special', then press [v] then [enter] to just paste the values to the new table (not the formulas).</t>
  </si>
  <si>
    <t>Populate from Home Assistant</t>
  </si>
  <si>
    <t>Copy to "Entities" tab</t>
  </si>
  <si>
    <t>Copy from "States" tab</t>
  </si>
  <si>
    <t>Instructions: (1) Copy the 'domain' and 'object_id' from the "States" tab. (described in the instructions on that tab). (2) Populate columns D - H with your customization preferences. (3) Copy the "entitiy_id" from I to the "Cards" and "Views" tabs to populate those. (4) Check the "Cards" and "Views" with the 'Organization' Coumns (Yellow cells do not have any organization preferences specified). (5) Check the entitiy is still present in Home Assistant with the "In HA?" column.</t>
  </si>
  <si>
    <t>Assigned Card</t>
  </si>
  <si>
    <t>Card Displayed</t>
  </si>
  <si>
    <t>Environment || Living Room</t>
  </si>
  <si>
    <t>Automation || Ron Status</t>
  </si>
  <si>
    <t>LAN || Phones</t>
  </si>
  <si>
    <t>LAN || Computers</t>
  </si>
  <si>
    <t>LAN || IoT</t>
  </si>
  <si>
    <t>Environment || Forecast</t>
  </si>
  <si>
    <t>Bedroom || Devices</t>
  </si>
  <si>
    <t>Automation || Friend Status</t>
  </si>
  <si>
    <t>Automation || Living Room TV</t>
  </si>
  <si>
    <t>Automation || Alarm Clock</t>
  </si>
  <si>
    <t>Automation || Away</t>
  </si>
  <si>
    <t>Automation || Notifications</t>
  </si>
  <si>
    <t>Automation || Bedroom</t>
  </si>
  <si>
    <t>Automation || Living Room</t>
  </si>
  <si>
    <t>Import entities from Home Assistant: (1) From Home Assistant in a browser, find the "States" by: [open side pannel] &gt; [navigate to "Developer Tools"] &gt; [press the "&lt;&gt;" button]. (2) Copy the table including the headers, starting from the "Entity" column heading. (3) Paste the text in the first cell of the table (4). Clear all formatting - you can use the shortcut by holding [Alt] and pressing [h], [e], then [f].</t>
  </si>
  <si>
    <t>Num Attributes</t>
  </si>
  <si>
    <t>entity_picture</t>
  </si>
  <si>
    <t>assigns a index for entities with at least one attribute</t>
  </si>
  <si>
    <t xml:space="preserve">  entity_picture: </t>
  </si>
  <si>
    <t>In 'States' tab?</t>
  </si>
  <si>
    <t>control</t>
  </si>
  <si>
    <t>Attributes Index</t>
  </si>
  <si>
    <t>Attribute Index</t>
  </si>
  <si>
    <t>Code Start</t>
  </si>
  <si>
    <t>number of attributes for the entitiy. (COUNTA sometimes counts blanks, that are identified by COUNTBLANK, so I used the latter)</t>
  </si>
  <si>
    <t>Attribute Code - Start</t>
  </si>
  <si>
    <t>Attribute Code - Unique</t>
  </si>
  <si>
    <t>attribute increment</t>
  </si>
  <si>
    <t>Identifier for entity</t>
  </si>
  <si>
    <t>Increments through attributes</t>
  </si>
  <si>
    <t>the attribute for the specific line</t>
  </si>
  <si>
    <t>all attributes for the entity</t>
  </si>
  <si>
    <t>A1</t>
  </si>
  <si>
    <t>A2</t>
  </si>
  <si>
    <t>A3</t>
  </si>
  <si>
    <t>A4</t>
  </si>
  <si>
    <t>Card (note: press [ctrl]+[shift]+[enter] if you make any changes to the code since it's an array formula).</t>
  </si>
  <si>
    <t>Creates Attribute Index</t>
  </si>
  <si>
    <t>Attribute Index - Entity</t>
  </si>
  <si>
    <t>Attribute Index - Line</t>
  </si>
  <si>
    <t xml:space="preserve">  control: </t>
  </si>
  <si>
    <t xml:space="preserve">  view: </t>
  </si>
  <si>
    <t>Attribute increment</t>
  </si>
  <si>
    <t>entity increment</t>
  </si>
  <si>
    <t>attribute</t>
  </si>
  <si>
    <t>entitiy</t>
  </si>
  <si>
    <t>entity:</t>
  </si>
  <si>
    <t>Attribute Type</t>
  </si>
  <si>
    <t>Line Code</t>
  </si>
  <si>
    <t>Line Type</t>
  </si>
  <si>
    <t>Attribute Code</t>
  </si>
  <si>
    <t>Attribute Name</t>
  </si>
  <si>
    <t>Entity Name</t>
  </si>
  <si>
    <t>Line End Code</t>
  </si>
  <si>
    <t>Attribute End Code</t>
  </si>
  <si>
    <t>Pull information from "cards" tab</t>
  </si>
  <si>
    <t>Increment lines to organize code</t>
  </si>
  <si>
    <t>yes</t>
  </si>
  <si>
    <t>Line Type Increments</t>
  </si>
  <si>
    <t>entity start</t>
  </si>
  <si>
    <t>&lt;= Lookup Table</t>
  </si>
  <si>
    <t>Cards and Views</t>
  </si>
  <si>
    <t>YAML Tool for Home Assistant</t>
  </si>
  <si>
    <t>Before using this tool, I suggest two prerequisites to make your experience better:</t>
  </si>
  <si>
    <t>1) Create "group" and "customize" sections in your current configuration and understand the options for each</t>
  </si>
  <si>
    <t>Suggested Prerequisites</t>
  </si>
  <si>
    <t>About this Tool</t>
  </si>
  <si>
    <t>Table of Contents</t>
  </si>
  <si>
    <t>States</t>
  </si>
  <si>
    <t>Takes input from Home Assistant and formats it to be easy to use.</t>
  </si>
  <si>
    <t>Table of entities. Customizations can be applied on this sheet.</t>
  </si>
  <si>
    <t>Create groups of entities to become cards or views.</t>
  </si>
  <si>
    <t>Group Code Processing</t>
  </si>
  <si>
    <t>Customize code</t>
  </si>
  <si>
    <t>Group code</t>
  </si>
  <si>
    <t>Output of code for customize.yaml</t>
  </si>
  <si>
    <t>Output of code for group.yaml</t>
  </si>
  <si>
    <t>Main Sheets</t>
  </si>
  <si>
    <t>Additional Sheets</t>
  </si>
  <si>
    <t>Key</t>
  </si>
  <si>
    <t>Dark Green Columns</t>
  </si>
  <si>
    <t>Yellow Cells</t>
  </si>
  <si>
    <t>Blue Columns</t>
  </si>
  <si>
    <t>Black Columns</t>
  </si>
  <si>
    <t>Green Columns</t>
  </si>
  <si>
    <t>Grey Columns</t>
  </si>
  <si>
    <t>YAML Processing</t>
  </si>
  <si>
    <t>Copy data here from Home Assistant or other sheets</t>
  </si>
  <si>
    <t>Manually enter data here</t>
  </si>
  <si>
    <t>Paste these outputs into the Home Assistant configuration</t>
  </si>
  <si>
    <t>Use this to filter your table. This is organization information</t>
  </si>
  <si>
    <t>Use this to filter your table. These are calculations.</t>
  </si>
  <si>
    <t>Code you can use to convert YAML to a table, so you don't have to re-create your groups</t>
  </si>
  <si>
    <t>If you see ways to improve this tool, feel free to make changes and share updated versions. In creating the tool, I avoided using macros and tried to make my formulas easy to read so others can take it further.</t>
  </si>
  <si>
    <t>Index</t>
  </si>
  <si>
    <t>Type</t>
  </si>
  <si>
    <t>Attributes for each group</t>
  </si>
  <si>
    <t>object_id' for the group</t>
  </si>
  <si>
    <t>Attributes for each entity</t>
  </si>
  <si>
    <t>List entities for each group. Use 'entity_id' from 'Entities' tab.</t>
  </si>
  <si>
    <t>group (dictionary)</t>
  </si>
  <si>
    <t>friendly name</t>
  </si>
  <si>
    <t>entities</t>
  </si>
  <si>
    <t>text2</t>
  </si>
  <si>
    <t>text3</t>
  </si>
  <si>
    <t>friendly name flag</t>
  </si>
  <si>
    <t>## Group code (generated by spreadsheet)</t>
  </si>
  <si>
    <t>group single</t>
  </si>
  <si>
    <t xml:space="preserve">group </t>
  </si>
  <si>
    <t>entity flag</t>
  </si>
  <si>
    <t>Paste YAML from Home Assistant config.</t>
  </si>
  <si>
    <t>Outputs</t>
  </si>
  <si>
    <t>Not in 'Entity' tab</t>
  </si>
  <si>
    <t>No duplicates</t>
  </si>
  <si>
    <t>Entity Checks</t>
  </si>
  <si>
    <t>Copy to "Cards and Views" tab</t>
  </si>
  <si>
    <t>Copy to other parts of this spreadsheet</t>
  </si>
  <si>
    <t>Copy to other groups on this tab</t>
  </si>
  <si>
    <t>2) Separate the "group" and "customize" sections to their own YAML files using includes. This will lmit the time you'll spend scrolling through code</t>
  </si>
  <si>
    <t>This tool's purpose is to provide a easy way to keep track of Home Assistant entities and generate code for the customize and group sections (i.e., automate writing home automation code!). It evolved from a spreadsheet I put together to keep track of my automations.</t>
  </si>
  <si>
    <t>Card or View</t>
  </si>
  <si>
    <t>Link to a YouTube guide about the tool. [will update link when posted]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</si>
</sst>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9" x14ac:knownFonts="1">
    <font>
      <sz val="11"/>
      <color theme="1"/>
      <name val="Calibri"/>
      <family val="2"/>
      <scheme val="minor"/>
    </font>
    <font>
      <b/>
      <sz val="11"/>
      <color theme="1"/>
      <name val="Calibri"/>
      <family val="2"/>
      <scheme val="minor"/>
    </font>
    <font>
      <b/>
      <sz val="16"/>
      <color theme="1"/>
      <name val="Calibri"/>
      <family val="2"/>
      <scheme val="minor"/>
    </font>
    <font>
      <sz val="11"/>
      <name val="Calibri"/>
      <family val="2"/>
      <scheme val="minor"/>
    </font>
    <font>
      <sz val="11"/>
      <color rgb="FF0070C0"/>
      <name val="Calibri"/>
      <family val="2"/>
      <scheme val="minor"/>
    </font>
    <font>
      <b/>
      <sz val="11"/>
      <color theme="0"/>
      <name val="Calibri"/>
      <family val="2"/>
      <scheme val="minor"/>
    </font>
    <font>
      <i/>
      <sz val="11"/>
      <color theme="1"/>
      <name val="Calibri"/>
      <family val="2"/>
      <scheme val="minor"/>
    </font>
    <font>
      <u/>
      <sz val="11"/>
      <color theme="10"/>
      <name val="Calibri"/>
      <family val="2"/>
      <scheme val="minor"/>
    </font>
    <font>
      <sz val="11"/>
      <color theme="0"/>
      <name val="Calibri"/>
      <family val="2"/>
      <scheme val="minor"/>
    </font>
  </fonts>
  <fills count="10">
    <fill>
      <patternFill patternType="none"/>
    </fill>
    <fill>
      <patternFill patternType="gray125"/>
    </fill>
    <fill>
      <patternFill patternType="solid">
        <fgColor theme="9" tint="-0.249977111117893"/>
        <bgColor indexed="64"/>
      </patternFill>
    </fill>
    <fill>
      <patternFill patternType="solid">
        <fgColor rgb="FFFFFF00"/>
        <bgColor indexed="64"/>
      </patternFill>
    </fill>
    <fill>
      <patternFill patternType="solid">
        <fgColor theme="1"/>
        <bgColor indexed="64"/>
      </patternFill>
    </fill>
    <fill>
      <patternFill patternType="solid">
        <fgColor theme="9" tint="0.59999389629810485"/>
        <bgColor indexed="64"/>
      </patternFill>
    </fill>
    <fill>
      <patternFill patternType="solid">
        <fgColor theme="3"/>
        <bgColor indexed="64"/>
      </patternFill>
    </fill>
    <fill>
      <patternFill patternType="solid">
        <fgColor theme="0" tint="-0.499984740745262"/>
        <bgColor indexed="64"/>
      </patternFill>
    </fill>
    <fill>
      <patternFill patternType="solid">
        <fgColor theme="4" tint="-0.249977111117893"/>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diagonal/>
    </border>
  </borders>
  <cellStyleXfs count="2">
    <xf numFmtId="0" fontId="0" fillId="0" borderId="0"/>
    <xf numFmtId="0" fontId="7" fillId="0" borderId="0" applyNumberFormat="0" applyFill="0" applyBorder="0" applyAlignment="0" applyProtection="0"/>
  </cellStyleXfs>
  <cellXfs count="43">
    <xf numFmtId="0" fontId="0" fillId="0" borderId="0" xfId="0"/>
    <xf numFmtId="0" fontId="2" fillId="0" borderId="0" xfId="0" applyFont="1"/>
    <xf numFmtId="0" fontId="0" fillId="2" borderId="0" xfId="0" applyFill="1"/>
    <xf numFmtId="0" fontId="0" fillId="0" borderId="0" xfId="0" quotePrefix="1"/>
    <xf numFmtId="0" fontId="0" fillId="0" borderId="0" xfId="0" applyNumberFormat="1"/>
    <xf numFmtId="0" fontId="0" fillId="0" borderId="1" xfId="0" applyBorder="1"/>
    <xf numFmtId="0" fontId="0" fillId="0" borderId="1" xfId="0" quotePrefix="1" applyBorder="1"/>
    <xf numFmtId="0" fontId="1" fillId="0" borderId="0" xfId="0" applyFont="1"/>
    <xf numFmtId="0" fontId="1" fillId="0" borderId="1" xfId="0" applyFont="1" applyBorder="1"/>
    <xf numFmtId="0" fontId="0" fillId="4" borderId="0" xfId="0" applyFill="1"/>
    <xf numFmtId="4" fontId="0" fillId="0" borderId="0" xfId="0" applyNumberFormat="1"/>
    <xf numFmtId="0" fontId="0" fillId="5" borderId="0" xfId="0" applyFill="1"/>
    <xf numFmtId="0" fontId="6" fillId="0" borderId="0" xfId="0" applyFont="1"/>
    <xf numFmtId="0" fontId="4" fillId="0" borderId="1" xfId="0" applyFont="1" applyBorder="1"/>
    <xf numFmtId="0" fontId="3" fillId="0" borderId="1" xfId="0" applyFont="1" applyBorder="1"/>
    <xf numFmtId="0" fontId="0" fillId="7" borderId="0" xfId="0" applyFill="1"/>
    <xf numFmtId="0" fontId="1" fillId="0" borderId="1" xfId="0" quotePrefix="1" applyFont="1" applyBorder="1" applyAlignment="1">
      <alignment horizontal="centerContinuous"/>
    </xf>
    <xf numFmtId="0" fontId="1" fillId="0" borderId="1" xfId="0" applyFont="1" applyBorder="1" applyAlignment="1">
      <alignment horizontal="centerContinuous"/>
    </xf>
    <xf numFmtId="0" fontId="0" fillId="8" borderId="0" xfId="0" applyFill="1"/>
    <xf numFmtId="0" fontId="6" fillId="0" borderId="2" xfId="0" applyFont="1" applyBorder="1" applyAlignment="1">
      <alignment horizontal="centerContinuous"/>
    </xf>
    <xf numFmtId="0" fontId="0" fillId="0" borderId="2" xfId="0" applyBorder="1" applyAlignment="1">
      <alignment horizontal="centerContinuous"/>
    </xf>
    <xf numFmtId="0" fontId="6" fillId="0" borderId="2" xfId="0" applyFont="1" applyBorder="1" applyAlignment="1">
      <alignment horizontal="left"/>
    </xf>
    <xf numFmtId="0" fontId="3" fillId="0" borderId="1" xfId="0" quotePrefix="1" applyFont="1" applyBorder="1"/>
    <xf numFmtId="0" fontId="0" fillId="3" borderId="1" xfId="0" applyFill="1" applyBorder="1"/>
    <xf numFmtId="0" fontId="0" fillId="0" borderId="0" xfId="0" applyAlignment="1">
      <alignment horizontal="center"/>
    </xf>
    <xf numFmtId="14" fontId="0" fillId="0" borderId="0" xfId="0" applyNumberFormat="1" applyAlignment="1">
      <alignment horizontal="center"/>
    </xf>
    <xf numFmtId="0" fontId="0" fillId="0" borderId="0" xfId="0" applyAlignment="1">
      <alignment wrapText="1"/>
    </xf>
    <xf numFmtId="44" fontId="5" fillId="6" borderId="0" xfId="0" applyNumberFormat="1" applyFont="1" applyFill="1"/>
    <xf numFmtId="0" fontId="7" fillId="0" borderId="0" xfId="1"/>
    <xf numFmtId="0" fontId="8" fillId="2" borderId="0" xfId="0" applyFont="1" applyFill="1"/>
    <xf numFmtId="0" fontId="0" fillId="3" borderId="0" xfId="0" applyFill="1"/>
    <xf numFmtId="0" fontId="5" fillId="8" borderId="0" xfId="0" applyFont="1" applyFill="1"/>
    <xf numFmtId="0" fontId="5" fillId="9" borderId="0" xfId="0" applyFont="1" applyFill="1"/>
    <xf numFmtId="0" fontId="5" fillId="2" borderId="0" xfId="0" applyFont="1" applyFill="1"/>
    <xf numFmtId="0" fontId="5" fillId="7" borderId="0" xfId="0" applyFont="1" applyFill="1"/>
    <xf numFmtId="0" fontId="5" fillId="4" borderId="0" xfId="0" applyFont="1" applyFill="1"/>
    <xf numFmtId="0" fontId="0" fillId="0" borderId="1" xfId="0" applyBorder="1" applyAlignment="1">
      <alignment horizontal="centerContinuous"/>
    </xf>
    <xf numFmtId="0" fontId="6" fillId="0" borderId="2" xfId="0" quotePrefix="1" applyFont="1" applyBorder="1" applyAlignment="1">
      <alignment horizontal="centerContinuous"/>
    </xf>
    <xf numFmtId="0" fontId="5" fillId="4" borderId="1" xfId="0" applyFont="1" applyFill="1" applyBorder="1"/>
    <xf numFmtId="0" fontId="1" fillId="8" borderId="0" xfId="0" applyFont="1" applyFill="1"/>
    <xf numFmtId="0" fontId="0" fillId="8" borderId="0" xfId="0" applyFont="1" applyFill="1"/>
    <xf numFmtId="0" fontId="4" fillId="3" borderId="1" xfId="0" quotePrefix="1" applyFont="1" applyFill="1" applyBorder="1"/>
    <xf numFmtId="0" fontId="0" fillId="0" borderId="0" xfId="0" applyAlignment="1">
      <alignment wrapText="1"/>
    </xf>
  </cellXfs>
  <cellStyles count="2">
    <cellStyle name="Hyperlink" xfId="1" builtinId="8"/>
    <cellStyle name="Normal" xfId="0" builtinId="0"/>
  </cellStyles>
  <dxfs count="69">
    <dxf>
      <numFmt numFmtId="0" formatCode="General"/>
    </dxf>
    <dxf>
      <fill>
        <patternFill patternType="solid">
          <fgColor indexed="64"/>
          <bgColor theme="9" tint="0.59999389629810485"/>
        </patternFill>
      </fill>
    </dxf>
    <dxf>
      <font>
        <b val="0"/>
        <i val="0"/>
      </font>
      <fill>
        <patternFill>
          <bgColor rgb="FFFFFF00"/>
        </patternFill>
      </fill>
    </dxf>
    <dxf>
      <font>
        <b val="0"/>
        <i val="0"/>
      </font>
      <fill>
        <patternFill>
          <bgColor rgb="FFFFFF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theme="7" tint="-0.499984740745262"/>
      </font>
      <fill>
        <patternFill>
          <bgColor theme="7" tint="0.59996337778862885"/>
        </patternFill>
      </fill>
    </dxf>
    <dxf>
      <fill>
        <patternFill>
          <bgColor rgb="FFFFC000"/>
        </patternFill>
      </fill>
    </dxf>
    <dxf>
      <fill>
        <patternFill>
          <bgColor theme="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9C6500"/>
      </font>
      <fill>
        <patternFill>
          <bgColor rgb="FFFFEB9C"/>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950976</xdr:colOff>
      <xdr:row>53</xdr:row>
      <xdr:rowOff>11906</xdr:rowOff>
    </xdr:to>
    <xdr:sp macro="" textlink="">
      <xdr:nvSpPr>
        <xdr:cNvPr id="5" name="Rectangle 4"/>
        <xdr:cNvSpPr/>
      </xdr:nvSpPr>
      <xdr:spPr>
        <a:xfrm>
          <a:off x="0" y="0"/>
          <a:ext cx="950976" cy="9322594"/>
        </a:xfrm>
        <a:prstGeom prst="rect">
          <a:avLst/>
        </a:prstGeom>
        <a:gradFill flip="none" rotWithShape="1">
          <a:gsLst>
            <a:gs pos="24000">
              <a:srgbClr val="8FB3D4"/>
            </a:gs>
            <a:gs pos="0">
              <a:schemeClr val="bg1">
                <a:lumMod val="95000"/>
              </a:schemeClr>
            </a:gs>
            <a:gs pos="79000">
              <a:schemeClr val="accent1">
                <a:lumMod val="75000"/>
              </a:schemeClr>
            </a:gs>
          </a:gsLst>
          <a:lin ang="54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19051</xdr:colOff>
      <xdr:row>0</xdr:row>
      <xdr:rowOff>19050</xdr:rowOff>
    </xdr:from>
    <xdr:to>
      <xdr:col>0</xdr:col>
      <xdr:colOff>933451</xdr:colOff>
      <xdr:row>5</xdr:row>
      <xdr:rowOff>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9050"/>
          <a:ext cx="914400" cy="909638"/>
        </a:xfrm>
        <a:prstGeom prst="rect">
          <a:avLst/>
        </a:prstGeom>
      </xdr:spPr>
    </xdr:pic>
    <xdr:clientData/>
  </xdr:twoCellAnchor>
  <xdr:oneCellAnchor>
    <xdr:from>
      <xdr:col>0</xdr:col>
      <xdr:colOff>19051</xdr:colOff>
      <xdr:row>5</xdr:row>
      <xdr:rowOff>11905</xdr:rowOff>
    </xdr:from>
    <xdr:ext cx="914400" cy="416781"/>
    <xdr:sp macro="" textlink="">
      <xdr:nvSpPr>
        <xdr:cNvPr id="3" name="Rectangle 2"/>
        <xdr:cNvSpPr/>
      </xdr:nvSpPr>
      <xdr:spPr>
        <a:xfrm>
          <a:off x="19051" y="940593"/>
          <a:ext cx="914400" cy="41678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spAutoFit/>
        </a:bodyPr>
        <a:lstStyle/>
        <a:p>
          <a:pPr algn="ctr"/>
          <a:r>
            <a:rPr lang="en-US" sz="1100" b="1">
              <a:solidFill>
                <a:sysClr val="windowText" lastClr="000000"/>
              </a:solidFill>
              <a:latin typeface="Arial" panose="020B0604020202020204" pitchFamily="34" charset="0"/>
              <a:cs typeface="Arial" panose="020B0604020202020204" pitchFamily="34" charset="0"/>
            </a:rPr>
            <a:t>ronmar.co</a:t>
          </a:r>
        </a:p>
        <a:p>
          <a:pPr algn="ctr"/>
          <a:r>
            <a:rPr lang="en-US" sz="1100" b="1">
              <a:solidFill>
                <a:sysClr val="windowText" lastClr="000000"/>
              </a:solidFill>
              <a:latin typeface="Arial" panose="020B0604020202020204" pitchFamily="34" charset="0"/>
              <a:cs typeface="Arial" panose="020B0604020202020204" pitchFamily="34" charset="0"/>
            </a:rPr>
            <a:t>4/4/2017</a:t>
          </a:r>
        </a:p>
      </xdr:txBody>
    </xdr:sp>
    <xdr:clientData/>
  </xdr:oneCellAnchor>
  <xdr:oneCellAnchor>
    <xdr:from>
      <xdr:col>0</xdr:col>
      <xdr:colOff>19051</xdr:colOff>
      <xdr:row>48</xdr:row>
      <xdr:rowOff>76143</xdr:rowOff>
    </xdr:from>
    <xdr:ext cx="914400" cy="682110"/>
    <xdr:sp macro="" textlink="">
      <xdr:nvSpPr>
        <xdr:cNvPr id="4" name="Rectangle 3"/>
        <xdr:cNvSpPr/>
      </xdr:nvSpPr>
      <xdr:spPr>
        <a:xfrm>
          <a:off x="19051" y="8624831"/>
          <a:ext cx="914400" cy="6821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45720" rIns="45720" rtlCol="0" anchor="b">
          <a:spAutoFit/>
        </a:bodyPr>
        <a:lstStyle/>
        <a:p>
          <a:pPr algn="ctr"/>
          <a:r>
            <a:rPr lang="en-US" sz="1100" b="0">
              <a:solidFill>
                <a:schemeClr val="bg1"/>
              </a:solidFill>
              <a:latin typeface="Arial" panose="020B0604020202020204" pitchFamily="34" charset="0"/>
              <a:cs typeface="Arial" panose="020B0604020202020204" pitchFamily="34" charset="0"/>
            </a:rPr>
            <a:t>Created by: </a:t>
          </a:r>
          <a:r>
            <a:rPr lang="en-US" sz="1100" b="1">
              <a:solidFill>
                <a:schemeClr val="bg1"/>
              </a:solidFill>
              <a:latin typeface="Arial" panose="020B0604020202020204" pitchFamily="34" charset="0"/>
              <a:cs typeface="Arial" panose="020B0604020202020204" pitchFamily="34" charset="0"/>
            </a:rPr>
            <a:t>Ron Mar</a:t>
          </a:r>
        </a:p>
        <a:p>
          <a:pPr algn="ctr"/>
          <a:r>
            <a:rPr lang="en-US" sz="900" b="0">
              <a:solidFill>
                <a:schemeClr val="bg1"/>
              </a:solidFill>
              <a:latin typeface="Arial" panose="020B0604020202020204" pitchFamily="34" charset="0"/>
              <a:cs typeface="Arial" panose="020B0604020202020204" pitchFamily="34" charset="0"/>
            </a:rPr>
            <a:t>ronmarcotech@</a:t>
          </a:r>
          <a:br>
            <a:rPr lang="en-US" sz="900" b="0">
              <a:solidFill>
                <a:schemeClr val="bg1"/>
              </a:solidFill>
              <a:latin typeface="Arial" panose="020B0604020202020204" pitchFamily="34" charset="0"/>
              <a:cs typeface="Arial" panose="020B0604020202020204" pitchFamily="34" charset="0"/>
            </a:rPr>
          </a:br>
          <a:r>
            <a:rPr lang="en-US" sz="900" b="0">
              <a:solidFill>
                <a:schemeClr val="bg1"/>
              </a:solidFill>
              <a:latin typeface="Arial" panose="020B0604020202020204" pitchFamily="34" charset="0"/>
              <a:cs typeface="Arial" panose="020B0604020202020204" pitchFamily="34" charset="0"/>
            </a:rPr>
            <a:t>gmail.com</a:t>
          </a:r>
        </a:p>
      </xdr:txBody>
    </xdr:sp>
    <xdr:clientData/>
  </xdr:oneCellAnchor>
</xdr:wsDr>
</file>

<file path=xl/tables/table1.xml><?xml version="1.0" encoding="utf-8"?>
<table xmlns="http://schemas.openxmlformats.org/spreadsheetml/2006/main" id="4" name="Table4" displayName="Table4" ref="B10:J172" totalsRowShown="0">
  <autoFilter ref="B10:J172"/>
  <sortState ref="B8:J168">
    <sortCondition ref="H7:H168"/>
  </sortState>
  <tableColumns count="9">
    <tableColumn id="1" name="Entity"/>
    <tableColumn id="2" name="State"/>
    <tableColumn id="3" name="Attributes"/>
    <tableColumn id="7" name="loc of mdi" dataDxfId="67">
      <calculatedColumnFormula>IFERROR(FIND("mdi:",Table4[[#This Row],[Attributes]]),"")</calculatedColumnFormula>
    </tableColumn>
    <tableColumn id="8" name="loc of space after mdi" dataDxfId="66">
      <calculatedColumnFormula>IF(Table4[[#This Row],[loc of mdi]]="","",  IFERROR(FIND(" ",Table4[[#This Row],[Attributes]],Table4[[#This Row],[loc of mdi]]+3),LEN(Table4[[#This Row],[Attributes]])+1))</calculatedColumnFormula>
    </tableColumn>
    <tableColumn id="9" name="icon parsed" dataDxfId="65">
      <calculatedColumnFormula>IFERROR(MID(Table4[[#This Row],[Attributes]],Table4[[#This Row],[loc of mdi]],Table4[[#This Row],[loc of space after mdi]]-Table4[[#This Row],[loc of mdi]]),"")</calculatedColumnFormula>
    </tableColumn>
    <tableColumn id="6" name="In 'Entities' tab?" dataDxfId="64">
      <calculatedColumnFormula>IF(COUNTIFS(entities[entity_id],Table4[[#This Row],[Entity]])=1,"ok","missing from 'Entities' tab")</calculatedColumnFormula>
    </tableColumn>
    <tableColumn id="4" name="domain" dataDxfId="63">
      <calculatedColumnFormula>LEFT(Table4[[#This Row],[Entity]],FIND(".",Table4[[#This Row],[Entity]])-1)</calculatedColumnFormula>
    </tableColumn>
    <tableColumn id="5" name="object_id" dataDxfId="62">
      <calculatedColumnFormula>MID(Table4[[#This Row],[Entity]],FIND(".",Table4[[#This Row],[Entity]])+1,999)</calculatedColumnFormula>
    </tableColumn>
  </tableColumns>
  <tableStyleInfo name="TableStyleLight14" showFirstColumn="0" showLastColumn="0" showRowStripes="1" showColumnStripes="0"/>
</table>
</file>

<file path=xl/tables/table2.xml><?xml version="1.0" encoding="utf-8"?>
<table xmlns="http://schemas.openxmlformats.org/spreadsheetml/2006/main" id="5" name="entities" displayName="entities" ref="B6:W169" totalsRowShown="0">
  <autoFilter ref="B6:W169"/>
  <sortState ref="B7:AA169">
    <sortCondition ref="B6:B169"/>
  </sortState>
  <tableColumns count="22">
    <tableColumn id="1" name="domain"/>
    <tableColumn id="2" name="object_id"/>
    <tableColumn id="5" name="hidden"/>
    <tableColumn id="4" name="friendly_name"/>
    <tableColumn id="11" name="emulated_hue:"/>
    <tableColumn id="10" name="emulated_hue_name: "/>
    <tableColumn id="25" name="entity_picture"/>
    <tableColumn id="6" name="icon"/>
    <tableColumn id="9" name="In 'States' tab?" dataDxfId="59">
      <calculatedColumnFormula>IF(COUNTIF(Table4[Entity],entities[[#This Row],[entity_id]]),"ok","missing from States tab")</calculatedColumnFormula>
    </tableColumn>
    <tableColumn id="14" name="entity_id" dataDxfId="58">
      <calculatedColumnFormula>entities[[#This Row],[domain]]&amp;"."&amp;entities[[#This Row],[object_id]]</calculatedColumnFormula>
    </tableColumn>
    <tableColumn id="15" name="1" dataDxfId="57">
      <calculatedColumnFormula>IF(entities[[#This Row],[hidden]]&lt;&gt;"",1,"")</calculatedColumnFormula>
    </tableColumn>
    <tableColumn id="16" name="2" dataDxfId="56">
      <calculatedColumnFormula>IF(entities[[#This Row],[friendly_name]]&lt;&gt;"",2,"")</calculatedColumnFormula>
    </tableColumn>
    <tableColumn id="7" name="3" dataDxfId="55">
      <calculatedColumnFormula>IF(entities[[#This Row],[emulated_hue:]]&lt;&gt;"",3,"")</calculatedColumnFormula>
    </tableColumn>
    <tableColumn id="17" name="4" dataDxfId="54">
      <calculatedColumnFormula>IF(entities[[#This Row],[emulated_hue_name: ]]&lt;&gt;"",4,"")</calculatedColumnFormula>
    </tableColumn>
    <tableColumn id="29" name="5" dataDxfId="53">
      <calculatedColumnFormula>IF(entities[[#This Row],[entity_picture]]&lt;&gt;"",5,"")</calculatedColumnFormula>
    </tableColumn>
    <tableColumn id="30" name="6" dataDxfId="52">
      <calculatedColumnFormula>IF(entities[[#This Row],[icon]]&lt;&gt;"",6,"")</calculatedColumnFormula>
    </tableColumn>
    <tableColumn id="35" name="Attributes Index" dataDxfId="51">
      <calculatedColumnFormula>CONCATENATE(entities[[#This Row],[1]],entities[[#This Row],[2]],entities[[#This Row],[3]],entities[[#This Row],[4]],entities[[#This Row],[5]],entities[[#This Row],[6]])</calculatedColumnFormula>
    </tableColumn>
    <tableColumn id="12" name="Num Attributes" dataDxfId="50">
      <calculatedColumnFormula>6-COUNTBLANK(entities[[#This Row],[hidden]:[icon]])</calculatedColumnFormula>
    </tableColumn>
    <tableColumn id="13" name="custom entity #" dataDxfId="49">
      <calculatedColumnFormula>IF(entities[[#This Row],[Num Attributes]]=0,"",
COUNTIFS(entities[Num Attributes],"&gt;0",entities[entity_id],"&lt;="&amp;entities[[#This Row],[entity_id]]))</calculatedColumnFormula>
    </tableColumn>
    <tableColumn id="3" name="Card" dataDxfId="48">
      <calculatedColumnFormula array="1">IFERROR(INDEX(cards[object_id],SMALL(IF(cards[[1]:[25]]=entities[[#This Row],[entity_id]],ROW(cards[])-7,99^99),1)),"")</calculatedColumnFormula>
    </tableColumn>
    <tableColumn id="26" name="Card Displayed" dataDxfId="47">
      <calculatedColumnFormula>IF(entities[[#This Row],[In ''States'' tab?]]&lt;&gt;"ok",  "Not in Home Assistant",
IF(entities[[#This Row],[hidden]]="true",  "Hidden",
IF(entities[[#This Row],[Card]]&lt;&gt;"",
INDEX(cards[name],MATCH(entities[[#This Row],[Card]],cards[object_id],0)),  "Badge / automatic card")))</calculatedColumnFormula>
    </tableColumn>
    <tableColumn id="22" name="Assigned Card" dataDxfId="46">
      <calculatedColumnFormula>IF(entities[[#This Row],[Card]]&lt;&gt;"","group."&amp;entities[[#This Row],[Card]],"")</calculatedColumnFormula>
    </tableColumn>
  </tableColumns>
  <tableStyleInfo name="TableStyleMedium7" showFirstColumn="0" showLastColumn="0" showRowStripes="1" showColumnStripes="0"/>
</table>
</file>

<file path=xl/tables/table3.xml><?xml version="1.0" encoding="utf-8"?>
<table xmlns="http://schemas.openxmlformats.org/spreadsheetml/2006/main" id="6" name="cards" displayName="cards" ref="B7:BR36" totalsRowShown="0">
  <autoFilter ref="B7:BR36"/>
  <sortState ref="B8:BK31">
    <sortCondition ref="B7:B31"/>
  </sortState>
  <tableColumns count="69">
    <tableColumn id="62" name="#"/>
    <tableColumn id="1" name="object_id"/>
    <tableColumn id="2" name="name"/>
    <tableColumn id="63" name="view"/>
    <tableColumn id="58" name="icon"/>
    <tableColumn id="65" name="control"/>
    <tableColumn id="5" name="1" dataDxfId="42"/>
    <tableColumn id="6" name="2"/>
    <tableColumn id="7" name="3"/>
    <tableColumn id="8" name="4"/>
    <tableColumn id="9" name="5"/>
    <tableColumn id="10" name="6"/>
    <tableColumn id="11" name="7"/>
    <tableColumn id="12" name="8"/>
    <tableColumn id="13" name="9"/>
    <tableColumn id="14" name="10"/>
    <tableColumn id="15" name="11"/>
    <tableColumn id="16" name="12"/>
    <tableColumn id="17" name="13"/>
    <tableColumn id="18" name="14"/>
    <tableColumn id="19" name="15"/>
    <tableColumn id="20" name="16"/>
    <tableColumn id="21" name="17"/>
    <tableColumn id="22" name="18"/>
    <tableColumn id="23" name="19"/>
    <tableColumn id="24" name="20"/>
    <tableColumn id="25" name="21"/>
    <tableColumn id="26" name="22"/>
    <tableColumn id="27" name="23"/>
    <tableColumn id="28" name="24"/>
    <tableColumn id="29" name="25"/>
    <tableColumn id="4" name="object_id order" dataDxfId="41">
      <calculatedColumnFormula>ROW(cards[[#This Row],[object_id order]])-ROW(cards[])+1</calculatedColumnFormula>
    </tableColumn>
    <tableColumn id="64" name="A1" dataDxfId="40">
      <calculatedColumnFormula>IF(OFFSET(cards[[#This Row],[object_id]],0,1)&lt;&gt;"",1,"")</calculatedColumnFormula>
    </tableColumn>
    <tableColumn id="67" name="A2" dataDxfId="39">
      <calculatedColumnFormula>IF(OFFSET(cards[[#This Row],[object_id]],0,2)&lt;&gt;"",2,"")</calculatedColumnFormula>
    </tableColumn>
    <tableColumn id="68" name="A3" dataDxfId="38">
      <calculatedColumnFormula>IF(OFFSET(cards[[#This Row],[object_id]],0,3)&lt;&gt;"",3,"")</calculatedColumnFormula>
    </tableColumn>
    <tableColumn id="69" name="A4" dataDxfId="37">
      <calculatedColumnFormula>IF(OFFSET(cards[[#This Row],[object_id]],0,4)&lt;&gt;"",4,"")</calculatedColumnFormula>
    </tableColumn>
    <tableColumn id="70" name="Attribute Index" dataDxfId="36">
      <calculatedColumnFormula>CONCATENATE(cards[[#This Row],[A1]],cards[[#This Row],[A2]],cards[[#This Row],[A3]],cards[[#This Row],[A4]])</calculatedColumnFormula>
    </tableColumn>
    <tableColumn id="66" name="Num Attributes" dataDxfId="35">
      <calculatedColumnFormula>LEN(cards[[#This Row],[Attribute Index]])</calculatedColumnFormula>
    </tableColumn>
    <tableColumn id="31" name="Entities count" dataDxfId="34">
      <calculatedColumnFormula>COUNTA(cards[[#This Row],[1]:[25]])</calculatedColumnFormula>
    </tableColumn>
    <tableColumn id="30" name="First space" dataDxfId="33">
      <calculatedColumnFormula>MATCH(TRUE,INDEX(ISBLANK(cards[[#This Row],[1]:[25]]),0,0),0)</calculatedColumnFormula>
    </tableColumn>
    <tableColumn id="33" name="C1" dataDxfId="32">
      <calculatedColumnFormula>IF(OFFSET(cards[[#This Row],[1]],0,AP$5-1)="","",
  IF(COUNTIF(entities[entity_id],
OFFSET(cards[[#This Row],[1]],0,AP$5-1))&lt;&gt;1,
"missing",
IF(COUNTIF(cards[[#This Row],[1]:[25]],OFFSET(cards[[#This Row],[1]],0,AP$5-1))&gt;1,"duplicate","ok")))</calculatedColumnFormula>
    </tableColumn>
    <tableColumn id="34" name="C2" dataDxfId="31">
      <calculatedColumnFormula>IF(OFFSET(cards[[#This Row],[1]],0,AQ$5-1)="","",
  IF(COUNTIF(entities[entity_id],
OFFSET(cards[[#This Row],[1]],0,AQ$5-1))&lt;&gt;1,
"missing",
IF(COUNTIF(cards[[#This Row],[1]:[25]],OFFSET(cards[[#This Row],[1]],0,AQ$5-1))&gt;1,"duplicate","ok")))</calculatedColumnFormula>
    </tableColumn>
    <tableColumn id="35" name="C3" dataDxfId="30">
      <calculatedColumnFormula>IF(OFFSET(cards[[#This Row],[1]],0,AR$5-1)="","",
  IF(COUNTIF(entities[entity_id],
OFFSET(cards[[#This Row],[1]],0,AR$5-1))&lt;&gt;1,
"missing",
IF(COUNTIF(cards[[#This Row],[1]:[25]],OFFSET(cards[[#This Row],[1]],0,AR$5-1))&gt;1,"duplicate","ok")))</calculatedColumnFormula>
    </tableColumn>
    <tableColumn id="36" name="C4" dataDxfId="29">
      <calculatedColumnFormula>IF(OFFSET(cards[[#This Row],[1]],0,AS$5-1)="","",
  IF(COUNTIF(entities[entity_id],
OFFSET(cards[[#This Row],[1]],0,AS$5-1))&lt;&gt;1,
"missing",
IF(COUNTIF(cards[[#This Row],[1]:[25]],OFFSET(cards[[#This Row],[1]],0,AS$5-1))&gt;1,"duplicate","ok")))</calculatedColumnFormula>
    </tableColumn>
    <tableColumn id="37" name="C5" dataDxfId="28">
      <calculatedColumnFormula>IF(OFFSET(cards[[#This Row],[1]],0,AT$5-1)="","",
  IF(COUNTIF(entities[entity_id],
OFFSET(cards[[#This Row],[1]],0,AT$5-1))&lt;&gt;1,
"missing",
IF(COUNTIF(cards[[#This Row],[1]:[25]],OFFSET(cards[[#This Row],[1]],0,AT$5-1))&gt;1,"duplicate","ok")))</calculatedColumnFormula>
    </tableColumn>
    <tableColumn id="38" name="C6" dataDxfId="27">
      <calculatedColumnFormula>IF(OFFSET(cards[[#This Row],[1]],0,AU$5-1)="","",
  IF(COUNTIF(entities[entity_id],
OFFSET(cards[[#This Row],[1]],0,AU$5-1))&lt;&gt;1,
"missing",
IF(COUNTIF(cards[[#This Row],[1]:[25]],OFFSET(cards[[#This Row],[1]],0,AU$5-1))&gt;1,"duplicate","ok")))</calculatedColumnFormula>
    </tableColumn>
    <tableColumn id="39" name="C7" dataDxfId="26">
      <calculatedColumnFormula>IF(OFFSET(cards[[#This Row],[1]],0,AV$5-1)="","",
  IF(COUNTIF(entities[entity_id],
OFFSET(cards[[#This Row],[1]],0,AV$5-1))&lt;&gt;1,
"missing",
IF(COUNTIF(cards[[#This Row],[1]:[25]],OFFSET(cards[[#This Row],[1]],0,AV$5-1))&gt;1,"duplicate","ok")))</calculatedColumnFormula>
    </tableColumn>
    <tableColumn id="40" name="C8" dataDxfId="25">
      <calculatedColumnFormula>IF(OFFSET(cards[[#This Row],[1]],0,AW$5-1)="","",
  IF(COUNTIF(entities[entity_id],
OFFSET(cards[[#This Row],[1]],0,AW$5-1))&lt;&gt;1,
"missing",
IF(COUNTIF(cards[[#This Row],[1]:[25]],OFFSET(cards[[#This Row],[1]],0,AW$5-1))&gt;1,"duplicate","ok")))</calculatedColumnFormula>
    </tableColumn>
    <tableColumn id="41" name="C9" dataDxfId="24">
      <calculatedColumnFormula>IF(OFFSET(cards[[#This Row],[1]],0,AX$5-1)="","",
  IF(COUNTIF(entities[entity_id],
OFFSET(cards[[#This Row],[1]],0,AX$5-1))&lt;&gt;1,
"missing",
IF(COUNTIF(cards[[#This Row],[1]:[25]],OFFSET(cards[[#This Row],[1]],0,AX$5-1))&gt;1,"duplicate","ok")))</calculatedColumnFormula>
    </tableColumn>
    <tableColumn id="42" name="C10" dataDxfId="23">
      <calculatedColumnFormula>IF(OFFSET(cards[[#This Row],[1]],0,AY$5-1)="","",
  IF(COUNTIF(entities[entity_id],
OFFSET(cards[[#This Row],[1]],0,AY$5-1))&lt;&gt;1,
"missing",
IF(COUNTIF(cards[[#This Row],[1]:[25]],OFFSET(cards[[#This Row],[1]],0,AY$5-1))&gt;1,"duplicate","ok")))</calculatedColumnFormula>
    </tableColumn>
    <tableColumn id="43" name="C11" dataDxfId="22">
      <calculatedColumnFormula>IF(OFFSET(cards[[#This Row],[1]],0,AZ$5-1)="","",
  IF(COUNTIF(entities[entity_id],
OFFSET(cards[[#This Row],[1]],0,AZ$5-1))&lt;&gt;1,
"missing",
IF(COUNTIF(cards[[#This Row],[1]:[25]],OFFSET(cards[[#This Row],[1]],0,AZ$5-1))&gt;1,"duplicate","ok")))</calculatedColumnFormula>
    </tableColumn>
    <tableColumn id="44" name="C12" dataDxfId="21">
      <calculatedColumnFormula>IF(OFFSET(cards[[#This Row],[1]],0,BA$5-1)="","",
  IF(COUNTIF(entities[entity_id],
OFFSET(cards[[#This Row],[1]],0,BA$5-1))&lt;&gt;1,
"missing",
IF(COUNTIF(cards[[#This Row],[1]:[25]],OFFSET(cards[[#This Row],[1]],0,BA$5-1))&gt;1,"duplicate","ok")))</calculatedColumnFormula>
    </tableColumn>
    <tableColumn id="45" name="C13" dataDxfId="20">
      <calculatedColumnFormula>IF(OFFSET(cards[[#This Row],[1]],0,BB$5-1)="","",
  IF(COUNTIF(entities[entity_id],
OFFSET(cards[[#This Row],[1]],0,BB$5-1))&lt;&gt;1,
"missing",
IF(COUNTIF(cards[[#This Row],[1]:[25]],OFFSET(cards[[#This Row],[1]],0,BB$5-1))&gt;1,"duplicate","ok")))</calculatedColumnFormula>
    </tableColumn>
    <tableColumn id="46" name="C14" dataDxfId="19">
      <calculatedColumnFormula>IF(OFFSET(cards[[#This Row],[1]],0,BC$5-1)="","",
  IF(COUNTIF(entities[entity_id],
OFFSET(cards[[#This Row],[1]],0,BC$5-1))&lt;&gt;1,
"missing",
IF(COUNTIF(cards[[#This Row],[1]:[25]],OFFSET(cards[[#This Row],[1]],0,BC$5-1))&gt;1,"duplicate","ok")))</calculatedColumnFormula>
    </tableColumn>
    <tableColumn id="47" name="C15" dataDxfId="18">
      <calculatedColumnFormula>IF(OFFSET(cards[[#This Row],[1]],0,BD$5-1)="","",
  IF(COUNTIF(entities[entity_id],
OFFSET(cards[[#This Row],[1]],0,BD$5-1))&lt;&gt;1,
"missing",
IF(COUNTIF(cards[[#This Row],[1]:[25]],OFFSET(cards[[#This Row],[1]],0,BD$5-1))&gt;1,"duplicate","ok")))</calculatedColumnFormula>
    </tableColumn>
    <tableColumn id="48" name="C16" dataDxfId="17">
      <calculatedColumnFormula>IF(OFFSET(cards[[#This Row],[1]],0,BE$5-1)="","",
  IF(COUNTIF(entities[entity_id],
OFFSET(cards[[#This Row],[1]],0,BE$5-1))&lt;&gt;1,
"missing",
IF(COUNTIF(cards[[#This Row],[1]:[25]],OFFSET(cards[[#This Row],[1]],0,BE$5-1))&gt;1,"duplicate","ok")))</calculatedColumnFormula>
    </tableColumn>
    <tableColumn id="49" name="C17" dataDxfId="16">
      <calculatedColumnFormula>IF(OFFSET(cards[[#This Row],[1]],0,BF$5-1)="","",
  IF(COUNTIF(entities[entity_id],
OFFSET(cards[[#This Row],[1]],0,BF$5-1))&lt;&gt;1,
"missing",
IF(COUNTIF(cards[[#This Row],[1]:[25]],OFFSET(cards[[#This Row],[1]],0,BF$5-1))&gt;1,"duplicate","ok")))</calculatedColumnFormula>
    </tableColumn>
    <tableColumn id="50" name="C18" dataDxfId="15">
      <calculatedColumnFormula>IF(OFFSET(cards[[#This Row],[1]],0,BG$5-1)="","",
  IF(COUNTIF(entities[entity_id],
OFFSET(cards[[#This Row],[1]],0,BG$5-1))&lt;&gt;1,
"missing",
IF(COUNTIF(cards[[#This Row],[1]:[25]],OFFSET(cards[[#This Row],[1]],0,BG$5-1))&gt;1,"duplicate","ok")))</calculatedColumnFormula>
    </tableColumn>
    <tableColumn id="51" name="C19" dataDxfId="14">
      <calculatedColumnFormula>IF(OFFSET(cards[[#This Row],[1]],0,BH$5-1)="","",
  IF(COUNTIF(entities[entity_id],
OFFSET(cards[[#This Row],[1]],0,BH$5-1))&lt;&gt;1,
"missing",
IF(COUNTIF(cards[[#This Row],[1]:[25]],OFFSET(cards[[#This Row],[1]],0,BH$5-1))&gt;1,"duplicate","ok")))</calculatedColumnFormula>
    </tableColumn>
    <tableColumn id="52" name="C20" dataDxfId="13">
      <calculatedColumnFormula>IF(OFFSET(cards[[#This Row],[1]],0,BI$5-1)="","",
  IF(COUNTIF(entities[entity_id],
OFFSET(cards[[#This Row],[1]],0,BI$5-1))&lt;&gt;1,
"missing",
IF(COUNTIF(cards[[#This Row],[1]:[25]],OFFSET(cards[[#This Row],[1]],0,BI$5-1))&gt;1,"duplicate","ok")))</calculatedColumnFormula>
    </tableColumn>
    <tableColumn id="53" name="C21" dataDxfId="12">
      <calculatedColumnFormula>IF(OFFSET(cards[[#This Row],[1]],0,BJ$5-1)="","",
  IF(COUNTIF(entities[entity_id],
OFFSET(cards[[#This Row],[1]],0,BJ$5-1))&lt;&gt;1,
"missing",
IF(COUNTIF(cards[[#This Row],[1]:[25]],OFFSET(cards[[#This Row],[1]],0,BJ$5-1))&gt;1,"duplicate","ok")))</calculatedColumnFormula>
    </tableColumn>
    <tableColumn id="54" name="C22" dataDxfId="11">
      <calculatedColumnFormula>IF(OFFSET(cards[[#This Row],[1]],0,BK$5-1)="","",
  IF(COUNTIF(entities[entity_id],
OFFSET(cards[[#This Row],[1]],0,BK$5-1))&lt;&gt;1,
"missing",
IF(COUNTIF(cards[[#This Row],[1]:[25]],OFFSET(cards[[#This Row],[1]],0,BK$5-1))&gt;1,"duplicate","ok")))</calculatedColumnFormula>
    </tableColumn>
    <tableColumn id="55" name="C23" dataDxfId="10">
      <calculatedColumnFormula>IF(OFFSET(cards[[#This Row],[1]],0,BL$5-1)="","",
  IF(COUNTIF(entities[entity_id],
OFFSET(cards[[#This Row],[1]],0,BL$5-1))&lt;&gt;1,
"missing",
IF(COUNTIF(cards[[#This Row],[1]:[25]],OFFSET(cards[[#This Row],[1]],0,BL$5-1))&gt;1,"duplicate","ok")))</calculatedColumnFormula>
    </tableColumn>
    <tableColumn id="56" name="C24" dataDxfId="9">
      <calculatedColumnFormula>IF(OFFSET(cards[[#This Row],[1]],0,BM$5-1)="","",
  IF(COUNTIF(entities[entity_id],
OFFSET(cards[[#This Row],[1]],0,BM$5-1))&lt;&gt;1,
"missing",
IF(COUNTIF(cards[[#This Row],[1]:[25]],OFFSET(cards[[#This Row],[1]],0,BM$5-1))&gt;1,"duplicate","ok")))</calculatedColumnFormula>
    </tableColumn>
    <tableColumn id="57" name="C25" dataDxfId="8">
      <calculatedColumnFormula>IF(OFFSET(cards[[#This Row],[1]],0,BN$5-1)="","",
  IF(COUNTIF(entities[entity_id],
OFFSET(cards[[#This Row],[1]],0,BN$5-1))&lt;&gt;1,
"missing",
IF(COUNTIF(cards[[#This Row],[1]:[25]],OFFSET(cards[[#This Row],[1]],0,BN$5-1))&gt;1,"duplicate","ok")))</calculatedColumnFormula>
    </tableColumn>
    <tableColumn id="32" name="No blanks" dataDxfId="7">
      <calculatedColumnFormula>IF(cards[[#This Row],[First space]]-cards[[#This Row],[Entities count]]=1,"ok","Check entitiy names")</calculatedColumnFormula>
    </tableColumn>
    <tableColumn id="3" name="Not in 'Entity' tab" dataDxfId="6">
      <calculatedColumnFormula>IF(COUNTIF(cards[[#This Row],[C1]:[C25]],"missing")=0,"ok","some entities missing from Entities tab")</calculatedColumnFormula>
    </tableColumn>
    <tableColumn id="72" name="No duplicates" dataDxfId="5">
      <calculatedColumnFormula>IF(COUNTIF(cards[[#This Row],[C1]:[C25]],"duplicate")=0,"ok","some duplicates")</calculatedColumnFormula>
    </tableColumn>
    <tableColumn id="59" name="entity_id" dataDxfId="4">
      <calculatedColumnFormula>"group."&amp;cards[[#This Row],[object_id]]</calculatedColumnFormula>
    </tableColumn>
  </tableColumns>
  <tableStyleInfo name="TableStyleMedium7" showFirstColumn="0" showLastColumn="0" showRowStripes="1" showColumnStripes="0"/>
</table>
</file>

<file path=xl/tables/table4.xml><?xml version="1.0" encoding="utf-8"?>
<table xmlns="http://schemas.openxmlformats.org/spreadsheetml/2006/main" id="1" name="Table1" displayName="Table1" ref="B6:P252" totalsRowShown="0">
  <autoFilter ref="B6:P252"/>
  <tableColumns count="15">
    <tableColumn id="1" name="CODE" dataDxfId="1"/>
    <tableColumn id="2" name="blank">
      <calculatedColumnFormula>IF(ISBLANK(B7),1,0)</calculatedColumnFormula>
    </tableColumn>
    <tableColumn id="3" name="two indents">
      <calculatedColumnFormula>IF(AND(LEFT(B7,2)="  ",LEFT(B7,3)&lt;&gt;"   "),1,0)</calculatedColumnFormula>
    </tableColumn>
    <tableColumn id="4" name="group (dictionary)">
      <calculatedColumnFormula>IF(AND(C7=0,LEFT(B7,1)&lt;&gt;" ",LEFT(B7,1)&lt;&gt;"#"),1,0)</calculatedColumnFormula>
    </tableColumn>
    <tableColumn id="5" name="friendly name flag">
      <calculatedColumnFormula>IFERROR(IF(ISNUMBER(FIND("name:",B7)),1,0),0)</calculatedColumnFormula>
    </tableColumn>
    <tableColumn id="6" name="entity flag">
      <calculatedColumnFormula>IF(  LEFT(B7,6)="    - ",  1,  0)</calculatedColumnFormula>
    </tableColumn>
    <tableColumn id="7" name="text">
      <calculatedColumnFormula>IF(E7=1,B7,"")</calculatedColumnFormula>
    </tableColumn>
    <tableColumn id="8" name="group single">
      <calculatedColumnFormula>SUBSTITUTE(H7,":","")</calculatedColumnFormula>
    </tableColumn>
    <tableColumn id="15" name="group " dataDxfId="0">
      <calculatedColumnFormula>IF(  Table1[[#This Row],[group single]]&lt;&gt;"",Table1[[#This Row],[group single]],  OFFSET(Table1[[#This Row],[group ]],-1,0))</calculatedColumnFormula>
    </tableColumn>
    <tableColumn id="9" name="text2">
      <calculatedColumnFormula>IF(F7=1,$B7,"")</calculatedColumnFormula>
    </tableColumn>
    <tableColumn id="10" name="modified1">
      <calculatedColumnFormula>IFERROR(MID(K7,  FIND("name:",K7)+6,99),"")</calculatedColumnFormula>
    </tableColumn>
    <tableColumn id="11" name="modified2">
      <calculatedColumnFormula>SUBSTITUTE(L7,"""","")</calculatedColumnFormula>
    </tableColumn>
    <tableColumn id="12" name="friendly name">
      <calculatedColumnFormula>IF(M7="",N6,M7)</calculatedColumnFormula>
    </tableColumn>
    <tableColumn id="13" name="text3">
      <calculatedColumnFormula>IF(G7=1,$B7,"")</calculatedColumnFormula>
    </tableColumn>
    <tableColumn id="14" name="entities">
      <calculatedColumnFormula>TRIM(SUBSTITUTE(O7,"-",""))</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192.168.0.132:8123/dev-state" TargetMode="External"/><Relationship Id="rId117" Type="http://schemas.openxmlformats.org/officeDocument/2006/relationships/hyperlink" Target="http://192.168.0.132:8123/dev-state" TargetMode="External"/><Relationship Id="rId21" Type="http://schemas.openxmlformats.org/officeDocument/2006/relationships/hyperlink" Target="http://192.168.0.132:8123/dev-state" TargetMode="External"/><Relationship Id="rId42" Type="http://schemas.openxmlformats.org/officeDocument/2006/relationships/hyperlink" Target="http://192.168.0.132:8123/dev-state" TargetMode="External"/><Relationship Id="rId47" Type="http://schemas.openxmlformats.org/officeDocument/2006/relationships/hyperlink" Target="http://192.168.0.132:8123/dev-state" TargetMode="External"/><Relationship Id="rId63" Type="http://schemas.openxmlformats.org/officeDocument/2006/relationships/hyperlink" Target="http://192.168.0.132:8123/dev-state" TargetMode="External"/><Relationship Id="rId68" Type="http://schemas.openxmlformats.org/officeDocument/2006/relationships/hyperlink" Target="http://192.168.0.132:8123/dev-state" TargetMode="External"/><Relationship Id="rId84" Type="http://schemas.openxmlformats.org/officeDocument/2006/relationships/hyperlink" Target="http://192.168.0.132:8123/dev-state" TargetMode="External"/><Relationship Id="rId89" Type="http://schemas.openxmlformats.org/officeDocument/2006/relationships/hyperlink" Target="http://192.168.0.132:8123/dev-state" TargetMode="External"/><Relationship Id="rId112" Type="http://schemas.openxmlformats.org/officeDocument/2006/relationships/hyperlink" Target="http://192.168.0.132:8123/dev-state" TargetMode="External"/><Relationship Id="rId133" Type="http://schemas.openxmlformats.org/officeDocument/2006/relationships/hyperlink" Target="http://192.168.0.132:8123/dev-state" TargetMode="External"/><Relationship Id="rId138" Type="http://schemas.openxmlformats.org/officeDocument/2006/relationships/hyperlink" Target="http://192.168.0.132:8123/dev-state" TargetMode="External"/><Relationship Id="rId154" Type="http://schemas.openxmlformats.org/officeDocument/2006/relationships/hyperlink" Target="http://192.168.0.132:8123/dev-state" TargetMode="External"/><Relationship Id="rId159" Type="http://schemas.openxmlformats.org/officeDocument/2006/relationships/hyperlink" Target="http://192.168.0.132:8123/dev-state" TargetMode="External"/><Relationship Id="rId16" Type="http://schemas.openxmlformats.org/officeDocument/2006/relationships/hyperlink" Target="http://192.168.0.132:8123/dev-state" TargetMode="External"/><Relationship Id="rId107" Type="http://schemas.openxmlformats.org/officeDocument/2006/relationships/hyperlink" Target="http://192.168.0.132:8123/dev-state" TargetMode="External"/><Relationship Id="rId11" Type="http://schemas.openxmlformats.org/officeDocument/2006/relationships/hyperlink" Target="http://192.168.0.132:8123/dev-state" TargetMode="External"/><Relationship Id="rId32" Type="http://schemas.openxmlformats.org/officeDocument/2006/relationships/hyperlink" Target="http://192.168.0.132:8123/dev-state" TargetMode="External"/><Relationship Id="rId37" Type="http://schemas.openxmlformats.org/officeDocument/2006/relationships/hyperlink" Target="http://192.168.0.132:8123/dev-state" TargetMode="External"/><Relationship Id="rId53" Type="http://schemas.openxmlformats.org/officeDocument/2006/relationships/hyperlink" Target="http://192.168.0.132:8123/dev-state" TargetMode="External"/><Relationship Id="rId58" Type="http://schemas.openxmlformats.org/officeDocument/2006/relationships/hyperlink" Target="http://192.168.0.132:8123/dev-state" TargetMode="External"/><Relationship Id="rId74" Type="http://schemas.openxmlformats.org/officeDocument/2006/relationships/hyperlink" Target="http://192.168.0.132:8123/dev-state" TargetMode="External"/><Relationship Id="rId79" Type="http://schemas.openxmlformats.org/officeDocument/2006/relationships/hyperlink" Target="http://192.168.0.132:8123/dev-state" TargetMode="External"/><Relationship Id="rId102" Type="http://schemas.openxmlformats.org/officeDocument/2006/relationships/hyperlink" Target="http://192.168.0.132:8123/dev-state" TargetMode="External"/><Relationship Id="rId123" Type="http://schemas.openxmlformats.org/officeDocument/2006/relationships/hyperlink" Target="http://192.168.0.132:8123/dev-state" TargetMode="External"/><Relationship Id="rId128" Type="http://schemas.openxmlformats.org/officeDocument/2006/relationships/hyperlink" Target="http://192.168.0.132:8123/dev-state" TargetMode="External"/><Relationship Id="rId144" Type="http://schemas.openxmlformats.org/officeDocument/2006/relationships/hyperlink" Target="http://192.168.0.132:8123/dev-state" TargetMode="External"/><Relationship Id="rId149" Type="http://schemas.openxmlformats.org/officeDocument/2006/relationships/hyperlink" Target="http://192.168.0.132:8123/dev-state" TargetMode="External"/><Relationship Id="rId5" Type="http://schemas.openxmlformats.org/officeDocument/2006/relationships/hyperlink" Target="http://192.168.0.132:8123/dev-state" TargetMode="External"/><Relationship Id="rId90" Type="http://schemas.openxmlformats.org/officeDocument/2006/relationships/hyperlink" Target="http://192.168.0.132:8123/dev-state" TargetMode="External"/><Relationship Id="rId95" Type="http://schemas.openxmlformats.org/officeDocument/2006/relationships/hyperlink" Target="http://192.168.0.132:8123/dev-state" TargetMode="External"/><Relationship Id="rId160" Type="http://schemas.openxmlformats.org/officeDocument/2006/relationships/hyperlink" Target="http://192.168.0.132:8123/dev-state" TargetMode="External"/><Relationship Id="rId22" Type="http://schemas.openxmlformats.org/officeDocument/2006/relationships/hyperlink" Target="http://192.168.0.132:8123/dev-state" TargetMode="External"/><Relationship Id="rId27" Type="http://schemas.openxmlformats.org/officeDocument/2006/relationships/hyperlink" Target="http://192.168.0.132:8123/dev-state" TargetMode="External"/><Relationship Id="rId43" Type="http://schemas.openxmlformats.org/officeDocument/2006/relationships/hyperlink" Target="http://192.168.0.132:8123/dev-state" TargetMode="External"/><Relationship Id="rId48" Type="http://schemas.openxmlformats.org/officeDocument/2006/relationships/hyperlink" Target="http://192.168.0.132:8123/dev-state" TargetMode="External"/><Relationship Id="rId64" Type="http://schemas.openxmlformats.org/officeDocument/2006/relationships/hyperlink" Target="http://192.168.0.132:8123/dev-state" TargetMode="External"/><Relationship Id="rId69" Type="http://schemas.openxmlformats.org/officeDocument/2006/relationships/hyperlink" Target="http://192.168.0.132:8123/dev-state" TargetMode="External"/><Relationship Id="rId113" Type="http://schemas.openxmlformats.org/officeDocument/2006/relationships/hyperlink" Target="http://192.168.0.132:8123/dev-state" TargetMode="External"/><Relationship Id="rId118" Type="http://schemas.openxmlformats.org/officeDocument/2006/relationships/hyperlink" Target="http://192.168.0.132:8123/dev-state" TargetMode="External"/><Relationship Id="rId134" Type="http://schemas.openxmlformats.org/officeDocument/2006/relationships/hyperlink" Target="http://192.168.0.132:8123/dev-state" TargetMode="External"/><Relationship Id="rId139" Type="http://schemas.openxmlformats.org/officeDocument/2006/relationships/hyperlink" Target="http://192.168.0.132:8123/dev-state" TargetMode="External"/><Relationship Id="rId80" Type="http://schemas.openxmlformats.org/officeDocument/2006/relationships/hyperlink" Target="http://192.168.0.132:8123/dev-state" TargetMode="External"/><Relationship Id="rId85" Type="http://schemas.openxmlformats.org/officeDocument/2006/relationships/hyperlink" Target="http://192.168.0.132:8123/dev-state" TargetMode="External"/><Relationship Id="rId150" Type="http://schemas.openxmlformats.org/officeDocument/2006/relationships/hyperlink" Target="http://192.168.0.132:8123/dev-state" TargetMode="External"/><Relationship Id="rId155" Type="http://schemas.openxmlformats.org/officeDocument/2006/relationships/hyperlink" Target="http://192.168.0.132:8123/dev-state" TargetMode="External"/><Relationship Id="rId12" Type="http://schemas.openxmlformats.org/officeDocument/2006/relationships/hyperlink" Target="http://192.168.0.132:8123/dev-state" TargetMode="External"/><Relationship Id="rId17" Type="http://schemas.openxmlformats.org/officeDocument/2006/relationships/hyperlink" Target="http://192.168.0.132:8123/dev-state" TargetMode="External"/><Relationship Id="rId33" Type="http://schemas.openxmlformats.org/officeDocument/2006/relationships/hyperlink" Target="http://192.168.0.132:8123/dev-state" TargetMode="External"/><Relationship Id="rId38" Type="http://schemas.openxmlformats.org/officeDocument/2006/relationships/hyperlink" Target="http://192.168.0.132:8123/dev-state" TargetMode="External"/><Relationship Id="rId59" Type="http://schemas.openxmlformats.org/officeDocument/2006/relationships/hyperlink" Target="http://192.168.0.132:8123/dev-state" TargetMode="External"/><Relationship Id="rId103" Type="http://schemas.openxmlformats.org/officeDocument/2006/relationships/hyperlink" Target="http://192.168.0.132:8123/dev-state" TargetMode="External"/><Relationship Id="rId108" Type="http://schemas.openxmlformats.org/officeDocument/2006/relationships/hyperlink" Target="http://192.168.0.132:8123/dev-state" TargetMode="External"/><Relationship Id="rId124" Type="http://schemas.openxmlformats.org/officeDocument/2006/relationships/hyperlink" Target="http://192.168.0.132:8123/dev-state" TargetMode="External"/><Relationship Id="rId129" Type="http://schemas.openxmlformats.org/officeDocument/2006/relationships/hyperlink" Target="http://192.168.0.132:8123/dev-state" TargetMode="External"/><Relationship Id="rId54" Type="http://schemas.openxmlformats.org/officeDocument/2006/relationships/hyperlink" Target="http://192.168.0.132:8123/dev-state" TargetMode="External"/><Relationship Id="rId70" Type="http://schemas.openxmlformats.org/officeDocument/2006/relationships/hyperlink" Target="http://192.168.0.132:8123/dev-state" TargetMode="External"/><Relationship Id="rId75" Type="http://schemas.openxmlformats.org/officeDocument/2006/relationships/hyperlink" Target="http://192.168.0.132:8123/dev-state" TargetMode="External"/><Relationship Id="rId91" Type="http://schemas.openxmlformats.org/officeDocument/2006/relationships/hyperlink" Target="http://192.168.0.132:8123/dev-state" TargetMode="External"/><Relationship Id="rId96" Type="http://schemas.openxmlformats.org/officeDocument/2006/relationships/hyperlink" Target="http://192.168.0.132:8123/dev-state" TargetMode="External"/><Relationship Id="rId140" Type="http://schemas.openxmlformats.org/officeDocument/2006/relationships/hyperlink" Target="http://192.168.0.132:8123/dev-state" TargetMode="External"/><Relationship Id="rId145" Type="http://schemas.openxmlformats.org/officeDocument/2006/relationships/hyperlink" Target="http://192.168.0.132:8123/dev-state" TargetMode="External"/><Relationship Id="rId161" Type="http://schemas.openxmlformats.org/officeDocument/2006/relationships/hyperlink" Target="http://192.168.0.132:8123/dev-state" TargetMode="External"/><Relationship Id="rId1" Type="http://schemas.openxmlformats.org/officeDocument/2006/relationships/hyperlink" Target="http://192.168.0.132:8123/dev-state" TargetMode="External"/><Relationship Id="rId6" Type="http://schemas.openxmlformats.org/officeDocument/2006/relationships/hyperlink" Target="http://192.168.0.132:8123/dev-state" TargetMode="External"/><Relationship Id="rId15" Type="http://schemas.openxmlformats.org/officeDocument/2006/relationships/hyperlink" Target="http://192.168.0.132:8123/dev-state" TargetMode="External"/><Relationship Id="rId23" Type="http://schemas.openxmlformats.org/officeDocument/2006/relationships/hyperlink" Target="http://192.168.0.132:8123/dev-state" TargetMode="External"/><Relationship Id="rId28" Type="http://schemas.openxmlformats.org/officeDocument/2006/relationships/hyperlink" Target="http://192.168.0.132:8123/dev-state" TargetMode="External"/><Relationship Id="rId36" Type="http://schemas.openxmlformats.org/officeDocument/2006/relationships/hyperlink" Target="http://192.168.0.132:8123/dev-state" TargetMode="External"/><Relationship Id="rId49" Type="http://schemas.openxmlformats.org/officeDocument/2006/relationships/hyperlink" Target="http://192.168.0.132:8123/dev-state" TargetMode="External"/><Relationship Id="rId57" Type="http://schemas.openxmlformats.org/officeDocument/2006/relationships/hyperlink" Target="http://192.168.0.132:8123/dev-state" TargetMode="External"/><Relationship Id="rId106" Type="http://schemas.openxmlformats.org/officeDocument/2006/relationships/hyperlink" Target="http://192.168.0.132:8123/dev-state" TargetMode="External"/><Relationship Id="rId114" Type="http://schemas.openxmlformats.org/officeDocument/2006/relationships/hyperlink" Target="http://192.168.0.132:8123/dev-state" TargetMode="External"/><Relationship Id="rId119" Type="http://schemas.openxmlformats.org/officeDocument/2006/relationships/hyperlink" Target="http://192.168.0.132:8123/dev-state" TargetMode="External"/><Relationship Id="rId127" Type="http://schemas.openxmlformats.org/officeDocument/2006/relationships/hyperlink" Target="http://192.168.0.132:8123/dev-state" TargetMode="External"/><Relationship Id="rId10" Type="http://schemas.openxmlformats.org/officeDocument/2006/relationships/hyperlink" Target="http://192.168.0.132:8123/dev-state" TargetMode="External"/><Relationship Id="rId31" Type="http://schemas.openxmlformats.org/officeDocument/2006/relationships/hyperlink" Target="http://192.168.0.132:8123/dev-state" TargetMode="External"/><Relationship Id="rId44" Type="http://schemas.openxmlformats.org/officeDocument/2006/relationships/hyperlink" Target="http://192.168.0.132:8123/dev-state" TargetMode="External"/><Relationship Id="rId52" Type="http://schemas.openxmlformats.org/officeDocument/2006/relationships/hyperlink" Target="http://192.168.0.132:8123/dev-state" TargetMode="External"/><Relationship Id="rId60" Type="http://schemas.openxmlformats.org/officeDocument/2006/relationships/hyperlink" Target="http://192.168.0.132:8123/dev-state" TargetMode="External"/><Relationship Id="rId65" Type="http://schemas.openxmlformats.org/officeDocument/2006/relationships/hyperlink" Target="http://192.168.0.132:8123/dev-state" TargetMode="External"/><Relationship Id="rId73" Type="http://schemas.openxmlformats.org/officeDocument/2006/relationships/hyperlink" Target="http://192.168.0.132:8123/dev-state" TargetMode="External"/><Relationship Id="rId78" Type="http://schemas.openxmlformats.org/officeDocument/2006/relationships/hyperlink" Target="http://192.168.0.132:8123/dev-state" TargetMode="External"/><Relationship Id="rId81" Type="http://schemas.openxmlformats.org/officeDocument/2006/relationships/hyperlink" Target="http://192.168.0.132:8123/dev-state" TargetMode="External"/><Relationship Id="rId86" Type="http://schemas.openxmlformats.org/officeDocument/2006/relationships/hyperlink" Target="http://192.168.0.132:8123/dev-state" TargetMode="External"/><Relationship Id="rId94" Type="http://schemas.openxmlformats.org/officeDocument/2006/relationships/hyperlink" Target="http://192.168.0.132:8123/dev-state" TargetMode="External"/><Relationship Id="rId99" Type="http://schemas.openxmlformats.org/officeDocument/2006/relationships/hyperlink" Target="http://192.168.0.132:8123/dev-state" TargetMode="External"/><Relationship Id="rId101" Type="http://schemas.openxmlformats.org/officeDocument/2006/relationships/hyperlink" Target="http://192.168.0.132:8123/dev-state" TargetMode="External"/><Relationship Id="rId122" Type="http://schemas.openxmlformats.org/officeDocument/2006/relationships/hyperlink" Target="http://192.168.0.132:8123/dev-state" TargetMode="External"/><Relationship Id="rId130" Type="http://schemas.openxmlformats.org/officeDocument/2006/relationships/hyperlink" Target="http://192.168.0.132:8123/dev-state" TargetMode="External"/><Relationship Id="rId135" Type="http://schemas.openxmlformats.org/officeDocument/2006/relationships/hyperlink" Target="http://192.168.0.132:8123/dev-state" TargetMode="External"/><Relationship Id="rId143" Type="http://schemas.openxmlformats.org/officeDocument/2006/relationships/hyperlink" Target="http://192.168.0.132:8123/dev-state" TargetMode="External"/><Relationship Id="rId148" Type="http://schemas.openxmlformats.org/officeDocument/2006/relationships/hyperlink" Target="http://192.168.0.132:8123/dev-state" TargetMode="External"/><Relationship Id="rId151" Type="http://schemas.openxmlformats.org/officeDocument/2006/relationships/hyperlink" Target="http://192.168.0.132:8123/dev-state" TargetMode="External"/><Relationship Id="rId156" Type="http://schemas.openxmlformats.org/officeDocument/2006/relationships/hyperlink" Target="http://192.168.0.132:8123/dev-state" TargetMode="External"/><Relationship Id="rId4" Type="http://schemas.openxmlformats.org/officeDocument/2006/relationships/hyperlink" Target="http://192.168.0.132:8123/dev-state" TargetMode="External"/><Relationship Id="rId9" Type="http://schemas.openxmlformats.org/officeDocument/2006/relationships/hyperlink" Target="http://192.168.0.132:8123/dev-state" TargetMode="External"/><Relationship Id="rId13" Type="http://schemas.openxmlformats.org/officeDocument/2006/relationships/hyperlink" Target="http://192.168.0.132:8123/dev-state" TargetMode="External"/><Relationship Id="rId18" Type="http://schemas.openxmlformats.org/officeDocument/2006/relationships/hyperlink" Target="http://192.168.0.132:8123/dev-state" TargetMode="External"/><Relationship Id="rId39" Type="http://schemas.openxmlformats.org/officeDocument/2006/relationships/hyperlink" Target="http://192.168.0.132:8123/dev-state" TargetMode="External"/><Relationship Id="rId109" Type="http://schemas.openxmlformats.org/officeDocument/2006/relationships/hyperlink" Target="http://192.168.0.132:8123/dev-state" TargetMode="External"/><Relationship Id="rId34" Type="http://schemas.openxmlformats.org/officeDocument/2006/relationships/hyperlink" Target="http://192.168.0.132:8123/dev-state" TargetMode="External"/><Relationship Id="rId50" Type="http://schemas.openxmlformats.org/officeDocument/2006/relationships/hyperlink" Target="http://192.168.0.132:8123/dev-state" TargetMode="External"/><Relationship Id="rId55" Type="http://schemas.openxmlformats.org/officeDocument/2006/relationships/hyperlink" Target="http://192.168.0.132:8123/dev-state" TargetMode="External"/><Relationship Id="rId76" Type="http://schemas.openxmlformats.org/officeDocument/2006/relationships/hyperlink" Target="http://192.168.0.132:8123/dev-state" TargetMode="External"/><Relationship Id="rId97" Type="http://schemas.openxmlformats.org/officeDocument/2006/relationships/hyperlink" Target="http://192.168.0.132:8123/dev-state" TargetMode="External"/><Relationship Id="rId104" Type="http://schemas.openxmlformats.org/officeDocument/2006/relationships/hyperlink" Target="http://192.168.0.132:8123/dev-state" TargetMode="External"/><Relationship Id="rId120" Type="http://schemas.openxmlformats.org/officeDocument/2006/relationships/hyperlink" Target="http://192.168.0.132:8123/dev-state" TargetMode="External"/><Relationship Id="rId125" Type="http://schemas.openxmlformats.org/officeDocument/2006/relationships/hyperlink" Target="http://192.168.0.132:8123/dev-state" TargetMode="External"/><Relationship Id="rId141" Type="http://schemas.openxmlformats.org/officeDocument/2006/relationships/hyperlink" Target="http://192.168.0.132:8123/dev-state" TargetMode="External"/><Relationship Id="rId146" Type="http://schemas.openxmlformats.org/officeDocument/2006/relationships/hyperlink" Target="http://192.168.0.132:8123/dev-state" TargetMode="External"/><Relationship Id="rId7" Type="http://schemas.openxmlformats.org/officeDocument/2006/relationships/hyperlink" Target="http://192.168.0.132:8123/dev-state" TargetMode="External"/><Relationship Id="rId71" Type="http://schemas.openxmlformats.org/officeDocument/2006/relationships/hyperlink" Target="http://192.168.0.132:8123/dev-state" TargetMode="External"/><Relationship Id="rId92" Type="http://schemas.openxmlformats.org/officeDocument/2006/relationships/hyperlink" Target="http://192.168.0.132:8123/dev-state" TargetMode="External"/><Relationship Id="rId162" Type="http://schemas.openxmlformats.org/officeDocument/2006/relationships/printerSettings" Target="../printerSettings/printerSettings2.bin"/><Relationship Id="rId2" Type="http://schemas.openxmlformats.org/officeDocument/2006/relationships/hyperlink" Target="http://192.168.0.132:8123/dev-state" TargetMode="External"/><Relationship Id="rId29" Type="http://schemas.openxmlformats.org/officeDocument/2006/relationships/hyperlink" Target="http://192.168.0.132:8123/dev-state" TargetMode="External"/><Relationship Id="rId24" Type="http://schemas.openxmlformats.org/officeDocument/2006/relationships/hyperlink" Target="http://192.168.0.132:8123/dev-state" TargetMode="External"/><Relationship Id="rId40" Type="http://schemas.openxmlformats.org/officeDocument/2006/relationships/hyperlink" Target="http://192.168.0.132:8123/dev-state" TargetMode="External"/><Relationship Id="rId45" Type="http://schemas.openxmlformats.org/officeDocument/2006/relationships/hyperlink" Target="http://192.168.0.132:8123/dev-state" TargetMode="External"/><Relationship Id="rId66" Type="http://schemas.openxmlformats.org/officeDocument/2006/relationships/hyperlink" Target="http://192.168.0.132:8123/dev-state" TargetMode="External"/><Relationship Id="rId87" Type="http://schemas.openxmlformats.org/officeDocument/2006/relationships/hyperlink" Target="http://192.168.0.132:8123/dev-state" TargetMode="External"/><Relationship Id="rId110" Type="http://schemas.openxmlformats.org/officeDocument/2006/relationships/hyperlink" Target="http://192.168.0.132:8123/dev-state" TargetMode="External"/><Relationship Id="rId115" Type="http://schemas.openxmlformats.org/officeDocument/2006/relationships/hyperlink" Target="http://192.168.0.132:8123/dev-state" TargetMode="External"/><Relationship Id="rId131" Type="http://schemas.openxmlformats.org/officeDocument/2006/relationships/hyperlink" Target="http://192.168.0.132:8123/dev-state" TargetMode="External"/><Relationship Id="rId136" Type="http://schemas.openxmlformats.org/officeDocument/2006/relationships/hyperlink" Target="http://192.168.0.132:8123/dev-state" TargetMode="External"/><Relationship Id="rId157" Type="http://schemas.openxmlformats.org/officeDocument/2006/relationships/hyperlink" Target="http://192.168.0.132:8123/dev-state" TargetMode="External"/><Relationship Id="rId61" Type="http://schemas.openxmlformats.org/officeDocument/2006/relationships/hyperlink" Target="http://192.168.0.132:8123/dev-state" TargetMode="External"/><Relationship Id="rId82" Type="http://schemas.openxmlformats.org/officeDocument/2006/relationships/hyperlink" Target="http://192.168.0.132:8123/dev-state" TargetMode="External"/><Relationship Id="rId152" Type="http://schemas.openxmlformats.org/officeDocument/2006/relationships/hyperlink" Target="http://192.168.0.132:8123/dev-state" TargetMode="External"/><Relationship Id="rId19" Type="http://schemas.openxmlformats.org/officeDocument/2006/relationships/hyperlink" Target="http://192.168.0.132:8123/dev-state" TargetMode="External"/><Relationship Id="rId14" Type="http://schemas.openxmlformats.org/officeDocument/2006/relationships/hyperlink" Target="http://192.168.0.132:8123/dev-state" TargetMode="External"/><Relationship Id="rId30" Type="http://schemas.openxmlformats.org/officeDocument/2006/relationships/hyperlink" Target="http://192.168.0.132:8123/dev-state" TargetMode="External"/><Relationship Id="rId35" Type="http://schemas.openxmlformats.org/officeDocument/2006/relationships/hyperlink" Target="http://192.168.0.132:8123/dev-state" TargetMode="External"/><Relationship Id="rId56" Type="http://schemas.openxmlformats.org/officeDocument/2006/relationships/hyperlink" Target="http://192.168.0.132:8123/dev-state" TargetMode="External"/><Relationship Id="rId77" Type="http://schemas.openxmlformats.org/officeDocument/2006/relationships/hyperlink" Target="http://192.168.0.132:8123/dev-state" TargetMode="External"/><Relationship Id="rId100" Type="http://schemas.openxmlformats.org/officeDocument/2006/relationships/hyperlink" Target="http://192.168.0.132:8123/dev-state" TargetMode="External"/><Relationship Id="rId105" Type="http://schemas.openxmlformats.org/officeDocument/2006/relationships/hyperlink" Target="http://192.168.0.132:8123/dev-state" TargetMode="External"/><Relationship Id="rId126" Type="http://schemas.openxmlformats.org/officeDocument/2006/relationships/hyperlink" Target="http://192.168.0.132:8123/dev-state" TargetMode="External"/><Relationship Id="rId147" Type="http://schemas.openxmlformats.org/officeDocument/2006/relationships/hyperlink" Target="http://192.168.0.132:8123/dev-state" TargetMode="External"/><Relationship Id="rId8" Type="http://schemas.openxmlformats.org/officeDocument/2006/relationships/hyperlink" Target="http://192.168.0.132:8123/dev-state" TargetMode="External"/><Relationship Id="rId51" Type="http://schemas.openxmlformats.org/officeDocument/2006/relationships/hyperlink" Target="http://192.168.0.132:8123/dev-state" TargetMode="External"/><Relationship Id="rId72" Type="http://schemas.openxmlformats.org/officeDocument/2006/relationships/hyperlink" Target="http://192.168.0.132:8123/dev-state" TargetMode="External"/><Relationship Id="rId93" Type="http://schemas.openxmlformats.org/officeDocument/2006/relationships/hyperlink" Target="http://192.168.0.132:8123/dev-state" TargetMode="External"/><Relationship Id="rId98" Type="http://schemas.openxmlformats.org/officeDocument/2006/relationships/hyperlink" Target="http://192.168.0.132:8123/dev-state" TargetMode="External"/><Relationship Id="rId121" Type="http://schemas.openxmlformats.org/officeDocument/2006/relationships/hyperlink" Target="http://192.168.0.132:8123/dev-state" TargetMode="External"/><Relationship Id="rId142" Type="http://schemas.openxmlformats.org/officeDocument/2006/relationships/hyperlink" Target="http://192.168.0.132:8123/dev-state" TargetMode="External"/><Relationship Id="rId163" Type="http://schemas.openxmlformats.org/officeDocument/2006/relationships/table" Target="../tables/table1.xml"/><Relationship Id="rId3" Type="http://schemas.openxmlformats.org/officeDocument/2006/relationships/hyperlink" Target="http://192.168.0.132:8123/dev-state" TargetMode="External"/><Relationship Id="rId25" Type="http://schemas.openxmlformats.org/officeDocument/2006/relationships/hyperlink" Target="http://192.168.0.132:8123/dev-state" TargetMode="External"/><Relationship Id="rId46" Type="http://schemas.openxmlformats.org/officeDocument/2006/relationships/hyperlink" Target="http://192.168.0.132:8123/dev-state" TargetMode="External"/><Relationship Id="rId67" Type="http://schemas.openxmlformats.org/officeDocument/2006/relationships/hyperlink" Target="http://192.168.0.132:8123/dev-state" TargetMode="External"/><Relationship Id="rId116" Type="http://schemas.openxmlformats.org/officeDocument/2006/relationships/hyperlink" Target="http://192.168.0.132:8123/dev-state" TargetMode="External"/><Relationship Id="rId137" Type="http://schemas.openxmlformats.org/officeDocument/2006/relationships/hyperlink" Target="http://192.168.0.132:8123/dev-state" TargetMode="External"/><Relationship Id="rId158" Type="http://schemas.openxmlformats.org/officeDocument/2006/relationships/hyperlink" Target="http://192.168.0.132:8123/dev-state" TargetMode="External"/><Relationship Id="rId20" Type="http://schemas.openxmlformats.org/officeDocument/2006/relationships/hyperlink" Target="http://192.168.0.132:8123/dev-state" TargetMode="External"/><Relationship Id="rId41" Type="http://schemas.openxmlformats.org/officeDocument/2006/relationships/hyperlink" Target="http://192.168.0.132:8123/dev-state" TargetMode="External"/><Relationship Id="rId62" Type="http://schemas.openxmlformats.org/officeDocument/2006/relationships/hyperlink" Target="http://192.168.0.132:8123/dev-state" TargetMode="External"/><Relationship Id="rId83" Type="http://schemas.openxmlformats.org/officeDocument/2006/relationships/hyperlink" Target="http://192.168.0.132:8123/dev-state" TargetMode="External"/><Relationship Id="rId88" Type="http://schemas.openxmlformats.org/officeDocument/2006/relationships/hyperlink" Target="http://192.168.0.132:8123/dev-state" TargetMode="External"/><Relationship Id="rId111" Type="http://schemas.openxmlformats.org/officeDocument/2006/relationships/hyperlink" Target="http://192.168.0.132:8123/dev-state" TargetMode="External"/><Relationship Id="rId132" Type="http://schemas.openxmlformats.org/officeDocument/2006/relationships/hyperlink" Target="http://192.168.0.132:8123/dev-state" TargetMode="External"/><Relationship Id="rId153" Type="http://schemas.openxmlformats.org/officeDocument/2006/relationships/hyperlink" Target="http://192.168.0.132:8123/dev-state"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2:F53"/>
  <sheetViews>
    <sheetView showGridLines="0" tabSelected="1" zoomScale="80" zoomScaleNormal="80" workbookViewId="0">
      <selection activeCell="B1" sqref="B1"/>
    </sheetView>
  </sheetViews>
  <sheetFormatPr defaultRowHeight="15" x14ac:dyDescent="0.25"/>
  <cols>
    <col min="1" max="1" width="14.28515625" customWidth="1"/>
    <col min="2" max="2" width="3.28515625" customWidth="1"/>
    <col min="3" max="3" width="1.42578125" customWidth="1"/>
    <col min="4" max="4" width="18" customWidth="1"/>
    <col min="5" max="5" width="89.7109375" customWidth="1"/>
  </cols>
  <sheetData>
    <row r="2" spans="1:5" ht="21" x14ac:dyDescent="0.35">
      <c r="C2" s="1" t="s">
        <v>838</v>
      </c>
      <c r="D2" s="1"/>
    </row>
    <row r="4" spans="1:5" x14ac:dyDescent="0.25">
      <c r="C4" s="27" t="s">
        <v>842</v>
      </c>
      <c r="D4" s="27"/>
      <c r="E4" s="27"/>
    </row>
    <row r="5" spans="1:5" ht="7.5" customHeight="1" x14ac:dyDescent="0.25"/>
    <row r="6" spans="1:5" ht="45" customHeight="1" x14ac:dyDescent="0.25">
      <c r="A6" s="24"/>
      <c r="C6" s="42" t="s">
        <v>895</v>
      </c>
      <c r="D6" s="42"/>
      <c r="E6" s="42"/>
    </row>
    <row r="7" spans="1:5" ht="7.5" customHeight="1" x14ac:dyDescent="0.25">
      <c r="A7" s="25"/>
      <c r="C7" s="26"/>
      <c r="D7" s="26"/>
      <c r="E7" s="26"/>
    </row>
    <row r="8" spans="1:5" ht="30" customHeight="1" x14ac:dyDescent="0.25">
      <c r="C8" s="42" t="s">
        <v>869</v>
      </c>
      <c r="D8" s="42"/>
      <c r="E8" s="42"/>
    </row>
    <row r="9" spans="1:5" ht="7.5" customHeight="1" x14ac:dyDescent="0.25"/>
    <row r="10" spans="1:5" x14ac:dyDescent="0.25">
      <c r="C10" s="42" t="s">
        <v>897</v>
      </c>
      <c r="D10" s="42"/>
      <c r="E10" s="42"/>
    </row>
    <row r="11" spans="1:5" ht="7.5" customHeight="1" x14ac:dyDescent="0.25"/>
    <row r="12" spans="1:5" x14ac:dyDescent="0.25">
      <c r="C12" s="27" t="s">
        <v>841</v>
      </c>
      <c r="D12" s="27"/>
      <c r="E12" s="27"/>
    </row>
    <row r="13" spans="1:5" ht="7.5" customHeight="1" x14ac:dyDescent="0.25"/>
    <row r="14" spans="1:5" x14ac:dyDescent="0.25">
      <c r="C14" t="s">
        <v>839</v>
      </c>
    </row>
    <row r="15" spans="1:5" x14ac:dyDescent="0.25">
      <c r="D15" t="s">
        <v>840</v>
      </c>
    </row>
    <row r="16" spans="1:5" x14ac:dyDescent="0.25">
      <c r="E16" s="28" t="str">
        <f>HYPERLINK("https://home-assistant.io/docs/configuration/customizing-devices/","Information on ""customize""")</f>
        <v>Information on "customize"</v>
      </c>
    </row>
    <row r="17" spans="3:6" x14ac:dyDescent="0.25">
      <c r="E17" s="28" t="str">
        <f>HYPERLINK("https://home-assistant.io/components/group/","Information on ""group""")</f>
        <v>Information on "group"</v>
      </c>
    </row>
    <row r="18" spans="3:6" x14ac:dyDescent="0.25">
      <c r="E18" s="28" t="str">
        <f>HYPERLINK("https://www.youtube.com/watch?v=EsBtyF5tZQ4","Tutorial from BRUH Automation")</f>
        <v>Tutorial from BRUH Automation</v>
      </c>
    </row>
    <row r="19" spans="3:6" x14ac:dyDescent="0.25">
      <c r="D19" s="42" t="s">
        <v>894</v>
      </c>
      <c r="E19" s="42"/>
      <c r="F19" s="26"/>
    </row>
    <row r="20" spans="3:6" x14ac:dyDescent="0.25">
      <c r="E20" s="28" t="str">
        <f>HYPERLINK("https://home-assistant.io/docs/configuration/splitting_configuration/","Information on using includes")</f>
        <v>Information on using includes</v>
      </c>
    </row>
    <row r="21" spans="3:6" x14ac:dyDescent="0.25">
      <c r="E21" s="28" t="str">
        <f>HYPERLINK("https://www.youtube.com/watch?v=Ili8B4hgQ-g","Tutorial I made")</f>
        <v>Tutorial I made</v>
      </c>
    </row>
    <row r="22" spans="3:6" ht="7.5" customHeight="1" x14ac:dyDescent="0.25"/>
    <row r="23" spans="3:6" x14ac:dyDescent="0.25">
      <c r="C23" s="27" t="s">
        <v>843</v>
      </c>
      <c r="D23" s="27"/>
      <c r="E23" s="27"/>
    </row>
    <row r="24" spans="3:6" ht="7.5" customHeight="1" x14ac:dyDescent="0.25"/>
    <row r="25" spans="3:6" x14ac:dyDescent="0.25">
      <c r="C25" s="12" t="s">
        <v>853</v>
      </c>
    </row>
    <row r="26" spans="3:6" ht="7.5" customHeight="1" x14ac:dyDescent="0.25"/>
    <row r="27" spans="3:6" x14ac:dyDescent="0.25">
      <c r="C27" s="7" t="s">
        <v>844</v>
      </c>
      <c r="E27" t="s">
        <v>845</v>
      </c>
    </row>
    <row r="28" spans="3:6" ht="7.5" customHeight="1" x14ac:dyDescent="0.25"/>
    <row r="29" spans="3:6" x14ac:dyDescent="0.25">
      <c r="C29" s="7" t="s">
        <v>342</v>
      </c>
      <c r="E29" t="s">
        <v>846</v>
      </c>
    </row>
    <row r="30" spans="3:6" ht="7.5" customHeight="1" x14ac:dyDescent="0.25"/>
    <row r="31" spans="3:6" x14ac:dyDescent="0.25">
      <c r="C31" s="7" t="s">
        <v>837</v>
      </c>
      <c r="E31" t="s">
        <v>847</v>
      </c>
    </row>
    <row r="32" spans="3:6" ht="7.5" customHeight="1" x14ac:dyDescent="0.25">
      <c r="E32" t="s">
        <v>768</v>
      </c>
    </row>
    <row r="33" spans="3:5" x14ac:dyDescent="0.25">
      <c r="C33" s="7" t="s">
        <v>849</v>
      </c>
      <c r="E33" t="s">
        <v>851</v>
      </c>
    </row>
    <row r="34" spans="3:5" ht="7.5" customHeight="1" x14ac:dyDescent="0.25"/>
    <row r="35" spans="3:5" x14ac:dyDescent="0.25">
      <c r="C35" s="7" t="s">
        <v>850</v>
      </c>
      <c r="E35" t="s">
        <v>852</v>
      </c>
    </row>
    <row r="36" spans="3:5" ht="7.5" customHeight="1" x14ac:dyDescent="0.25"/>
    <row r="37" spans="3:5" x14ac:dyDescent="0.25">
      <c r="C37" s="12" t="s">
        <v>854</v>
      </c>
    </row>
    <row r="38" spans="3:5" ht="7.5" customHeight="1" x14ac:dyDescent="0.25"/>
    <row r="39" spans="3:5" x14ac:dyDescent="0.25">
      <c r="C39" s="7" t="s">
        <v>862</v>
      </c>
      <c r="E39" t="s">
        <v>868</v>
      </c>
    </row>
    <row r="40" spans="3:5" ht="7.5" customHeight="1" x14ac:dyDescent="0.25"/>
    <row r="41" spans="3:5" x14ac:dyDescent="0.25">
      <c r="C41" s="27" t="s">
        <v>855</v>
      </c>
      <c r="D41" s="27"/>
      <c r="E41" s="27"/>
    </row>
    <row r="42" spans="3:5" ht="7.5" customHeight="1" x14ac:dyDescent="0.25"/>
    <row r="43" spans="3:5" x14ac:dyDescent="0.25">
      <c r="C43" s="33" t="s">
        <v>856</v>
      </c>
      <c r="D43" s="33"/>
      <c r="E43" t="s">
        <v>863</v>
      </c>
    </row>
    <row r="44" spans="3:5" ht="7.5" customHeight="1" x14ac:dyDescent="0.25"/>
    <row r="45" spans="3:5" x14ac:dyDescent="0.25">
      <c r="C45" s="32" t="s">
        <v>860</v>
      </c>
      <c r="D45" s="32"/>
      <c r="E45" t="s">
        <v>864</v>
      </c>
    </row>
    <row r="46" spans="3:5" ht="7.5" customHeight="1" x14ac:dyDescent="0.25"/>
    <row r="47" spans="3:5" x14ac:dyDescent="0.25">
      <c r="C47" s="31" t="s">
        <v>858</v>
      </c>
      <c r="D47" s="31"/>
      <c r="E47" t="s">
        <v>892</v>
      </c>
    </row>
    <row r="48" spans="3:5" ht="7.5" customHeight="1" x14ac:dyDescent="0.25"/>
    <row r="49" spans="3:5" x14ac:dyDescent="0.25">
      <c r="C49" s="30" t="s">
        <v>857</v>
      </c>
      <c r="D49" s="30"/>
      <c r="E49" t="s">
        <v>865</v>
      </c>
    </row>
    <row r="50" spans="3:5" ht="7.5" customHeight="1" x14ac:dyDescent="0.25"/>
    <row r="51" spans="3:5" x14ac:dyDescent="0.25">
      <c r="C51" s="35" t="s">
        <v>859</v>
      </c>
      <c r="D51" s="35"/>
      <c r="E51" t="s">
        <v>867</v>
      </c>
    </row>
    <row r="52" spans="3:5" ht="7.5" customHeight="1" x14ac:dyDescent="0.25"/>
    <row r="53" spans="3:5" x14ac:dyDescent="0.25">
      <c r="C53" s="34" t="s">
        <v>861</v>
      </c>
      <c r="D53" s="34"/>
      <c r="E53" t="s">
        <v>866</v>
      </c>
    </row>
  </sheetData>
  <mergeCells count="4">
    <mergeCell ref="C6:E6"/>
    <mergeCell ref="C8:E8"/>
    <mergeCell ref="C10:E10"/>
    <mergeCell ref="D19:E19"/>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172"/>
  <sheetViews>
    <sheetView showGridLines="0" zoomScale="80" zoomScaleNormal="80" workbookViewId="0"/>
  </sheetViews>
  <sheetFormatPr defaultRowHeight="15" outlineLevelCol="1" x14ac:dyDescent="0.25"/>
  <cols>
    <col min="1" max="1" width="2.42578125" customWidth="1"/>
    <col min="2" max="2" width="66.28515625" bestFit="1" customWidth="1"/>
    <col min="4" max="4" width="12.140625" customWidth="1"/>
    <col min="5" max="7" width="9.140625" hidden="1" customWidth="1" outlineLevel="1"/>
    <col min="8" max="8" width="17.7109375" bestFit="1" customWidth="1" collapsed="1"/>
    <col min="9" max="9" width="14.140625" bestFit="1" customWidth="1"/>
    <col min="10" max="10" width="62.42578125" bestFit="1" customWidth="1"/>
    <col min="11" max="11" width="14.140625" bestFit="1" customWidth="1"/>
    <col min="12" max="12" width="45.5703125" customWidth="1"/>
    <col min="14" max="14" width="14.140625" customWidth="1"/>
  </cols>
  <sheetData>
    <row r="1" spans="1:10" ht="21" x14ac:dyDescent="0.35">
      <c r="A1" s="1" t="s">
        <v>767</v>
      </c>
    </row>
    <row r="3" spans="1:10" x14ac:dyDescent="0.25">
      <c r="A3" s="12" t="s">
        <v>765</v>
      </c>
    </row>
    <row r="4" spans="1:10" x14ac:dyDescent="0.25">
      <c r="A4" s="12" t="s">
        <v>790</v>
      </c>
    </row>
    <row r="5" spans="1:10" x14ac:dyDescent="0.25">
      <c r="A5" s="12" t="s">
        <v>769</v>
      </c>
    </row>
    <row r="7" spans="1:10" x14ac:dyDescent="0.25">
      <c r="A7" s="12" t="s">
        <v>766</v>
      </c>
    </row>
    <row r="9" spans="1:10" x14ac:dyDescent="0.25">
      <c r="B9" t="s">
        <v>770</v>
      </c>
      <c r="E9" s="19"/>
      <c r="F9" s="19"/>
      <c r="G9" s="19"/>
      <c r="H9" s="19" t="s">
        <v>608</v>
      </c>
      <c r="I9" s="19" t="s">
        <v>771</v>
      </c>
      <c r="J9" s="20"/>
    </row>
    <row r="10" spans="1:10" x14ac:dyDescent="0.25">
      <c r="B10" t="s">
        <v>688</v>
      </c>
      <c r="C10" t="s">
        <v>689</v>
      </c>
      <c r="D10" t="s">
        <v>690</v>
      </c>
      <c r="E10" s="9" t="s">
        <v>246</v>
      </c>
      <c r="F10" s="9" t="s">
        <v>297</v>
      </c>
      <c r="G10" s="9" t="s">
        <v>286</v>
      </c>
      <c r="H10" s="9" t="s">
        <v>319</v>
      </c>
      <c r="I10" s="18" t="s">
        <v>156</v>
      </c>
      <c r="J10" s="18" t="s">
        <v>157</v>
      </c>
    </row>
    <row r="11" spans="1:10" x14ac:dyDescent="0.25">
      <c r="B11" t="s">
        <v>19</v>
      </c>
      <c r="C11" t="s">
        <v>1</v>
      </c>
      <c r="D11" t="s">
        <v>733</v>
      </c>
      <c r="E11" t="str">
        <f>IFERROR(FIND("mdi:",Table4[[#This Row],[Attributes]]),"")</f>
        <v/>
      </c>
      <c r="F11" t="str">
        <f>IF(Table4[[#This Row],[loc of mdi]]="","",  IFERROR(FIND(" ",Table4[[#This Row],[Attributes]],Table4[[#This Row],[loc of mdi]]+3),LEN(Table4[[#This Row],[Attributes]])+1))</f>
        <v/>
      </c>
      <c r="G11" t="str">
        <f>IFERROR(MID(Table4[[#This Row],[Attributes]],Table4[[#This Row],[loc of mdi]],Table4[[#This Row],[loc of space after mdi]]-Table4[[#This Row],[loc of mdi]]),"")</f>
        <v/>
      </c>
      <c r="H11" s="4" t="str">
        <f>IF(COUNTIFS(entities[entity_id],Table4[[#This Row],[Entity]])=1,"ok","missing from 'Entities' tab")</f>
        <v>ok</v>
      </c>
      <c r="I11" t="str">
        <f>LEFT(Table4[[#This Row],[Entity]],FIND(".",Table4[[#This Row],[Entity]])-1)</f>
        <v>automation</v>
      </c>
      <c r="J11" t="str">
        <f>MID(Table4[[#This Row],[Entity]],FIND(".",Table4[[#This Row],[Entity]])+1,999)</f>
        <v>almclk_wake_up_script_triggered_by_alarm_clock</v>
      </c>
    </row>
    <row r="12" spans="1:10" x14ac:dyDescent="0.25">
      <c r="B12" t="s">
        <v>20</v>
      </c>
      <c r="C12" t="s">
        <v>1</v>
      </c>
      <c r="D12" t="s">
        <v>734</v>
      </c>
      <c r="E12" t="str">
        <f>IFERROR(FIND("mdi:",Table4[[#This Row],[Attributes]]),"")</f>
        <v/>
      </c>
      <c r="F12" t="str">
        <f>IF(Table4[[#This Row],[loc of mdi]]="","",  IFERROR(FIND(" ",Table4[[#This Row],[Attributes]],Table4[[#This Row],[loc of mdi]]+3),LEN(Table4[[#This Row],[Attributes]])+1))</f>
        <v/>
      </c>
      <c r="G12" t="str">
        <f>IFERROR(MID(Table4[[#This Row],[Attributes]],Table4[[#This Row],[loc of mdi]],Table4[[#This Row],[loc of space after mdi]]-Table4[[#This Row],[loc of mdi]]),"")</f>
        <v/>
      </c>
      <c r="H12" s="4" t="str">
        <f>IF(COUNTIFS(entities[entity_id],Table4[[#This Row],[Entity]])=1,"ok","missing from 'Entities' tab")</f>
        <v>ok</v>
      </c>
      <c r="I12" t="str">
        <f>LEFT(Table4[[#This Row],[Entity]],FIND(".",Table4[[#This Row],[Entity]])-1)</f>
        <v>automation</v>
      </c>
      <c r="J12" t="str">
        <f>MID(Table4[[#This Row],[Entity]],FIND(".",Table4[[#This Row],[Entity]])+1,999)</f>
        <v>locaway_devices_in_bedroom_off_when_at_the_computer</v>
      </c>
    </row>
    <row r="13" spans="1:10" x14ac:dyDescent="0.25">
      <c r="B13" t="s">
        <v>21</v>
      </c>
      <c r="C13" t="s">
        <v>1</v>
      </c>
      <c r="D13" t="s">
        <v>735</v>
      </c>
      <c r="E13" t="str">
        <f>IFERROR(FIND("mdi:",Table4[[#This Row],[Attributes]]),"")</f>
        <v/>
      </c>
      <c r="F13" t="str">
        <f>IF(Table4[[#This Row],[loc of mdi]]="","",  IFERROR(FIND(" ",Table4[[#This Row],[Attributes]],Table4[[#This Row],[loc of mdi]]+3),LEN(Table4[[#This Row],[Attributes]])+1))</f>
        <v/>
      </c>
      <c r="G13" t="str">
        <f>IFERROR(MID(Table4[[#This Row],[Attributes]],Table4[[#This Row],[loc of mdi]],Table4[[#This Row],[loc of space after mdi]]-Table4[[#This Row],[loc of mdi]]),"")</f>
        <v/>
      </c>
      <c r="H13" s="4" t="str">
        <f>IF(COUNTIFS(entities[entity_id],Table4[[#This Row],[Entity]])=1,"ok","missing from 'Entities' tab")</f>
        <v>ok</v>
      </c>
      <c r="I13" t="str">
        <f>LEFT(Table4[[#This Row],[Entity]],FIND(".",Table4[[#This Row],[Entity]])-1)</f>
        <v>automation</v>
      </c>
      <c r="J13" t="str">
        <f>MID(Table4[[#This Row],[Entity]],FIND(".",Table4[[#This Row],[Entity]])+1,999)</f>
        <v>locaway_devices_off_when_away</v>
      </c>
    </row>
    <row r="14" spans="1:10" x14ac:dyDescent="0.25">
      <c r="B14" t="s">
        <v>22</v>
      </c>
      <c r="C14" t="s">
        <v>1</v>
      </c>
      <c r="D14" t="s">
        <v>736</v>
      </c>
      <c r="E14" t="str">
        <f>IFERROR(FIND("mdi:",Table4[[#This Row],[Attributes]]),"")</f>
        <v/>
      </c>
      <c r="F14" t="str">
        <f>IF(Table4[[#This Row],[loc of mdi]]="","",  IFERROR(FIND(" ",Table4[[#This Row],[Attributes]],Table4[[#This Row],[loc of mdi]]+3),LEN(Table4[[#This Row],[Attributes]])+1))</f>
        <v/>
      </c>
      <c r="G14" t="str">
        <f>IFERROR(MID(Table4[[#This Row],[Attributes]],Table4[[#This Row],[loc of mdi]],Table4[[#This Row],[loc of space after mdi]]-Table4[[#This Row],[loc of mdi]]),"")</f>
        <v/>
      </c>
      <c r="H14" s="4" t="str">
        <f>IF(COUNTIFS(entities[entity_id],Table4[[#This Row],[Entity]])=1,"ok","missing from 'Entities' tab")</f>
        <v>ok</v>
      </c>
      <c r="I14" t="str">
        <f>LEFT(Table4[[#This Row],[Entity]],FIND(".",Table4[[#This Row],[Entity]])-1)</f>
        <v>automation</v>
      </c>
      <c r="J14" t="str">
        <f>MID(Table4[[#This Row],[Entity]],FIND(".",Table4[[#This Row],[Entity]])+1,999)</f>
        <v>locaway_devices_on_desk_off_when_leave_the_computer</v>
      </c>
    </row>
    <row r="15" spans="1:10" x14ac:dyDescent="0.25">
      <c r="B15" t="s">
        <v>730</v>
      </c>
      <c r="C15" t="s">
        <v>1</v>
      </c>
      <c r="D15" t="s">
        <v>737</v>
      </c>
      <c r="E15" t="str">
        <f>IFERROR(FIND("mdi:",Table4[[#This Row],[Attributes]]),"")</f>
        <v/>
      </c>
      <c r="F15" t="str">
        <f>IF(Table4[[#This Row],[loc of mdi]]="","",  IFERROR(FIND(" ",Table4[[#This Row],[Attributes]],Table4[[#This Row],[loc of mdi]]+3),LEN(Table4[[#This Row],[Attributes]])+1))</f>
        <v/>
      </c>
      <c r="G15" t="str">
        <f>IFERROR(MID(Table4[[#This Row],[Attributes]],Table4[[#This Row],[loc of mdi]],Table4[[#This Row],[loc of space after mdi]]-Table4[[#This Row],[loc of mdi]]),"")</f>
        <v/>
      </c>
      <c r="H15" s="4" t="str">
        <f>IF(COUNTIFS(entities[entity_id],Table4[[#This Row],[Entity]])=1,"ok","missing from 'Entities' tab")</f>
        <v>ok</v>
      </c>
      <c r="I15" t="str">
        <f>LEFT(Table4[[#This Row],[Entity]],FIND(".",Table4[[#This Row],[Entity]])-1)</f>
        <v>automation</v>
      </c>
      <c r="J15" t="str">
        <f>MID(Table4[[#This Row],[Entity]],FIND(".",Table4[[#This Row],[Entity]])+1,999)</f>
        <v>not_notification_when_humvee_left_on</v>
      </c>
    </row>
    <row r="16" spans="1:10" x14ac:dyDescent="0.25">
      <c r="B16" t="s">
        <v>23</v>
      </c>
      <c r="C16" t="s">
        <v>1</v>
      </c>
      <c r="D16" t="s">
        <v>738</v>
      </c>
      <c r="E16" t="str">
        <f>IFERROR(FIND("mdi:",Table4[[#This Row],[Attributes]]),"")</f>
        <v/>
      </c>
      <c r="F16" t="str">
        <f>IF(Table4[[#This Row],[loc of mdi]]="","",  IFERROR(FIND(" ",Table4[[#This Row],[Attributes]],Table4[[#This Row],[loc of mdi]]+3),LEN(Table4[[#This Row],[Attributes]])+1))</f>
        <v/>
      </c>
      <c r="G16" t="str">
        <f>IFERROR(MID(Table4[[#This Row],[Attributes]],Table4[[#This Row],[loc of mdi]],Table4[[#This Row],[loc of space after mdi]]-Table4[[#This Row],[loc of mdi]]),"")</f>
        <v/>
      </c>
      <c r="H16" s="4" t="str">
        <f>IF(COUNTIFS(entities[entity_id],Table4[[#This Row],[Entity]])=1,"ok","missing from 'Entities' tab")</f>
        <v>ok</v>
      </c>
      <c r="I16" t="str">
        <f>LEFT(Table4[[#This Row],[Entity]],FIND(".",Table4[[#This Row],[Entity]])-1)</f>
        <v>automation</v>
      </c>
      <c r="J16" t="str">
        <f>MID(Table4[[#This Row],[Entity]],FIND(".",Table4[[#This Row],[Entity]])+1,999)</f>
        <v>not_notification_when_multisensor_battery_is_low</v>
      </c>
    </row>
    <row r="17" spans="2:10" x14ac:dyDescent="0.25">
      <c r="B17" t="s">
        <v>24</v>
      </c>
      <c r="C17" t="s">
        <v>1</v>
      </c>
      <c r="D17" t="s">
        <v>739</v>
      </c>
      <c r="E17" t="str">
        <f>IFERROR(FIND("mdi:",Table4[[#This Row],[Attributes]]),"")</f>
        <v/>
      </c>
      <c r="F17" t="str">
        <f>IF(Table4[[#This Row],[loc of mdi]]="","",  IFERROR(FIND(" ",Table4[[#This Row],[Attributes]],Table4[[#This Row],[loc of mdi]]+3),LEN(Table4[[#This Row],[Attributes]])+1))</f>
        <v/>
      </c>
      <c r="G17" t="str">
        <f>IFERROR(MID(Table4[[#This Row],[Attributes]],Table4[[#This Row],[loc of mdi]],Table4[[#This Row],[loc of space after mdi]]-Table4[[#This Row],[loc of mdi]]),"")</f>
        <v/>
      </c>
      <c r="H17" s="4" t="str">
        <f>IF(COUNTIFS(entities[entity_id],Table4[[#This Row],[Entity]])=1,"ok","missing from 'Entities' tab")</f>
        <v>ok</v>
      </c>
      <c r="I17" t="str">
        <f>LEFT(Table4[[#This Row],[Entity]],FIND(".",Table4[[#This Row],[Entity]])-1)</f>
        <v>automation</v>
      </c>
      <c r="J17" t="str">
        <f>MID(Table4[[#This Row],[Entity]],FIND(".",Table4[[#This Row],[Entity]])+1,999)</f>
        <v>not_notification_when_tank_turns_off</v>
      </c>
    </row>
    <row r="18" spans="2:10" x14ac:dyDescent="0.25">
      <c r="B18" t="s">
        <v>731</v>
      </c>
      <c r="C18" t="s">
        <v>1</v>
      </c>
      <c r="D18" t="s">
        <v>763</v>
      </c>
      <c r="E18" t="str">
        <f>IFERROR(FIND("mdi:",Table4[[#This Row],[Attributes]]),"")</f>
        <v/>
      </c>
      <c r="F18" t="str">
        <f>IF(Table4[[#This Row],[loc of mdi]]="","",  IFERROR(FIND(" ",Table4[[#This Row],[Attributes]],Table4[[#This Row],[loc of mdi]]+3),LEN(Table4[[#This Row],[Attributes]])+1))</f>
        <v/>
      </c>
      <c r="G18" t="str">
        <f>IFERROR(MID(Table4[[#This Row],[Attributes]],Table4[[#This Row],[loc of mdi]],Table4[[#This Row],[loc of space after mdi]]-Table4[[#This Row],[loc of mdi]]),"")</f>
        <v/>
      </c>
      <c r="H18" s="4" t="str">
        <f>IF(COUNTIFS(entities[entity_id],Table4[[#This Row],[Entity]])=1,"ok","missing from 'Entities' tab")</f>
        <v>ok</v>
      </c>
      <c r="I18" t="str">
        <f>LEFT(Table4[[#This Row],[Entity]],FIND(".",Table4[[#This Row],[Entity]])-1)</f>
        <v>automation</v>
      </c>
      <c r="J18" t="str">
        <f>MID(Table4[[#This Row],[Entity]],FIND(".",Table4[[#This Row],[Entity]])+1,999)</f>
        <v>not_speed_test_record</v>
      </c>
    </row>
    <row r="19" spans="2:10" x14ac:dyDescent="0.25">
      <c r="B19" t="s">
        <v>25</v>
      </c>
      <c r="C19" t="s">
        <v>1</v>
      </c>
      <c r="D19" t="s">
        <v>740</v>
      </c>
      <c r="E19" t="str">
        <f>IFERROR(FIND("mdi:",Table4[[#This Row],[Attributes]]),"")</f>
        <v/>
      </c>
      <c r="F19" t="str">
        <f>IF(Table4[[#This Row],[loc of mdi]]="","",  IFERROR(FIND(" ",Table4[[#This Row],[Attributes]],Table4[[#This Row],[loc of mdi]]+3),LEN(Table4[[#This Row],[Attributes]])+1))</f>
        <v/>
      </c>
      <c r="G19" t="str">
        <f>IFERROR(MID(Table4[[#This Row],[Attributes]],Table4[[#This Row],[loc of mdi]],Table4[[#This Row],[loc of space after mdi]]-Table4[[#This Row],[loc of mdi]]),"")</f>
        <v/>
      </c>
      <c r="H19" s="4" t="str">
        <f>IF(COUNTIFS(entities[entity_id],Table4[[#This Row],[Entity]])=1,"ok","missing from 'Entities' tab")</f>
        <v>ok</v>
      </c>
      <c r="I19" t="str">
        <f>LEFT(Table4[[#This Row],[Entity]],FIND(".",Table4[[#This Row],[Entity]])-1)</f>
        <v>automation</v>
      </c>
      <c r="J19" t="str">
        <f>MID(Table4[[#This Row],[Entity]],FIND(".",Table4[[#This Row],[Entity]])+1,999)</f>
        <v>rmbd_fan_off_at_12_pm</v>
      </c>
    </row>
    <row r="20" spans="2:10" x14ac:dyDescent="0.25">
      <c r="B20" t="s">
        <v>26</v>
      </c>
      <c r="C20" t="s">
        <v>1</v>
      </c>
      <c r="D20" t="s">
        <v>741</v>
      </c>
      <c r="E20" t="str">
        <f>IFERROR(FIND("mdi:",Table4[[#This Row],[Attributes]]),"")</f>
        <v/>
      </c>
      <c r="F20" t="str">
        <f>IF(Table4[[#This Row],[loc of mdi]]="","",  IFERROR(FIND(" ",Table4[[#This Row],[Attributes]],Table4[[#This Row],[loc of mdi]]+3),LEN(Table4[[#This Row],[Attributes]])+1))</f>
        <v/>
      </c>
      <c r="G20" t="str">
        <f>IFERROR(MID(Table4[[#This Row],[Attributes]],Table4[[#This Row],[loc of mdi]],Table4[[#This Row],[loc of space after mdi]]-Table4[[#This Row],[loc of mdi]]),"")</f>
        <v/>
      </c>
      <c r="H20" s="4" t="str">
        <f>IF(COUNTIFS(entities[entity_id],Table4[[#This Row],[Entity]])=1,"ok","missing from 'Entities' tab")</f>
        <v>ok</v>
      </c>
      <c r="I20" t="str">
        <f>LEFT(Table4[[#This Row],[Entity]],FIND(".",Table4[[#This Row],[Entity]])-1)</f>
        <v>automation</v>
      </c>
      <c r="J20" t="str">
        <f>MID(Table4[[#This Row],[Entity]],FIND(".",Table4[[#This Row],[Entity]])+1,999)</f>
        <v>rmbd_one_bulb_off_at_sunset</v>
      </c>
    </row>
    <row r="21" spans="2:10" x14ac:dyDescent="0.25">
      <c r="B21" t="s">
        <v>27</v>
      </c>
      <c r="C21" t="s">
        <v>1</v>
      </c>
      <c r="D21" t="s">
        <v>764</v>
      </c>
      <c r="E21" t="str">
        <f>IFERROR(FIND("mdi:",Table4[[#This Row],[Attributes]]),"")</f>
        <v/>
      </c>
      <c r="F21" t="str">
        <f>IF(Table4[[#This Row],[loc of mdi]]="","",  IFERROR(FIND(" ",Table4[[#This Row],[Attributes]],Table4[[#This Row],[loc of mdi]]+3),LEN(Table4[[#This Row],[Attributes]])+1))</f>
        <v/>
      </c>
      <c r="G21" t="str">
        <f>IFERROR(MID(Table4[[#This Row],[Attributes]],Table4[[#This Row],[loc of mdi]],Table4[[#This Row],[loc of space after mdi]]-Table4[[#This Row],[loc of mdi]]),"")</f>
        <v/>
      </c>
      <c r="H21" s="4" t="str">
        <f>IF(COUNTIFS(entities[entity_id],Table4[[#This Row],[Entity]])=1,"ok","missing from 'Entities' tab")</f>
        <v>ok</v>
      </c>
      <c r="I21" t="str">
        <f>LEFT(Table4[[#This Row],[Entity]],FIND(".",Table4[[#This Row],[Entity]])-1)</f>
        <v>automation</v>
      </c>
      <c r="J21" t="str">
        <f>MID(Table4[[#This Row],[Entity]],FIND(".",Table4[[#This Row],[Entity]])+1,999)</f>
        <v>rmbd_one_bulb_on_with_switch_at_night</v>
      </c>
    </row>
    <row r="22" spans="2:10" x14ac:dyDescent="0.25">
      <c r="B22" t="s">
        <v>28</v>
      </c>
      <c r="C22" t="s">
        <v>1</v>
      </c>
      <c r="D22" t="s">
        <v>742</v>
      </c>
      <c r="E22" t="str">
        <f>IFERROR(FIND("mdi:",Table4[[#This Row],[Attributes]]),"")</f>
        <v/>
      </c>
      <c r="F22" t="str">
        <f>IF(Table4[[#This Row],[loc of mdi]]="","",  IFERROR(FIND(" ",Table4[[#This Row],[Attributes]],Table4[[#This Row],[loc of mdi]]+3),LEN(Table4[[#This Row],[Attributes]])+1))</f>
        <v/>
      </c>
      <c r="G22" t="str">
        <f>IFERROR(MID(Table4[[#This Row],[Attributes]],Table4[[#This Row],[loc of mdi]],Table4[[#This Row],[loc of space after mdi]]-Table4[[#This Row],[loc of mdi]]),"")</f>
        <v/>
      </c>
      <c r="H22" s="4" t="str">
        <f>IF(COUNTIFS(entities[entity_id],Table4[[#This Row],[Entity]])=1,"ok","missing from 'Entities' tab")</f>
        <v>ok</v>
      </c>
      <c r="I22" t="str">
        <f>LEFT(Table4[[#This Row],[Entity]],FIND(".",Table4[[#This Row],[Entity]])-1)</f>
        <v>automation</v>
      </c>
      <c r="J22" t="str">
        <f>MID(Table4[[#This Row],[Entity]],FIND(".",Table4[[#This Row],[Entity]])+1,999)</f>
        <v>rmlv_amp_off_at_3_am</v>
      </c>
    </row>
    <row r="23" spans="2:10" x14ac:dyDescent="0.25">
      <c r="B23" t="s">
        <v>29</v>
      </c>
      <c r="C23" t="s">
        <v>1</v>
      </c>
      <c r="D23" t="s">
        <v>743</v>
      </c>
      <c r="E23" t="str">
        <f>IFERROR(FIND("mdi:",Table4[[#This Row],[Attributes]]),"")</f>
        <v/>
      </c>
      <c r="F23" t="str">
        <f>IF(Table4[[#This Row],[loc of mdi]]="","",  IFERROR(FIND(" ",Table4[[#This Row],[Attributes]],Table4[[#This Row],[loc of mdi]]+3),LEN(Table4[[#This Row],[Attributes]])+1))</f>
        <v/>
      </c>
      <c r="G23" t="str">
        <f>IFERROR(MID(Table4[[#This Row],[Attributes]],Table4[[#This Row],[loc of mdi]],Table4[[#This Row],[loc of space after mdi]]-Table4[[#This Row],[loc of mdi]]),"")</f>
        <v/>
      </c>
      <c r="H23" s="4" t="str">
        <f>IF(COUNTIFS(entities[entity_id],Table4[[#This Row],[Entity]])=1,"ok","missing from 'Entities' tab")</f>
        <v>ok</v>
      </c>
      <c r="I23" t="str">
        <f>LEFT(Table4[[#This Row],[Entity]],FIND(".",Table4[[#This Row],[Entity]])-1)</f>
        <v>automation</v>
      </c>
      <c r="J23" t="str">
        <f>MID(Table4[[#This Row],[Entity]],FIND(".",Table4[[#This Row],[Entity]])+1,999)</f>
        <v>rmlv_amp_off_with_humvee</v>
      </c>
    </row>
    <row r="24" spans="2:10" x14ac:dyDescent="0.25">
      <c r="B24" t="s">
        <v>30</v>
      </c>
      <c r="C24" t="s">
        <v>1</v>
      </c>
      <c r="D24" t="s">
        <v>744</v>
      </c>
      <c r="E24" t="str">
        <f>IFERROR(FIND("mdi:",Table4[[#This Row],[Attributes]]),"")</f>
        <v/>
      </c>
      <c r="F24" t="str">
        <f>IF(Table4[[#This Row],[loc of mdi]]="","",  IFERROR(FIND(" ",Table4[[#This Row],[Attributes]],Table4[[#This Row],[loc of mdi]]+3),LEN(Table4[[#This Row],[Attributes]])+1))</f>
        <v/>
      </c>
      <c r="G24" t="str">
        <f>IFERROR(MID(Table4[[#This Row],[Attributes]],Table4[[#This Row],[loc of mdi]],Table4[[#This Row],[loc of space after mdi]]-Table4[[#This Row],[loc of mdi]]),"")</f>
        <v/>
      </c>
      <c r="H24" s="4" t="str">
        <f>IF(COUNTIFS(entities[entity_id],Table4[[#This Row],[Entity]])=1,"ok","missing from 'Entities' tab")</f>
        <v>ok</v>
      </c>
      <c r="I24" t="str">
        <f>LEFT(Table4[[#This Row],[Entity]],FIND(".",Table4[[#This Row],[Entity]])-1)</f>
        <v>automation</v>
      </c>
      <c r="J24" t="str">
        <f>MID(Table4[[#This Row],[Entity]],FIND(".",Table4[[#This Row],[Entity]])+1,999)</f>
        <v>rmlvtv_chromecast_volume_to_4_on_start</v>
      </c>
    </row>
    <row r="25" spans="2:10" x14ac:dyDescent="0.25">
      <c r="B25" t="s">
        <v>732</v>
      </c>
      <c r="C25" t="s">
        <v>1</v>
      </c>
      <c r="D25" t="s">
        <v>745</v>
      </c>
      <c r="E25" t="str">
        <f>IFERROR(FIND("mdi:",Table4[[#This Row],[Attributes]]),"")</f>
        <v/>
      </c>
      <c r="F25" t="str">
        <f>IF(Table4[[#This Row],[loc of mdi]]="","",  IFERROR(FIND(" ",Table4[[#This Row],[Attributes]],Table4[[#This Row],[loc of mdi]]+3),LEN(Table4[[#This Row],[Attributes]])+1))</f>
        <v/>
      </c>
      <c r="G25" t="str">
        <f>IFERROR(MID(Table4[[#This Row],[Attributes]],Table4[[#This Row],[loc of mdi]],Table4[[#This Row],[loc of space after mdi]]-Table4[[#This Row],[loc of mdi]]),"")</f>
        <v/>
      </c>
      <c r="H25" s="4" t="str">
        <f>IF(COUNTIFS(entities[entity_id],Table4[[#This Row],[Entity]])=1,"ok","missing from 'Entities' tab")</f>
        <v>ok</v>
      </c>
      <c r="I25" t="str">
        <f>LEFT(Table4[[#This Row],[Entity]],FIND(".",Table4[[#This Row],[Entity]])-1)</f>
        <v>automation</v>
      </c>
      <c r="J25" t="str">
        <f>MID(Table4[[#This Row],[Entity]],FIND(".",Table4[[#This Row],[Entity]])+1,999)</f>
        <v>rmlvtv_turn_off_tv_if_chromecast_off</v>
      </c>
    </row>
    <row r="26" spans="2:10" x14ac:dyDescent="0.25">
      <c r="B26" t="s">
        <v>691</v>
      </c>
      <c r="C26" t="s">
        <v>1</v>
      </c>
      <c r="D26" t="s">
        <v>746</v>
      </c>
      <c r="E26" t="str">
        <f>IFERROR(FIND("mdi:",Table4[[#This Row],[Attributes]]),"")</f>
        <v/>
      </c>
      <c r="F26" t="str">
        <f>IF(Table4[[#This Row],[loc of mdi]]="","",  IFERROR(FIND(" ",Table4[[#This Row],[Attributes]],Table4[[#This Row],[loc of mdi]]+3),LEN(Table4[[#This Row],[Attributes]])+1))</f>
        <v/>
      </c>
      <c r="G26" t="str">
        <f>IFERROR(MID(Table4[[#This Row],[Attributes]],Table4[[#This Row],[loc of mdi]],Table4[[#This Row],[loc of space after mdi]]-Table4[[#This Row],[loc of mdi]]),"")</f>
        <v/>
      </c>
      <c r="H26" s="4" t="str">
        <f>IF(COUNTIFS(entities[entity_id],Table4[[#This Row],[Entity]])=1,"ok","missing from 'Entities' tab")</f>
        <v>ok</v>
      </c>
      <c r="I26" t="str">
        <f>LEFT(Table4[[#This Row],[Entity]],FIND(".",Table4[[#This Row],[Entity]])-1)</f>
        <v>automation</v>
      </c>
      <c r="J26" t="str">
        <f>MID(Table4[[#This Row],[Entity]],FIND(".",Table4[[#This Row],[Entity]])+1,999)</f>
        <v>rmlvtv_tv_off_with_chromecast_from_idle</v>
      </c>
    </row>
    <row r="27" spans="2:10" x14ac:dyDescent="0.25">
      <c r="B27" t="s">
        <v>692</v>
      </c>
      <c r="C27" t="s">
        <v>1</v>
      </c>
      <c r="D27" t="s">
        <v>747</v>
      </c>
      <c r="E27" t="str">
        <f>IFERROR(FIND("mdi:",Table4[[#This Row],[Attributes]]),"")</f>
        <v/>
      </c>
      <c r="F27" t="str">
        <f>IF(Table4[[#This Row],[loc of mdi]]="","",  IFERROR(FIND(" ",Table4[[#This Row],[Attributes]],Table4[[#This Row],[loc of mdi]]+3),LEN(Table4[[#This Row],[Attributes]])+1))</f>
        <v/>
      </c>
      <c r="G27" t="str">
        <f>IFERROR(MID(Table4[[#This Row],[Attributes]],Table4[[#This Row],[loc of mdi]],Table4[[#This Row],[loc of space after mdi]]-Table4[[#This Row],[loc of mdi]]),"")</f>
        <v/>
      </c>
      <c r="H27" s="4" t="str">
        <f>IF(COUNTIFS(entities[entity_id],Table4[[#This Row],[Entity]])=1,"ok","missing from 'Entities' tab")</f>
        <v>ok</v>
      </c>
      <c r="I27" t="str">
        <f>LEFT(Table4[[#This Row],[Entity]],FIND(".",Table4[[#This Row],[Entity]])-1)</f>
        <v>automation</v>
      </c>
      <c r="J27" t="str">
        <f>MID(Table4[[#This Row],[Entity]],FIND(".",Table4[[#This Row],[Entity]])+1,999)</f>
        <v>rmlvtv_tv_off_with_chromecast_from_paused</v>
      </c>
    </row>
    <row r="28" spans="2:10" x14ac:dyDescent="0.25">
      <c r="B28" t="s">
        <v>693</v>
      </c>
      <c r="C28" t="s">
        <v>1</v>
      </c>
      <c r="D28" t="s">
        <v>748</v>
      </c>
      <c r="E28" t="str">
        <f>IFERROR(FIND("mdi:",Table4[[#This Row],[Attributes]]),"")</f>
        <v/>
      </c>
      <c r="F28" t="str">
        <f>IF(Table4[[#This Row],[loc of mdi]]="","",  IFERROR(FIND(" ",Table4[[#This Row],[Attributes]],Table4[[#This Row],[loc of mdi]]+3),LEN(Table4[[#This Row],[Attributes]])+1))</f>
        <v/>
      </c>
      <c r="G28" t="str">
        <f>IFERROR(MID(Table4[[#This Row],[Attributes]],Table4[[#This Row],[loc of mdi]],Table4[[#This Row],[loc of space after mdi]]-Table4[[#This Row],[loc of mdi]]),"")</f>
        <v/>
      </c>
      <c r="H28" s="4" t="str">
        <f>IF(COUNTIFS(entities[entity_id],Table4[[#This Row],[Entity]])=1,"ok","missing from 'Entities' tab")</f>
        <v>ok</v>
      </c>
      <c r="I28" t="str">
        <f>LEFT(Table4[[#This Row],[Entity]],FIND(".",Table4[[#This Row],[Entity]])-1)</f>
        <v>automation</v>
      </c>
      <c r="J28" t="str">
        <f>MID(Table4[[#This Row],[Entity]],FIND(".",Table4[[#This Row],[Entity]])+1,999)</f>
        <v>rmlvtv_tv_off_with_chromecast_from_playing</v>
      </c>
    </row>
    <row r="29" spans="2:10" x14ac:dyDescent="0.25">
      <c r="B29" t="s">
        <v>31</v>
      </c>
      <c r="C29" t="s">
        <v>1</v>
      </c>
      <c r="D29" t="s">
        <v>749</v>
      </c>
      <c r="E29" t="str">
        <f>IFERROR(FIND("mdi:",Table4[[#This Row],[Attributes]]),"")</f>
        <v/>
      </c>
      <c r="F29" t="str">
        <f>IF(Table4[[#This Row],[loc of mdi]]="","",  IFERROR(FIND(" ",Table4[[#This Row],[Attributes]],Table4[[#This Row],[loc of mdi]]+3),LEN(Table4[[#This Row],[Attributes]])+1))</f>
        <v/>
      </c>
      <c r="G29" t="str">
        <f>IFERROR(MID(Table4[[#This Row],[Attributes]],Table4[[#This Row],[loc of mdi]],Table4[[#This Row],[loc of space after mdi]]-Table4[[#This Row],[loc of mdi]]),"")</f>
        <v/>
      </c>
      <c r="H29" s="4" t="str">
        <f>IF(COUNTIFS(entities[entity_id],Table4[[#This Row],[Entity]])=1,"ok","missing from 'Entities' tab")</f>
        <v>ok</v>
      </c>
      <c r="I29" t="str">
        <f>LEFT(Table4[[#This Row],[Entity]],FIND(".",Table4[[#This Row],[Entity]])-1)</f>
        <v>automation</v>
      </c>
      <c r="J29" t="str">
        <f>MID(Table4[[#This Row],[Entity]],FIND(".",Table4[[#This Row],[Entity]])+1,999)</f>
        <v>rmlvtv_tv_on_with_chromecast</v>
      </c>
    </row>
    <row r="30" spans="2:10" x14ac:dyDescent="0.25">
      <c r="B30" t="s">
        <v>32</v>
      </c>
      <c r="C30" t="s">
        <v>1</v>
      </c>
      <c r="D30" t="s">
        <v>750</v>
      </c>
      <c r="E30" t="str">
        <f>IFERROR(FIND("mdi:",Table4[[#This Row],[Attributes]]),"")</f>
        <v/>
      </c>
      <c r="F30" t="str">
        <f>IF(Table4[[#This Row],[loc of mdi]]="","",  IFERROR(FIND(" ",Table4[[#This Row],[Attributes]],Table4[[#This Row],[loc of mdi]]+3),LEN(Table4[[#This Row],[Attributes]])+1))</f>
        <v/>
      </c>
      <c r="G30" t="str">
        <f>IFERROR(MID(Table4[[#This Row],[Attributes]],Table4[[#This Row],[loc of mdi]],Table4[[#This Row],[loc of space after mdi]]-Table4[[#This Row],[loc of mdi]]),"")</f>
        <v/>
      </c>
      <c r="H30" s="4" t="str">
        <f>IF(COUNTIFS(entities[entity_id],Table4[[#This Row],[Entity]])=1,"ok","missing from 'Entities' tab")</f>
        <v>ok</v>
      </c>
      <c r="I30" t="str">
        <f>LEFT(Table4[[#This Row],[Entity]],FIND(".",Table4[[#This Row],[Entity]])-1)</f>
        <v>automation</v>
      </c>
      <c r="J30" t="str">
        <f>MID(Table4[[#This Row],[Entity]],FIND(".",Table4[[#This Row],[Entity]])+1,999)</f>
        <v>statfriend_friend_visiting_off_from_device_tracker</v>
      </c>
    </row>
    <row r="31" spans="2:10" x14ac:dyDescent="0.25">
      <c r="B31" t="s">
        <v>33</v>
      </c>
      <c r="C31" t="s">
        <v>1</v>
      </c>
      <c r="D31" t="s">
        <v>751</v>
      </c>
      <c r="E31" t="str">
        <f>IFERROR(FIND("mdi:",Table4[[#This Row],[Attributes]]),"")</f>
        <v/>
      </c>
      <c r="F31" t="str">
        <f>IF(Table4[[#This Row],[loc of mdi]]="","",  IFERROR(FIND(" ",Table4[[#This Row],[Attributes]],Table4[[#This Row],[loc of mdi]]+3),LEN(Table4[[#This Row],[Attributes]])+1))</f>
        <v/>
      </c>
      <c r="G31" t="str">
        <f>IFERROR(MID(Table4[[#This Row],[Attributes]],Table4[[#This Row],[loc of mdi]],Table4[[#This Row],[loc of space after mdi]]-Table4[[#This Row],[loc of mdi]]),"")</f>
        <v/>
      </c>
      <c r="H31" s="4" t="str">
        <f>IF(COUNTIFS(entities[entity_id],Table4[[#This Row],[Entity]])=1,"ok","missing from 'Entities' tab")</f>
        <v>ok</v>
      </c>
      <c r="I31" t="str">
        <f>LEFT(Table4[[#This Row],[Entity]],FIND(".",Table4[[#This Row],[Entity]])-1)</f>
        <v>automation</v>
      </c>
      <c r="J31" t="str">
        <f>MID(Table4[[#This Row],[Entity]],FIND(".",Table4[[#This Row],[Entity]])+1,999)</f>
        <v>statfriend_friend_visiting_on_from_device_tracker</v>
      </c>
    </row>
    <row r="32" spans="2:10" x14ac:dyDescent="0.25">
      <c r="B32" t="s">
        <v>34</v>
      </c>
      <c r="C32" t="s">
        <v>1</v>
      </c>
      <c r="D32" t="s">
        <v>752</v>
      </c>
      <c r="E32" t="str">
        <f>IFERROR(FIND("mdi:",Table4[[#This Row],[Attributes]]),"")</f>
        <v/>
      </c>
      <c r="F32" t="str">
        <f>IF(Table4[[#This Row],[loc of mdi]]="","",  IFERROR(FIND(" ",Table4[[#This Row],[Attributes]],Table4[[#This Row],[loc of mdi]]+3),LEN(Table4[[#This Row],[Attributes]])+1))</f>
        <v/>
      </c>
      <c r="G32" t="str">
        <f>IFERROR(MID(Table4[[#This Row],[Attributes]],Table4[[#This Row],[loc of mdi]],Table4[[#This Row],[loc of space after mdi]]-Table4[[#This Row],[loc of mdi]]),"")</f>
        <v/>
      </c>
      <c r="H32" s="4" t="str">
        <f>IF(COUNTIFS(entities[entity_id],Table4[[#This Row],[Entity]])=1,"ok","missing from 'Entities' tab")</f>
        <v>ok</v>
      </c>
      <c r="I32" t="str">
        <f>LEFT(Table4[[#This Row],[Entity]],FIND(".",Table4[[#This Row],[Entity]])-1)</f>
        <v>automation</v>
      </c>
      <c r="J32" t="str">
        <f>MID(Table4[[#This Row],[Entity]],FIND(".",Table4[[#This Row],[Entity]])+1,999)</f>
        <v>statron_away_status_from_device_tracker</v>
      </c>
    </row>
    <row r="33" spans="2:10" x14ac:dyDescent="0.25">
      <c r="B33" t="s">
        <v>35</v>
      </c>
      <c r="C33" t="s">
        <v>1</v>
      </c>
      <c r="D33" t="s">
        <v>753</v>
      </c>
      <c r="E33" t="str">
        <f>IFERROR(FIND("mdi:",Table4[[#This Row],[Attributes]]),"")</f>
        <v/>
      </c>
      <c r="F33" t="str">
        <f>IF(Table4[[#This Row],[loc of mdi]]="","",  IFERROR(FIND(" ",Table4[[#This Row],[Attributes]],Table4[[#This Row],[loc of mdi]]+3),LEN(Table4[[#This Row],[Attributes]])+1))</f>
        <v/>
      </c>
      <c r="G33" t="str">
        <f>IFERROR(MID(Table4[[#This Row],[Attributes]],Table4[[#This Row],[loc of mdi]],Table4[[#This Row],[loc of space after mdi]]-Table4[[#This Row],[loc of mdi]]),"")</f>
        <v/>
      </c>
      <c r="H33" s="4" t="str">
        <f>IF(COUNTIFS(entities[entity_id],Table4[[#This Row],[Entity]])=1,"ok","missing from 'Entities' tab")</f>
        <v>ok</v>
      </c>
      <c r="I33" t="str">
        <f>LEFT(Table4[[#This Row],[Entity]],FIND(".",Table4[[#This Row],[Entity]])-1)</f>
        <v>automation</v>
      </c>
      <c r="J33" t="str">
        <f>MID(Table4[[#This Row],[Entity]],FIND(".",Table4[[#This Row],[Entity]])+1,999)</f>
        <v>statron_computer_status_from_monitor_status</v>
      </c>
    </row>
    <row r="34" spans="2:10" x14ac:dyDescent="0.25">
      <c r="B34" t="s">
        <v>36</v>
      </c>
      <c r="C34" t="s">
        <v>1</v>
      </c>
      <c r="D34" t="s">
        <v>754</v>
      </c>
      <c r="E34" t="str">
        <f>IFERROR(FIND("mdi:",Table4[[#This Row],[Attributes]]),"")</f>
        <v/>
      </c>
      <c r="F34" t="str">
        <f>IF(Table4[[#This Row],[loc of mdi]]="","",  IFERROR(FIND(" ",Table4[[#This Row],[Attributes]],Table4[[#This Row],[loc of mdi]]+3),LEN(Table4[[#This Row],[Attributes]])+1))</f>
        <v/>
      </c>
      <c r="G34" t="str">
        <f>IFERROR(MID(Table4[[#This Row],[Attributes]],Table4[[#This Row],[loc of mdi]],Table4[[#This Row],[loc of space after mdi]]-Table4[[#This Row],[loc of mdi]]),"")</f>
        <v/>
      </c>
      <c r="H34" s="4" t="str">
        <f>IF(COUNTIFS(entities[entity_id],Table4[[#This Row],[Entity]])=1,"ok","missing from 'Entities' tab")</f>
        <v>ok</v>
      </c>
      <c r="I34" t="str">
        <f>LEFT(Table4[[#This Row],[Entity]],FIND(".",Table4[[#This Row],[Entity]])-1)</f>
        <v>automation</v>
      </c>
      <c r="J34" t="str">
        <f>MID(Table4[[#This Row],[Entity]],FIND(".",Table4[[#This Row],[Entity]])+1,999)</f>
        <v>statron_home_status_from_device_tracker</v>
      </c>
    </row>
    <row r="35" spans="2:10" x14ac:dyDescent="0.25">
      <c r="B35" t="s">
        <v>37</v>
      </c>
      <c r="C35" t="s">
        <v>1</v>
      </c>
      <c r="D35" t="s">
        <v>755</v>
      </c>
      <c r="E35" t="str">
        <f>IFERROR(FIND("mdi:",Table4[[#This Row],[Attributes]]),"")</f>
        <v/>
      </c>
      <c r="F35" t="str">
        <f>IF(Table4[[#This Row],[loc of mdi]]="","",  IFERROR(FIND(" ",Table4[[#This Row],[Attributes]],Table4[[#This Row],[loc of mdi]]+3),LEN(Table4[[#This Row],[Attributes]])+1))</f>
        <v/>
      </c>
      <c r="G35" t="str">
        <f>IFERROR(MID(Table4[[#This Row],[Attributes]],Table4[[#This Row],[loc of mdi]],Table4[[#This Row],[loc of space after mdi]]-Table4[[#This Row],[loc of mdi]]),"")</f>
        <v/>
      </c>
      <c r="H35" s="4" t="str">
        <f>IF(COUNTIFS(entities[entity_id],Table4[[#This Row],[Entity]])=1,"ok","missing from 'Entities' tab")</f>
        <v>ok</v>
      </c>
      <c r="I35" t="str">
        <f>LEFT(Table4[[#This Row],[Entity]],FIND(".",Table4[[#This Row],[Entity]])-1)</f>
        <v>automation</v>
      </c>
      <c r="J35" t="str">
        <f>MID(Table4[[#This Row],[Entity]],FIND(".",Table4[[#This Row],[Entity]])+1,999)</f>
        <v>statron_home_status_from_monitor_status</v>
      </c>
    </row>
    <row r="36" spans="2:10" x14ac:dyDescent="0.25">
      <c r="B36" t="s">
        <v>694</v>
      </c>
      <c r="C36" t="s">
        <v>1</v>
      </c>
      <c r="D36" t="s">
        <v>756</v>
      </c>
      <c r="E36" t="str">
        <f>IFERROR(FIND("mdi:",Table4[[#This Row],[Attributes]]),"")</f>
        <v/>
      </c>
      <c r="F36" t="str">
        <f>IF(Table4[[#This Row],[loc of mdi]]="","",  IFERROR(FIND(" ",Table4[[#This Row],[Attributes]],Table4[[#This Row],[loc of mdi]]+3),LEN(Table4[[#This Row],[Attributes]])+1))</f>
        <v/>
      </c>
      <c r="G36" t="str">
        <f>IFERROR(MID(Table4[[#This Row],[Attributes]],Table4[[#This Row],[loc of mdi]],Table4[[#This Row],[loc of space after mdi]]-Table4[[#This Row],[loc of mdi]]),"")</f>
        <v/>
      </c>
      <c r="H36" s="4" t="str">
        <f>IF(COUNTIFS(entities[entity_id],Table4[[#This Row],[Entity]])=1,"ok","missing from 'Entities' tab")</f>
        <v>ok</v>
      </c>
      <c r="I36" t="str">
        <f>LEFT(Table4[[#This Row],[Entity]],FIND(".",Table4[[#This Row],[Entity]])-1)</f>
        <v>automation</v>
      </c>
      <c r="J36" t="str">
        <f>MID(Table4[[#This Row],[Entity]],FIND(".",Table4[[#This Row],[Entity]])+1,999)</f>
        <v>statron_tv_status_from_chromecast</v>
      </c>
    </row>
    <row r="37" spans="2:10" x14ac:dyDescent="0.25">
      <c r="B37" t="s">
        <v>716</v>
      </c>
      <c r="C37" t="s">
        <v>1</v>
      </c>
      <c r="D37" t="s">
        <v>757</v>
      </c>
      <c r="E37" t="str">
        <f>IFERROR(FIND("mdi:",Table4[[#This Row],[Attributes]]),"")</f>
        <v/>
      </c>
      <c r="F37" t="str">
        <f>IF(Table4[[#This Row],[loc of mdi]]="","",  IFERROR(FIND(" ",Table4[[#This Row],[Attributes]],Table4[[#This Row],[loc of mdi]]+3),LEN(Table4[[#This Row],[Attributes]])+1))</f>
        <v/>
      </c>
      <c r="G37" t="str">
        <f>IFERROR(MID(Table4[[#This Row],[Attributes]],Table4[[#This Row],[loc of mdi]],Table4[[#This Row],[loc of space after mdi]]-Table4[[#This Row],[loc of mdi]]),"")</f>
        <v/>
      </c>
      <c r="H37" s="4" t="str">
        <f>IF(COUNTIFS(entities[entity_id],Table4[[#This Row],[Entity]])=1,"ok","missing from 'Entities' tab")</f>
        <v>ok</v>
      </c>
      <c r="I37" t="str">
        <f>LEFT(Table4[[#This Row],[Entity]],FIND(".",Table4[[#This Row],[Entity]])-1)</f>
        <v>automation</v>
      </c>
      <c r="J37" t="str">
        <f>MID(Table4[[#This Row],[Entity]],FIND(".",Table4[[#This Row],[Entity]])+1,999)</f>
        <v>statvac_vacation_lights_at_sunset_when_vacation_mode_on</v>
      </c>
    </row>
    <row r="38" spans="2:10" x14ac:dyDescent="0.25">
      <c r="B38" t="s">
        <v>38</v>
      </c>
      <c r="C38" t="s">
        <v>1</v>
      </c>
      <c r="D38" t="s">
        <v>758</v>
      </c>
      <c r="E38" t="str">
        <f>IFERROR(FIND("mdi:",Table4[[#This Row],[Attributes]]),"")</f>
        <v/>
      </c>
      <c r="F38" t="str">
        <f>IF(Table4[[#This Row],[loc of mdi]]="","",  IFERROR(FIND(" ",Table4[[#This Row],[Attributes]],Table4[[#This Row],[loc of mdi]]+3),LEN(Table4[[#This Row],[Attributes]])+1))</f>
        <v/>
      </c>
      <c r="G38" t="str">
        <f>IFERROR(MID(Table4[[#This Row],[Attributes]],Table4[[#This Row],[loc of mdi]],Table4[[#This Row],[loc of space after mdi]]-Table4[[#This Row],[loc of mdi]]),"")</f>
        <v/>
      </c>
      <c r="H38" s="4" t="str">
        <f>IF(COUNTIFS(entities[entity_id],Table4[[#This Row],[Entity]])=1,"ok","missing from 'Entities' tab")</f>
        <v>ok</v>
      </c>
      <c r="I38" t="str">
        <f>LEFT(Table4[[#This Row],[Entity]],FIND(".",Table4[[#This Row],[Entity]])-1)</f>
        <v>automation</v>
      </c>
      <c r="J38" t="str">
        <f>MID(Table4[[#This Row],[Entity]],FIND(".",Table4[[#This Row],[Entity]])+1,999)</f>
        <v>statvac_vacation_mode_off_when_home</v>
      </c>
    </row>
    <row r="39" spans="2:10" x14ac:dyDescent="0.25">
      <c r="B39" t="s">
        <v>39</v>
      </c>
      <c r="C39" t="s">
        <v>1</v>
      </c>
      <c r="D39" t="s">
        <v>759</v>
      </c>
      <c r="E39" t="str">
        <f>IFERROR(FIND("mdi:",Table4[[#This Row],[Attributes]]),"")</f>
        <v/>
      </c>
      <c r="F39" t="str">
        <f>IF(Table4[[#This Row],[loc of mdi]]="","",  IFERROR(FIND(" ",Table4[[#This Row],[Attributes]],Table4[[#This Row],[loc of mdi]]+3),LEN(Table4[[#This Row],[Attributes]])+1))</f>
        <v/>
      </c>
      <c r="G39" t="str">
        <f>IFERROR(MID(Table4[[#This Row],[Attributes]],Table4[[#This Row],[loc of mdi]],Table4[[#This Row],[loc of space after mdi]]-Table4[[#This Row],[loc of mdi]]),"")</f>
        <v/>
      </c>
      <c r="H39" s="4" t="str">
        <f>IF(COUNTIFS(entities[entity_id],Table4[[#This Row],[Entity]])=1,"ok","missing from 'Entities' tab")</f>
        <v>ok</v>
      </c>
      <c r="I39" t="str">
        <f>LEFT(Table4[[#This Row],[Entity]],FIND(".",Table4[[#This Row],[Entity]])-1)</f>
        <v>automation</v>
      </c>
      <c r="J39" t="str">
        <f>MID(Table4[[#This Row],[Entity]],FIND(".",Table4[[#This Row],[Entity]])+1,999)</f>
        <v>statvac_vacation_mode_on_when_gone_24_hours</v>
      </c>
    </row>
    <row r="40" spans="2:10" x14ac:dyDescent="0.25">
      <c r="B40" t="s">
        <v>712</v>
      </c>
      <c r="C40" t="s">
        <v>1</v>
      </c>
      <c r="E40" t="str">
        <f>IFERROR(FIND("mdi:",Table4[[#This Row],[Attributes]]),"")</f>
        <v/>
      </c>
      <c r="F40" t="str">
        <f>IF(Table4[[#This Row],[loc of mdi]]="","",  IFERROR(FIND(" ",Table4[[#This Row],[Attributes]],Table4[[#This Row],[loc of mdi]]+3),LEN(Table4[[#This Row],[Attributes]])+1))</f>
        <v/>
      </c>
      <c r="G40" t="str">
        <f>IFERROR(MID(Table4[[#This Row],[Attributes]],Table4[[#This Row],[loc of mdi]],Table4[[#This Row],[loc of space after mdi]]-Table4[[#This Row],[loc of mdi]]),"")</f>
        <v/>
      </c>
      <c r="H40" s="4" t="str">
        <f>IF(COUNTIFS(entities[entity_id],Table4[[#This Row],[Entity]])=1,"ok","missing from 'Entities' tab")</f>
        <v>ok</v>
      </c>
      <c r="I40" t="str">
        <f>LEFT(Table4[[#This Row],[Entity]],FIND(".",Table4[[#This Row],[Entity]])-1)</f>
        <v>binary_sensor</v>
      </c>
      <c r="J40" t="str">
        <f>MID(Table4[[#This Row],[Entity]],FIND(".",Table4[[#This Row],[Entity]])+1,999)</f>
        <v>humvee_monitor_status</v>
      </c>
    </row>
    <row r="41" spans="2:10" x14ac:dyDescent="0.25">
      <c r="B41" t="s">
        <v>682</v>
      </c>
      <c r="C41" t="s">
        <v>1</v>
      </c>
      <c r="E41" t="str">
        <f>IFERROR(FIND("mdi:",Table4[[#This Row],[Attributes]]),"")</f>
        <v/>
      </c>
      <c r="F41" t="str">
        <f>IF(Table4[[#This Row],[loc of mdi]]="","",  IFERROR(FIND(" ",Table4[[#This Row],[Attributes]],Table4[[#This Row],[loc of mdi]]+3),LEN(Table4[[#This Row],[Attributes]])+1))</f>
        <v/>
      </c>
      <c r="G41" t="str">
        <f>IFERROR(MID(Table4[[#This Row],[Attributes]],Table4[[#This Row],[loc of mdi]],Table4[[#This Row],[loc of space after mdi]]-Table4[[#This Row],[loc of mdi]]),"")</f>
        <v/>
      </c>
      <c r="H41" s="4" t="str">
        <f>IF(COUNTIFS(entities[entity_id],Table4[[#This Row],[Entity]])=1,"ok","missing from 'Entities' tab")</f>
        <v>ok</v>
      </c>
      <c r="I41" t="str">
        <f>LEFT(Table4[[#This Row],[Entity]],FIND(".",Table4[[#This Row],[Entity]])-1)</f>
        <v>binary_sensor</v>
      </c>
      <c r="J41" t="str">
        <f>MID(Table4[[#This Row],[Entity]],FIND(".",Table4[[#This Row],[Entity]])+1,999)</f>
        <v>multi_sensor_4</v>
      </c>
    </row>
    <row r="42" spans="2:10" x14ac:dyDescent="0.25">
      <c r="B42" t="s">
        <v>660</v>
      </c>
      <c r="C42" t="s">
        <v>40</v>
      </c>
      <c r="E42" t="str">
        <f>IFERROR(FIND("mdi:",Table4[[#This Row],[Attributes]]),"")</f>
        <v/>
      </c>
      <c r="F42" t="str">
        <f>IF(Table4[[#This Row],[loc of mdi]]="","",  IFERROR(FIND(" ",Table4[[#This Row],[Attributes]],Table4[[#This Row],[loc of mdi]]+3),LEN(Table4[[#This Row],[Attributes]])+1))</f>
        <v/>
      </c>
      <c r="G42" t="str">
        <f>IFERROR(MID(Table4[[#This Row],[Attributes]],Table4[[#This Row],[loc of mdi]],Table4[[#This Row],[loc of space after mdi]]-Table4[[#This Row],[loc of mdi]]),"")</f>
        <v/>
      </c>
      <c r="H42" s="4" t="str">
        <f>IF(COUNTIFS(entities[entity_id],Table4[[#This Row],[Entity]])=1,"ok","missing from 'Entities' tab")</f>
        <v>ok</v>
      </c>
      <c r="I42" t="str">
        <f>LEFT(Table4[[#This Row],[Entity]],FIND(".",Table4[[#This Row],[Entity]])-1)</f>
        <v>binary_sensor</v>
      </c>
      <c r="J42" t="str">
        <f>MID(Table4[[#This Row],[Entity]],FIND(".",Table4[[#This Row],[Entity]])+1,999)</f>
        <v>tv_status</v>
      </c>
    </row>
    <row r="43" spans="2:10" x14ac:dyDescent="0.25">
      <c r="B43" t="s">
        <v>650</v>
      </c>
      <c r="C43" t="s">
        <v>49</v>
      </c>
      <c r="E43" t="str">
        <f>IFERROR(FIND("mdi:",Table4[[#This Row],[Attributes]]),"")</f>
        <v/>
      </c>
      <c r="F43" t="str">
        <f>IF(Table4[[#This Row],[loc of mdi]]="","",  IFERROR(FIND(" ",Table4[[#This Row],[Attributes]],Table4[[#This Row],[loc of mdi]]+3),LEN(Table4[[#This Row],[Attributes]])+1))</f>
        <v/>
      </c>
      <c r="G43" t="str">
        <f>IFERROR(MID(Table4[[#This Row],[Attributes]],Table4[[#This Row],[loc of mdi]],Table4[[#This Row],[loc of space after mdi]]-Table4[[#This Row],[loc of mdi]]),"")</f>
        <v/>
      </c>
      <c r="H43" s="4" t="str">
        <f>IF(COUNTIFS(entities[entity_id],Table4[[#This Row],[Entity]])=1,"ok","missing from 'Entities' tab")</f>
        <v>ok</v>
      </c>
      <c r="I43" t="str">
        <f>LEFT(Table4[[#This Row],[Entity]],FIND(".",Table4[[#This Row],[Entity]])-1)</f>
        <v>device_tracker</v>
      </c>
      <c r="J43" t="str">
        <f>MID(Table4[[#This Row],[Entity]],FIND(".",Table4[[#This Row],[Entity]])+1,999)</f>
        <v>bazooka</v>
      </c>
    </row>
    <row r="44" spans="2:10" x14ac:dyDescent="0.25">
      <c r="B44" t="s">
        <v>41</v>
      </c>
      <c r="C44" t="s">
        <v>42</v>
      </c>
      <c r="E44" t="str">
        <f>IFERROR(FIND("mdi:",Table4[[#This Row],[Attributes]]),"")</f>
        <v/>
      </c>
      <c r="F44" t="str">
        <f>IF(Table4[[#This Row],[loc of mdi]]="","",  IFERROR(FIND(" ",Table4[[#This Row],[Attributes]],Table4[[#This Row],[loc of mdi]]+3),LEN(Table4[[#This Row],[Attributes]])+1))</f>
        <v/>
      </c>
      <c r="G44" t="str">
        <f>IFERROR(MID(Table4[[#This Row],[Attributes]],Table4[[#This Row],[loc of mdi]],Table4[[#This Row],[loc of space after mdi]]-Table4[[#This Row],[loc of mdi]]),"")</f>
        <v/>
      </c>
      <c r="H44" s="4" t="str">
        <f>IF(COUNTIFS(entities[entity_id],Table4[[#This Row],[Entity]])=1,"ok","missing from 'Entities' tab")</f>
        <v>ok</v>
      </c>
      <c r="I44" t="str">
        <f>LEFT(Table4[[#This Row],[Entity]],FIND(".",Table4[[#This Row],[Entity]])-1)</f>
        <v>device_tracker</v>
      </c>
      <c r="J44" t="str">
        <f>MID(Table4[[#This Row],[Entity]],FIND(".",Table4[[#This Row],[Entity]])+1,999)</f>
        <v>carolyn_phone</v>
      </c>
    </row>
    <row r="45" spans="2:10" x14ac:dyDescent="0.25">
      <c r="B45" t="s">
        <v>43</v>
      </c>
      <c r="C45" t="s">
        <v>42</v>
      </c>
      <c r="E45" t="str">
        <f>IFERROR(FIND("mdi:",Table4[[#This Row],[Attributes]]),"")</f>
        <v/>
      </c>
      <c r="F45" t="str">
        <f>IF(Table4[[#This Row],[loc of mdi]]="","",  IFERROR(FIND(" ",Table4[[#This Row],[Attributes]],Table4[[#This Row],[loc of mdi]]+3),LEN(Table4[[#This Row],[Attributes]])+1))</f>
        <v/>
      </c>
      <c r="G45" t="str">
        <f>IFERROR(MID(Table4[[#This Row],[Attributes]],Table4[[#This Row],[loc of mdi]],Table4[[#This Row],[loc of space after mdi]]-Table4[[#This Row],[loc of mdi]]),"")</f>
        <v/>
      </c>
      <c r="H45" s="4" t="str">
        <f>IF(COUNTIFS(entities[entity_id],Table4[[#This Row],[Entity]])=1,"ok","missing from 'Entities' tab")</f>
        <v>ok</v>
      </c>
      <c r="I45" t="str">
        <f>LEFT(Table4[[#This Row],[Entity]],FIND(".",Table4[[#This Row],[Entity]])-1)</f>
        <v>device_tracker</v>
      </c>
      <c r="J45" t="str">
        <f>MID(Table4[[#This Row],[Entity]],FIND(".",Table4[[#This Row],[Entity]])+1,999)</f>
        <v>carolyn_smbp</v>
      </c>
    </row>
    <row r="46" spans="2:10" x14ac:dyDescent="0.25">
      <c r="B46" t="s">
        <v>44</v>
      </c>
      <c r="C46" t="s">
        <v>42</v>
      </c>
      <c r="E46" t="str">
        <f>IFERROR(FIND("mdi:",Table4[[#This Row],[Attributes]]),"")</f>
        <v/>
      </c>
      <c r="F46" t="str">
        <f>IF(Table4[[#This Row],[loc of mdi]]="","",  IFERROR(FIND(" ",Table4[[#This Row],[Attributes]],Table4[[#This Row],[loc of mdi]]+3),LEN(Table4[[#This Row],[Attributes]])+1))</f>
        <v/>
      </c>
      <c r="G46" t="str">
        <f>IFERROR(MID(Table4[[#This Row],[Attributes]],Table4[[#This Row],[loc of mdi]],Table4[[#This Row],[loc of space after mdi]]-Table4[[#This Row],[loc of mdi]]),"")</f>
        <v/>
      </c>
      <c r="H46" s="4" t="str">
        <f>IF(COUNTIFS(entities[entity_id],Table4[[#This Row],[Entity]])=1,"ok","missing from 'Entities' tab")</f>
        <v>ok</v>
      </c>
      <c r="I46" t="str">
        <f>LEFT(Table4[[#This Row],[Entity]],FIND(".",Table4[[#This Row],[Entity]])-1)</f>
        <v>device_tracker</v>
      </c>
      <c r="J46" t="str">
        <f>MID(Table4[[#This Row],[Entity]],FIND(".",Table4[[#This Row],[Entity]])+1,999)</f>
        <v>carolyn_tablet</v>
      </c>
    </row>
    <row r="47" spans="2:10" x14ac:dyDescent="0.25">
      <c r="B47" t="s">
        <v>45</v>
      </c>
      <c r="C47" t="s">
        <v>42</v>
      </c>
      <c r="E47" t="str">
        <f>IFERROR(FIND("mdi:",Table4[[#This Row],[Attributes]]),"")</f>
        <v/>
      </c>
      <c r="F47" t="str">
        <f>IF(Table4[[#This Row],[loc of mdi]]="","",  IFERROR(FIND(" ",Table4[[#This Row],[Attributes]],Table4[[#This Row],[loc of mdi]]+3),LEN(Table4[[#This Row],[Attributes]])+1))</f>
        <v/>
      </c>
      <c r="G47" t="str">
        <f>IFERROR(MID(Table4[[#This Row],[Attributes]],Table4[[#This Row],[loc of mdi]],Table4[[#This Row],[loc of space after mdi]]-Table4[[#This Row],[loc of mdi]]),"")</f>
        <v/>
      </c>
      <c r="H47" s="4" t="str">
        <f>IF(COUNTIFS(entities[entity_id],Table4[[#This Row],[Entity]])=1,"ok","missing from 'Entities' tab")</f>
        <v>ok</v>
      </c>
      <c r="I47" t="str">
        <f>LEFT(Table4[[#This Row],[Entity]],FIND(".",Table4[[#This Row],[Entity]])-1)</f>
        <v>device_tracker</v>
      </c>
      <c r="J47" t="str">
        <f>MID(Table4[[#This Row],[Entity]],FIND(".",Table4[[#This Row],[Entity]])+1,999)</f>
        <v>carolyn_watch</v>
      </c>
    </row>
    <row r="48" spans="2:10" x14ac:dyDescent="0.25">
      <c r="B48" t="s">
        <v>46</v>
      </c>
      <c r="C48" t="s">
        <v>42</v>
      </c>
      <c r="E48" t="str">
        <f>IFERROR(FIND("mdi:",Table4[[#This Row],[Attributes]]),"")</f>
        <v/>
      </c>
      <c r="F48" t="str">
        <f>IF(Table4[[#This Row],[loc of mdi]]="","",  IFERROR(FIND(" ",Table4[[#This Row],[Attributes]],Table4[[#This Row],[loc of mdi]]+3),LEN(Table4[[#This Row],[Attributes]])+1))</f>
        <v/>
      </c>
      <c r="G48" t="str">
        <f>IFERROR(MID(Table4[[#This Row],[Attributes]],Table4[[#This Row],[loc of mdi]],Table4[[#This Row],[loc of space after mdi]]-Table4[[#This Row],[loc of mdi]]),"")</f>
        <v/>
      </c>
      <c r="H48" s="4" t="str">
        <f>IF(COUNTIFS(entities[entity_id],Table4[[#This Row],[Entity]])=1,"ok","missing from 'Entities' tab")</f>
        <v>ok</v>
      </c>
      <c r="I48" t="str">
        <f>LEFT(Table4[[#This Row],[Entity]],FIND(".",Table4[[#This Row],[Entity]])-1)</f>
        <v>device_tracker</v>
      </c>
      <c r="J48" t="str">
        <f>MID(Table4[[#This Row],[Entity]],FIND(".",Table4[[#This Row],[Entity]])+1,999)</f>
        <v>carolynsair</v>
      </c>
    </row>
    <row r="49" spans="2:10" x14ac:dyDescent="0.25">
      <c r="B49" t="s">
        <v>47</v>
      </c>
      <c r="C49" t="s">
        <v>42</v>
      </c>
      <c r="E49" t="str">
        <f>IFERROR(FIND("mdi:",Table4[[#This Row],[Attributes]]),"")</f>
        <v/>
      </c>
      <c r="F49" t="str">
        <f>IF(Table4[[#This Row],[loc of mdi]]="","",  IFERROR(FIND(" ",Table4[[#This Row],[Attributes]],Table4[[#This Row],[loc of mdi]]+3),LEN(Table4[[#This Row],[Attributes]])+1))</f>
        <v/>
      </c>
      <c r="G49" t="str">
        <f>IFERROR(MID(Table4[[#This Row],[Attributes]],Table4[[#This Row],[loc of mdi]],Table4[[#This Row],[loc of space after mdi]]-Table4[[#This Row],[loc of mdi]]),"")</f>
        <v/>
      </c>
      <c r="H49" s="4" t="str">
        <f>IF(COUNTIFS(entities[entity_id],Table4[[#This Row],[Entity]])=1,"ok","missing from 'Entities' tab")</f>
        <v>ok</v>
      </c>
      <c r="I49" t="str">
        <f>LEFT(Table4[[#This Row],[Entity]],FIND(".",Table4[[#This Row],[Entity]])-1)</f>
        <v>device_tracker</v>
      </c>
      <c r="J49" t="str">
        <f>MID(Table4[[#This Row],[Entity]],FIND(".",Table4[[#This Row],[Entity]])+1,999)</f>
        <v>chromecast</v>
      </c>
    </row>
    <row r="50" spans="2:10" x14ac:dyDescent="0.25">
      <c r="B50" t="s">
        <v>48</v>
      </c>
      <c r="C50" t="s">
        <v>49</v>
      </c>
      <c r="E50" t="str">
        <f>IFERROR(FIND("mdi:",Table4[[#This Row],[Attributes]]),"")</f>
        <v/>
      </c>
      <c r="F50" t="str">
        <f>IF(Table4[[#This Row],[loc of mdi]]="","",  IFERROR(FIND(" ",Table4[[#This Row],[Attributes]],Table4[[#This Row],[loc of mdi]]+3),LEN(Table4[[#This Row],[Attributes]])+1))</f>
        <v/>
      </c>
      <c r="G50" t="str">
        <f>IFERROR(MID(Table4[[#This Row],[Attributes]],Table4[[#This Row],[loc of mdi]],Table4[[#This Row],[loc of space after mdi]]-Table4[[#This Row],[loc of mdi]]),"")</f>
        <v/>
      </c>
      <c r="H50" s="4" t="str">
        <f>IF(COUNTIFS(entities[entity_id],Table4[[#This Row],[Entity]])=1,"ok","missing from 'Entities' tab")</f>
        <v>ok</v>
      </c>
      <c r="I50" t="str">
        <f>LEFT(Table4[[#This Row],[Entity]],FIND(".",Table4[[#This Row],[Entity]])-1)</f>
        <v>device_tracker</v>
      </c>
      <c r="J50" t="str">
        <f>MID(Table4[[#This Row],[Entity]],FIND(".",Table4[[#This Row],[Entity]])+1,999)</f>
        <v>chromecast_2</v>
      </c>
    </row>
    <row r="51" spans="2:10" x14ac:dyDescent="0.25">
      <c r="B51" t="s">
        <v>50</v>
      </c>
      <c r="C51" t="s">
        <v>49</v>
      </c>
      <c r="E51" t="str">
        <f>IFERROR(FIND("mdi:",Table4[[#This Row],[Attributes]]),"")</f>
        <v/>
      </c>
      <c r="F51" t="str">
        <f>IF(Table4[[#This Row],[loc of mdi]]="","",  IFERROR(FIND(" ",Table4[[#This Row],[Attributes]],Table4[[#This Row],[loc of mdi]]+3),LEN(Table4[[#This Row],[Attributes]])+1))</f>
        <v/>
      </c>
      <c r="G51" t="str">
        <f>IFERROR(MID(Table4[[#This Row],[Attributes]],Table4[[#This Row],[loc of mdi]],Table4[[#This Row],[loc of space after mdi]]-Table4[[#This Row],[loc of mdi]]),"")</f>
        <v/>
      </c>
      <c r="H51" s="4" t="str">
        <f>IF(COUNTIFS(entities[entity_id],Table4[[#This Row],[Entity]])=1,"ok","missing from 'Entities' tab")</f>
        <v>ok</v>
      </c>
      <c r="I51" t="str">
        <f>LEFT(Table4[[#This Row],[Entity]],FIND(".",Table4[[#This Row],[Entity]])-1)</f>
        <v>device_tracker</v>
      </c>
      <c r="J51" t="str">
        <f>MID(Table4[[#This Row],[Entity]],FIND(".",Table4[[#This Row],[Entity]])+1,999)</f>
        <v>daniel_br</v>
      </c>
    </row>
    <row r="52" spans="2:10" x14ac:dyDescent="0.25">
      <c r="B52" t="s">
        <v>51</v>
      </c>
      <c r="C52" t="s">
        <v>42</v>
      </c>
      <c r="E52" t="str">
        <f>IFERROR(FIND("mdi:",Table4[[#This Row],[Attributes]]),"")</f>
        <v/>
      </c>
      <c r="F52" t="str">
        <f>IF(Table4[[#This Row],[loc of mdi]]="","",  IFERROR(FIND(" ",Table4[[#This Row],[Attributes]],Table4[[#This Row],[loc of mdi]]+3),LEN(Table4[[#This Row],[Attributes]])+1))</f>
        <v/>
      </c>
      <c r="G52" t="str">
        <f>IFERROR(MID(Table4[[#This Row],[Attributes]],Table4[[#This Row],[loc of mdi]],Table4[[#This Row],[loc of space after mdi]]-Table4[[#This Row],[loc of mdi]]),"")</f>
        <v/>
      </c>
      <c r="H52" s="4" t="str">
        <f>IF(COUNTIFS(entities[entity_id],Table4[[#This Row],[Entity]])=1,"ok","missing from 'Entities' tab")</f>
        <v>ok</v>
      </c>
      <c r="I52" t="str">
        <f>LEFT(Table4[[#This Row],[Entity]],FIND(".",Table4[[#This Row],[Entity]])-1)</f>
        <v>device_tracker</v>
      </c>
      <c r="J52" t="str">
        <f>MID(Table4[[#This Row],[Entity]],FIND(".",Table4[[#This Row],[Entity]])+1,999)</f>
        <v>daniel_laptop</v>
      </c>
    </row>
    <row r="53" spans="2:10" x14ac:dyDescent="0.25">
      <c r="B53" t="s">
        <v>52</v>
      </c>
      <c r="C53" t="s">
        <v>42</v>
      </c>
      <c r="E53" t="str">
        <f>IFERROR(FIND("mdi:",Table4[[#This Row],[Attributes]]),"")</f>
        <v/>
      </c>
      <c r="F53" t="str">
        <f>IF(Table4[[#This Row],[loc of mdi]]="","",  IFERROR(FIND(" ",Table4[[#This Row],[Attributes]],Table4[[#This Row],[loc of mdi]]+3),LEN(Table4[[#This Row],[Attributes]])+1))</f>
        <v/>
      </c>
      <c r="G53" t="str">
        <f>IFERROR(MID(Table4[[#This Row],[Attributes]],Table4[[#This Row],[loc of mdi]],Table4[[#This Row],[loc of space after mdi]]-Table4[[#This Row],[loc of mdi]]),"")</f>
        <v/>
      </c>
      <c r="H53" s="4" t="str">
        <f>IF(COUNTIFS(entities[entity_id],Table4[[#This Row],[Entity]])=1,"ok","missing from 'Entities' tab")</f>
        <v>ok</v>
      </c>
      <c r="I53" t="str">
        <f>LEFT(Table4[[#This Row],[Entity]],FIND(".",Table4[[#This Row],[Entity]])-1)</f>
        <v>device_tracker</v>
      </c>
      <c r="J53" t="str">
        <f>MID(Table4[[#This Row],[Entity]],FIND(".",Table4[[#This Row],[Entity]])+1,999)</f>
        <v>daniel_phone</v>
      </c>
    </row>
    <row r="54" spans="2:10" x14ac:dyDescent="0.25">
      <c r="B54" t="s">
        <v>53</v>
      </c>
      <c r="C54" t="s">
        <v>49</v>
      </c>
      <c r="E54" t="str">
        <f>IFERROR(FIND("mdi:",Table4[[#This Row],[Attributes]]),"")</f>
        <v/>
      </c>
      <c r="F54" t="str">
        <f>IF(Table4[[#This Row],[loc of mdi]]="","",  IFERROR(FIND(" ",Table4[[#This Row],[Attributes]],Table4[[#This Row],[loc of mdi]]+3),LEN(Table4[[#This Row],[Attributes]])+1))</f>
        <v/>
      </c>
      <c r="G54" t="str">
        <f>IFERROR(MID(Table4[[#This Row],[Attributes]],Table4[[#This Row],[loc of mdi]],Table4[[#This Row],[loc of space after mdi]]-Table4[[#This Row],[loc of mdi]]),"")</f>
        <v/>
      </c>
      <c r="H54" s="4" t="str">
        <f>IF(COUNTIFS(entities[entity_id],Table4[[#This Row],[Entity]])=1,"ok","missing from 'Entities' tab")</f>
        <v>ok</v>
      </c>
      <c r="I54" t="str">
        <f>LEFT(Table4[[#This Row],[Entity]],FIND(".",Table4[[#This Row],[Entity]])-1)</f>
        <v>device_tracker</v>
      </c>
      <c r="J54" t="str">
        <f>MID(Table4[[#This Row],[Entity]],FIND(".",Table4[[#This Row],[Entity]])+1,999)</f>
        <v>echo_dot</v>
      </c>
    </row>
    <row r="55" spans="2:10" x14ac:dyDescent="0.25">
      <c r="B55" t="s">
        <v>724</v>
      </c>
      <c r="C55" t="s">
        <v>42</v>
      </c>
      <c r="E55" t="str">
        <f>IFERROR(FIND("mdi:",Table4[[#This Row],[Attributes]]),"")</f>
        <v/>
      </c>
      <c r="F55" t="str">
        <f>IF(Table4[[#This Row],[loc of mdi]]="","",  IFERROR(FIND(" ",Table4[[#This Row],[Attributes]],Table4[[#This Row],[loc of mdi]]+3),LEN(Table4[[#This Row],[Attributes]])+1))</f>
        <v/>
      </c>
      <c r="G55" t="str">
        <f>IFERROR(MID(Table4[[#This Row],[Attributes]],Table4[[#This Row],[loc of mdi]],Table4[[#This Row],[loc of space after mdi]]-Table4[[#This Row],[loc of mdi]]),"")</f>
        <v/>
      </c>
      <c r="H55" s="4" t="str">
        <f>IF(COUNTIFS(entities[entity_id],Table4[[#This Row],[Entity]])=1,"ok","missing from 'Entities' tab")</f>
        <v>ok</v>
      </c>
      <c r="I55" t="str">
        <f>LEFT(Table4[[#This Row],[Entity]],FIND(".",Table4[[#This Row],[Entity]])-1)</f>
        <v>device_tracker</v>
      </c>
      <c r="J55" t="str">
        <f>MID(Table4[[#This Row],[Entity]],FIND(".",Table4[[#This Row],[Entity]])+1,999)</f>
        <v>echo_tap</v>
      </c>
    </row>
    <row r="56" spans="2:10" x14ac:dyDescent="0.25">
      <c r="B56" t="s">
        <v>54</v>
      </c>
      <c r="C56" t="s">
        <v>42</v>
      </c>
      <c r="E56" t="str">
        <f>IFERROR(FIND("mdi:",Table4[[#This Row],[Attributes]]),"")</f>
        <v/>
      </c>
      <c r="F56" t="str">
        <f>IF(Table4[[#This Row],[loc of mdi]]="","",  IFERROR(FIND(" ",Table4[[#This Row],[Attributes]],Table4[[#This Row],[loc of mdi]]+3),LEN(Table4[[#This Row],[Attributes]])+1))</f>
        <v/>
      </c>
      <c r="G56" t="str">
        <f>IFERROR(MID(Table4[[#This Row],[Attributes]],Table4[[#This Row],[loc of mdi]],Table4[[#This Row],[loc of space after mdi]]-Table4[[#This Row],[loc of mdi]]),"")</f>
        <v/>
      </c>
      <c r="H56" s="4" t="str">
        <f>IF(COUNTIFS(entities[entity_id],Table4[[#This Row],[Entity]])=1,"ok","missing from 'Entities' tab")</f>
        <v>ok</v>
      </c>
      <c r="I56" t="str">
        <f>LEFT(Table4[[#This Row],[Entity]],FIND(".",Table4[[#This Row],[Entity]])-1)</f>
        <v>device_tracker</v>
      </c>
      <c r="J56" t="str">
        <f>MID(Table4[[#This Row],[Entity]],FIND(".",Table4[[#This Row],[Entity]])+1,999)</f>
        <v>gear_fit_2</v>
      </c>
    </row>
    <row r="57" spans="2:10" x14ac:dyDescent="0.25">
      <c r="B57" t="s">
        <v>55</v>
      </c>
      <c r="C57" t="s">
        <v>49</v>
      </c>
      <c r="E57" t="str">
        <f>IFERROR(FIND("mdi:",Table4[[#This Row],[Attributes]]),"")</f>
        <v/>
      </c>
      <c r="F57" t="str">
        <f>IF(Table4[[#This Row],[loc of mdi]]="","",  IFERROR(FIND(" ",Table4[[#This Row],[Attributes]],Table4[[#This Row],[loc of mdi]]+3),LEN(Table4[[#This Row],[Attributes]])+1))</f>
        <v/>
      </c>
      <c r="G57" t="str">
        <f>IFERROR(MID(Table4[[#This Row],[Attributes]],Table4[[#This Row],[loc of mdi]],Table4[[#This Row],[loc of space after mdi]]-Table4[[#This Row],[loc of mdi]]),"")</f>
        <v/>
      </c>
      <c r="H57" s="4" t="str">
        <f>IF(COUNTIFS(entities[entity_id],Table4[[#This Row],[Entity]])=1,"ok","missing from 'Entities' tab")</f>
        <v>ok</v>
      </c>
      <c r="I57" t="str">
        <f>LEFT(Table4[[#This Row],[Entity]],FIND(".",Table4[[#This Row],[Entity]])-1)</f>
        <v>device_tracker</v>
      </c>
      <c r="J57" t="str">
        <f>MID(Table4[[#This Row],[Entity]],FIND(".",Table4[[#This Row],[Entity]])+1,999)</f>
        <v>growler</v>
      </c>
    </row>
    <row r="58" spans="2:10" x14ac:dyDescent="0.25">
      <c r="B58" t="s">
        <v>56</v>
      </c>
      <c r="C58" t="s">
        <v>42</v>
      </c>
      <c r="E58" t="str">
        <f>IFERROR(FIND("mdi:",Table4[[#This Row],[Attributes]]),"")</f>
        <v/>
      </c>
      <c r="F58" t="str">
        <f>IF(Table4[[#This Row],[loc of mdi]]="","",  IFERROR(FIND(" ",Table4[[#This Row],[Attributes]],Table4[[#This Row],[loc of mdi]]+3),LEN(Table4[[#This Row],[Attributes]])+1))</f>
        <v/>
      </c>
      <c r="G58" t="str">
        <f>IFERROR(MID(Table4[[#This Row],[Attributes]],Table4[[#This Row],[loc of mdi]],Table4[[#This Row],[loc of space after mdi]]-Table4[[#This Row],[loc of mdi]]),"")</f>
        <v/>
      </c>
      <c r="H58" s="4" t="str">
        <f>IF(COUNTIFS(entities[entity_id],Table4[[#This Row],[Entity]])=1,"ok","missing from 'Entities' tab")</f>
        <v>ok</v>
      </c>
      <c r="I58" t="str">
        <f>LEFT(Table4[[#This Row],[Entity]],FIND(".",Table4[[#This Row],[Entity]])-1)</f>
        <v>device_tracker</v>
      </c>
      <c r="J58" t="str">
        <f>MID(Table4[[#This Row],[Entity]],FIND(".",Table4[[#This Row],[Entity]])+1,999)</f>
        <v>hue_hub</v>
      </c>
    </row>
    <row r="59" spans="2:10" x14ac:dyDescent="0.25">
      <c r="B59" t="s">
        <v>57</v>
      </c>
      <c r="C59" t="s">
        <v>49</v>
      </c>
      <c r="E59" t="str">
        <f>IFERROR(FIND("mdi:",Table4[[#This Row],[Attributes]]),"")</f>
        <v/>
      </c>
      <c r="F59" t="str">
        <f>IF(Table4[[#This Row],[loc of mdi]]="","",  IFERROR(FIND(" ",Table4[[#This Row],[Attributes]],Table4[[#This Row],[loc of mdi]]+3),LEN(Table4[[#This Row],[Attributes]])+1))</f>
        <v/>
      </c>
      <c r="G59" t="str">
        <f>IFERROR(MID(Table4[[#This Row],[Attributes]],Table4[[#This Row],[loc of mdi]],Table4[[#This Row],[loc of space after mdi]]-Table4[[#This Row],[loc of mdi]]),"")</f>
        <v/>
      </c>
      <c r="H59" s="4" t="str">
        <f>IF(COUNTIFS(entities[entity_id],Table4[[#This Row],[Entity]])=1,"ok","missing from 'Entities' tab")</f>
        <v>ok</v>
      </c>
      <c r="I59" t="str">
        <f>LEFT(Table4[[#This Row],[Entity]],FIND(".",Table4[[#This Row],[Entity]])-1)</f>
        <v>device_tracker</v>
      </c>
      <c r="J59" t="str">
        <f>MID(Table4[[#This Row],[Entity]],FIND(".",Table4[[#This Row],[Entity]])+1,999)</f>
        <v>humvee</v>
      </c>
    </row>
    <row r="60" spans="2:10" x14ac:dyDescent="0.25">
      <c r="B60" t="s">
        <v>58</v>
      </c>
      <c r="C60" t="s">
        <v>42</v>
      </c>
      <c r="E60" t="str">
        <f>IFERROR(FIND("mdi:",Table4[[#This Row],[Attributes]]),"")</f>
        <v/>
      </c>
      <c r="F60" t="str">
        <f>IF(Table4[[#This Row],[loc of mdi]]="","",  IFERROR(FIND(" ",Table4[[#This Row],[Attributes]],Table4[[#This Row],[loc of mdi]]+3),LEN(Table4[[#This Row],[Attributes]])+1))</f>
        <v/>
      </c>
      <c r="G60" t="str">
        <f>IFERROR(MID(Table4[[#This Row],[Attributes]],Table4[[#This Row],[loc of mdi]],Table4[[#This Row],[loc of space after mdi]]-Table4[[#This Row],[loc of mdi]]),"")</f>
        <v/>
      </c>
      <c r="H60" s="4" t="str">
        <f>IF(COUNTIFS(entities[entity_id],Table4[[#This Row],[Entity]])=1,"ok","missing from 'Entities' tab")</f>
        <v>ok</v>
      </c>
      <c r="I60" t="str">
        <f>LEFT(Table4[[#This Row],[Entity]],FIND(".",Table4[[#This Row],[Entity]])-1)</f>
        <v>device_tracker</v>
      </c>
      <c r="J60" t="str">
        <f>MID(Table4[[#This Row],[Entity]],FIND(".",Table4[[#This Row],[Entity]])+1,999)</f>
        <v>jeep</v>
      </c>
    </row>
    <row r="61" spans="2:10" x14ac:dyDescent="0.25">
      <c r="B61" t="s">
        <v>59</v>
      </c>
      <c r="C61" t="s">
        <v>49</v>
      </c>
      <c r="E61" t="str">
        <f>IFERROR(FIND("mdi:",Table4[[#This Row],[Attributes]]),"")</f>
        <v/>
      </c>
      <c r="F61" t="str">
        <f>IF(Table4[[#This Row],[loc of mdi]]="","",  IFERROR(FIND(" ",Table4[[#This Row],[Attributes]],Table4[[#This Row],[loc of mdi]]+3),LEN(Table4[[#This Row],[Attributes]])+1))</f>
        <v/>
      </c>
      <c r="G61" t="str">
        <f>IFERROR(MID(Table4[[#This Row],[Attributes]],Table4[[#This Row],[loc of mdi]],Table4[[#This Row],[loc of space after mdi]]-Table4[[#This Row],[loc of mdi]]),"")</f>
        <v/>
      </c>
      <c r="H61" s="4" t="str">
        <f>IF(COUNTIFS(entities[entity_id],Table4[[#This Row],[Entity]])=1,"ok","missing from 'Entities' tab")</f>
        <v>ok</v>
      </c>
      <c r="I61" t="str">
        <f>LEFT(Table4[[#This Row],[Entity]],FIND(".",Table4[[#This Row],[Entity]])-1)</f>
        <v>device_tracker</v>
      </c>
      <c r="J61" t="str">
        <f>MID(Table4[[#This Row],[Entity]],FIND(".",Table4[[#This Row],[Entity]])+1,999)</f>
        <v>jtac</v>
      </c>
    </row>
    <row r="62" spans="2:10" x14ac:dyDescent="0.25">
      <c r="B62" t="s">
        <v>60</v>
      </c>
      <c r="C62" t="s">
        <v>42</v>
      </c>
      <c r="E62" t="str">
        <f>IFERROR(FIND("mdi:",Table4[[#This Row],[Attributes]]),"")</f>
        <v/>
      </c>
      <c r="F62" t="str">
        <f>IF(Table4[[#This Row],[loc of mdi]]="","",  IFERROR(FIND(" ",Table4[[#This Row],[Attributes]],Table4[[#This Row],[loc of mdi]]+3),LEN(Table4[[#This Row],[Attributes]])+1))</f>
        <v/>
      </c>
      <c r="G62" t="str">
        <f>IFERROR(MID(Table4[[#This Row],[Attributes]],Table4[[#This Row],[loc of mdi]],Table4[[#This Row],[loc of space after mdi]]-Table4[[#This Row],[loc of mdi]]),"")</f>
        <v/>
      </c>
      <c r="H62" s="4" t="str">
        <f>IF(COUNTIFS(entities[entity_id],Table4[[#This Row],[Entity]])=1,"ok","missing from 'Entities' tab")</f>
        <v>ok</v>
      </c>
      <c r="I62" t="str">
        <f>LEFT(Table4[[#This Row],[Entity]],FIND(".",Table4[[#This Row],[Entity]])-1)</f>
        <v>device_tracker</v>
      </c>
      <c r="J62" t="str">
        <f>MID(Table4[[#This Row],[Entity]],FIND(".",Table4[[#This Row],[Entity]])+1,999)</f>
        <v>raspi_vpn</v>
      </c>
    </row>
    <row r="63" spans="2:10" x14ac:dyDescent="0.25">
      <c r="B63" t="s">
        <v>61</v>
      </c>
      <c r="C63" t="s">
        <v>49</v>
      </c>
      <c r="E63" t="str">
        <f>IFERROR(FIND("mdi:",Table4[[#This Row],[Attributes]]),"")</f>
        <v/>
      </c>
      <c r="F63" t="str">
        <f>IF(Table4[[#This Row],[loc of mdi]]="","",  IFERROR(FIND(" ",Table4[[#This Row],[Attributes]],Table4[[#This Row],[loc of mdi]]+3),LEN(Table4[[#This Row],[Attributes]])+1))</f>
        <v/>
      </c>
      <c r="G63" t="str">
        <f>IFERROR(MID(Table4[[#This Row],[Attributes]],Table4[[#This Row],[loc of mdi]],Table4[[#This Row],[loc of space after mdi]]-Table4[[#This Row],[loc of mdi]]),"")</f>
        <v/>
      </c>
      <c r="H63" s="4" t="str">
        <f>IF(COUNTIFS(entities[entity_id],Table4[[#This Row],[Entity]])=1,"ok","missing from 'Entities' tab")</f>
        <v>ok</v>
      </c>
      <c r="I63" t="str">
        <f>LEFT(Table4[[#This Row],[Entity]],FIND(".",Table4[[#This Row],[Entity]])-1)</f>
        <v>device_tracker</v>
      </c>
      <c r="J63" t="str">
        <f>MID(Table4[[#This Row],[Entity]],FIND(".",Table4[[#This Row],[Entity]])+1,999)</f>
        <v>ron_phone</v>
      </c>
    </row>
    <row r="64" spans="2:10" x14ac:dyDescent="0.25">
      <c r="B64" t="s">
        <v>62</v>
      </c>
      <c r="C64" t="s">
        <v>49</v>
      </c>
      <c r="E64" t="str">
        <f>IFERROR(FIND("mdi:",Table4[[#This Row],[Attributes]]),"")</f>
        <v/>
      </c>
      <c r="F64" t="str">
        <f>IF(Table4[[#This Row],[loc of mdi]]="","",  IFERROR(FIND(" ",Table4[[#This Row],[Attributes]],Table4[[#This Row],[loc of mdi]]+3),LEN(Table4[[#This Row],[Attributes]])+1))</f>
        <v/>
      </c>
      <c r="G64" t="str">
        <f>IFERROR(MID(Table4[[#This Row],[Attributes]],Table4[[#This Row],[loc of mdi]],Table4[[#This Row],[loc of space after mdi]]-Table4[[#This Row],[loc of mdi]]),"")</f>
        <v/>
      </c>
      <c r="H64" s="4" t="str">
        <f>IF(COUNTIFS(entities[entity_id],Table4[[#This Row],[Entity]])=1,"ok","missing from 'Entities' tab")</f>
        <v>ok</v>
      </c>
      <c r="I64" t="str">
        <f>LEFT(Table4[[#This Row],[Entity]],FIND(".",Table4[[#This Row],[Entity]])-1)</f>
        <v>device_tracker</v>
      </c>
      <c r="J64" t="str">
        <f>MID(Table4[[#This Row],[Entity]],FIND(".",Table4[[#This Row],[Entity]])+1,999)</f>
        <v>tank</v>
      </c>
    </row>
    <row r="65" spans="2:10" x14ac:dyDescent="0.25">
      <c r="B65" t="s">
        <v>63</v>
      </c>
      <c r="C65" t="s">
        <v>42</v>
      </c>
      <c r="E65" t="str">
        <f>IFERROR(FIND("mdi:",Table4[[#This Row],[Attributes]]),"")</f>
        <v/>
      </c>
      <c r="F65" t="str">
        <f>IF(Table4[[#This Row],[loc of mdi]]="","",  IFERROR(FIND(" ",Table4[[#This Row],[Attributes]],Table4[[#This Row],[loc of mdi]]+3),LEN(Table4[[#This Row],[Attributes]])+1))</f>
        <v/>
      </c>
      <c r="G65" t="str">
        <f>IFERROR(MID(Table4[[#This Row],[Attributes]],Table4[[#This Row],[loc of mdi]],Table4[[#This Row],[loc of space after mdi]]-Table4[[#This Row],[loc of mdi]]),"")</f>
        <v/>
      </c>
      <c r="H65" s="4" t="str">
        <f>IF(COUNTIFS(entities[entity_id],Table4[[#This Row],[Entity]])=1,"ok","missing from 'Entities' tab")</f>
        <v>ok</v>
      </c>
      <c r="I65" t="str">
        <f>LEFT(Table4[[#This Row],[Entity]],FIND(".",Table4[[#This Row],[Entity]])-1)</f>
        <v>device_tracker</v>
      </c>
      <c r="J65" t="str">
        <f>MID(Table4[[#This Row],[Entity]],FIND(".",Table4[[#This Row],[Entity]])+1,999)</f>
        <v>tplink_switch</v>
      </c>
    </row>
    <row r="66" spans="2:10" x14ac:dyDescent="0.25">
      <c r="B66" t="s">
        <v>64</v>
      </c>
      <c r="C66" t="s">
        <v>42</v>
      </c>
      <c r="E66" t="str">
        <f>IFERROR(FIND("mdi:",Table4[[#This Row],[Attributes]]),"")</f>
        <v/>
      </c>
      <c r="F66" t="str">
        <f>IF(Table4[[#This Row],[loc of mdi]]="","",  IFERROR(FIND(" ",Table4[[#This Row],[Attributes]],Table4[[#This Row],[loc of mdi]]+3),LEN(Table4[[#This Row],[Attributes]])+1))</f>
        <v/>
      </c>
      <c r="G66" t="str">
        <f>IFERROR(MID(Table4[[#This Row],[Attributes]],Table4[[#This Row],[loc of mdi]],Table4[[#This Row],[loc of space after mdi]]-Table4[[#This Row],[loc of mdi]]),"")</f>
        <v/>
      </c>
      <c r="H66" s="4" t="str">
        <f>IF(COUNTIFS(entities[entity_id],Table4[[#This Row],[Entity]])=1,"ok","missing from 'Entities' tab")</f>
        <v>ok</v>
      </c>
      <c r="I66" t="str">
        <f>LEFT(Table4[[#This Row],[Entity]],FIND(".",Table4[[#This Row],[Entity]])-1)</f>
        <v>device_tracker</v>
      </c>
      <c r="J66" t="str">
        <f>MID(Table4[[#This Row],[Entity]],FIND(".",Table4[[#This Row],[Entity]])+1,999)</f>
        <v>vera_lite</v>
      </c>
    </row>
    <row r="67" spans="2:10" x14ac:dyDescent="0.25">
      <c r="B67" t="s">
        <v>65</v>
      </c>
      <c r="C67" t="s">
        <v>49</v>
      </c>
      <c r="E67" t="str">
        <f>IFERROR(FIND("mdi:",Table4[[#This Row],[Attributes]]),"")</f>
        <v/>
      </c>
      <c r="F67" t="str">
        <f>IF(Table4[[#This Row],[loc of mdi]]="","",  IFERROR(FIND(" ",Table4[[#This Row],[Attributes]],Table4[[#This Row],[loc of mdi]]+3),LEN(Table4[[#This Row],[Attributes]])+1))</f>
        <v/>
      </c>
      <c r="G67" t="str">
        <f>IFERROR(MID(Table4[[#This Row],[Attributes]],Table4[[#This Row],[loc of mdi]],Table4[[#This Row],[loc of space after mdi]]-Table4[[#This Row],[loc of mdi]]),"")</f>
        <v/>
      </c>
      <c r="H67" s="4" t="str">
        <f>IF(COUNTIFS(entities[entity_id],Table4[[#This Row],[Entity]])=1,"ok","missing from 'Entities' tab")</f>
        <v>ok</v>
      </c>
      <c r="I67" t="str">
        <f>LEFT(Table4[[#This Row],[Entity]],FIND(".",Table4[[#This Row],[Entity]])-1)</f>
        <v>device_tracker</v>
      </c>
      <c r="J67" t="str">
        <f>MID(Table4[[#This Row],[Entity]],FIND(".",Table4[[#This Row],[Entity]])+1,999)</f>
        <v>wf2ir</v>
      </c>
    </row>
    <row r="68" spans="2:10" x14ac:dyDescent="0.25">
      <c r="B68" t="s">
        <v>66</v>
      </c>
      <c r="C68" t="s">
        <v>42</v>
      </c>
      <c r="E68" t="str">
        <f>IFERROR(FIND("mdi:",Table4[[#This Row],[Attributes]]),"")</f>
        <v/>
      </c>
      <c r="F68" t="str">
        <f>IF(Table4[[#This Row],[loc of mdi]]="","",  IFERROR(FIND(" ",Table4[[#This Row],[Attributes]],Table4[[#This Row],[loc of mdi]]+3),LEN(Table4[[#This Row],[Attributes]])+1))</f>
        <v/>
      </c>
      <c r="G68" t="str">
        <f>IFERROR(MID(Table4[[#This Row],[Attributes]],Table4[[#This Row],[loc of mdi]],Table4[[#This Row],[loc of space after mdi]]-Table4[[#This Row],[loc of mdi]]),"")</f>
        <v/>
      </c>
      <c r="H68" s="4" t="str">
        <f>IF(COUNTIFS(entities[entity_id],Table4[[#This Row],[Entity]])=1,"ok","missing from 'Entities' tab")</f>
        <v>ok</v>
      </c>
      <c r="I68" t="str">
        <f>LEFT(Table4[[#This Row],[Entity]],FIND(".",Table4[[#This Row],[Entity]])-1)</f>
        <v>device_tracker</v>
      </c>
      <c r="J68" t="str">
        <f>MID(Table4[[#This Row],[Entity]],FIND(".",Table4[[#This Row],[Entity]])+1,999)</f>
        <v>withings_scale</v>
      </c>
    </row>
    <row r="69" spans="2:10" x14ac:dyDescent="0.25">
      <c r="B69" t="s">
        <v>67</v>
      </c>
      <c r="C69" t="s">
        <v>1</v>
      </c>
      <c r="E69" t="str">
        <f>IFERROR(FIND("mdi:",Table4[[#This Row],[Attributes]]),"")</f>
        <v/>
      </c>
      <c r="F69" t="str">
        <f>IF(Table4[[#This Row],[loc of mdi]]="","",  IFERROR(FIND(" ",Table4[[#This Row],[Attributes]],Table4[[#This Row],[loc of mdi]]+3),LEN(Table4[[#This Row],[Attributes]])+1))</f>
        <v/>
      </c>
      <c r="G69" t="str">
        <f>IFERROR(MID(Table4[[#This Row],[Attributes]],Table4[[#This Row],[loc of mdi]],Table4[[#This Row],[loc of space after mdi]]-Table4[[#This Row],[loc of mdi]]),"")</f>
        <v/>
      </c>
      <c r="H69" s="4" t="str">
        <f>IF(COUNTIFS(entities[entity_id],Table4[[#This Row],[Entity]])=1,"ok","missing from 'Entities' tab")</f>
        <v>ok</v>
      </c>
      <c r="I69" t="str">
        <f>LEFT(Table4[[#This Row],[Entity]],FIND(".",Table4[[#This Row],[Entity]])-1)</f>
        <v>group</v>
      </c>
      <c r="J69" t="str">
        <f>MID(Table4[[#This Row],[Entity]],FIND(".",Table4[[#This Row],[Entity]])+1,999)</f>
        <v>alarm_clock</v>
      </c>
    </row>
    <row r="70" spans="2:10" x14ac:dyDescent="0.25">
      <c r="B70" t="s">
        <v>68</v>
      </c>
      <c r="C70" t="s">
        <v>1</v>
      </c>
      <c r="E70" t="str">
        <f>IFERROR(FIND("mdi:",Table4[[#This Row],[Attributes]]),"")</f>
        <v/>
      </c>
      <c r="F70" t="str">
        <f>IF(Table4[[#This Row],[loc of mdi]]="","",  IFERROR(FIND(" ",Table4[[#This Row],[Attributes]],Table4[[#This Row],[loc of mdi]]+3),LEN(Table4[[#This Row],[Attributes]])+1))</f>
        <v/>
      </c>
      <c r="G70" t="str">
        <f>IFERROR(MID(Table4[[#This Row],[Attributes]],Table4[[#This Row],[loc of mdi]],Table4[[#This Row],[loc of space after mdi]]-Table4[[#This Row],[loc of mdi]]),"")</f>
        <v/>
      </c>
      <c r="H70" s="4" t="str">
        <f>IF(COUNTIFS(entities[entity_id],Table4[[#This Row],[Entity]])=1,"ok","missing from 'Entities' tab")</f>
        <v>ok</v>
      </c>
      <c r="I70" t="str">
        <f>LEFT(Table4[[#This Row],[Entity]],FIND(".",Table4[[#This Row],[Entity]])-1)</f>
        <v>group</v>
      </c>
      <c r="J70" t="str">
        <f>MID(Table4[[#This Row],[Entity]],FIND(".",Table4[[#This Row],[Entity]])+1,999)</f>
        <v>all_automations</v>
      </c>
    </row>
    <row r="71" spans="2:10" x14ac:dyDescent="0.25">
      <c r="B71" t="s">
        <v>69</v>
      </c>
      <c r="C71" t="s">
        <v>49</v>
      </c>
      <c r="E71" t="str">
        <f>IFERROR(FIND("mdi:",Table4[[#This Row],[Attributes]]),"")</f>
        <v/>
      </c>
      <c r="F71" t="str">
        <f>IF(Table4[[#This Row],[loc of mdi]]="","",  IFERROR(FIND(" ",Table4[[#This Row],[Attributes]],Table4[[#This Row],[loc of mdi]]+3),LEN(Table4[[#This Row],[Attributes]])+1))</f>
        <v/>
      </c>
      <c r="G71" t="str">
        <f>IFERROR(MID(Table4[[#This Row],[Attributes]],Table4[[#This Row],[loc of mdi]],Table4[[#This Row],[loc of space after mdi]]-Table4[[#This Row],[loc of mdi]]),"")</f>
        <v/>
      </c>
      <c r="H71" s="4" t="str">
        <f>IF(COUNTIFS(entities[entity_id],Table4[[#This Row],[Entity]])=1,"ok","missing from 'Entities' tab")</f>
        <v>ok</v>
      </c>
      <c r="I71" t="str">
        <f>LEFT(Table4[[#This Row],[Entity]],FIND(".",Table4[[#This Row],[Entity]])-1)</f>
        <v>group</v>
      </c>
      <c r="J71" t="str">
        <f>MID(Table4[[#This Row],[Entity]],FIND(".",Table4[[#This Row],[Entity]])+1,999)</f>
        <v>all_devices</v>
      </c>
    </row>
    <row r="72" spans="2:10" x14ac:dyDescent="0.25">
      <c r="B72" t="s">
        <v>70</v>
      </c>
      <c r="C72" t="s">
        <v>1</v>
      </c>
      <c r="E72" t="str">
        <f>IFERROR(FIND("mdi:",Table4[[#This Row],[Attributes]]),"")</f>
        <v/>
      </c>
      <c r="F72" t="str">
        <f>IF(Table4[[#This Row],[loc of mdi]]="","",  IFERROR(FIND(" ",Table4[[#This Row],[Attributes]],Table4[[#This Row],[loc of mdi]]+3),LEN(Table4[[#This Row],[Attributes]])+1))</f>
        <v/>
      </c>
      <c r="G72" t="str">
        <f>IFERROR(MID(Table4[[#This Row],[Attributes]],Table4[[#This Row],[loc of mdi]],Table4[[#This Row],[loc of space after mdi]]-Table4[[#This Row],[loc of mdi]]),"")</f>
        <v/>
      </c>
      <c r="H72" s="4" t="str">
        <f>IF(COUNTIFS(entities[entity_id],Table4[[#This Row],[Entity]])=1,"ok","missing from 'Entities' tab")</f>
        <v>ok</v>
      </c>
      <c r="I72" t="str">
        <f>LEFT(Table4[[#This Row],[Entity]],FIND(".",Table4[[#This Row],[Entity]])-1)</f>
        <v>group</v>
      </c>
      <c r="J72" t="str">
        <f>MID(Table4[[#This Row],[Entity]],FIND(".",Table4[[#This Row],[Entity]])+1,999)</f>
        <v>all_lights</v>
      </c>
    </row>
    <row r="73" spans="2:10" x14ac:dyDescent="0.25">
      <c r="B73" t="s">
        <v>655</v>
      </c>
      <c r="C73" t="s">
        <v>40</v>
      </c>
      <c r="E73" t="str">
        <f>IFERROR(FIND("mdi:",Table4[[#This Row],[Attributes]]),"")</f>
        <v/>
      </c>
      <c r="F73" t="str">
        <f>IF(Table4[[#This Row],[loc of mdi]]="","",  IFERROR(FIND(" ",Table4[[#This Row],[Attributes]],Table4[[#This Row],[loc of mdi]]+3),LEN(Table4[[#This Row],[Attributes]])+1))</f>
        <v/>
      </c>
      <c r="G73" t="str">
        <f>IFERROR(MID(Table4[[#This Row],[Attributes]],Table4[[#This Row],[loc of mdi]],Table4[[#This Row],[loc of space after mdi]]-Table4[[#This Row],[loc of mdi]]),"")</f>
        <v/>
      </c>
      <c r="H73" s="4" t="str">
        <f>IF(COUNTIFS(entities[entity_id],Table4[[#This Row],[Entity]])=1,"ok","missing from 'Entities' tab")</f>
        <v>ok</v>
      </c>
      <c r="I73" t="str">
        <f>LEFT(Table4[[#This Row],[Entity]],FIND(".",Table4[[#This Row],[Entity]])-1)</f>
        <v>group</v>
      </c>
      <c r="J73" t="str">
        <f>MID(Table4[[#This Row],[Entity]],FIND(".",Table4[[#This Row],[Entity]])+1,999)</f>
        <v>all_remotes</v>
      </c>
    </row>
    <row r="74" spans="2:10" x14ac:dyDescent="0.25">
      <c r="B74" t="s">
        <v>71</v>
      </c>
      <c r="C74" t="s">
        <v>40</v>
      </c>
      <c r="E74" t="str">
        <f>IFERROR(FIND("mdi:",Table4[[#This Row],[Attributes]]),"")</f>
        <v/>
      </c>
      <c r="F74" t="str">
        <f>IF(Table4[[#This Row],[loc of mdi]]="","",  IFERROR(FIND(" ",Table4[[#This Row],[Attributes]],Table4[[#This Row],[loc of mdi]]+3),LEN(Table4[[#This Row],[Attributes]])+1))</f>
        <v/>
      </c>
      <c r="G74" t="str">
        <f>IFERROR(MID(Table4[[#This Row],[Attributes]],Table4[[#This Row],[loc of mdi]],Table4[[#This Row],[loc of space after mdi]]-Table4[[#This Row],[loc of mdi]]),"")</f>
        <v/>
      </c>
      <c r="H74" s="4" t="str">
        <f>IF(COUNTIFS(entities[entity_id],Table4[[#This Row],[Entity]])=1,"ok","missing from 'Entities' tab")</f>
        <v>ok</v>
      </c>
      <c r="I74" t="str">
        <f>LEFT(Table4[[#This Row],[Entity]],FIND(".",Table4[[#This Row],[Entity]])-1)</f>
        <v>group</v>
      </c>
      <c r="J74" t="str">
        <f>MID(Table4[[#This Row],[Entity]],FIND(".",Table4[[#This Row],[Entity]])+1,999)</f>
        <v>all_scripts</v>
      </c>
    </row>
    <row r="75" spans="2:10" x14ac:dyDescent="0.25">
      <c r="B75" t="s">
        <v>72</v>
      </c>
      <c r="C75" t="s">
        <v>1</v>
      </c>
      <c r="E75" t="str">
        <f>IFERROR(FIND("mdi:",Table4[[#This Row],[Attributes]]),"")</f>
        <v/>
      </c>
      <c r="F75" t="str">
        <f>IF(Table4[[#This Row],[loc of mdi]]="","",  IFERROR(FIND(" ",Table4[[#This Row],[Attributes]],Table4[[#This Row],[loc of mdi]]+3),LEN(Table4[[#This Row],[Attributes]])+1))</f>
        <v/>
      </c>
      <c r="G75" t="str">
        <f>IFERROR(MID(Table4[[#This Row],[Attributes]],Table4[[#This Row],[loc of mdi]],Table4[[#This Row],[loc of space after mdi]]-Table4[[#This Row],[loc of mdi]]),"")</f>
        <v/>
      </c>
      <c r="H75" s="4" t="str">
        <f>IF(COUNTIFS(entities[entity_id],Table4[[#This Row],[Entity]])=1,"ok","missing from 'Entities' tab")</f>
        <v>ok</v>
      </c>
      <c r="I75" t="str">
        <f>LEFT(Table4[[#This Row],[Entity]],FIND(".",Table4[[#This Row],[Entity]])-1)</f>
        <v>group</v>
      </c>
      <c r="J75" t="str">
        <f>MID(Table4[[#This Row],[Entity]],FIND(".",Table4[[#This Row],[Entity]])+1,999)</f>
        <v>all_switches</v>
      </c>
    </row>
    <row r="76" spans="2:10" x14ac:dyDescent="0.25">
      <c r="B76" t="s">
        <v>73</v>
      </c>
      <c r="C76" t="s">
        <v>1</v>
      </c>
      <c r="E76" t="str">
        <f>IFERROR(FIND("mdi:",Table4[[#This Row],[Attributes]]),"")</f>
        <v/>
      </c>
      <c r="F76" t="str">
        <f>IF(Table4[[#This Row],[loc of mdi]]="","",  IFERROR(FIND(" ",Table4[[#This Row],[Attributes]],Table4[[#This Row],[loc of mdi]]+3),LEN(Table4[[#This Row],[Attributes]])+1))</f>
        <v/>
      </c>
      <c r="G76" t="str">
        <f>IFERROR(MID(Table4[[#This Row],[Attributes]],Table4[[#This Row],[loc of mdi]],Table4[[#This Row],[loc of space after mdi]]-Table4[[#This Row],[loc of mdi]]),"")</f>
        <v/>
      </c>
      <c r="H76" s="4" t="str">
        <f>IF(COUNTIFS(entities[entity_id],Table4[[#This Row],[Entity]])=1,"ok","missing from 'Entities' tab")</f>
        <v>ok</v>
      </c>
      <c r="I76" t="str">
        <f>LEFT(Table4[[#This Row],[Entity]],FIND(".",Table4[[#This Row],[Entity]])-1)</f>
        <v>group</v>
      </c>
      <c r="J76" t="str">
        <f>MID(Table4[[#This Row],[Entity]],FIND(".",Table4[[#This Row],[Entity]])+1,999)</f>
        <v>automation_almclk</v>
      </c>
    </row>
    <row r="77" spans="2:10" x14ac:dyDescent="0.25">
      <c r="B77" t="s">
        <v>74</v>
      </c>
      <c r="C77" t="s">
        <v>87</v>
      </c>
      <c r="E77" t="str">
        <f>IFERROR(FIND("mdi:",Table4[[#This Row],[Attributes]]),"")</f>
        <v/>
      </c>
      <c r="F77" t="str">
        <f>IF(Table4[[#This Row],[loc of mdi]]="","",  IFERROR(FIND(" ",Table4[[#This Row],[Attributes]],Table4[[#This Row],[loc of mdi]]+3),LEN(Table4[[#This Row],[Attributes]])+1))</f>
        <v/>
      </c>
      <c r="G77" t="str">
        <f>IFERROR(MID(Table4[[#This Row],[Attributes]],Table4[[#This Row],[loc of mdi]],Table4[[#This Row],[loc of space after mdi]]-Table4[[#This Row],[loc of mdi]]),"")</f>
        <v/>
      </c>
      <c r="H77" s="4" t="str">
        <f>IF(COUNTIFS(entities[entity_id],Table4[[#This Row],[Entity]])=1,"ok","missing from 'Entities' tab")</f>
        <v>ok</v>
      </c>
      <c r="I77" t="str">
        <f>LEFT(Table4[[#This Row],[Entity]],FIND(".",Table4[[#This Row],[Entity]])-1)</f>
        <v>group</v>
      </c>
      <c r="J77" t="str">
        <f>MID(Table4[[#This Row],[Entity]],FIND(".",Table4[[#This Row],[Entity]])+1,999)</f>
        <v>automation_ifttt</v>
      </c>
    </row>
    <row r="78" spans="2:10" x14ac:dyDescent="0.25">
      <c r="B78" t="s">
        <v>75</v>
      </c>
      <c r="C78" t="s">
        <v>1</v>
      </c>
      <c r="E78" t="str">
        <f>IFERROR(FIND("mdi:",Table4[[#This Row],[Attributes]]),"")</f>
        <v/>
      </c>
      <c r="F78" t="str">
        <f>IF(Table4[[#This Row],[loc of mdi]]="","",  IFERROR(FIND(" ",Table4[[#This Row],[Attributes]],Table4[[#This Row],[loc of mdi]]+3),LEN(Table4[[#This Row],[Attributes]])+1))</f>
        <v/>
      </c>
      <c r="G78" t="str">
        <f>IFERROR(MID(Table4[[#This Row],[Attributes]],Table4[[#This Row],[loc of mdi]],Table4[[#This Row],[loc of space after mdi]]-Table4[[#This Row],[loc of mdi]]),"")</f>
        <v/>
      </c>
      <c r="H78" s="4" t="str">
        <f>IF(COUNTIFS(entities[entity_id],Table4[[#This Row],[Entity]])=1,"ok","missing from 'Entities' tab")</f>
        <v>ok</v>
      </c>
      <c r="I78" t="str">
        <f>LEFT(Table4[[#This Row],[Entity]],FIND(".",Table4[[#This Row],[Entity]])-1)</f>
        <v>group</v>
      </c>
      <c r="J78" t="str">
        <f>MID(Table4[[#This Row],[Entity]],FIND(".",Table4[[#This Row],[Entity]])+1,999)</f>
        <v>automation_locaway</v>
      </c>
    </row>
    <row r="79" spans="2:10" x14ac:dyDescent="0.25">
      <c r="B79" t="s">
        <v>76</v>
      </c>
      <c r="C79" t="s">
        <v>1</v>
      </c>
      <c r="E79" t="str">
        <f>IFERROR(FIND("mdi:",Table4[[#This Row],[Attributes]]),"")</f>
        <v/>
      </c>
      <c r="F79" t="str">
        <f>IF(Table4[[#This Row],[loc of mdi]]="","",  IFERROR(FIND(" ",Table4[[#This Row],[Attributes]],Table4[[#This Row],[loc of mdi]]+3),LEN(Table4[[#This Row],[Attributes]])+1))</f>
        <v/>
      </c>
      <c r="G79" t="str">
        <f>IFERROR(MID(Table4[[#This Row],[Attributes]],Table4[[#This Row],[loc of mdi]],Table4[[#This Row],[loc of space after mdi]]-Table4[[#This Row],[loc of mdi]]),"")</f>
        <v/>
      </c>
      <c r="H79" s="4" t="str">
        <f>IF(COUNTIFS(entities[entity_id],Table4[[#This Row],[Entity]])=1,"ok","missing from 'Entities' tab")</f>
        <v>ok</v>
      </c>
      <c r="I79" t="str">
        <f>LEFT(Table4[[#This Row],[Entity]],FIND(".",Table4[[#This Row],[Entity]])-1)</f>
        <v>group</v>
      </c>
      <c r="J79" t="str">
        <f>MID(Table4[[#This Row],[Entity]],FIND(".",Table4[[#This Row],[Entity]])+1,999)</f>
        <v>automation_not</v>
      </c>
    </row>
    <row r="80" spans="2:10" x14ac:dyDescent="0.25">
      <c r="B80" t="s">
        <v>77</v>
      </c>
      <c r="C80" t="s">
        <v>1</v>
      </c>
      <c r="E80" t="str">
        <f>IFERROR(FIND("mdi:",Table4[[#This Row],[Attributes]]),"")</f>
        <v/>
      </c>
      <c r="F80" t="str">
        <f>IF(Table4[[#This Row],[loc of mdi]]="","",  IFERROR(FIND(" ",Table4[[#This Row],[Attributes]],Table4[[#This Row],[loc of mdi]]+3),LEN(Table4[[#This Row],[Attributes]])+1))</f>
        <v/>
      </c>
      <c r="G80" t="str">
        <f>IFERROR(MID(Table4[[#This Row],[Attributes]],Table4[[#This Row],[loc of mdi]],Table4[[#This Row],[loc of space after mdi]]-Table4[[#This Row],[loc of mdi]]),"")</f>
        <v/>
      </c>
      <c r="H80" s="4" t="str">
        <f>IF(COUNTIFS(entities[entity_id],Table4[[#This Row],[Entity]])=1,"ok","missing from 'Entities' tab")</f>
        <v>ok</v>
      </c>
      <c r="I80" t="str">
        <f>LEFT(Table4[[#This Row],[Entity]],FIND(".",Table4[[#This Row],[Entity]])-1)</f>
        <v>group</v>
      </c>
      <c r="J80" t="str">
        <f>MID(Table4[[#This Row],[Entity]],FIND(".",Table4[[#This Row],[Entity]])+1,999)</f>
        <v>automation_rmbd</v>
      </c>
    </row>
    <row r="81" spans="2:10" x14ac:dyDescent="0.25">
      <c r="B81" t="s">
        <v>78</v>
      </c>
      <c r="C81" t="s">
        <v>1</v>
      </c>
      <c r="E81" t="str">
        <f>IFERROR(FIND("mdi:",Table4[[#This Row],[Attributes]]),"")</f>
        <v/>
      </c>
      <c r="F81" t="str">
        <f>IF(Table4[[#This Row],[loc of mdi]]="","",  IFERROR(FIND(" ",Table4[[#This Row],[Attributes]],Table4[[#This Row],[loc of mdi]]+3),LEN(Table4[[#This Row],[Attributes]])+1))</f>
        <v/>
      </c>
      <c r="G81" t="str">
        <f>IFERROR(MID(Table4[[#This Row],[Attributes]],Table4[[#This Row],[loc of mdi]],Table4[[#This Row],[loc of space after mdi]]-Table4[[#This Row],[loc of mdi]]),"")</f>
        <v/>
      </c>
      <c r="H81" s="4" t="str">
        <f>IF(COUNTIFS(entities[entity_id],Table4[[#This Row],[Entity]])=1,"ok","missing from 'Entities' tab")</f>
        <v>ok</v>
      </c>
      <c r="I81" t="str">
        <f>LEFT(Table4[[#This Row],[Entity]],FIND(".",Table4[[#This Row],[Entity]])-1)</f>
        <v>group</v>
      </c>
      <c r="J81" t="str">
        <f>MID(Table4[[#This Row],[Entity]],FIND(".",Table4[[#This Row],[Entity]])+1,999)</f>
        <v>automation_rmlv</v>
      </c>
    </row>
    <row r="82" spans="2:10" x14ac:dyDescent="0.25">
      <c r="B82" t="s">
        <v>79</v>
      </c>
      <c r="C82" t="s">
        <v>1</v>
      </c>
      <c r="E82" t="str">
        <f>IFERROR(FIND("mdi:",Table4[[#This Row],[Attributes]]),"")</f>
        <v/>
      </c>
      <c r="F82" t="str">
        <f>IF(Table4[[#This Row],[loc of mdi]]="","",  IFERROR(FIND(" ",Table4[[#This Row],[Attributes]],Table4[[#This Row],[loc of mdi]]+3),LEN(Table4[[#This Row],[Attributes]])+1))</f>
        <v/>
      </c>
      <c r="G82" t="str">
        <f>IFERROR(MID(Table4[[#This Row],[Attributes]],Table4[[#This Row],[loc of mdi]],Table4[[#This Row],[loc of space after mdi]]-Table4[[#This Row],[loc of mdi]]),"")</f>
        <v/>
      </c>
      <c r="H82" s="4" t="str">
        <f>IF(COUNTIFS(entities[entity_id],Table4[[#This Row],[Entity]])=1,"ok","missing from 'Entities' tab")</f>
        <v>ok</v>
      </c>
      <c r="I82" t="str">
        <f>LEFT(Table4[[#This Row],[Entity]],FIND(".",Table4[[#This Row],[Entity]])-1)</f>
        <v>group</v>
      </c>
      <c r="J82" t="str">
        <f>MID(Table4[[#This Row],[Entity]],FIND(".",Table4[[#This Row],[Entity]])+1,999)</f>
        <v>automation_rmlvtv</v>
      </c>
    </row>
    <row r="83" spans="2:10" x14ac:dyDescent="0.25">
      <c r="B83" t="s">
        <v>80</v>
      </c>
      <c r="C83" t="s">
        <v>1</v>
      </c>
      <c r="E83" t="str">
        <f>IFERROR(FIND("mdi:",Table4[[#This Row],[Attributes]]),"")</f>
        <v/>
      </c>
      <c r="F83" t="str">
        <f>IF(Table4[[#This Row],[loc of mdi]]="","",  IFERROR(FIND(" ",Table4[[#This Row],[Attributes]],Table4[[#This Row],[loc of mdi]]+3),LEN(Table4[[#This Row],[Attributes]])+1))</f>
        <v/>
      </c>
      <c r="G83" t="str">
        <f>IFERROR(MID(Table4[[#This Row],[Attributes]],Table4[[#This Row],[loc of mdi]],Table4[[#This Row],[loc of space after mdi]]-Table4[[#This Row],[loc of mdi]]),"")</f>
        <v/>
      </c>
      <c r="H83" s="4" t="str">
        <f>IF(COUNTIFS(entities[entity_id],Table4[[#This Row],[Entity]])=1,"ok","missing from 'Entities' tab")</f>
        <v>ok</v>
      </c>
      <c r="I83" t="str">
        <f>LEFT(Table4[[#This Row],[Entity]],FIND(".",Table4[[#This Row],[Entity]])-1)</f>
        <v>group</v>
      </c>
      <c r="J83" t="str">
        <f>MID(Table4[[#This Row],[Entity]],FIND(".",Table4[[#This Row],[Entity]])+1,999)</f>
        <v>automation_statfriend</v>
      </c>
    </row>
    <row r="84" spans="2:10" x14ac:dyDescent="0.25">
      <c r="B84" t="s">
        <v>81</v>
      </c>
      <c r="C84" t="s">
        <v>1</v>
      </c>
      <c r="E84" t="str">
        <f>IFERROR(FIND("mdi:",Table4[[#This Row],[Attributes]]),"")</f>
        <v/>
      </c>
      <c r="F84" t="str">
        <f>IF(Table4[[#This Row],[loc of mdi]]="","",  IFERROR(FIND(" ",Table4[[#This Row],[Attributes]],Table4[[#This Row],[loc of mdi]]+3),LEN(Table4[[#This Row],[Attributes]])+1))</f>
        <v/>
      </c>
      <c r="G84" t="str">
        <f>IFERROR(MID(Table4[[#This Row],[Attributes]],Table4[[#This Row],[loc of mdi]],Table4[[#This Row],[loc of space after mdi]]-Table4[[#This Row],[loc of mdi]]),"")</f>
        <v/>
      </c>
      <c r="H84" s="4" t="str">
        <f>IF(COUNTIFS(entities[entity_id],Table4[[#This Row],[Entity]])=1,"ok","missing from 'Entities' tab")</f>
        <v>ok</v>
      </c>
      <c r="I84" t="str">
        <f>LEFT(Table4[[#This Row],[Entity]],FIND(".",Table4[[#This Row],[Entity]])-1)</f>
        <v>group</v>
      </c>
      <c r="J84" t="str">
        <f>MID(Table4[[#This Row],[Entity]],FIND(".",Table4[[#This Row],[Entity]])+1,999)</f>
        <v>automation_statron</v>
      </c>
    </row>
    <row r="85" spans="2:10" x14ac:dyDescent="0.25">
      <c r="B85" t="s">
        <v>82</v>
      </c>
      <c r="C85" t="s">
        <v>1</v>
      </c>
      <c r="E85" t="str">
        <f>IFERROR(FIND("mdi:",Table4[[#This Row],[Attributes]]),"")</f>
        <v/>
      </c>
      <c r="F85" t="str">
        <f>IF(Table4[[#This Row],[loc of mdi]]="","",  IFERROR(FIND(" ",Table4[[#This Row],[Attributes]],Table4[[#This Row],[loc of mdi]]+3),LEN(Table4[[#This Row],[Attributes]])+1))</f>
        <v/>
      </c>
      <c r="G85" t="str">
        <f>IFERROR(MID(Table4[[#This Row],[Attributes]],Table4[[#This Row],[loc of mdi]],Table4[[#This Row],[loc of space after mdi]]-Table4[[#This Row],[loc of mdi]]),"")</f>
        <v/>
      </c>
      <c r="H85" s="4" t="str">
        <f>IF(COUNTIFS(entities[entity_id],Table4[[#This Row],[Entity]])=1,"ok","missing from 'Entities' tab")</f>
        <v>ok</v>
      </c>
      <c r="I85" t="str">
        <f>LEFT(Table4[[#This Row],[Entity]],FIND(".",Table4[[#This Row],[Entity]])-1)</f>
        <v>group</v>
      </c>
      <c r="J85" t="str">
        <f>MID(Table4[[#This Row],[Entity]],FIND(".",Table4[[#This Row],[Entity]])+1,999)</f>
        <v>automation_statvac</v>
      </c>
    </row>
    <row r="86" spans="2:10" x14ac:dyDescent="0.25">
      <c r="B86" t="s">
        <v>83</v>
      </c>
      <c r="C86" t="s">
        <v>40</v>
      </c>
      <c r="E86" t="str">
        <f>IFERROR(FIND("mdi:",Table4[[#This Row],[Attributes]]),"")</f>
        <v/>
      </c>
      <c r="F86" t="str">
        <f>IF(Table4[[#This Row],[loc of mdi]]="","",  IFERROR(FIND(" ",Table4[[#This Row],[Attributes]],Table4[[#This Row],[loc of mdi]]+3),LEN(Table4[[#This Row],[Attributes]])+1))</f>
        <v/>
      </c>
      <c r="G86" t="str">
        <f>IFERROR(MID(Table4[[#This Row],[Attributes]],Table4[[#This Row],[loc of mdi]],Table4[[#This Row],[loc of space after mdi]]-Table4[[#This Row],[loc of mdi]]),"")</f>
        <v/>
      </c>
      <c r="H86" s="4" t="str">
        <f>IF(COUNTIFS(entities[entity_id],Table4[[#This Row],[Entity]])=1,"ok","missing from 'Entities' tab")</f>
        <v>ok</v>
      </c>
      <c r="I86" t="str">
        <f>LEFT(Table4[[#This Row],[Entity]],FIND(".",Table4[[#This Row],[Entity]])-1)</f>
        <v>group</v>
      </c>
      <c r="J86" t="str">
        <f>MID(Table4[[#This Row],[Entity]],FIND(".",Table4[[#This Row],[Entity]])+1,999)</f>
        <v>bedroom</v>
      </c>
    </row>
    <row r="87" spans="2:10" x14ac:dyDescent="0.25">
      <c r="B87" t="s">
        <v>648</v>
      </c>
      <c r="C87" t="s">
        <v>1</v>
      </c>
      <c r="E87" s="4" t="str">
        <f>IFERROR(FIND("mdi:",Table4[[#This Row],[Attributes]]),"")</f>
        <v/>
      </c>
      <c r="F87" s="4" t="str">
        <f>IF(Table4[[#This Row],[loc of mdi]]="","",  IFERROR(FIND(" ",Table4[[#This Row],[Attributes]],Table4[[#This Row],[loc of mdi]]+3),LEN(Table4[[#This Row],[Attributes]])+1))</f>
        <v/>
      </c>
      <c r="G87" s="4" t="str">
        <f>IFERROR(MID(Table4[[#This Row],[Attributes]],Table4[[#This Row],[loc of mdi]],Table4[[#This Row],[loc of space after mdi]]-Table4[[#This Row],[loc of mdi]]),"")</f>
        <v/>
      </c>
      <c r="H87" s="4" t="str">
        <f>IF(COUNTIFS(entities[entity_id],Table4[[#This Row],[Entity]])=1,"ok","missing from 'Entities' tab")</f>
        <v>ok</v>
      </c>
      <c r="I87" s="4" t="str">
        <f>LEFT(Table4[[#This Row],[Entity]],FIND(".",Table4[[#This Row],[Entity]])-1)</f>
        <v>group</v>
      </c>
      <c r="J87" s="4" t="str">
        <f>MID(Table4[[#This Row],[Entity]],FIND(".",Table4[[#This Row],[Entity]])+1,999)</f>
        <v>bedroom_devices</v>
      </c>
    </row>
    <row r="88" spans="2:10" x14ac:dyDescent="0.25">
      <c r="B88" t="s">
        <v>84</v>
      </c>
      <c r="C88" t="s">
        <v>1</v>
      </c>
      <c r="E88" s="4" t="str">
        <f>IFERROR(FIND("mdi:",Table4[[#This Row],[Attributes]]),"")</f>
        <v/>
      </c>
      <c r="F88" s="4" t="str">
        <f>IF(Table4[[#This Row],[loc of mdi]]="","",  IFERROR(FIND(" ",Table4[[#This Row],[Attributes]],Table4[[#This Row],[loc of mdi]]+3),LEN(Table4[[#This Row],[Attributes]])+1))</f>
        <v/>
      </c>
      <c r="G88" s="4" t="str">
        <f>IFERROR(MID(Table4[[#This Row],[Attributes]],Table4[[#This Row],[loc of mdi]],Table4[[#This Row],[loc of space after mdi]]-Table4[[#This Row],[loc of mdi]]),"")</f>
        <v/>
      </c>
      <c r="H88" s="4" t="str">
        <f>IF(COUNTIFS(entities[entity_id],Table4[[#This Row],[Entity]])=1,"ok","missing from 'Entities' tab")</f>
        <v>ok</v>
      </c>
      <c r="I88" s="4" t="str">
        <f>LEFT(Table4[[#This Row],[Entity]],FIND(".",Table4[[#This Row],[Entity]])-1)</f>
        <v>group</v>
      </c>
      <c r="J88" s="4" t="str">
        <f>MID(Table4[[#This Row],[Entity]],FIND(".",Table4[[#This Row],[Entity]])+1,999)</f>
        <v>bedroom_lights</v>
      </c>
    </row>
    <row r="89" spans="2:10" x14ac:dyDescent="0.25">
      <c r="B89" t="s">
        <v>85</v>
      </c>
      <c r="C89" t="s">
        <v>1</v>
      </c>
      <c r="E89" s="4" t="str">
        <f>IFERROR(FIND("mdi:",Table4[[#This Row],[Attributes]]),"")</f>
        <v/>
      </c>
      <c r="F89" s="4" t="str">
        <f>IF(Table4[[#This Row],[loc of mdi]]="","",  IFERROR(FIND(" ",Table4[[#This Row],[Attributes]],Table4[[#This Row],[loc of mdi]]+3),LEN(Table4[[#This Row],[Attributes]])+1))</f>
        <v/>
      </c>
      <c r="G89" s="4" t="str">
        <f>IFERROR(MID(Table4[[#This Row],[Attributes]],Table4[[#This Row],[loc of mdi]],Table4[[#This Row],[loc of space after mdi]]-Table4[[#This Row],[loc of mdi]]),"")</f>
        <v/>
      </c>
      <c r="H89" s="4" t="str">
        <f>IF(COUNTIFS(entities[entity_id],Table4[[#This Row],[Entity]])=1,"ok","missing from 'Entities' tab")</f>
        <v>ok</v>
      </c>
      <c r="I89" s="4" t="str">
        <f>LEFT(Table4[[#This Row],[Entity]],FIND(".",Table4[[#This Row],[Entity]])-1)</f>
        <v>group</v>
      </c>
      <c r="J89" s="4" t="str">
        <f>MID(Table4[[#This Row],[Entity]],FIND(".",Table4[[#This Row],[Entity]])+1,999)</f>
        <v>bedroom_view</v>
      </c>
    </row>
    <row r="90" spans="2:10" x14ac:dyDescent="0.25">
      <c r="B90" t="s">
        <v>695</v>
      </c>
      <c r="C90" t="s">
        <v>1</v>
      </c>
      <c r="E90" s="4" t="str">
        <f>IFERROR(FIND("mdi:",Table4[[#This Row],[Attributes]]),"")</f>
        <v/>
      </c>
      <c r="F90" s="4" t="str">
        <f>IF(Table4[[#This Row],[loc of mdi]]="","",  IFERROR(FIND(" ",Table4[[#This Row],[Attributes]],Table4[[#This Row],[loc of mdi]]+3),LEN(Table4[[#This Row],[Attributes]])+1))</f>
        <v/>
      </c>
      <c r="G90" s="4" t="str">
        <f>IFERROR(MID(Table4[[#This Row],[Attributes]],Table4[[#This Row],[loc of mdi]],Table4[[#This Row],[loc of space after mdi]]-Table4[[#This Row],[loc of mdi]]),"")</f>
        <v/>
      </c>
      <c r="H90" s="4" t="str">
        <f>IF(COUNTIFS(entities[entity_id],Table4[[#This Row],[Entity]])=1,"ok","missing from 'Entities' tab")</f>
        <v>ok</v>
      </c>
      <c r="I90" s="4" t="str">
        <f>LEFT(Table4[[#This Row],[Entity]],FIND(".",Table4[[#This Row],[Entity]])-1)</f>
        <v>group</v>
      </c>
      <c r="J90" s="4" t="str">
        <f>MID(Table4[[#This Row],[Entity]],FIND(".",Table4[[#This Row],[Entity]])+1,999)</f>
        <v>default_view</v>
      </c>
    </row>
    <row r="91" spans="2:10" x14ac:dyDescent="0.25">
      <c r="B91" t="s">
        <v>86</v>
      </c>
      <c r="C91" t="s">
        <v>87</v>
      </c>
      <c r="E91" s="4" t="str">
        <f>IFERROR(FIND("mdi:",Table4[[#This Row],[Attributes]]),"")</f>
        <v/>
      </c>
      <c r="F91" s="4" t="str">
        <f>IF(Table4[[#This Row],[loc of mdi]]="","",  IFERROR(FIND(" ",Table4[[#This Row],[Attributes]],Table4[[#This Row],[loc of mdi]]+3),LEN(Table4[[#This Row],[Attributes]])+1))</f>
        <v/>
      </c>
      <c r="G91" s="4" t="str">
        <f>IFERROR(MID(Table4[[#This Row],[Attributes]],Table4[[#This Row],[loc of mdi]],Table4[[#This Row],[loc of space after mdi]]-Table4[[#This Row],[loc of mdi]]),"")</f>
        <v/>
      </c>
      <c r="H91" s="4" t="str">
        <f>IF(COUNTIFS(entities[entity_id],Table4[[#This Row],[Entity]])=1,"ok","missing from 'Entities' tab")</f>
        <v>ok</v>
      </c>
      <c r="I91" s="4" t="str">
        <f>LEFT(Table4[[#This Row],[Entity]],FIND(".",Table4[[#This Row],[Entity]])-1)</f>
        <v>group</v>
      </c>
      <c r="J91" s="4" t="str">
        <f>MID(Table4[[#This Row],[Entity]],FIND(".",Table4[[#This Row],[Entity]])+1,999)</f>
        <v>environment</v>
      </c>
    </row>
    <row r="92" spans="2:10" x14ac:dyDescent="0.25">
      <c r="B92" t="s">
        <v>88</v>
      </c>
      <c r="C92" t="s">
        <v>87</v>
      </c>
      <c r="E92" s="4" t="str">
        <f>IFERROR(FIND("mdi:",Table4[[#This Row],[Attributes]]),"")</f>
        <v/>
      </c>
      <c r="F92" s="4" t="str">
        <f>IF(Table4[[#This Row],[loc of mdi]]="","",  IFERROR(FIND(" ",Table4[[#This Row],[Attributes]],Table4[[#This Row],[loc of mdi]]+3),LEN(Table4[[#This Row],[Attributes]])+1))</f>
        <v/>
      </c>
      <c r="G92" s="4" t="str">
        <f>IFERROR(MID(Table4[[#This Row],[Attributes]],Table4[[#This Row],[loc of mdi]],Table4[[#This Row],[loc of space after mdi]]-Table4[[#This Row],[loc of mdi]]),"")</f>
        <v/>
      </c>
      <c r="H92" s="4" t="str">
        <f>IF(COUNTIFS(entities[entity_id],Table4[[#This Row],[Entity]])=1,"ok","missing from 'Entities' tab")</f>
        <v>ok</v>
      </c>
      <c r="I92" s="4" t="str">
        <f>LEFT(Table4[[#This Row],[Entity]],FIND(".",Table4[[#This Row],[Entity]])-1)</f>
        <v>group</v>
      </c>
      <c r="J92" s="4" t="str">
        <f>MID(Table4[[#This Row],[Entity]],FIND(".",Table4[[#This Row],[Entity]])+1,999)</f>
        <v>environment_detail</v>
      </c>
    </row>
    <row r="93" spans="2:10" x14ac:dyDescent="0.25">
      <c r="B93" t="s">
        <v>713</v>
      </c>
      <c r="C93" t="s">
        <v>1</v>
      </c>
      <c r="E93" s="4" t="str">
        <f>IFERROR(FIND("mdi:",Table4[[#This Row],[Attributes]]),"")</f>
        <v/>
      </c>
      <c r="F93" s="4" t="str">
        <f>IF(Table4[[#This Row],[loc of mdi]]="","",  IFERROR(FIND(" ",Table4[[#This Row],[Attributes]],Table4[[#This Row],[loc of mdi]]+3),LEN(Table4[[#This Row],[Attributes]])+1))</f>
        <v/>
      </c>
      <c r="G93" s="4" t="str">
        <f>IFERROR(MID(Table4[[#This Row],[Attributes]],Table4[[#This Row],[loc of mdi]],Table4[[#This Row],[loc of space after mdi]]-Table4[[#This Row],[loc of mdi]]),"")</f>
        <v/>
      </c>
      <c r="H93" s="4" t="str">
        <f>IF(COUNTIFS(entities[entity_id],Table4[[#This Row],[Entity]])=1,"ok","missing from 'Entities' tab")</f>
        <v>ok</v>
      </c>
      <c r="I93" s="4" t="str">
        <f>LEFT(Table4[[#This Row],[Entity]],FIND(".",Table4[[#This Row],[Entity]])-1)</f>
        <v>group</v>
      </c>
      <c r="J93" s="4" t="str">
        <f>MID(Table4[[#This Row],[Entity]],FIND(".",Table4[[#This Row],[Entity]])+1,999)</f>
        <v>environment_living_room</v>
      </c>
    </row>
    <row r="94" spans="2:10" x14ac:dyDescent="0.25">
      <c r="B94" t="s">
        <v>89</v>
      </c>
      <c r="C94" t="s">
        <v>1</v>
      </c>
      <c r="E94" s="4" t="str">
        <f>IFERROR(FIND("mdi:",Table4[[#This Row],[Attributes]]),"")</f>
        <v/>
      </c>
      <c r="F94" s="4" t="str">
        <f>IF(Table4[[#This Row],[loc of mdi]]="","",  IFERROR(FIND(" ",Table4[[#This Row],[Attributes]],Table4[[#This Row],[loc of mdi]]+3),LEN(Table4[[#This Row],[Attributes]])+1))</f>
        <v/>
      </c>
      <c r="G94" s="4" t="str">
        <f>IFERROR(MID(Table4[[#This Row],[Attributes]],Table4[[#This Row],[loc of mdi]],Table4[[#This Row],[loc of space after mdi]]-Table4[[#This Row],[loc of mdi]]),"")</f>
        <v/>
      </c>
      <c r="H94" s="4" t="str">
        <f>IF(COUNTIFS(entities[entity_id],Table4[[#This Row],[Entity]])=1,"ok","missing from 'Entities' tab")</f>
        <v>ok</v>
      </c>
      <c r="I94" s="4" t="str">
        <f>LEFT(Table4[[#This Row],[Entity]],FIND(".",Table4[[#This Row],[Entity]])-1)</f>
        <v>group</v>
      </c>
      <c r="J94" s="4" t="str">
        <f>MID(Table4[[#This Row],[Entity]],FIND(".",Table4[[#This Row],[Entity]])+1,999)</f>
        <v>environment_view</v>
      </c>
    </row>
    <row r="95" spans="2:10" x14ac:dyDescent="0.25">
      <c r="B95" t="s">
        <v>90</v>
      </c>
      <c r="C95" t="s">
        <v>87</v>
      </c>
      <c r="E95" s="4" t="str">
        <f>IFERROR(FIND("mdi:",Table4[[#This Row],[Attributes]]),"")</f>
        <v/>
      </c>
      <c r="F95" s="4" t="str">
        <f>IF(Table4[[#This Row],[loc of mdi]]="","",  IFERROR(FIND(" ",Table4[[#This Row],[Attributes]],Table4[[#This Row],[loc of mdi]]+3),LEN(Table4[[#This Row],[Attributes]])+1))</f>
        <v/>
      </c>
      <c r="G95" s="4" t="str">
        <f>IFERROR(MID(Table4[[#This Row],[Attributes]],Table4[[#This Row],[loc of mdi]],Table4[[#This Row],[loc of space after mdi]]-Table4[[#This Row],[loc of mdi]]),"")</f>
        <v/>
      </c>
      <c r="H95" s="4" t="str">
        <f>IF(COUNTIFS(entities[entity_id],Table4[[#This Row],[Entity]])=1,"ok","missing from 'Entities' tab")</f>
        <v>ok</v>
      </c>
      <c r="I95" s="4" t="str">
        <f>LEFT(Table4[[#This Row],[Entity]],FIND(".",Table4[[#This Row],[Entity]])-1)</f>
        <v>group</v>
      </c>
      <c r="J95" s="4" t="str">
        <f>MID(Table4[[#This Row],[Entity]],FIND(".",Table4[[#This Row],[Entity]])+1,999)</f>
        <v>host_device</v>
      </c>
    </row>
    <row r="96" spans="2:10" x14ac:dyDescent="0.25">
      <c r="B96" t="s">
        <v>91</v>
      </c>
      <c r="C96" t="s">
        <v>49</v>
      </c>
      <c r="E96" s="4" t="str">
        <f>IFERROR(FIND("mdi:",Table4[[#This Row],[Attributes]]),"")</f>
        <v/>
      </c>
      <c r="F96" s="4" t="str">
        <f>IF(Table4[[#This Row],[loc of mdi]]="","",  IFERROR(FIND(" ",Table4[[#This Row],[Attributes]],Table4[[#This Row],[loc of mdi]]+3),LEN(Table4[[#This Row],[Attributes]])+1))</f>
        <v/>
      </c>
      <c r="G96" s="4" t="str">
        <f>IFERROR(MID(Table4[[#This Row],[Attributes]],Table4[[#This Row],[loc of mdi]],Table4[[#This Row],[loc of space after mdi]]-Table4[[#This Row],[loc of mdi]]),"")</f>
        <v/>
      </c>
      <c r="H96" s="4" t="str">
        <f>IF(COUNTIFS(entities[entity_id],Table4[[#This Row],[Entity]])=1,"ok","missing from 'Entities' tab")</f>
        <v>ok</v>
      </c>
      <c r="I96" s="4" t="str">
        <f>LEFT(Table4[[#This Row],[Entity]],FIND(".",Table4[[#This Row],[Entity]])-1)</f>
        <v>group</v>
      </c>
      <c r="J96" s="4" t="str">
        <f>MID(Table4[[#This Row],[Entity]],FIND(".",Table4[[#This Row],[Entity]])+1,999)</f>
        <v>iot_devices</v>
      </c>
    </row>
    <row r="97" spans="2:10" x14ac:dyDescent="0.25">
      <c r="B97" t="s">
        <v>711</v>
      </c>
      <c r="C97" t="s">
        <v>1</v>
      </c>
      <c r="E97" s="4" t="str">
        <f>IFERROR(FIND("mdi:",Table4[[#This Row],[Attributes]]),"")</f>
        <v/>
      </c>
      <c r="F97" s="4" t="str">
        <f>IF(Table4[[#This Row],[loc of mdi]]="","",  IFERROR(FIND(" ",Table4[[#This Row],[Attributes]],Table4[[#This Row],[loc of mdi]]+3),LEN(Table4[[#This Row],[Attributes]])+1))</f>
        <v/>
      </c>
      <c r="G97" s="4" t="str">
        <f>IFERROR(MID(Table4[[#This Row],[Attributes]],Table4[[#This Row],[loc of mdi]],Table4[[#This Row],[loc of space after mdi]]-Table4[[#This Row],[loc of mdi]]),"")</f>
        <v/>
      </c>
      <c r="H97" s="4" t="str">
        <f>IF(COUNTIFS(entities[entity_id],Table4[[#This Row],[Entity]])=1,"ok","missing from 'Entities' tab")</f>
        <v>ok</v>
      </c>
      <c r="I97" s="4" t="str">
        <f>LEFT(Table4[[#This Row],[Entity]],FIND(".",Table4[[#This Row],[Entity]])-1)</f>
        <v>group</v>
      </c>
      <c r="J97" s="4" t="str">
        <f>MID(Table4[[#This Row],[Entity]],FIND(".",Table4[[#This Row],[Entity]])+1,999)</f>
        <v>living_room</v>
      </c>
    </row>
    <row r="98" spans="2:10" x14ac:dyDescent="0.25">
      <c r="B98" t="s">
        <v>714</v>
      </c>
      <c r="C98" t="s">
        <v>1</v>
      </c>
      <c r="E98" s="4" t="str">
        <f>IFERROR(FIND("mdi:",Table4[[#This Row],[Attributes]]),"")</f>
        <v/>
      </c>
      <c r="F98" s="4" t="str">
        <f>IF(Table4[[#This Row],[loc of mdi]]="","",  IFERROR(FIND(" ",Table4[[#This Row],[Attributes]],Table4[[#This Row],[loc of mdi]]+3),LEN(Table4[[#This Row],[Attributes]])+1))</f>
        <v/>
      </c>
      <c r="G98" s="4" t="str">
        <f>IFERROR(MID(Table4[[#This Row],[Attributes]],Table4[[#This Row],[loc of mdi]],Table4[[#This Row],[loc of space after mdi]]-Table4[[#This Row],[loc of mdi]]),"")</f>
        <v/>
      </c>
      <c r="H98" s="4" t="str">
        <f>IF(COUNTIFS(entities[entity_id],Table4[[#This Row],[Entity]])=1,"ok","missing from 'Entities' tab")</f>
        <v>ok</v>
      </c>
      <c r="I98" s="4" t="str">
        <f>LEFT(Table4[[#This Row],[Entity]],FIND(".",Table4[[#This Row],[Entity]])-1)</f>
        <v>group</v>
      </c>
      <c r="J98" s="4" t="str">
        <f>MID(Table4[[#This Row],[Entity]],FIND(".",Table4[[#This Row],[Entity]])+1,999)</f>
        <v>living_room_view</v>
      </c>
    </row>
    <row r="99" spans="2:10" x14ac:dyDescent="0.25">
      <c r="B99" t="s">
        <v>656</v>
      </c>
      <c r="C99" t="s">
        <v>42</v>
      </c>
      <c r="E99" s="4" t="str">
        <f>IFERROR(FIND("mdi:",Table4[[#This Row],[Attributes]]),"")</f>
        <v/>
      </c>
      <c r="F99" s="4" t="str">
        <f>IF(Table4[[#This Row],[loc of mdi]]="","",  IFERROR(FIND(" ",Table4[[#This Row],[Attributes]],Table4[[#This Row],[loc of mdi]]+3),LEN(Table4[[#This Row],[Attributes]])+1))</f>
        <v/>
      </c>
      <c r="G99" s="4" t="str">
        <f>IFERROR(MID(Table4[[#This Row],[Attributes]],Table4[[#This Row],[loc of mdi]],Table4[[#This Row],[loc of space after mdi]]-Table4[[#This Row],[loc of mdi]]),"")</f>
        <v/>
      </c>
      <c r="H99" s="4" t="str">
        <f>IF(COUNTIFS(entities[entity_id],Table4[[#This Row],[Entity]])=1,"ok","missing from 'Entities' tab")</f>
        <v>ok</v>
      </c>
      <c r="I99" s="4" t="str">
        <f>LEFT(Table4[[#This Row],[Entity]],FIND(".",Table4[[#This Row],[Entity]])-1)</f>
        <v>group</v>
      </c>
      <c r="J99" s="4" t="str">
        <f>MID(Table4[[#This Row],[Entity]],FIND(".",Table4[[#This Row],[Entity]])+1,999)</f>
        <v>misc_devices</v>
      </c>
    </row>
    <row r="100" spans="2:10" x14ac:dyDescent="0.25">
      <c r="B100" t="s">
        <v>92</v>
      </c>
      <c r="C100" t="s">
        <v>87</v>
      </c>
      <c r="E100" s="4" t="str">
        <f>IFERROR(FIND("mdi:",Table4[[#This Row],[Attributes]]),"")</f>
        <v/>
      </c>
      <c r="F100" s="4" t="str">
        <f>IF(Table4[[#This Row],[loc of mdi]]="","",  IFERROR(FIND(" ",Table4[[#This Row],[Attributes]],Table4[[#This Row],[loc of mdi]]+3),LEN(Table4[[#This Row],[Attributes]])+1))</f>
        <v/>
      </c>
      <c r="G100" s="4" t="str">
        <f>IFERROR(MID(Table4[[#This Row],[Attributes]],Table4[[#This Row],[loc of mdi]],Table4[[#This Row],[loc of space after mdi]]-Table4[[#This Row],[loc of mdi]]),"")</f>
        <v/>
      </c>
      <c r="H100" s="4" t="str">
        <f>IF(COUNTIFS(entities[entity_id],Table4[[#This Row],[Entity]])=1,"ok","missing from 'Entities' tab")</f>
        <v>ok</v>
      </c>
      <c r="I100" s="4" t="str">
        <f>LEFT(Table4[[#This Row],[Entity]],FIND(".",Table4[[#This Row],[Entity]])-1)</f>
        <v>group</v>
      </c>
      <c r="J100" s="4" t="str">
        <f>MID(Table4[[#This Row],[Entity]],FIND(".",Table4[[#This Row],[Entity]])+1,999)</f>
        <v>network</v>
      </c>
    </row>
    <row r="101" spans="2:10" x14ac:dyDescent="0.25">
      <c r="B101" t="s">
        <v>93</v>
      </c>
      <c r="C101" t="s">
        <v>49</v>
      </c>
      <c r="E101" s="4" t="str">
        <f>IFERROR(FIND("mdi:",Table4[[#This Row],[Attributes]]),"")</f>
        <v/>
      </c>
      <c r="F101" s="4" t="str">
        <f>IF(Table4[[#This Row],[loc of mdi]]="","",  IFERROR(FIND(" ",Table4[[#This Row],[Attributes]],Table4[[#This Row],[loc of mdi]]+3),LEN(Table4[[#This Row],[Attributes]])+1))</f>
        <v/>
      </c>
      <c r="G101" s="4" t="str">
        <f>IFERROR(MID(Table4[[#This Row],[Attributes]],Table4[[#This Row],[loc of mdi]],Table4[[#This Row],[loc of space after mdi]]-Table4[[#This Row],[loc of mdi]]),"")</f>
        <v/>
      </c>
      <c r="H101" s="4" t="str">
        <f>IF(COUNTIFS(entities[entity_id],Table4[[#This Row],[Entity]])=1,"ok","missing from 'Entities' tab")</f>
        <v>ok</v>
      </c>
      <c r="I101" s="4" t="str">
        <f>LEFT(Table4[[#This Row],[Entity]],FIND(".",Table4[[#This Row],[Entity]])-1)</f>
        <v>group</v>
      </c>
      <c r="J101" s="4" t="str">
        <f>MID(Table4[[#This Row],[Entity]],FIND(".",Table4[[#This Row],[Entity]])+1,999)</f>
        <v>network_view</v>
      </c>
    </row>
    <row r="102" spans="2:10" x14ac:dyDescent="0.25">
      <c r="B102" t="s">
        <v>94</v>
      </c>
      <c r="C102" t="s">
        <v>49</v>
      </c>
      <c r="E102" s="4" t="str">
        <f>IFERROR(FIND("mdi:",Table4[[#This Row],[Attributes]]),"")</f>
        <v/>
      </c>
      <c r="F102" s="4" t="str">
        <f>IF(Table4[[#This Row],[loc of mdi]]="","",  IFERROR(FIND(" ",Table4[[#This Row],[Attributes]],Table4[[#This Row],[loc of mdi]]+3),LEN(Table4[[#This Row],[Attributes]])+1))</f>
        <v/>
      </c>
      <c r="G102" s="4" t="str">
        <f>IFERROR(MID(Table4[[#This Row],[Attributes]],Table4[[#This Row],[loc of mdi]],Table4[[#This Row],[loc of space after mdi]]-Table4[[#This Row],[loc of mdi]]),"")</f>
        <v/>
      </c>
      <c r="H102" s="4" t="str">
        <f>IF(COUNTIFS(entities[entity_id],Table4[[#This Row],[Entity]])=1,"ok","missing from 'Entities' tab")</f>
        <v>ok</v>
      </c>
      <c r="I102" s="4" t="str">
        <f>LEFT(Table4[[#This Row],[Entity]],FIND(".",Table4[[#This Row],[Entity]])-1)</f>
        <v>group</v>
      </c>
      <c r="J102" s="4" t="str">
        <f>MID(Table4[[#This Row],[Entity]],FIND(".",Table4[[#This Row],[Entity]])+1,999)</f>
        <v>personal_devices</v>
      </c>
    </row>
    <row r="103" spans="2:10" x14ac:dyDescent="0.25">
      <c r="B103" t="s">
        <v>95</v>
      </c>
      <c r="C103" t="s">
        <v>49</v>
      </c>
      <c r="E103" s="4" t="str">
        <f>IFERROR(FIND("mdi:",Table4[[#This Row],[Attributes]]),"")</f>
        <v/>
      </c>
      <c r="F103" s="4" t="str">
        <f>IF(Table4[[#This Row],[loc of mdi]]="","",  IFERROR(FIND(" ",Table4[[#This Row],[Attributes]],Table4[[#This Row],[loc of mdi]]+3),LEN(Table4[[#This Row],[Attributes]])+1))</f>
        <v/>
      </c>
      <c r="G103" s="4" t="str">
        <f>IFERROR(MID(Table4[[#This Row],[Attributes]],Table4[[#This Row],[loc of mdi]],Table4[[#This Row],[loc of space after mdi]]-Table4[[#This Row],[loc of mdi]]),"")</f>
        <v/>
      </c>
      <c r="H103" s="4" t="str">
        <f>IF(COUNTIFS(entities[entity_id],Table4[[#This Row],[Entity]])=1,"ok","missing from 'Entities' tab")</f>
        <v>ok</v>
      </c>
      <c r="I103" s="4" t="str">
        <f>LEFT(Table4[[#This Row],[Entity]],FIND(".",Table4[[#This Row],[Entity]])-1)</f>
        <v>group</v>
      </c>
      <c r="J103" s="4" t="str">
        <f>MID(Table4[[#This Row],[Entity]],FIND(".",Table4[[#This Row],[Entity]])+1,999)</f>
        <v>phones</v>
      </c>
    </row>
    <row r="104" spans="2:10" x14ac:dyDescent="0.25">
      <c r="B104" t="s">
        <v>96</v>
      </c>
      <c r="C104" t="s">
        <v>40</v>
      </c>
      <c r="E104" s="4" t="str">
        <f>IFERROR(FIND("mdi:",Table4[[#This Row],[Attributes]]),"")</f>
        <v/>
      </c>
      <c r="F104" s="4" t="str">
        <f>IF(Table4[[#This Row],[loc of mdi]]="","",  IFERROR(FIND(" ",Table4[[#This Row],[Attributes]],Table4[[#This Row],[loc of mdi]]+3),LEN(Table4[[#This Row],[Attributes]])+1))</f>
        <v/>
      </c>
      <c r="G104" s="4" t="str">
        <f>IFERROR(MID(Table4[[#This Row],[Attributes]],Table4[[#This Row],[loc of mdi]],Table4[[#This Row],[loc of space after mdi]]-Table4[[#This Row],[loc of mdi]]),"")</f>
        <v/>
      </c>
      <c r="H104" s="4" t="str">
        <f>IF(COUNTIFS(entities[entity_id],Table4[[#This Row],[Entity]])=1,"ok","missing from 'Entities' tab")</f>
        <v>ok</v>
      </c>
      <c r="I104" s="4" t="str">
        <f>LEFT(Table4[[#This Row],[Entity]],FIND(".",Table4[[#This Row],[Entity]])-1)</f>
        <v>group</v>
      </c>
      <c r="J104" s="4" t="str">
        <f>MID(Table4[[#This Row],[Entity]],FIND(".",Table4[[#This Row],[Entity]])+1,999)</f>
        <v>status</v>
      </c>
    </row>
    <row r="105" spans="2:10" x14ac:dyDescent="0.25">
      <c r="B105" t="s">
        <v>97</v>
      </c>
      <c r="C105" t="s">
        <v>1</v>
      </c>
      <c r="E105" s="4" t="str">
        <f>IFERROR(FIND("mdi:",Table4[[#This Row],[Attributes]]),"")</f>
        <v/>
      </c>
      <c r="F105" s="4" t="str">
        <f>IF(Table4[[#This Row],[loc of mdi]]="","",  IFERROR(FIND(" ",Table4[[#This Row],[Attributes]],Table4[[#This Row],[loc of mdi]]+3),LEN(Table4[[#This Row],[Attributes]])+1))</f>
        <v/>
      </c>
      <c r="G105" s="4" t="str">
        <f>IFERROR(MID(Table4[[#This Row],[Attributes]],Table4[[#This Row],[loc of mdi]],Table4[[#This Row],[loc of space after mdi]]-Table4[[#This Row],[loc of mdi]]),"")</f>
        <v/>
      </c>
      <c r="H105" s="4" t="str">
        <f>IF(COUNTIFS(entities[entity_id],Table4[[#This Row],[Entity]])=1,"ok","missing from 'Entities' tab")</f>
        <v>ok</v>
      </c>
      <c r="I105" s="4" t="str">
        <f>LEFT(Table4[[#This Row],[Entity]],FIND(".",Table4[[#This Row],[Entity]])-1)</f>
        <v>input_boolean</v>
      </c>
      <c r="J105" s="4" t="str">
        <f>MID(Table4[[#This Row],[Entity]],FIND(".",Table4[[#This Row],[Entity]])+1,999)</f>
        <v>alarm_clock_status</v>
      </c>
    </row>
    <row r="106" spans="2:10" x14ac:dyDescent="0.25">
      <c r="B106" t="s">
        <v>98</v>
      </c>
      <c r="C106" t="s">
        <v>40</v>
      </c>
      <c r="E106" s="4" t="str">
        <f>IFERROR(FIND("mdi:",Table4[[#This Row],[Attributes]]),"")</f>
        <v/>
      </c>
      <c r="F106" s="4" t="str">
        <f>IF(Table4[[#This Row],[loc of mdi]]="","",  IFERROR(FIND(" ",Table4[[#This Row],[Attributes]],Table4[[#This Row],[loc of mdi]]+3),LEN(Table4[[#This Row],[Attributes]])+1))</f>
        <v/>
      </c>
      <c r="G106" s="4" t="str">
        <f>IFERROR(MID(Table4[[#This Row],[Attributes]],Table4[[#This Row],[loc of mdi]],Table4[[#This Row],[loc of space after mdi]]-Table4[[#This Row],[loc of mdi]]),"")</f>
        <v/>
      </c>
      <c r="H106" s="4" t="str">
        <f>IF(COUNTIFS(entities[entity_id],Table4[[#This Row],[Entity]])=1,"ok","missing from 'Entities' tab")</f>
        <v>ok</v>
      </c>
      <c r="I106" s="4" t="str">
        <f>LEFT(Table4[[#This Row],[Entity]],FIND(".",Table4[[#This Row],[Entity]])-1)</f>
        <v>input_boolean</v>
      </c>
      <c r="J106" s="4" t="str">
        <f>MID(Table4[[#This Row],[Entity]],FIND(".",Table4[[#This Row],[Entity]])+1,999)</f>
        <v>friend_visiting</v>
      </c>
    </row>
    <row r="107" spans="2:10" x14ac:dyDescent="0.25">
      <c r="B107" t="s">
        <v>99</v>
      </c>
      <c r="C107" t="s">
        <v>40</v>
      </c>
      <c r="E107" s="4" t="str">
        <f>IFERROR(FIND("mdi:",Table4[[#This Row],[Attributes]]),"")</f>
        <v/>
      </c>
      <c r="F107" s="4" t="str">
        <f>IF(Table4[[#This Row],[loc of mdi]]="","",  IFERROR(FIND(" ",Table4[[#This Row],[Attributes]],Table4[[#This Row],[loc of mdi]]+3),LEN(Table4[[#This Row],[Attributes]])+1))</f>
        <v/>
      </c>
      <c r="G107" s="4" t="str">
        <f>IFERROR(MID(Table4[[#This Row],[Attributes]],Table4[[#This Row],[loc of mdi]],Table4[[#This Row],[loc of space after mdi]]-Table4[[#This Row],[loc of mdi]]),"")</f>
        <v/>
      </c>
      <c r="H107" s="4" t="str">
        <f>IF(COUNTIFS(entities[entity_id],Table4[[#This Row],[Entity]])=1,"ok","missing from 'Entities' tab")</f>
        <v>ok</v>
      </c>
      <c r="I107" s="4" t="str">
        <f>LEFT(Table4[[#This Row],[Entity]],FIND(".",Table4[[#This Row],[Entity]])-1)</f>
        <v>input_boolean</v>
      </c>
      <c r="J107" s="4" t="str">
        <f>MID(Table4[[#This Row],[Entity]],FIND(".",Table4[[#This Row],[Entity]])+1,999)</f>
        <v>vacation_mode</v>
      </c>
    </row>
    <row r="108" spans="2:10" x14ac:dyDescent="0.25">
      <c r="B108" t="s">
        <v>100</v>
      </c>
      <c r="C108" t="s">
        <v>725</v>
      </c>
      <c r="E108" s="4" t="str">
        <f>IFERROR(FIND("mdi:",Table4[[#This Row],[Attributes]]),"")</f>
        <v/>
      </c>
      <c r="F108" s="4" t="str">
        <f>IF(Table4[[#This Row],[loc of mdi]]="","",  IFERROR(FIND(" ",Table4[[#This Row],[Attributes]],Table4[[#This Row],[loc of mdi]]+3),LEN(Table4[[#This Row],[Attributes]])+1))</f>
        <v/>
      </c>
      <c r="G108" s="4" t="str">
        <f>IFERROR(MID(Table4[[#This Row],[Attributes]],Table4[[#This Row],[loc of mdi]],Table4[[#This Row],[loc of space after mdi]]-Table4[[#This Row],[loc of mdi]]),"")</f>
        <v/>
      </c>
      <c r="H108" s="4" t="str">
        <f>IF(COUNTIFS(entities[entity_id],Table4[[#This Row],[Entity]])=1,"ok","missing from 'Entities' tab")</f>
        <v>ok</v>
      </c>
      <c r="I108" s="4" t="str">
        <f>LEFT(Table4[[#This Row],[Entity]],FIND(".",Table4[[#This Row],[Entity]])-1)</f>
        <v>input_select</v>
      </c>
      <c r="J108" s="4" t="str">
        <f>MID(Table4[[#This Row],[Entity]],FIND(".",Table4[[#This Row],[Entity]])+1,999)</f>
        <v>ron_status</v>
      </c>
    </row>
    <row r="109" spans="2:10" x14ac:dyDescent="0.25">
      <c r="B109" t="s">
        <v>101</v>
      </c>
      <c r="C109">
        <v>9</v>
      </c>
      <c r="E109" s="4" t="str">
        <f>IFERROR(FIND("mdi:",Table4[[#This Row],[Attributes]]),"")</f>
        <v/>
      </c>
      <c r="F109" s="4" t="str">
        <f>IF(Table4[[#This Row],[loc of mdi]]="","",  IFERROR(FIND(" ",Table4[[#This Row],[Attributes]],Table4[[#This Row],[loc of mdi]]+3),LEN(Table4[[#This Row],[Attributes]])+1))</f>
        <v/>
      </c>
      <c r="G109" s="4" t="str">
        <f>IFERROR(MID(Table4[[#This Row],[Attributes]],Table4[[#This Row],[loc of mdi]],Table4[[#This Row],[loc of space after mdi]]-Table4[[#This Row],[loc of mdi]]),"")</f>
        <v/>
      </c>
      <c r="H109" s="4" t="str">
        <f>IF(COUNTIFS(entities[entity_id],Table4[[#This Row],[Entity]])=1,"ok","missing from 'Entities' tab")</f>
        <v>ok</v>
      </c>
      <c r="I109" s="4" t="str">
        <f>LEFT(Table4[[#This Row],[Entity]],FIND(".",Table4[[#This Row],[Entity]])-1)</f>
        <v>input_slider</v>
      </c>
      <c r="J109" s="4" t="str">
        <f>MID(Table4[[#This Row],[Entity]],FIND(".",Table4[[#This Row],[Entity]])+1,999)</f>
        <v>alarm_clock_hour</v>
      </c>
    </row>
    <row r="110" spans="2:10" x14ac:dyDescent="0.25">
      <c r="B110" t="s">
        <v>102</v>
      </c>
      <c r="C110">
        <v>25</v>
      </c>
      <c r="E110" s="4" t="str">
        <f>IFERROR(FIND("mdi:",Table4[[#This Row],[Attributes]]),"")</f>
        <v/>
      </c>
      <c r="F110" s="4" t="str">
        <f>IF(Table4[[#This Row],[loc of mdi]]="","",  IFERROR(FIND(" ",Table4[[#This Row],[Attributes]],Table4[[#This Row],[loc of mdi]]+3),LEN(Table4[[#This Row],[Attributes]])+1))</f>
        <v/>
      </c>
      <c r="G110" s="4" t="str">
        <f>IFERROR(MID(Table4[[#This Row],[Attributes]],Table4[[#This Row],[loc of mdi]],Table4[[#This Row],[loc of space after mdi]]-Table4[[#This Row],[loc of mdi]]),"")</f>
        <v/>
      </c>
      <c r="H110" s="4" t="str">
        <f>IF(COUNTIFS(entities[entity_id],Table4[[#This Row],[Entity]])=1,"ok","missing from 'Entities' tab")</f>
        <v>ok</v>
      </c>
      <c r="I110" s="4" t="str">
        <f>LEFT(Table4[[#This Row],[Entity]],FIND(".",Table4[[#This Row],[Entity]])-1)</f>
        <v>input_slider</v>
      </c>
      <c r="J110" s="4" t="str">
        <f>MID(Table4[[#This Row],[Entity]],FIND(".",Table4[[#This Row],[Entity]])+1,999)</f>
        <v>alarm_clock_minute</v>
      </c>
    </row>
    <row r="111" spans="2:10" x14ac:dyDescent="0.25">
      <c r="B111" t="s">
        <v>664</v>
      </c>
      <c r="C111" t="s">
        <v>40</v>
      </c>
      <c r="E111" s="4" t="str">
        <f>IFERROR(FIND("mdi:",Table4[[#This Row],[Attributes]]),"")</f>
        <v/>
      </c>
      <c r="F111" s="4" t="str">
        <f>IF(Table4[[#This Row],[loc of mdi]]="","",  IFERROR(FIND(" ",Table4[[#This Row],[Attributes]],Table4[[#This Row],[loc of mdi]]+3),LEN(Table4[[#This Row],[Attributes]])+1))</f>
        <v/>
      </c>
      <c r="G111" s="4" t="str">
        <f>IFERROR(MID(Table4[[#This Row],[Attributes]],Table4[[#This Row],[loc of mdi]],Table4[[#This Row],[loc of space after mdi]]-Table4[[#This Row],[loc of mdi]]),"")</f>
        <v/>
      </c>
      <c r="H111" s="4" t="str">
        <f>IF(COUNTIFS(entities[entity_id],Table4[[#This Row],[Entity]])=1,"ok","missing from 'Entities' tab")</f>
        <v>ok</v>
      </c>
      <c r="I111" s="4" t="str">
        <f>LEFT(Table4[[#This Row],[Entity]],FIND(".",Table4[[#This Row],[Entity]])-1)</f>
        <v>light</v>
      </c>
      <c r="J111" s="4" t="str">
        <f>MID(Table4[[#This Row],[Entity]],FIND(".",Table4[[#This Row],[Entity]])+1,999)</f>
        <v>dimmable_light_5</v>
      </c>
    </row>
    <row r="112" spans="2:10" x14ac:dyDescent="0.25">
      <c r="B112" t="s">
        <v>103</v>
      </c>
      <c r="C112" t="s">
        <v>1</v>
      </c>
      <c r="E112" s="4" t="str">
        <f>IFERROR(FIND("mdi:",Table4[[#This Row],[Attributes]]),"")</f>
        <v/>
      </c>
      <c r="F112" s="4" t="str">
        <f>IF(Table4[[#This Row],[loc of mdi]]="","",  IFERROR(FIND(" ",Table4[[#This Row],[Attributes]],Table4[[#This Row],[loc of mdi]]+3),LEN(Table4[[#This Row],[Attributes]])+1))</f>
        <v/>
      </c>
      <c r="G112" s="4" t="str">
        <f>IFERROR(MID(Table4[[#This Row],[Attributes]],Table4[[#This Row],[loc of mdi]],Table4[[#This Row],[loc of space after mdi]]-Table4[[#This Row],[loc of mdi]]),"")</f>
        <v/>
      </c>
      <c r="H112" s="4" t="str">
        <f>IF(COUNTIFS(entities[entity_id],Table4[[#This Row],[Entity]])=1,"ok","missing from 'Entities' tab")</f>
        <v>ok</v>
      </c>
      <c r="I112" s="4" t="str">
        <f>LEFT(Table4[[#This Row],[Entity]],FIND(".",Table4[[#This Row],[Entity]])-1)</f>
        <v>light</v>
      </c>
      <c r="J112" s="4" t="str">
        <f>MID(Table4[[#This Row],[Entity]],FIND(".",Table4[[#This Row],[Entity]])+1,999)</f>
        <v>lux_lamp</v>
      </c>
    </row>
    <row r="113" spans="2:10" x14ac:dyDescent="0.25">
      <c r="B113" t="s">
        <v>104</v>
      </c>
      <c r="C113" t="s">
        <v>1</v>
      </c>
      <c r="E113" s="4" t="str">
        <f>IFERROR(FIND("mdi:",Table4[[#This Row],[Attributes]]),"")</f>
        <v/>
      </c>
      <c r="F113" s="4" t="str">
        <f>IF(Table4[[#This Row],[loc of mdi]]="","",  IFERROR(FIND(" ",Table4[[#This Row],[Attributes]],Table4[[#This Row],[loc of mdi]]+3),LEN(Table4[[#This Row],[Attributes]])+1))</f>
        <v/>
      </c>
      <c r="G113" s="4" t="str">
        <f>IFERROR(MID(Table4[[#This Row],[Attributes]],Table4[[#This Row],[loc of mdi]],Table4[[#This Row],[loc of space after mdi]]-Table4[[#This Row],[loc of mdi]]),"")</f>
        <v/>
      </c>
      <c r="H113" s="4" t="str">
        <f>IF(COUNTIFS(entities[entity_id],Table4[[#This Row],[Entity]])=1,"ok","missing from 'Entities' tab")</f>
        <v>ok</v>
      </c>
      <c r="I113" s="4" t="str">
        <f>LEFT(Table4[[#This Row],[Entity]],FIND(".",Table4[[#This Row],[Entity]])-1)</f>
        <v>light</v>
      </c>
      <c r="J113" s="4" t="str">
        <f>MID(Table4[[#This Row],[Entity]],FIND(".",Table4[[#This Row],[Entity]])+1,999)</f>
        <v>lux_lamp_1</v>
      </c>
    </row>
    <row r="114" spans="2:10" x14ac:dyDescent="0.25">
      <c r="B114" t="s">
        <v>665</v>
      </c>
      <c r="C114" t="s">
        <v>40</v>
      </c>
      <c r="E114" s="4" t="str">
        <f>IFERROR(FIND("mdi:",Table4[[#This Row],[Attributes]]),"")</f>
        <v/>
      </c>
      <c r="F114" s="4" t="str">
        <f>IF(Table4[[#This Row],[loc of mdi]]="","",  IFERROR(FIND(" ",Table4[[#This Row],[Attributes]],Table4[[#This Row],[loc of mdi]]+3),LEN(Table4[[#This Row],[Attributes]])+1))</f>
        <v/>
      </c>
      <c r="G114" s="4" t="str">
        <f>IFERROR(MID(Table4[[#This Row],[Attributes]],Table4[[#This Row],[loc of mdi]],Table4[[#This Row],[loc of space after mdi]]-Table4[[#This Row],[loc of mdi]]),"")</f>
        <v/>
      </c>
      <c r="H114" s="4" t="str">
        <f>IF(COUNTIFS(entities[entity_id],Table4[[#This Row],[Entity]])=1,"ok","missing from 'Entities' tab")</f>
        <v>ok</v>
      </c>
      <c r="I114" s="4" t="str">
        <f>LEFT(Table4[[#This Row],[Entity]],FIND(".",Table4[[#This Row],[Entity]])-1)</f>
        <v>media_player</v>
      </c>
      <c r="J114" s="4" t="str">
        <f>MID(Table4[[#This Row],[Entity]],FIND(".",Table4[[#This Row],[Entity]])+1,999)</f>
        <v>living_room</v>
      </c>
    </row>
    <row r="115" spans="2:10" x14ac:dyDescent="0.25">
      <c r="B115" t="s">
        <v>683</v>
      </c>
      <c r="C115" t="s">
        <v>40</v>
      </c>
      <c r="E115" s="4" t="str">
        <f>IFERROR(FIND("mdi:",Table4[[#This Row],[Attributes]]),"")</f>
        <v/>
      </c>
      <c r="F115" s="4" t="str">
        <f>IF(Table4[[#This Row],[loc of mdi]]="","",  IFERROR(FIND(" ",Table4[[#This Row],[Attributes]],Table4[[#This Row],[loc of mdi]]+3),LEN(Table4[[#This Row],[Attributes]])+1))</f>
        <v/>
      </c>
      <c r="G115" s="4" t="str">
        <f>IFERROR(MID(Table4[[#This Row],[Attributes]],Table4[[#This Row],[loc of mdi]],Table4[[#This Row],[loc of space after mdi]]-Table4[[#This Row],[loc of mdi]]),"")</f>
        <v/>
      </c>
      <c r="H115" s="4" t="str">
        <f>IF(COUNTIFS(entities[entity_id],Table4[[#This Row],[Entity]])=1,"ok","missing from 'Entities' tab")</f>
        <v>ok</v>
      </c>
      <c r="I115" s="4" t="str">
        <f>LEFT(Table4[[#This Row],[Entity]],FIND(".",Table4[[#This Row],[Entity]])-1)</f>
        <v>media_player</v>
      </c>
      <c r="J115" s="4" t="str">
        <f>MID(Table4[[#This Row],[Entity]],FIND(".",Table4[[#This Row],[Entity]])+1,999)</f>
        <v>living_room_tv</v>
      </c>
    </row>
    <row r="116" spans="2:10" x14ac:dyDescent="0.25">
      <c r="B116" t="s">
        <v>654</v>
      </c>
      <c r="C116" t="s">
        <v>40</v>
      </c>
      <c r="E116" s="4" t="str">
        <f>IFERROR(FIND("mdi:",Table4[[#This Row],[Attributes]]),"")</f>
        <v/>
      </c>
      <c r="F116" s="4" t="str">
        <f>IF(Table4[[#This Row],[loc of mdi]]="","",  IFERROR(FIND(" ",Table4[[#This Row],[Attributes]],Table4[[#This Row],[loc of mdi]]+3),LEN(Table4[[#This Row],[Attributes]])+1))</f>
        <v/>
      </c>
      <c r="G116" s="4" t="str">
        <f>IFERROR(MID(Table4[[#This Row],[Attributes]],Table4[[#This Row],[loc of mdi]],Table4[[#This Row],[loc of space after mdi]]-Table4[[#This Row],[loc of mdi]]),"")</f>
        <v/>
      </c>
      <c r="H116" s="4" t="str">
        <f>IF(COUNTIFS(entities[entity_id],Table4[[#This Row],[Entity]])=1,"ok","missing from 'Entities' tab")</f>
        <v>ok</v>
      </c>
      <c r="I116" s="4" t="str">
        <f>LEFT(Table4[[#This Row],[Entity]],FIND(".",Table4[[#This Row],[Entity]])-1)</f>
        <v>remote</v>
      </c>
      <c r="J116" s="4" t="str">
        <f>MID(Table4[[#This Row],[Entity]],FIND(".",Table4[[#This Row],[Entity]])+1,999)</f>
        <v>tv</v>
      </c>
    </row>
    <row r="117" spans="2:10" x14ac:dyDescent="0.25">
      <c r="B117" t="s">
        <v>105</v>
      </c>
      <c r="C117" t="s">
        <v>40</v>
      </c>
      <c r="E117" s="4" t="str">
        <f>IFERROR(FIND("mdi:",Table4[[#This Row],[Attributes]]),"")</f>
        <v/>
      </c>
      <c r="F117" s="4" t="str">
        <f>IF(Table4[[#This Row],[loc of mdi]]="","",  IFERROR(FIND(" ",Table4[[#This Row],[Attributes]],Table4[[#This Row],[loc of mdi]]+3),LEN(Table4[[#This Row],[Attributes]])+1))</f>
        <v/>
      </c>
      <c r="G117" s="4" t="str">
        <f>IFERROR(MID(Table4[[#This Row],[Attributes]],Table4[[#This Row],[loc of mdi]],Table4[[#This Row],[loc of space after mdi]]-Table4[[#This Row],[loc of mdi]]),"")</f>
        <v/>
      </c>
      <c r="H117" s="4" t="str">
        <f>IF(COUNTIFS(entities[entity_id],Table4[[#This Row],[Entity]])=1,"ok","missing from 'Entities' tab")</f>
        <v>ok</v>
      </c>
      <c r="I117" s="4" t="str">
        <f>LEFT(Table4[[#This Row],[Entity]],FIND(".",Table4[[#This Row],[Entity]])-1)</f>
        <v>script</v>
      </c>
      <c r="J117" s="4" t="str">
        <f>MID(Table4[[#This Row],[Entity]],FIND(".",Table4[[#This Row],[Entity]])+1,999)</f>
        <v>all_off</v>
      </c>
    </row>
    <row r="118" spans="2:10" x14ac:dyDescent="0.25">
      <c r="B118" t="s">
        <v>106</v>
      </c>
      <c r="C118" t="s">
        <v>40</v>
      </c>
      <c r="E118" s="4" t="str">
        <f>IFERROR(FIND("mdi:",Table4[[#This Row],[Attributes]]),"")</f>
        <v/>
      </c>
      <c r="F118" s="4" t="str">
        <f>IF(Table4[[#This Row],[loc of mdi]]="","",  IFERROR(FIND(" ",Table4[[#This Row],[Attributes]],Table4[[#This Row],[loc of mdi]]+3),LEN(Table4[[#This Row],[Attributes]])+1))</f>
        <v/>
      </c>
      <c r="G118" s="4" t="str">
        <f>IFERROR(MID(Table4[[#This Row],[Attributes]],Table4[[#This Row],[loc of mdi]],Table4[[#This Row],[loc of space after mdi]]-Table4[[#This Row],[loc of mdi]]),"")</f>
        <v/>
      </c>
      <c r="H118" s="4" t="str">
        <f>IF(COUNTIFS(entities[entity_id],Table4[[#This Row],[Entity]])=1,"ok","missing from 'Entities' tab")</f>
        <v>ok</v>
      </c>
      <c r="I118" s="4" t="str">
        <f>LEFT(Table4[[#This Row],[Entity]],FIND(".",Table4[[#This Row],[Entity]])-1)</f>
        <v>script</v>
      </c>
      <c r="J118" s="4" t="str">
        <f>MID(Table4[[#This Row],[Entity]],FIND(".",Table4[[#This Row],[Entity]])+1,999)</f>
        <v>bright</v>
      </c>
    </row>
    <row r="119" spans="2:10" x14ac:dyDescent="0.25">
      <c r="B119" t="s">
        <v>107</v>
      </c>
      <c r="C119" t="s">
        <v>40</v>
      </c>
      <c r="E119" s="4" t="str">
        <f>IFERROR(FIND("mdi:",Table4[[#This Row],[Attributes]]),"")</f>
        <v/>
      </c>
      <c r="F119" s="4" t="str">
        <f>IF(Table4[[#This Row],[loc of mdi]]="","",  IFERROR(FIND(" ",Table4[[#This Row],[Attributes]],Table4[[#This Row],[loc of mdi]]+3),LEN(Table4[[#This Row],[Attributes]])+1))</f>
        <v/>
      </c>
      <c r="G119" s="4" t="str">
        <f>IFERROR(MID(Table4[[#This Row],[Attributes]],Table4[[#This Row],[loc of mdi]],Table4[[#This Row],[loc of space after mdi]]-Table4[[#This Row],[loc of mdi]]),"")</f>
        <v/>
      </c>
      <c r="H119" s="4" t="str">
        <f>IF(COUNTIFS(entities[entity_id],Table4[[#This Row],[Entity]])=1,"ok","missing from 'Entities' tab")</f>
        <v>ok</v>
      </c>
      <c r="I119" s="4" t="str">
        <f>LEFT(Table4[[#This Row],[Entity]],FIND(".",Table4[[#This Row],[Entity]])-1)</f>
        <v>script</v>
      </c>
      <c r="J119" s="4" t="str">
        <f>MID(Table4[[#This Row],[Entity]],FIND(".",Table4[[#This Row],[Entity]])+1,999)</f>
        <v>dusk</v>
      </c>
    </row>
    <row r="120" spans="2:10" x14ac:dyDescent="0.25">
      <c r="B120" t="s">
        <v>108</v>
      </c>
      <c r="C120" t="s">
        <v>40</v>
      </c>
      <c r="E120" s="4" t="str">
        <f>IFERROR(FIND("mdi:",Table4[[#This Row],[Attributes]]),"")</f>
        <v/>
      </c>
      <c r="F120" s="4" t="str">
        <f>IF(Table4[[#This Row],[loc of mdi]]="","",  IFERROR(FIND(" ",Table4[[#This Row],[Attributes]],Table4[[#This Row],[loc of mdi]]+3),LEN(Table4[[#This Row],[Attributes]])+1))</f>
        <v/>
      </c>
      <c r="G120" s="4" t="str">
        <f>IFERROR(MID(Table4[[#This Row],[Attributes]],Table4[[#This Row],[loc of mdi]],Table4[[#This Row],[loc of space after mdi]]-Table4[[#This Row],[loc of mdi]]),"")</f>
        <v/>
      </c>
      <c r="H120" s="4" t="str">
        <f>IF(COUNTIFS(entities[entity_id],Table4[[#This Row],[Entity]])=1,"ok","missing from 'Entities' tab")</f>
        <v>ok</v>
      </c>
      <c r="I120" s="4" t="str">
        <f>LEFT(Table4[[#This Row],[Entity]],FIND(".",Table4[[#This Row],[Entity]])-1)</f>
        <v>script</v>
      </c>
      <c r="J120" s="4" t="str">
        <f>MID(Table4[[#This Row],[Entity]],FIND(".",Table4[[#This Row],[Entity]])+1,999)</f>
        <v>full_bright</v>
      </c>
    </row>
    <row r="121" spans="2:10" x14ac:dyDescent="0.25">
      <c r="B121" t="s">
        <v>643</v>
      </c>
      <c r="C121" t="s">
        <v>40</v>
      </c>
      <c r="E121" s="4" t="str">
        <f>IFERROR(FIND("mdi:",Table4[[#This Row],[Attributes]]),"")</f>
        <v/>
      </c>
      <c r="F121" s="4" t="str">
        <f>IF(Table4[[#This Row],[loc of mdi]]="","",  IFERROR(FIND(" ",Table4[[#This Row],[Attributes]],Table4[[#This Row],[loc of mdi]]+3),LEN(Table4[[#This Row],[Attributes]])+1))</f>
        <v/>
      </c>
      <c r="G121" s="4" t="str">
        <f>IFERROR(MID(Table4[[#This Row],[Attributes]],Table4[[#This Row],[loc of mdi]],Table4[[#This Row],[loc of space after mdi]]-Table4[[#This Row],[loc of mdi]]),"")</f>
        <v/>
      </c>
      <c r="H121" s="4" t="str">
        <f>IF(COUNTIFS(entities[entity_id],Table4[[#This Row],[Entity]])=1,"ok","missing from 'Entities' tab")</f>
        <v>ok</v>
      </c>
      <c r="I121" s="4" t="str">
        <f>LEFT(Table4[[#This Row],[Entity]],FIND(".",Table4[[#This Row],[Entity]])-1)</f>
        <v>script</v>
      </c>
      <c r="J121" s="4" t="str">
        <f>MID(Table4[[#This Row],[Entity]],FIND(".",Table4[[#This Row],[Entity]])+1,999)</f>
        <v>good_night</v>
      </c>
    </row>
    <row r="122" spans="2:10" x14ac:dyDescent="0.25">
      <c r="B122" t="s">
        <v>109</v>
      </c>
      <c r="C122" t="s">
        <v>40</v>
      </c>
      <c r="E122" s="4" t="str">
        <f>IFERROR(FIND("mdi:",Table4[[#This Row],[Attributes]]),"")</f>
        <v/>
      </c>
      <c r="F122" s="4" t="str">
        <f>IF(Table4[[#This Row],[loc of mdi]]="","",  IFERROR(FIND(" ",Table4[[#This Row],[Attributes]],Table4[[#This Row],[loc of mdi]]+3),LEN(Table4[[#This Row],[Attributes]])+1))</f>
        <v/>
      </c>
      <c r="G122" s="4" t="str">
        <f>IFERROR(MID(Table4[[#This Row],[Attributes]],Table4[[#This Row],[loc of mdi]],Table4[[#This Row],[loc of space after mdi]]-Table4[[#This Row],[loc of mdi]]),"")</f>
        <v/>
      </c>
      <c r="H122" s="4" t="str">
        <f>IF(COUNTIFS(entities[entity_id],Table4[[#This Row],[Entity]])=1,"ok","missing from 'Entities' tab")</f>
        <v>ok</v>
      </c>
      <c r="I122" s="4" t="str">
        <f>LEFT(Table4[[#This Row],[Entity]],FIND(".",Table4[[#This Row],[Entity]])-1)</f>
        <v>script</v>
      </c>
      <c r="J122" s="4" t="str">
        <f>MID(Table4[[#This Row],[Entity]],FIND(".",Table4[[#This Row],[Entity]])+1,999)</f>
        <v>half_bright</v>
      </c>
    </row>
    <row r="123" spans="2:10" x14ac:dyDescent="0.25">
      <c r="B123" t="s">
        <v>696</v>
      </c>
      <c r="C123" t="s">
        <v>40</v>
      </c>
      <c r="E123" s="4" t="str">
        <f>IFERROR(FIND("mdi:",Table4[[#This Row],[Attributes]]),"")</f>
        <v/>
      </c>
      <c r="F123" s="4" t="str">
        <f>IF(Table4[[#This Row],[loc of mdi]]="","",  IFERROR(FIND(" ",Table4[[#This Row],[Attributes]],Table4[[#This Row],[loc of mdi]]+3),LEN(Table4[[#This Row],[Attributes]])+1))</f>
        <v/>
      </c>
      <c r="G123" s="4" t="str">
        <f>IFERROR(MID(Table4[[#This Row],[Attributes]],Table4[[#This Row],[loc of mdi]],Table4[[#This Row],[loc of space after mdi]]-Table4[[#This Row],[loc of mdi]]),"")</f>
        <v/>
      </c>
      <c r="H123" s="4" t="str">
        <f>IF(COUNTIFS(entities[entity_id],Table4[[#This Row],[Entity]])=1,"ok","missing from 'Entities' tab")</f>
        <v>ok</v>
      </c>
      <c r="I123" s="4" t="str">
        <f>LEFT(Table4[[#This Row],[Entity]],FIND(".",Table4[[#This Row],[Entity]])-1)</f>
        <v>script</v>
      </c>
      <c r="J123" s="4" t="str">
        <f>MID(Table4[[#This Row],[Entity]],FIND(".",Table4[[#This Row],[Entity]])+1,999)</f>
        <v>living_room_vol_to_4</v>
      </c>
    </row>
    <row r="124" spans="2:10" x14ac:dyDescent="0.25">
      <c r="B124" t="s">
        <v>110</v>
      </c>
      <c r="C124" t="s">
        <v>40</v>
      </c>
      <c r="E124" s="4" t="str">
        <f>IFERROR(FIND("mdi:",Table4[[#This Row],[Attributes]]),"")</f>
        <v/>
      </c>
      <c r="F124" s="4" t="str">
        <f>IF(Table4[[#This Row],[loc of mdi]]="","",  IFERROR(FIND(" ",Table4[[#This Row],[Attributes]],Table4[[#This Row],[loc of mdi]]+3),LEN(Table4[[#This Row],[Attributes]])+1))</f>
        <v/>
      </c>
      <c r="G124" s="4" t="str">
        <f>IFERROR(MID(Table4[[#This Row],[Attributes]],Table4[[#This Row],[loc of mdi]],Table4[[#This Row],[loc of space after mdi]]-Table4[[#This Row],[loc of mdi]]),"")</f>
        <v/>
      </c>
      <c r="H124" s="4" t="str">
        <f>IF(COUNTIFS(entities[entity_id],Table4[[#This Row],[Entity]])=1,"ok","missing from 'Entities' tab")</f>
        <v>ok</v>
      </c>
      <c r="I124" s="4" t="str">
        <f>LEFT(Table4[[#This Row],[Entity]],FIND(".",Table4[[#This Row],[Entity]])-1)</f>
        <v>script</v>
      </c>
      <c r="J124" s="4" t="str">
        <f>MID(Table4[[#This Row],[Entity]],FIND(".",Table4[[#This Row],[Entity]])+1,999)</f>
        <v>reading</v>
      </c>
    </row>
    <row r="125" spans="2:10" x14ac:dyDescent="0.25">
      <c r="B125" t="s">
        <v>111</v>
      </c>
      <c r="C125" t="s">
        <v>40</v>
      </c>
      <c r="E125" s="4" t="str">
        <f>IFERROR(FIND("mdi:",Table4[[#This Row],[Attributes]]),"")</f>
        <v/>
      </c>
      <c r="F125" s="4" t="str">
        <f>IF(Table4[[#This Row],[loc of mdi]]="","",  IFERROR(FIND(" ",Table4[[#This Row],[Attributes]],Table4[[#This Row],[loc of mdi]]+3),LEN(Table4[[#This Row],[Attributes]])+1))</f>
        <v/>
      </c>
      <c r="G125" s="4" t="str">
        <f>IFERROR(MID(Table4[[#This Row],[Attributes]],Table4[[#This Row],[loc of mdi]],Table4[[#This Row],[loc of space after mdi]]-Table4[[#This Row],[loc of mdi]]),"")</f>
        <v/>
      </c>
      <c r="H125" s="4" t="str">
        <f>IF(COUNTIFS(entities[entity_id],Table4[[#This Row],[Entity]])=1,"ok","missing from 'Entities' tab")</f>
        <v>ok</v>
      </c>
      <c r="I125" s="4" t="str">
        <f>LEFT(Table4[[#This Row],[Entity]],FIND(".",Table4[[#This Row],[Entity]])-1)</f>
        <v>script</v>
      </c>
      <c r="J125" s="4" t="str">
        <f>MID(Table4[[#This Row],[Entity]],FIND(".",Table4[[#This Row],[Entity]])+1,999)</f>
        <v>twilight</v>
      </c>
    </row>
    <row r="126" spans="2:10" x14ac:dyDescent="0.25">
      <c r="B126" t="s">
        <v>717</v>
      </c>
      <c r="C126" t="s">
        <v>40</v>
      </c>
      <c r="E126" s="4" t="str">
        <f>IFERROR(FIND("mdi:",Table4[[#This Row],[Attributes]]),"")</f>
        <v/>
      </c>
      <c r="F126" s="4" t="str">
        <f>IF(Table4[[#This Row],[loc of mdi]]="","",  IFERROR(FIND(" ",Table4[[#This Row],[Attributes]],Table4[[#This Row],[loc of mdi]]+3),LEN(Table4[[#This Row],[Attributes]])+1))</f>
        <v/>
      </c>
      <c r="G126" s="4" t="str">
        <f>IFERROR(MID(Table4[[#This Row],[Attributes]],Table4[[#This Row],[loc of mdi]],Table4[[#This Row],[loc of space after mdi]]-Table4[[#This Row],[loc of mdi]]),"")</f>
        <v/>
      </c>
      <c r="H126" s="4" t="str">
        <f>IF(COUNTIFS(entities[entity_id],Table4[[#This Row],[Entity]])=1,"ok","missing from 'Entities' tab")</f>
        <v>ok</v>
      </c>
      <c r="I126" s="4" t="str">
        <f>LEFT(Table4[[#This Row],[Entity]],FIND(".",Table4[[#This Row],[Entity]])-1)</f>
        <v>script</v>
      </c>
      <c r="J126" s="4" t="str">
        <f>MID(Table4[[#This Row],[Entity]],FIND(".",Table4[[#This Row],[Entity]])+1,999)</f>
        <v>vacation_lights</v>
      </c>
    </row>
    <row r="127" spans="2:10" x14ac:dyDescent="0.25">
      <c r="B127" t="s">
        <v>112</v>
      </c>
      <c r="C127" t="s">
        <v>40</v>
      </c>
      <c r="E127" s="4" t="str">
        <f>IFERROR(FIND("mdi:",Table4[[#This Row],[Attributes]]),"")</f>
        <v/>
      </c>
      <c r="F127" s="4" t="str">
        <f>IF(Table4[[#This Row],[loc of mdi]]="","",  IFERROR(FIND(" ",Table4[[#This Row],[Attributes]],Table4[[#This Row],[loc of mdi]]+3),LEN(Table4[[#This Row],[Attributes]])+1))</f>
        <v/>
      </c>
      <c r="G127" s="4" t="str">
        <f>IFERROR(MID(Table4[[#This Row],[Attributes]],Table4[[#This Row],[loc of mdi]],Table4[[#This Row],[loc of space after mdi]]-Table4[[#This Row],[loc of mdi]]),"")</f>
        <v/>
      </c>
      <c r="H127" s="4" t="str">
        <f>IF(COUNTIFS(entities[entity_id],Table4[[#This Row],[Entity]])=1,"ok","missing from 'Entities' tab")</f>
        <v>ok</v>
      </c>
      <c r="I127" s="4" t="str">
        <f>LEFT(Table4[[#This Row],[Entity]],FIND(".",Table4[[#This Row],[Entity]])-1)</f>
        <v>script</v>
      </c>
      <c r="J127" s="4" t="str">
        <f>MID(Table4[[#This Row],[Entity]],FIND(".",Table4[[#This Row],[Entity]])+1,999)</f>
        <v>wake_up</v>
      </c>
    </row>
    <row r="128" spans="2:10" x14ac:dyDescent="0.25">
      <c r="B128" t="s">
        <v>113</v>
      </c>
      <c r="C128">
        <v>9</v>
      </c>
      <c r="E128" s="4" t="str">
        <f>IFERROR(FIND("mdi:",Table4[[#This Row],[Attributes]]),"")</f>
        <v/>
      </c>
      <c r="F128" s="4" t="str">
        <f>IF(Table4[[#This Row],[loc of mdi]]="","",  IFERROR(FIND(" ",Table4[[#This Row],[Attributes]],Table4[[#This Row],[loc of mdi]]+3),LEN(Table4[[#This Row],[Attributes]])+1))</f>
        <v/>
      </c>
      <c r="G128" s="4" t="str">
        <f>IFERROR(MID(Table4[[#This Row],[Attributes]],Table4[[#This Row],[loc of mdi]],Table4[[#This Row],[loc of space after mdi]]-Table4[[#This Row],[loc of mdi]]),"")</f>
        <v/>
      </c>
      <c r="H128" s="4" t="str">
        <f>IF(COUNTIFS(entities[entity_id],Table4[[#This Row],[Entity]])=1,"ok","missing from 'Entities' tab")</f>
        <v>ok</v>
      </c>
      <c r="I128" s="4" t="str">
        <f>LEFT(Table4[[#This Row],[Entity]],FIND(".",Table4[[#This Row],[Entity]])-1)</f>
        <v>sensor</v>
      </c>
      <c r="J128" s="4" t="str">
        <f>MID(Table4[[#This Row],[Entity]],FIND(".",Table4[[#This Row],[Entity]])+1,999)</f>
        <v>alarm_clock_hour</v>
      </c>
    </row>
    <row r="129" spans="2:10" x14ac:dyDescent="0.25">
      <c r="B129" t="s">
        <v>114</v>
      </c>
      <c r="C129">
        <v>25</v>
      </c>
      <c r="E129" s="4" t="str">
        <f>IFERROR(FIND("mdi:",Table4[[#This Row],[Attributes]]),"")</f>
        <v/>
      </c>
      <c r="F129" s="4" t="str">
        <f>IF(Table4[[#This Row],[loc of mdi]]="","",  IFERROR(FIND(" ",Table4[[#This Row],[Attributes]],Table4[[#This Row],[loc of mdi]]+3),LEN(Table4[[#This Row],[Attributes]])+1))</f>
        <v/>
      </c>
      <c r="G129" s="4" t="str">
        <f>IFERROR(MID(Table4[[#This Row],[Attributes]],Table4[[#This Row],[loc of mdi]],Table4[[#This Row],[loc of space after mdi]]-Table4[[#This Row],[loc of mdi]]),"")</f>
        <v/>
      </c>
      <c r="H129" s="4" t="str">
        <f>IF(COUNTIFS(entities[entity_id],Table4[[#This Row],[Entity]])=1,"ok","missing from 'Entities' tab")</f>
        <v>ok</v>
      </c>
      <c r="I129" s="4" t="str">
        <f>LEFT(Table4[[#This Row],[Entity]],FIND(".",Table4[[#This Row],[Entity]])-1)</f>
        <v>sensor</v>
      </c>
      <c r="J129" s="4" t="str">
        <f>MID(Table4[[#This Row],[Entity]],FIND(".",Table4[[#This Row],[Entity]])+1,999)</f>
        <v>alarm_clock_minute</v>
      </c>
    </row>
    <row r="130" spans="2:10" x14ac:dyDescent="0.25">
      <c r="B130" t="s">
        <v>115</v>
      </c>
      <c r="C130">
        <v>0.3923611111111111</v>
      </c>
      <c r="E130" s="4" t="str">
        <f>IFERROR(FIND("mdi:",Table4[[#This Row],[Attributes]]),"")</f>
        <v/>
      </c>
      <c r="F130" s="4" t="str">
        <f>IF(Table4[[#This Row],[loc of mdi]]="","",  IFERROR(FIND(" ",Table4[[#This Row],[Attributes]],Table4[[#This Row],[loc of mdi]]+3),LEN(Table4[[#This Row],[Attributes]])+1))</f>
        <v/>
      </c>
      <c r="G130" s="4" t="str">
        <f>IFERROR(MID(Table4[[#This Row],[Attributes]],Table4[[#This Row],[loc of mdi]],Table4[[#This Row],[loc of space after mdi]]-Table4[[#This Row],[loc of mdi]]),"")</f>
        <v/>
      </c>
      <c r="H130" s="4" t="str">
        <f>IF(COUNTIFS(entities[entity_id],Table4[[#This Row],[Entity]])=1,"ok","missing from 'Entities' tab")</f>
        <v>ok</v>
      </c>
      <c r="I130" s="4" t="str">
        <f>LEFT(Table4[[#This Row],[Entity]],FIND(".",Table4[[#This Row],[Entity]])-1)</f>
        <v>sensor</v>
      </c>
      <c r="J130" s="4" t="str">
        <f>MID(Table4[[#This Row],[Entity]],FIND(".",Table4[[#This Row],[Entity]])+1,999)</f>
        <v>alarm_clock_time</v>
      </c>
    </row>
    <row r="131" spans="2:10" x14ac:dyDescent="0.25">
      <c r="B131" t="s">
        <v>116</v>
      </c>
      <c r="C131">
        <v>0.3923611111111111</v>
      </c>
      <c r="E131" s="4" t="str">
        <f>IFERROR(FIND("mdi:",Table4[[#This Row],[Attributes]]),"")</f>
        <v/>
      </c>
      <c r="F131" s="4" t="str">
        <f>IF(Table4[[#This Row],[loc of mdi]]="","",  IFERROR(FIND(" ",Table4[[#This Row],[Attributes]],Table4[[#This Row],[loc of mdi]]+3),LEN(Table4[[#This Row],[Attributes]])+1))</f>
        <v/>
      </c>
      <c r="G131" s="4" t="str">
        <f>IFERROR(MID(Table4[[#This Row],[Attributes]],Table4[[#This Row],[loc of mdi]],Table4[[#This Row],[loc of space after mdi]]-Table4[[#This Row],[loc of mdi]]),"")</f>
        <v/>
      </c>
      <c r="H131" s="4" t="str">
        <f>IF(COUNTIFS(entities[entity_id],Table4[[#This Row],[Entity]])=1,"ok","missing from 'Entities' tab")</f>
        <v>ok</v>
      </c>
      <c r="I131" s="4" t="str">
        <f>LEFT(Table4[[#This Row],[Entity]],FIND(".",Table4[[#This Row],[Entity]])-1)</f>
        <v>sensor</v>
      </c>
      <c r="J131" s="4" t="str">
        <f>MID(Table4[[#This Row],[Entity]],FIND(".",Table4[[#This Row],[Entity]])+1,999)</f>
        <v>alarm_clock_time_long</v>
      </c>
    </row>
    <row r="132" spans="2:10" x14ac:dyDescent="0.25">
      <c r="B132" t="s">
        <v>117</v>
      </c>
      <c r="C132">
        <v>43</v>
      </c>
      <c r="E132" s="4" t="str">
        <f>IFERROR(FIND("mdi:",Table4[[#This Row],[Attributes]]),"")</f>
        <v/>
      </c>
      <c r="F132" s="4" t="str">
        <f>IF(Table4[[#This Row],[loc of mdi]]="","",  IFERROR(FIND(" ",Table4[[#This Row],[Attributes]],Table4[[#This Row],[loc of mdi]]+3),LEN(Table4[[#This Row],[Attributes]])+1))</f>
        <v/>
      </c>
      <c r="G132" s="4" t="str">
        <f>IFERROR(MID(Table4[[#This Row],[Attributes]],Table4[[#This Row],[loc of mdi]],Table4[[#This Row],[loc of space after mdi]]-Table4[[#This Row],[loc of mdi]]),"")</f>
        <v/>
      </c>
      <c r="H132" s="4" t="str">
        <f>IF(COUNTIFS(entities[entity_id],Table4[[#This Row],[Entity]])=1,"ok","missing from 'Entities' tab")</f>
        <v>ok</v>
      </c>
      <c r="I132" s="4" t="str">
        <f>LEFT(Table4[[#This Row],[Entity]],FIND(".",Table4[[#This Row],[Entity]])-1)</f>
        <v>sensor</v>
      </c>
      <c r="J132" s="4" t="str">
        <f>MID(Table4[[#This Row],[Entity]],FIND(".",Table4[[#This Row],[Entity]])+1,999)</f>
        <v>batt_multi_sensor</v>
      </c>
    </row>
    <row r="133" spans="2:10" x14ac:dyDescent="0.25">
      <c r="B133" t="s">
        <v>118</v>
      </c>
      <c r="C133">
        <v>113</v>
      </c>
      <c r="E133" s="4" t="str">
        <f>IFERROR(FIND("mdi:",Table4[[#This Row],[Attributes]]),"")</f>
        <v/>
      </c>
      <c r="F133" s="4" t="str">
        <f>IF(Table4[[#This Row],[loc of mdi]]="","",  IFERROR(FIND(" ",Table4[[#This Row],[Attributes]],Table4[[#This Row],[loc of mdi]]+3),LEN(Table4[[#This Row],[Attributes]])+1))</f>
        <v/>
      </c>
      <c r="G133" s="4" t="str">
        <f>IFERROR(MID(Table4[[#This Row],[Attributes]],Table4[[#This Row],[loc of mdi]],Table4[[#This Row],[loc of space after mdi]]-Table4[[#This Row],[loc of mdi]]),"")</f>
        <v/>
      </c>
      <c r="H133" s="4" t="str">
        <f>IF(COUNTIFS(entities[entity_id],Table4[[#This Row],[Entity]])=1,"ok","missing from 'Entities' tab")</f>
        <v>ok</v>
      </c>
      <c r="I133" s="4" t="str">
        <f>LEFT(Table4[[#This Row],[Entity]],FIND(".",Table4[[#This Row],[Entity]])-1)</f>
        <v>sensor</v>
      </c>
      <c r="J133" s="4" t="str">
        <f>MID(Table4[[#This Row],[Entity]],FIND(".",Table4[[#This Row],[Entity]])+1,999)</f>
        <v>cpu_temp</v>
      </c>
    </row>
    <row r="134" spans="2:10" x14ac:dyDescent="0.25">
      <c r="B134" t="s">
        <v>119</v>
      </c>
      <c r="C134">
        <v>4</v>
      </c>
      <c r="E134" s="4" t="str">
        <f>IFERROR(FIND("mdi:",Table4[[#This Row],[Attributes]]),"")</f>
        <v/>
      </c>
      <c r="F134" s="4" t="str">
        <f>IF(Table4[[#This Row],[loc of mdi]]="","",  IFERROR(FIND(" ",Table4[[#This Row],[Attributes]],Table4[[#This Row],[loc of mdi]]+3),LEN(Table4[[#This Row],[Attributes]])+1))</f>
        <v/>
      </c>
      <c r="G134" s="4" t="str">
        <f>IFERROR(MID(Table4[[#This Row],[Attributes]],Table4[[#This Row],[loc of mdi]],Table4[[#This Row],[loc of space after mdi]]-Table4[[#This Row],[loc of mdi]]),"")</f>
        <v/>
      </c>
      <c r="H134" s="4" t="str">
        <f>IF(COUNTIFS(entities[entity_id],Table4[[#This Row],[Entity]])=1,"ok","missing from 'Entities' tab")</f>
        <v>ok</v>
      </c>
      <c r="I134" s="4" t="str">
        <f>LEFT(Table4[[#This Row],[Entity]],FIND(".",Table4[[#This Row],[Entity]])-1)</f>
        <v>sensor</v>
      </c>
      <c r="J134" s="4" t="str">
        <f>MID(Table4[[#This Row],[Entity]],FIND(".",Table4[[#This Row],[Entity]])+1,999)</f>
        <v>cpu_use</v>
      </c>
    </row>
    <row r="135" spans="2:10" x14ac:dyDescent="0.25">
      <c r="B135" t="s">
        <v>120</v>
      </c>
      <c r="C135">
        <v>39.5</v>
      </c>
      <c r="E135" s="4" t="str">
        <f>IFERROR(FIND("mdi:",Table4[[#This Row],[Attributes]]),"")</f>
        <v/>
      </c>
      <c r="F135" s="4" t="str">
        <f>IF(Table4[[#This Row],[loc of mdi]]="","",  IFERROR(FIND(" ",Table4[[#This Row],[Attributes]],Table4[[#This Row],[loc of mdi]]+3),LEN(Table4[[#This Row],[Attributes]])+1))</f>
        <v/>
      </c>
      <c r="G135" s="4" t="str">
        <f>IFERROR(MID(Table4[[#This Row],[Attributes]],Table4[[#This Row],[loc of mdi]],Table4[[#This Row],[loc of space after mdi]]-Table4[[#This Row],[loc of mdi]]),"")</f>
        <v/>
      </c>
      <c r="H135" s="4" t="str">
        <f>IF(COUNTIFS(entities[entity_id],Table4[[#This Row],[Entity]])=1,"ok","missing from 'Entities' tab")</f>
        <v>ok</v>
      </c>
      <c r="I135" s="4" t="str">
        <f>LEFT(Table4[[#This Row],[Entity]],FIND(".",Table4[[#This Row],[Entity]])-1)</f>
        <v>sensor</v>
      </c>
      <c r="J135" s="4" t="str">
        <f>MID(Table4[[#This Row],[Entity]],FIND(".",Table4[[#This Row],[Entity]])+1,999)</f>
        <v>dark_sky_apparent_temperature</v>
      </c>
    </row>
    <row r="136" spans="2:10" x14ac:dyDescent="0.25">
      <c r="B136" t="s">
        <v>121</v>
      </c>
      <c r="C136">
        <v>2</v>
      </c>
      <c r="E136" s="4" t="str">
        <f>IFERROR(FIND("mdi:",Table4[[#This Row],[Attributes]]),"")</f>
        <v/>
      </c>
      <c r="F136" s="4" t="str">
        <f>IF(Table4[[#This Row],[loc of mdi]]="","",  IFERROR(FIND(" ",Table4[[#This Row],[Attributes]],Table4[[#This Row],[loc of mdi]]+3),LEN(Table4[[#This Row],[Attributes]])+1))</f>
        <v/>
      </c>
      <c r="G136" s="4" t="str">
        <f>IFERROR(MID(Table4[[#This Row],[Attributes]],Table4[[#This Row],[loc of mdi]],Table4[[#This Row],[loc of space after mdi]]-Table4[[#This Row],[loc of mdi]]),"")</f>
        <v/>
      </c>
      <c r="H136" s="4" t="str">
        <f>IF(COUNTIFS(entities[entity_id],Table4[[#This Row],[Entity]])=1,"ok","missing from 'Entities' tab")</f>
        <v>ok</v>
      </c>
      <c r="I136" s="4" t="str">
        <f>LEFT(Table4[[#This Row],[Entity]],FIND(".",Table4[[#This Row],[Entity]])-1)</f>
        <v>sensor</v>
      </c>
      <c r="J136" s="4" t="str">
        <f>MID(Table4[[#This Row],[Entity]],FIND(".",Table4[[#This Row],[Entity]])+1,999)</f>
        <v>dark_sky_cloud_coverage</v>
      </c>
    </row>
    <row r="137" spans="2:10" x14ac:dyDescent="0.25">
      <c r="B137" t="s">
        <v>122</v>
      </c>
      <c r="C137">
        <v>41.3</v>
      </c>
      <c r="E137" s="4" t="str">
        <f>IFERROR(FIND("mdi:",Table4[[#This Row],[Attributes]]),"")</f>
        <v/>
      </c>
      <c r="F137" s="4" t="str">
        <f>IF(Table4[[#This Row],[loc of mdi]]="","",  IFERROR(FIND(" ",Table4[[#This Row],[Attributes]],Table4[[#This Row],[loc of mdi]]+3),LEN(Table4[[#This Row],[Attributes]])+1))</f>
        <v/>
      </c>
      <c r="G137" s="4" t="str">
        <f>IFERROR(MID(Table4[[#This Row],[Attributes]],Table4[[#This Row],[loc of mdi]],Table4[[#This Row],[loc of space after mdi]]-Table4[[#This Row],[loc of mdi]]),"")</f>
        <v/>
      </c>
      <c r="H137" s="4" t="str">
        <f>IF(COUNTIFS(entities[entity_id],Table4[[#This Row],[Entity]])=1,"ok","missing from 'Entities' tab")</f>
        <v>ok</v>
      </c>
      <c r="I137" s="4" t="str">
        <f>LEFT(Table4[[#This Row],[Entity]],FIND(".",Table4[[#This Row],[Entity]])-1)</f>
        <v>sensor</v>
      </c>
      <c r="J137" s="4" t="str">
        <f>MID(Table4[[#This Row],[Entity]],FIND(".",Table4[[#This Row],[Entity]])+1,999)</f>
        <v>dark_sky_daily_high_apparent_temperature</v>
      </c>
    </row>
    <row r="138" spans="2:10" x14ac:dyDescent="0.25">
      <c r="B138" t="s">
        <v>123</v>
      </c>
      <c r="C138">
        <v>44.8</v>
      </c>
      <c r="E138" s="4" t="str">
        <f>IFERROR(FIND("mdi:",Table4[[#This Row],[Attributes]]),"")</f>
        <v/>
      </c>
      <c r="F138" s="4" t="str">
        <f>IF(Table4[[#This Row],[loc of mdi]]="","",  IFERROR(FIND(" ",Table4[[#This Row],[Attributes]],Table4[[#This Row],[loc of mdi]]+3),LEN(Table4[[#This Row],[Attributes]])+1))</f>
        <v/>
      </c>
      <c r="G138" s="4" t="str">
        <f>IFERROR(MID(Table4[[#This Row],[Attributes]],Table4[[#This Row],[loc of mdi]],Table4[[#This Row],[loc of space after mdi]]-Table4[[#This Row],[loc of mdi]]),"")</f>
        <v/>
      </c>
      <c r="H138" s="4" t="str">
        <f>IF(COUNTIFS(entities[entity_id],Table4[[#This Row],[Entity]])=1,"ok","missing from 'Entities' tab")</f>
        <v>ok</v>
      </c>
      <c r="I138" s="4" t="str">
        <f>LEFT(Table4[[#This Row],[Entity]],FIND(".",Table4[[#This Row],[Entity]])-1)</f>
        <v>sensor</v>
      </c>
      <c r="J138" s="4" t="str">
        <f>MID(Table4[[#This Row],[Entity]],FIND(".",Table4[[#This Row],[Entity]])+1,999)</f>
        <v>dark_sky_daily_high_temperature</v>
      </c>
    </row>
    <row r="139" spans="2:10" x14ac:dyDescent="0.25">
      <c r="B139" t="s">
        <v>124</v>
      </c>
      <c r="C139">
        <v>28.6</v>
      </c>
      <c r="E139" s="4" t="str">
        <f>IFERROR(FIND("mdi:",Table4[[#This Row],[Attributes]]),"")</f>
        <v/>
      </c>
      <c r="F139" s="4" t="str">
        <f>IF(Table4[[#This Row],[loc of mdi]]="","",  IFERROR(FIND(" ",Table4[[#This Row],[Attributes]],Table4[[#This Row],[loc of mdi]]+3),LEN(Table4[[#This Row],[Attributes]])+1))</f>
        <v/>
      </c>
      <c r="G139" s="4" t="str">
        <f>IFERROR(MID(Table4[[#This Row],[Attributes]],Table4[[#This Row],[loc of mdi]],Table4[[#This Row],[loc of space after mdi]]-Table4[[#This Row],[loc of mdi]]),"")</f>
        <v/>
      </c>
      <c r="H139" s="4" t="str">
        <f>IF(COUNTIFS(entities[entity_id],Table4[[#This Row],[Entity]])=1,"ok","missing from 'Entities' tab")</f>
        <v>ok</v>
      </c>
      <c r="I139" s="4" t="str">
        <f>LEFT(Table4[[#This Row],[Entity]],FIND(".",Table4[[#This Row],[Entity]])-1)</f>
        <v>sensor</v>
      </c>
      <c r="J139" s="4" t="str">
        <f>MID(Table4[[#This Row],[Entity]],FIND(".",Table4[[#This Row],[Entity]])+1,999)</f>
        <v>dark_sky_daily_low_apparent_temperature</v>
      </c>
    </row>
    <row r="140" spans="2:10" x14ac:dyDescent="0.25">
      <c r="B140" t="s">
        <v>125</v>
      </c>
      <c r="C140">
        <v>34.1</v>
      </c>
      <c r="E140" s="4" t="str">
        <f>IFERROR(FIND("mdi:",Table4[[#This Row],[Attributes]]),"")</f>
        <v/>
      </c>
      <c r="F140" s="4" t="str">
        <f>IF(Table4[[#This Row],[loc of mdi]]="","",  IFERROR(FIND(" ",Table4[[#This Row],[Attributes]],Table4[[#This Row],[loc of mdi]]+3),LEN(Table4[[#This Row],[Attributes]])+1))</f>
        <v/>
      </c>
      <c r="G140" s="4" t="str">
        <f>IFERROR(MID(Table4[[#This Row],[Attributes]],Table4[[#This Row],[loc of mdi]],Table4[[#This Row],[loc of space after mdi]]-Table4[[#This Row],[loc of mdi]]),"")</f>
        <v/>
      </c>
      <c r="H140" s="4" t="str">
        <f>IF(COUNTIFS(entities[entity_id],Table4[[#This Row],[Entity]])=1,"ok","missing from 'Entities' tab")</f>
        <v>ok</v>
      </c>
      <c r="I140" s="4" t="str">
        <f>LEFT(Table4[[#This Row],[Entity]],FIND(".",Table4[[#This Row],[Entity]])-1)</f>
        <v>sensor</v>
      </c>
      <c r="J140" s="4" t="str">
        <f>MID(Table4[[#This Row],[Entity]],FIND(".",Table4[[#This Row],[Entity]])+1,999)</f>
        <v>dark_sky_daily_low_temperature</v>
      </c>
    </row>
    <row r="141" spans="2:10" x14ac:dyDescent="0.25">
      <c r="B141" t="s">
        <v>126</v>
      </c>
      <c r="C141">
        <v>0</v>
      </c>
      <c r="E141" s="4" t="str">
        <f>IFERROR(FIND("mdi:",Table4[[#This Row],[Attributes]]),"")</f>
        <v/>
      </c>
      <c r="F141" s="4" t="str">
        <f>IF(Table4[[#This Row],[loc of mdi]]="","",  IFERROR(FIND(" ",Table4[[#This Row],[Attributes]],Table4[[#This Row],[loc of mdi]]+3),LEN(Table4[[#This Row],[Attributes]])+1))</f>
        <v/>
      </c>
      <c r="G141" s="4" t="str">
        <f>IFERROR(MID(Table4[[#This Row],[Attributes]],Table4[[#This Row],[loc of mdi]],Table4[[#This Row],[loc of space after mdi]]-Table4[[#This Row],[loc of mdi]]),"")</f>
        <v/>
      </c>
      <c r="H141" s="4" t="str">
        <f>IF(COUNTIFS(entities[entity_id],Table4[[#This Row],[Entity]])=1,"ok","missing from 'Entities' tab")</f>
        <v>ok</v>
      </c>
      <c r="I141" s="4" t="str">
        <f>LEFT(Table4[[#This Row],[Entity]],FIND(".",Table4[[#This Row],[Entity]])-1)</f>
        <v>sensor</v>
      </c>
      <c r="J141" s="4" t="str">
        <f>MID(Table4[[#This Row],[Entity]],FIND(".",Table4[[#This Row],[Entity]])+1,999)</f>
        <v>dark_sky_daily_max_precip_intensity</v>
      </c>
    </row>
    <row r="142" spans="2:10" x14ac:dyDescent="0.25">
      <c r="B142" t="s">
        <v>127</v>
      </c>
      <c r="C142" t="s">
        <v>726</v>
      </c>
      <c r="E142" s="4" t="str">
        <f>IFERROR(FIND("mdi:",Table4[[#This Row],[Attributes]]),"")</f>
        <v/>
      </c>
      <c r="F142" s="4" t="str">
        <f>IF(Table4[[#This Row],[loc of mdi]]="","",  IFERROR(FIND(" ",Table4[[#This Row],[Attributes]],Table4[[#This Row],[loc of mdi]]+3),LEN(Table4[[#This Row],[Attributes]])+1))</f>
        <v/>
      </c>
      <c r="G142" s="4" t="str">
        <f>IFERROR(MID(Table4[[#This Row],[Attributes]],Table4[[#This Row],[loc of mdi]],Table4[[#This Row],[loc of space after mdi]]-Table4[[#This Row],[loc of mdi]]),"")</f>
        <v/>
      </c>
      <c r="H142" s="4" t="str">
        <f>IF(COUNTIFS(entities[entity_id],Table4[[#This Row],[Entity]])=1,"ok","missing from 'Entities' tab")</f>
        <v>ok</v>
      </c>
      <c r="I142" s="4" t="str">
        <f>LEFT(Table4[[#This Row],[Entity]],FIND(".",Table4[[#This Row],[Entity]])-1)</f>
        <v>sensor</v>
      </c>
      <c r="J142" s="4" t="str">
        <f>MID(Table4[[#This Row],[Entity]],FIND(".",Table4[[#This Row],[Entity]])+1,999)</f>
        <v>dark_sky_daily_summary</v>
      </c>
    </row>
    <row r="143" spans="2:10" x14ac:dyDescent="0.25">
      <c r="B143" t="s">
        <v>128</v>
      </c>
      <c r="C143" t="s">
        <v>727</v>
      </c>
      <c r="E143" s="4" t="str">
        <f>IFERROR(FIND("mdi:",Table4[[#This Row],[Attributes]]),"")</f>
        <v/>
      </c>
      <c r="F143" s="4" t="str">
        <f>IF(Table4[[#This Row],[loc of mdi]]="","",  IFERROR(FIND(" ",Table4[[#This Row],[Attributes]],Table4[[#This Row],[loc of mdi]]+3),LEN(Table4[[#This Row],[Attributes]])+1))</f>
        <v/>
      </c>
      <c r="G143" s="4" t="str">
        <f>IFERROR(MID(Table4[[#This Row],[Attributes]],Table4[[#This Row],[loc of mdi]],Table4[[#This Row],[loc of space after mdi]]-Table4[[#This Row],[loc of mdi]]),"")</f>
        <v/>
      </c>
      <c r="H143" s="4" t="str">
        <f>IF(COUNTIFS(entities[entity_id],Table4[[#This Row],[Entity]])=1,"ok","missing from 'Entities' tab")</f>
        <v>ok</v>
      </c>
      <c r="I143" s="4" t="str">
        <f>LEFT(Table4[[#This Row],[Entity]],FIND(".",Table4[[#This Row],[Entity]])-1)</f>
        <v>sensor</v>
      </c>
      <c r="J143" s="4" t="str">
        <f>MID(Table4[[#This Row],[Entity]],FIND(".",Table4[[#This Row],[Entity]])+1,999)</f>
        <v>dark_sky_hourly_summary</v>
      </c>
    </row>
    <row r="144" spans="2:10" x14ac:dyDescent="0.25">
      <c r="B144" t="s">
        <v>129</v>
      </c>
      <c r="C144">
        <v>48</v>
      </c>
      <c r="E144" s="4" t="str">
        <f>IFERROR(FIND("mdi:",Table4[[#This Row],[Attributes]]),"")</f>
        <v/>
      </c>
      <c r="F144" s="4" t="str">
        <f>IF(Table4[[#This Row],[loc of mdi]]="","",  IFERROR(FIND(" ",Table4[[#This Row],[Attributes]],Table4[[#This Row],[loc of mdi]]+3),LEN(Table4[[#This Row],[Attributes]])+1))</f>
        <v/>
      </c>
      <c r="G144" s="4" t="str">
        <f>IFERROR(MID(Table4[[#This Row],[Attributes]],Table4[[#This Row],[loc of mdi]],Table4[[#This Row],[loc of space after mdi]]-Table4[[#This Row],[loc of mdi]]),"")</f>
        <v/>
      </c>
      <c r="H144" s="4" t="str">
        <f>IF(COUNTIFS(entities[entity_id],Table4[[#This Row],[Entity]])=1,"ok","missing from 'Entities' tab")</f>
        <v>ok</v>
      </c>
      <c r="I144" s="4" t="str">
        <f>LEFT(Table4[[#This Row],[Entity]],FIND(".",Table4[[#This Row],[Entity]])-1)</f>
        <v>sensor</v>
      </c>
      <c r="J144" s="4" t="str">
        <f>MID(Table4[[#This Row],[Entity]],FIND(".",Table4[[#This Row],[Entity]])+1,999)</f>
        <v>dark_sky_humidity</v>
      </c>
    </row>
    <row r="145" spans="2:10" x14ac:dyDescent="0.25">
      <c r="B145" t="s">
        <v>130</v>
      </c>
      <c r="C145" t="s">
        <v>728</v>
      </c>
      <c r="E145" s="4" t="str">
        <f>IFERROR(FIND("mdi:",Table4[[#This Row],[Attributes]]),"")</f>
        <v/>
      </c>
      <c r="F145" s="4" t="str">
        <f>IF(Table4[[#This Row],[loc of mdi]]="","",  IFERROR(FIND(" ",Table4[[#This Row],[Attributes]],Table4[[#This Row],[loc of mdi]]+3),LEN(Table4[[#This Row],[Attributes]])+1))</f>
        <v/>
      </c>
      <c r="G145" s="4" t="str">
        <f>IFERROR(MID(Table4[[#This Row],[Attributes]],Table4[[#This Row],[loc of mdi]],Table4[[#This Row],[loc of space after mdi]]-Table4[[#This Row],[loc of mdi]]),"")</f>
        <v/>
      </c>
      <c r="H145" s="4" t="str">
        <f>IF(COUNTIFS(entities[entity_id],Table4[[#This Row],[Entity]])=1,"ok","missing from 'Entities' tab")</f>
        <v>ok</v>
      </c>
      <c r="I145" s="4" t="str">
        <f>LEFT(Table4[[#This Row],[Entity]],FIND(".",Table4[[#This Row],[Entity]])-1)</f>
        <v>sensor</v>
      </c>
      <c r="J145" s="4" t="str">
        <f>MID(Table4[[#This Row],[Entity]],FIND(".",Table4[[#This Row],[Entity]])+1,999)</f>
        <v>dark_sky_minutely_summary</v>
      </c>
    </row>
    <row r="146" spans="2:10" x14ac:dyDescent="0.25">
      <c r="B146" t="s">
        <v>131</v>
      </c>
      <c r="C146" t="s">
        <v>87</v>
      </c>
      <c r="E146" s="4" t="str">
        <f>IFERROR(FIND("mdi:",Table4[[#This Row],[Attributes]]),"")</f>
        <v/>
      </c>
      <c r="F146" s="4" t="str">
        <f>IF(Table4[[#This Row],[loc of mdi]]="","",  IFERROR(FIND(" ",Table4[[#This Row],[Attributes]],Table4[[#This Row],[loc of mdi]]+3),LEN(Table4[[#This Row],[Attributes]])+1))</f>
        <v/>
      </c>
      <c r="G146" s="4" t="str">
        <f>IFERROR(MID(Table4[[#This Row],[Attributes]],Table4[[#This Row],[loc of mdi]],Table4[[#This Row],[loc of space after mdi]]-Table4[[#This Row],[loc of mdi]]),"")</f>
        <v/>
      </c>
      <c r="H146" s="4" t="str">
        <f>IF(COUNTIFS(entities[entity_id],Table4[[#This Row],[Entity]])=1,"ok","missing from 'Entities' tab")</f>
        <v>ok</v>
      </c>
      <c r="I146" s="4" t="str">
        <f>LEFT(Table4[[#This Row],[Entity]],FIND(".",Table4[[#This Row],[Entity]])-1)</f>
        <v>sensor</v>
      </c>
      <c r="J146" s="4" t="str">
        <f>MID(Table4[[#This Row],[Entity]],FIND(".",Table4[[#This Row],[Entity]])+1,999)</f>
        <v>dark_sky_precip</v>
      </c>
    </row>
    <row r="147" spans="2:10" x14ac:dyDescent="0.25">
      <c r="B147" t="s">
        <v>132</v>
      </c>
      <c r="C147">
        <v>0</v>
      </c>
      <c r="E147" s="4" t="str">
        <f>IFERROR(FIND("mdi:",Table4[[#This Row],[Attributes]]),"")</f>
        <v/>
      </c>
      <c r="F147" s="4" t="str">
        <f>IF(Table4[[#This Row],[loc of mdi]]="","",  IFERROR(FIND(" ",Table4[[#This Row],[Attributes]],Table4[[#This Row],[loc of mdi]]+3),LEN(Table4[[#This Row],[Attributes]])+1))</f>
        <v/>
      </c>
      <c r="G147" s="4" t="str">
        <f>IFERROR(MID(Table4[[#This Row],[Attributes]],Table4[[#This Row],[loc of mdi]],Table4[[#This Row],[loc of space after mdi]]-Table4[[#This Row],[loc of mdi]]),"")</f>
        <v/>
      </c>
      <c r="H147" s="4" t="str">
        <f>IF(COUNTIFS(entities[entity_id],Table4[[#This Row],[Entity]])=1,"ok","missing from 'Entities' tab")</f>
        <v>ok</v>
      </c>
      <c r="I147" s="4" t="str">
        <f>LEFT(Table4[[#This Row],[Entity]],FIND(".",Table4[[#This Row],[Entity]])-1)</f>
        <v>sensor</v>
      </c>
      <c r="J147" s="4" t="str">
        <f>MID(Table4[[#This Row],[Entity]],FIND(".",Table4[[#This Row],[Entity]])+1,999)</f>
        <v>dark_sky_precip_intensity</v>
      </c>
    </row>
    <row r="148" spans="2:10" x14ac:dyDescent="0.25">
      <c r="B148" t="s">
        <v>133</v>
      </c>
      <c r="C148">
        <v>0</v>
      </c>
      <c r="E148" s="4" t="str">
        <f>IFERROR(FIND("mdi:",Table4[[#This Row],[Attributes]]),"")</f>
        <v/>
      </c>
      <c r="F148" s="4" t="str">
        <f>IF(Table4[[#This Row],[loc of mdi]]="","",  IFERROR(FIND(" ",Table4[[#This Row],[Attributes]],Table4[[#This Row],[loc of mdi]]+3),LEN(Table4[[#This Row],[Attributes]])+1))</f>
        <v/>
      </c>
      <c r="G148" s="4" t="str">
        <f>IFERROR(MID(Table4[[#This Row],[Attributes]],Table4[[#This Row],[loc of mdi]],Table4[[#This Row],[loc of space after mdi]]-Table4[[#This Row],[loc of mdi]]),"")</f>
        <v/>
      </c>
      <c r="H148" s="4" t="str">
        <f>IF(COUNTIFS(entities[entity_id],Table4[[#This Row],[Entity]])=1,"ok","missing from 'Entities' tab")</f>
        <v>ok</v>
      </c>
      <c r="I148" s="4" t="str">
        <f>LEFT(Table4[[#This Row],[Entity]],FIND(".",Table4[[#This Row],[Entity]])-1)</f>
        <v>sensor</v>
      </c>
      <c r="J148" s="4" t="str">
        <f>MID(Table4[[#This Row],[Entity]],FIND(".",Table4[[#This Row],[Entity]])+1,999)</f>
        <v>dark_sky_precip_probability</v>
      </c>
    </row>
    <row r="149" spans="2:10" x14ac:dyDescent="0.25">
      <c r="B149" t="s">
        <v>134</v>
      </c>
      <c r="C149">
        <v>43.6</v>
      </c>
      <c r="E149" s="4" t="str">
        <f>IFERROR(FIND("mdi:",Table4[[#This Row],[Attributes]]),"")</f>
        <v/>
      </c>
      <c r="F149" s="4" t="str">
        <f>IF(Table4[[#This Row],[loc of mdi]]="","",  IFERROR(FIND(" ",Table4[[#This Row],[Attributes]],Table4[[#This Row],[loc of mdi]]+3),LEN(Table4[[#This Row],[Attributes]])+1))</f>
        <v/>
      </c>
      <c r="G149" s="4" t="str">
        <f>IFERROR(MID(Table4[[#This Row],[Attributes]],Table4[[#This Row],[loc of mdi]],Table4[[#This Row],[loc of space after mdi]]-Table4[[#This Row],[loc of mdi]]),"")</f>
        <v/>
      </c>
      <c r="H149" s="4" t="str">
        <f>IF(COUNTIFS(entities[entity_id],Table4[[#This Row],[Entity]])=1,"ok","missing from 'Entities' tab")</f>
        <v>ok</v>
      </c>
      <c r="I149" s="4" t="str">
        <f>LEFT(Table4[[#This Row],[Entity]],FIND(".",Table4[[#This Row],[Entity]])-1)</f>
        <v>sensor</v>
      </c>
      <c r="J149" s="4" t="str">
        <f>MID(Table4[[#This Row],[Entity]],FIND(".",Table4[[#This Row],[Entity]])+1,999)</f>
        <v>dark_sky_temperature</v>
      </c>
    </row>
    <row r="150" spans="2:10" x14ac:dyDescent="0.25">
      <c r="B150" t="s">
        <v>135</v>
      </c>
      <c r="C150">
        <v>10</v>
      </c>
      <c r="E150" s="4" t="str">
        <f>IFERROR(FIND("mdi:",Table4[[#This Row],[Attributes]]),"")</f>
        <v/>
      </c>
      <c r="F150" s="4" t="str">
        <f>IF(Table4[[#This Row],[loc of mdi]]="","",  IFERROR(FIND(" ",Table4[[#This Row],[Attributes]],Table4[[#This Row],[loc of mdi]]+3),LEN(Table4[[#This Row],[Attributes]])+1))</f>
        <v/>
      </c>
      <c r="G150" s="4" t="str">
        <f>IFERROR(MID(Table4[[#This Row],[Attributes]],Table4[[#This Row],[loc of mdi]],Table4[[#This Row],[loc of space after mdi]]-Table4[[#This Row],[loc of mdi]]),"")</f>
        <v/>
      </c>
      <c r="H150" s="4" t="str">
        <f>IF(COUNTIFS(entities[entity_id],Table4[[#This Row],[Entity]])=1,"ok","missing from 'Entities' tab")</f>
        <v>ok</v>
      </c>
      <c r="I150" s="4" t="str">
        <f>LEFT(Table4[[#This Row],[Entity]],FIND(".",Table4[[#This Row],[Entity]])-1)</f>
        <v>sensor</v>
      </c>
      <c r="J150" s="4" t="str">
        <f>MID(Table4[[#This Row],[Entity]],FIND(".",Table4[[#This Row],[Entity]])+1,999)</f>
        <v>dark_sky_visibility</v>
      </c>
    </row>
    <row r="151" spans="2:10" x14ac:dyDescent="0.25">
      <c r="B151" t="s">
        <v>136</v>
      </c>
      <c r="C151">
        <v>42824</v>
      </c>
      <c r="E151" s="4" t="str">
        <f>IFERROR(FIND("mdi:",Table4[[#This Row],[Attributes]]),"")</f>
        <v/>
      </c>
      <c r="F151" s="4" t="str">
        <f>IF(Table4[[#This Row],[loc of mdi]]="","",  IFERROR(FIND(" ",Table4[[#This Row],[Attributes]],Table4[[#This Row],[loc of mdi]]+3),LEN(Table4[[#This Row],[Attributes]])+1))</f>
        <v/>
      </c>
      <c r="G151" s="4" t="str">
        <f>IFERROR(MID(Table4[[#This Row],[Attributes]],Table4[[#This Row],[loc of mdi]],Table4[[#This Row],[loc of space after mdi]]-Table4[[#This Row],[loc of mdi]]),"")</f>
        <v/>
      </c>
      <c r="H151" s="4" t="str">
        <f>IF(COUNTIFS(entities[entity_id],Table4[[#This Row],[Entity]])=1,"ok","missing from 'Entities' tab")</f>
        <v>ok</v>
      </c>
      <c r="I151" s="4" t="str">
        <f>LEFT(Table4[[#This Row],[Entity]],FIND(".",Table4[[#This Row],[Entity]])-1)</f>
        <v>sensor</v>
      </c>
      <c r="J151" s="4" t="str">
        <f>MID(Table4[[#This Row],[Entity]],FIND(".",Table4[[#This Row],[Entity]])+1,999)</f>
        <v>date</v>
      </c>
    </row>
    <row r="152" spans="2:10" x14ac:dyDescent="0.25">
      <c r="B152" t="s">
        <v>137</v>
      </c>
      <c r="C152" t="s">
        <v>666</v>
      </c>
      <c r="E152" s="4" t="str">
        <f>IFERROR(FIND("mdi:",Table4[[#This Row],[Attributes]]),"")</f>
        <v/>
      </c>
      <c r="F152" s="4" t="str">
        <f>IF(Table4[[#This Row],[loc of mdi]]="","",  IFERROR(FIND(" ",Table4[[#This Row],[Attributes]],Table4[[#This Row],[loc of mdi]]+3),LEN(Table4[[#This Row],[Attributes]])+1))</f>
        <v/>
      </c>
      <c r="G152" s="4" t="str">
        <f>IFERROR(MID(Table4[[#This Row],[Attributes]],Table4[[#This Row],[loc of mdi]],Table4[[#This Row],[loc of space after mdi]]-Table4[[#This Row],[loc of mdi]]),"")</f>
        <v/>
      </c>
      <c r="H152" s="4" t="str">
        <f>IF(COUNTIFS(entities[entity_id],Table4[[#This Row],[Entity]])=1,"ok","missing from 'Entities' tab")</f>
        <v>ok</v>
      </c>
      <c r="I152" s="4" t="str">
        <f>LEFT(Table4[[#This Row],[Entity]],FIND(".",Table4[[#This Row],[Entity]])-1)</f>
        <v>sensor</v>
      </c>
      <c r="J152" s="4" t="str">
        <f>MID(Table4[[#This Row],[Entity]],FIND(".",Table4[[#This Row],[Entity]])+1,999)</f>
        <v>date_odd</v>
      </c>
    </row>
    <row r="153" spans="2:10" x14ac:dyDescent="0.25">
      <c r="B153" t="s">
        <v>138</v>
      </c>
      <c r="C153">
        <v>18.600000000000001</v>
      </c>
      <c r="E153" s="4" t="str">
        <f>IFERROR(FIND("mdi:",Table4[[#This Row],[Attributes]]),"")</f>
        <v/>
      </c>
      <c r="F153" s="4" t="str">
        <f>IF(Table4[[#This Row],[loc of mdi]]="","",  IFERROR(FIND(" ",Table4[[#This Row],[Attributes]],Table4[[#This Row],[loc of mdi]]+3),LEN(Table4[[#This Row],[Attributes]])+1))</f>
        <v/>
      </c>
      <c r="G153" s="4" t="str">
        <f>IFERROR(MID(Table4[[#This Row],[Attributes]],Table4[[#This Row],[loc of mdi]],Table4[[#This Row],[loc of space after mdi]]-Table4[[#This Row],[loc of mdi]]),"")</f>
        <v/>
      </c>
      <c r="H153" s="4" t="str">
        <f>IF(COUNTIFS(entities[entity_id],Table4[[#This Row],[Entity]])=1,"ok","missing from 'Entities' tab")</f>
        <v>ok</v>
      </c>
      <c r="I153" s="4" t="str">
        <f>LEFT(Table4[[#This Row],[Entity]],FIND(".",Table4[[#This Row],[Entity]])-1)</f>
        <v>sensor</v>
      </c>
      <c r="J153" s="4" t="str">
        <f>MID(Table4[[#This Row],[Entity]],FIND(".",Table4[[#This Row],[Entity]])+1,999)</f>
        <v>disk_use_home</v>
      </c>
    </row>
    <row r="154" spans="2:10" x14ac:dyDescent="0.25">
      <c r="B154" t="s">
        <v>667</v>
      </c>
      <c r="C154">
        <v>24</v>
      </c>
      <c r="E154" s="4" t="str">
        <f>IFERROR(FIND("mdi:",Table4[[#This Row],[Attributes]]),"")</f>
        <v/>
      </c>
      <c r="F154" s="4" t="str">
        <f>IF(Table4[[#This Row],[loc of mdi]]="","",  IFERROR(FIND(" ",Table4[[#This Row],[Attributes]],Table4[[#This Row],[loc of mdi]]+3),LEN(Table4[[#This Row],[Attributes]])+1))</f>
        <v/>
      </c>
      <c r="G154" s="4" t="str">
        <f>IFERROR(MID(Table4[[#This Row],[Attributes]],Table4[[#This Row],[loc of mdi]],Table4[[#This Row],[loc of space after mdi]]-Table4[[#This Row],[loc of mdi]]),"")</f>
        <v/>
      </c>
      <c r="H154" s="4" t="str">
        <f>IF(COUNTIFS(entities[entity_id],Table4[[#This Row],[Entity]])=1,"ok","missing from 'Entities' tab")</f>
        <v>ok</v>
      </c>
      <c r="I154" s="4" t="str">
        <f>LEFT(Table4[[#This Row],[Entity]],FIND(".",Table4[[#This Row],[Entity]])-1)</f>
        <v>sensor</v>
      </c>
      <c r="J154" s="4" t="str">
        <f>MID(Table4[[#This Row],[Entity]],FIND(".",Table4[[#This Row],[Entity]])+1,999)</f>
        <v>humidity_sensor_14</v>
      </c>
    </row>
    <row r="155" spans="2:10" x14ac:dyDescent="0.25">
      <c r="B155" t="s">
        <v>139</v>
      </c>
      <c r="C155">
        <v>42824</v>
      </c>
      <c r="E155" s="4" t="str">
        <f>IFERROR(FIND("mdi:",Table4[[#This Row],[Attributes]]),"")</f>
        <v/>
      </c>
      <c r="F155" s="4" t="str">
        <f>IF(Table4[[#This Row],[loc of mdi]]="","",  IFERROR(FIND(" ",Table4[[#This Row],[Attributes]],Table4[[#This Row],[loc of mdi]]+3),LEN(Table4[[#This Row],[Attributes]])+1))</f>
        <v/>
      </c>
      <c r="G155" s="4" t="str">
        <f>IFERROR(MID(Table4[[#This Row],[Attributes]],Table4[[#This Row],[loc of mdi]],Table4[[#This Row],[loc of space after mdi]]-Table4[[#This Row],[loc of mdi]]),"")</f>
        <v/>
      </c>
      <c r="H155" s="4" t="str">
        <f>IF(COUNTIFS(entities[entity_id],Table4[[#This Row],[Entity]])=1,"ok","missing from 'Entities' tab")</f>
        <v>ok</v>
      </c>
      <c r="I155" s="4" t="str">
        <f>LEFT(Table4[[#This Row],[Entity]],FIND(".",Table4[[#This Row],[Entity]])-1)</f>
        <v>sensor</v>
      </c>
      <c r="J155" s="4" t="str">
        <f>MID(Table4[[#This Row],[Entity]],FIND(".",Table4[[#This Row],[Entity]])+1,999)</f>
        <v>last_boot</v>
      </c>
    </row>
    <row r="156" spans="2:10" x14ac:dyDescent="0.25">
      <c r="B156" t="s">
        <v>668</v>
      </c>
      <c r="C156">
        <v>123</v>
      </c>
      <c r="E156" s="4" t="str">
        <f>IFERROR(FIND("mdi:",Table4[[#This Row],[Attributes]]),"")</f>
        <v/>
      </c>
      <c r="F156" s="4" t="str">
        <f>IF(Table4[[#This Row],[loc of mdi]]="","",  IFERROR(FIND(" ",Table4[[#This Row],[Attributes]],Table4[[#This Row],[loc of mdi]]+3),LEN(Table4[[#This Row],[Attributes]])+1))</f>
        <v/>
      </c>
      <c r="G156" s="4" t="str">
        <f>IFERROR(MID(Table4[[#This Row],[Attributes]],Table4[[#This Row],[loc of mdi]],Table4[[#This Row],[loc of space after mdi]]-Table4[[#This Row],[loc of mdi]]),"")</f>
        <v/>
      </c>
      <c r="H156" s="4" t="str">
        <f>IF(COUNTIFS(entities[entity_id],Table4[[#This Row],[Entity]])=1,"ok","missing from 'Entities' tab")</f>
        <v>ok</v>
      </c>
      <c r="I156" s="4" t="str">
        <f>LEFT(Table4[[#This Row],[Entity]],FIND(".",Table4[[#This Row],[Entity]])-1)</f>
        <v>sensor</v>
      </c>
      <c r="J156" s="4" t="str">
        <f>MID(Table4[[#This Row],[Entity]],FIND(".",Table4[[#This Row],[Entity]])+1,999)</f>
        <v>light_sensor_13</v>
      </c>
    </row>
    <row r="157" spans="2:10" x14ac:dyDescent="0.25">
      <c r="B157" t="s">
        <v>140</v>
      </c>
      <c r="C157">
        <v>807.5</v>
      </c>
      <c r="E157" s="4" t="str">
        <f>IFERROR(FIND("mdi:",Table4[[#This Row],[Attributes]]),"")</f>
        <v/>
      </c>
      <c r="F157" s="4" t="str">
        <f>IF(Table4[[#This Row],[loc of mdi]]="","",  IFERROR(FIND(" ",Table4[[#This Row],[Attributes]],Table4[[#This Row],[loc of mdi]]+3),LEN(Table4[[#This Row],[Attributes]])+1))</f>
        <v/>
      </c>
      <c r="G157" s="4" t="str">
        <f>IFERROR(MID(Table4[[#This Row],[Attributes]],Table4[[#This Row],[loc of mdi]],Table4[[#This Row],[loc of space after mdi]]-Table4[[#This Row],[loc of mdi]]),"")</f>
        <v/>
      </c>
      <c r="H157" s="4" t="str">
        <f>IF(COUNTIFS(entities[entity_id],Table4[[#This Row],[Entity]])=1,"ok","missing from 'Entities' tab")</f>
        <v>ok</v>
      </c>
      <c r="I157" s="4" t="str">
        <f>LEFT(Table4[[#This Row],[Entity]],FIND(".",Table4[[#This Row],[Entity]])-1)</f>
        <v>sensor</v>
      </c>
      <c r="J157" s="4" t="str">
        <f>MID(Table4[[#This Row],[Entity]],FIND(".",Table4[[#This Row],[Entity]])+1,999)</f>
        <v>ram_free</v>
      </c>
    </row>
    <row r="158" spans="2:10" x14ac:dyDescent="0.25">
      <c r="B158" t="s">
        <v>141</v>
      </c>
      <c r="C158">
        <v>92.23</v>
      </c>
      <c r="E158" s="4" t="str">
        <f>IFERROR(FIND("mdi:",Table4[[#This Row],[Attributes]]),"")</f>
        <v/>
      </c>
      <c r="F158" s="4" t="str">
        <f>IF(Table4[[#This Row],[loc of mdi]]="","",  IFERROR(FIND(" ",Table4[[#This Row],[Attributes]],Table4[[#This Row],[loc of mdi]]+3),LEN(Table4[[#This Row],[Attributes]])+1))</f>
        <v/>
      </c>
      <c r="G158" s="4" t="str">
        <f>IFERROR(MID(Table4[[#This Row],[Attributes]],Table4[[#This Row],[loc of mdi]],Table4[[#This Row],[loc of space after mdi]]-Table4[[#This Row],[loc of mdi]]),"")</f>
        <v/>
      </c>
      <c r="H158" s="4" t="str">
        <f>IF(COUNTIFS(entities[entity_id],Table4[[#This Row],[Entity]])=1,"ok","missing from 'Entities' tab")</f>
        <v>ok</v>
      </c>
      <c r="I158" s="4" t="str">
        <f>LEFT(Table4[[#This Row],[Entity]],FIND(".",Table4[[#This Row],[Entity]])-1)</f>
        <v>sensor</v>
      </c>
      <c r="J158" s="4" t="str">
        <f>MID(Table4[[#This Row],[Entity]],FIND(".",Table4[[#This Row],[Entity]])+1,999)</f>
        <v>speedtest_download</v>
      </c>
    </row>
    <row r="159" spans="2:10" x14ac:dyDescent="0.25">
      <c r="B159" t="s">
        <v>142</v>
      </c>
      <c r="C159">
        <v>22.29</v>
      </c>
      <c r="E159" s="4" t="str">
        <f>IFERROR(FIND("mdi:",Table4[[#This Row],[Attributes]]),"")</f>
        <v/>
      </c>
      <c r="F159" s="4" t="str">
        <f>IF(Table4[[#This Row],[loc of mdi]]="","",  IFERROR(FIND(" ",Table4[[#This Row],[Attributes]],Table4[[#This Row],[loc of mdi]]+3),LEN(Table4[[#This Row],[Attributes]])+1))</f>
        <v/>
      </c>
      <c r="G159" s="4" t="str">
        <f>IFERROR(MID(Table4[[#This Row],[Attributes]],Table4[[#This Row],[loc of mdi]],Table4[[#This Row],[loc of space after mdi]]-Table4[[#This Row],[loc of mdi]]),"")</f>
        <v/>
      </c>
      <c r="H159" s="4" t="str">
        <f>IF(COUNTIFS(entities[entity_id],Table4[[#This Row],[Entity]])=1,"ok","missing from 'Entities' tab")</f>
        <v>ok</v>
      </c>
      <c r="I159" s="4" t="str">
        <f>LEFT(Table4[[#This Row],[Entity]],FIND(".",Table4[[#This Row],[Entity]])-1)</f>
        <v>sensor</v>
      </c>
      <c r="J159" s="4" t="str">
        <f>MID(Table4[[#This Row],[Entity]],FIND(".",Table4[[#This Row],[Entity]])+1,999)</f>
        <v>speedtest_ping</v>
      </c>
    </row>
    <row r="160" spans="2:10" x14ac:dyDescent="0.25">
      <c r="B160" t="s">
        <v>143</v>
      </c>
      <c r="C160">
        <v>6.7</v>
      </c>
      <c r="E160" s="4" t="str">
        <f>IFERROR(FIND("mdi:",Table4[[#This Row],[Attributes]]),"")</f>
        <v/>
      </c>
      <c r="F160" s="4" t="str">
        <f>IF(Table4[[#This Row],[loc of mdi]]="","",  IFERROR(FIND(" ",Table4[[#This Row],[Attributes]],Table4[[#This Row],[loc of mdi]]+3),LEN(Table4[[#This Row],[Attributes]])+1))</f>
        <v/>
      </c>
      <c r="G160" s="4" t="str">
        <f>IFERROR(MID(Table4[[#This Row],[Attributes]],Table4[[#This Row],[loc of mdi]],Table4[[#This Row],[loc of space after mdi]]-Table4[[#This Row],[loc of mdi]]),"")</f>
        <v/>
      </c>
      <c r="H160" s="4" t="str">
        <f>IF(COUNTIFS(entities[entity_id],Table4[[#This Row],[Entity]])=1,"ok","missing from 'Entities' tab")</f>
        <v>ok</v>
      </c>
      <c r="I160" s="4" t="str">
        <f>LEFT(Table4[[#This Row],[Entity]],FIND(".",Table4[[#This Row],[Entity]])-1)</f>
        <v>sensor</v>
      </c>
      <c r="J160" s="4" t="str">
        <f>MID(Table4[[#This Row],[Entity]],FIND(".",Table4[[#This Row],[Entity]])+1,999)</f>
        <v>speedtest_upload</v>
      </c>
    </row>
    <row r="161" spans="2:10" x14ac:dyDescent="0.25">
      <c r="B161" t="s">
        <v>669</v>
      </c>
      <c r="C161">
        <v>71.099999999999994</v>
      </c>
      <c r="E161" s="4" t="str">
        <f>IFERROR(FIND("mdi:",Table4[[#This Row],[Attributes]]),"")</f>
        <v/>
      </c>
      <c r="F161" s="4" t="str">
        <f>IF(Table4[[#This Row],[loc of mdi]]="","",  IFERROR(FIND(" ",Table4[[#This Row],[Attributes]],Table4[[#This Row],[loc of mdi]]+3),LEN(Table4[[#This Row],[Attributes]])+1))</f>
        <v/>
      </c>
      <c r="G161" s="4" t="str">
        <f>IFERROR(MID(Table4[[#This Row],[Attributes]],Table4[[#This Row],[loc of mdi]],Table4[[#This Row],[loc of space after mdi]]-Table4[[#This Row],[loc of mdi]]),"")</f>
        <v/>
      </c>
      <c r="H161" s="4" t="str">
        <f>IF(COUNTIFS(entities[entity_id],Table4[[#This Row],[Entity]])=1,"ok","missing from 'Entities' tab")</f>
        <v>ok</v>
      </c>
      <c r="I161" s="4" t="str">
        <f>LEFT(Table4[[#This Row],[Entity]],FIND(".",Table4[[#This Row],[Entity]])-1)</f>
        <v>sensor</v>
      </c>
      <c r="J161" s="4" t="str">
        <f>MID(Table4[[#This Row],[Entity]],FIND(".",Table4[[#This Row],[Entity]])+1,999)</f>
        <v>temperature_sensor_12</v>
      </c>
    </row>
    <row r="162" spans="2:10" x14ac:dyDescent="0.25">
      <c r="B162" t="s">
        <v>144</v>
      </c>
      <c r="C162">
        <v>0.48749999999999999</v>
      </c>
      <c r="E162" s="4" t="str">
        <f>IFERROR(FIND("mdi:",Table4[[#This Row],[Attributes]]),"")</f>
        <v/>
      </c>
      <c r="F162" s="4" t="str">
        <f>IF(Table4[[#This Row],[loc of mdi]]="","",  IFERROR(FIND(" ",Table4[[#This Row],[Attributes]],Table4[[#This Row],[loc of mdi]]+3),LEN(Table4[[#This Row],[Attributes]])+1))</f>
        <v/>
      </c>
      <c r="G162" s="4" t="str">
        <f>IFERROR(MID(Table4[[#This Row],[Attributes]],Table4[[#This Row],[loc of mdi]],Table4[[#This Row],[loc of space after mdi]]-Table4[[#This Row],[loc of mdi]]),"")</f>
        <v/>
      </c>
      <c r="H162" s="4" t="str">
        <f>IF(COUNTIFS(entities[entity_id],Table4[[#This Row],[Entity]])=1,"ok","missing from 'Entities' tab")</f>
        <v>ok</v>
      </c>
      <c r="I162" s="4" t="str">
        <f>LEFT(Table4[[#This Row],[Entity]],FIND(".",Table4[[#This Row],[Entity]])-1)</f>
        <v>sensor</v>
      </c>
      <c r="J162" s="4" t="str">
        <f>MID(Table4[[#This Row],[Entity]],FIND(".",Table4[[#This Row],[Entity]])+1,999)</f>
        <v>time</v>
      </c>
    </row>
    <row r="163" spans="2:10" x14ac:dyDescent="0.25">
      <c r="B163" t="s">
        <v>145</v>
      </c>
      <c r="C163" t="s">
        <v>670</v>
      </c>
      <c r="E163" s="4" t="str">
        <f>IFERROR(FIND("mdi:",Table4[[#This Row],[Attributes]]),"")</f>
        <v/>
      </c>
      <c r="F163" s="4" t="str">
        <f>IF(Table4[[#This Row],[loc of mdi]]="","",  IFERROR(FIND(" ",Table4[[#This Row],[Attributes]],Table4[[#This Row],[loc of mdi]]+3),LEN(Table4[[#This Row],[Attributes]])+1))</f>
        <v/>
      </c>
      <c r="G163" s="4" t="str">
        <f>IFERROR(MID(Table4[[#This Row],[Attributes]],Table4[[#This Row],[loc of mdi]],Table4[[#This Row],[loc of space after mdi]]-Table4[[#This Row],[loc of mdi]]),"")</f>
        <v/>
      </c>
      <c r="H163" s="4" t="str">
        <f>IF(COUNTIFS(entities[entity_id],Table4[[#This Row],[Entity]])=1,"ok","missing from 'Entities' tab")</f>
        <v>ok</v>
      </c>
      <c r="I163" s="4" t="str">
        <f>LEFT(Table4[[#This Row],[Entity]],FIND(".",Table4[[#This Row],[Entity]])-1)</f>
        <v>sun</v>
      </c>
      <c r="J163" s="4" t="str">
        <f>MID(Table4[[#This Row],[Entity]],FIND(".",Table4[[#This Row],[Entity]])+1,999)</f>
        <v>sun</v>
      </c>
    </row>
    <row r="164" spans="2:10" x14ac:dyDescent="0.25">
      <c r="B164" t="s">
        <v>146</v>
      </c>
      <c r="C164" t="s">
        <v>1</v>
      </c>
      <c r="E164" s="4" t="str">
        <f>IFERROR(FIND("mdi:",Table4[[#This Row],[Attributes]]),"")</f>
        <v/>
      </c>
      <c r="F164" s="4" t="str">
        <f>IF(Table4[[#This Row],[loc of mdi]]="","",  IFERROR(FIND(" ",Table4[[#This Row],[Attributes]],Table4[[#This Row],[loc of mdi]]+3),LEN(Table4[[#This Row],[Attributes]])+1))</f>
        <v/>
      </c>
      <c r="G164" s="4" t="str">
        <f>IFERROR(MID(Table4[[#This Row],[Attributes]],Table4[[#This Row],[loc of mdi]],Table4[[#This Row],[loc of space after mdi]]-Table4[[#This Row],[loc of mdi]]),"")</f>
        <v/>
      </c>
      <c r="H164" s="4" t="str">
        <f>IF(COUNTIFS(entities[entity_id],Table4[[#This Row],[Entity]])=1,"ok","missing from 'Entities' tab")</f>
        <v>ok</v>
      </c>
      <c r="I164" s="4" t="str">
        <f>LEFT(Table4[[#This Row],[Entity]],FIND(".",Table4[[#This Row],[Entity]])-1)</f>
        <v>switch</v>
      </c>
      <c r="J164" s="4" t="str">
        <f>MID(Table4[[#This Row],[Entity]],FIND(".",Table4[[#This Row],[Entity]])+1,999)</f>
        <v>amp</v>
      </c>
    </row>
    <row r="165" spans="2:10" x14ac:dyDescent="0.25">
      <c r="B165" t="s">
        <v>147</v>
      </c>
      <c r="C165" t="s">
        <v>40</v>
      </c>
      <c r="E165" s="4" t="str">
        <f>IFERROR(FIND("mdi:",Table4[[#This Row],[Attributes]]),"")</f>
        <v/>
      </c>
      <c r="F165" s="4" t="str">
        <f>IF(Table4[[#This Row],[loc of mdi]]="","",  IFERROR(FIND(" ",Table4[[#This Row],[Attributes]],Table4[[#This Row],[loc of mdi]]+3),LEN(Table4[[#This Row],[Attributes]])+1))</f>
        <v/>
      </c>
      <c r="G165" s="4" t="str">
        <f>IFERROR(MID(Table4[[#This Row],[Attributes]],Table4[[#This Row],[loc of mdi]],Table4[[#This Row],[loc of space after mdi]]-Table4[[#This Row],[loc of mdi]]),"")</f>
        <v/>
      </c>
      <c r="H165" s="4" t="str">
        <f>IF(COUNTIFS(entities[entity_id],Table4[[#This Row],[Entity]])=1,"ok","missing from 'Entities' tab")</f>
        <v>ok</v>
      </c>
      <c r="I165" s="4" t="str">
        <f>LEFT(Table4[[#This Row],[Entity]],FIND(".",Table4[[#This Row],[Entity]])-1)</f>
        <v>switch</v>
      </c>
      <c r="J165" s="4" t="str">
        <f>MID(Table4[[#This Row],[Entity]],FIND(".",Table4[[#This Row],[Entity]])+1,999)</f>
        <v>bedroom_fan</v>
      </c>
    </row>
    <row r="166" spans="2:10" x14ac:dyDescent="0.25">
      <c r="B166" t="s">
        <v>148</v>
      </c>
      <c r="C166" t="s">
        <v>40</v>
      </c>
      <c r="E166" s="4" t="str">
        <f>IFERROR(FIND("mdi:",Table4[[#This Row],[Attributes]]),"")</f>
        <v/>
      </c>
      <c r="F166" s="4" t="str">
        <f>IF(Table4[[#This Row],[loc of mdi]]="","",  IFERROR(FIND(" ",Table4[[#This Row],[Attributes]],Table4[[#This Row],[loc of mdi]]+3),LEN(Table4[[#This Row],[Attributes]])+1))</f>
        <v/>
      </c>
      <c r="G166" s="4" t="str">
        <f>IFERROR(MID(Table4[[#This Row],[Attributes]],Table4[[#This Row],[loc of mdi]],Table4[[#This Row],[loc of space after mdi]]-Table4[[#This Row],[loc of mdi]]),"")</f>
        <v/>
      </c>
      <c r="H166" s="4" t="str">
        <f>IF(COUNTIFS(entities[entity_id],Table4[[#This Row],[Entity]])=1,"ok","missing from 'Entities' tab")</f>
        <v>ok</v>
      </c>
      <c r="I166" s="4" t="str">
        <f>LEFT(Table4[[#This Row],[Entity]],FIND(".",Table4[[#This Row],[Entity]])-1)</f>
        <v>switch</v>
      </c>
      <c r="J166" s="4" t="str">
        <f>MID(Table4[[#This Row],[Entity]],FIND(".",Table4[[#This Row],[Entity]])+1,999)</f>
        <v>bedroom_nightstand</v>
      </c>
    </row>
    <row r="167" spans="2:10" x14ac:dyDescent="0.25">
      <c r="B167" t="s">
        <v>697</v>
      </c>
      <c r="C167" t="s">
        <v>1</v>
      </c>
      <c r="E167" s="4" t="str">
        <f>IFERROR(FIND("mdi:",Table4[[#This Row],[Attributes]]),"")</f>
        <v/>
      </c>
      <c r="F167" s="4" t="str">
        <f>IF(Table4[[#This Row],[loc of mdi]]="","",  IFERROR(FIND(" ",Table4[[#This Row],[Attributes]],Table4[[#This Row],[loc of mdi]]+3),LEN(Table4[[#This Row],[Attributes]])+1))</f>
        <v/>
      </c>
      <c r="G167" s="4" t="str">
        <f>IFERROR(MID(Table4[[#This Row],[Attributes]],Table4[[#This Row],[loc of mdi]],Table4[[#This Row],[loc of space after mdi]]-Table4[[#This Row],[loc of mdi]]),"")</f>
        <v/>
      </c>
      <c r="H167" s="4" t="str">
        <f>IF(COUNTIFS(entities[entity_id],Table4[[#This Row],[Entity]])=1,"ok","missing from 'Entities' tab")</f>
        <v>ok</v>
      </c>
      <c r="I167" s="4" t="str">
        <f>LEFT(Table4[[#This Row],[Entity]],FIND(".",Table4[[#This Row],[Entity]])-1)</f>
        <v>switch</v>
      </c>
      <c r="J167" s="4" t="str">
        <f>MID(Table4[[#This Row],[Entity]],FIND(".",Table4[[#This Row],[Entity]])+1,999)</f>
        <v>multi_sensor_4</v>
      </c>
    </row>
    <row r="168" spans="2:10" x14ac:dyDescent="0.25">
      <c r="B168" t="s">
        <v>671</v>
      </c>
      <c r="C168" t="s">
        <v>1</v>
      </c>
      <c r="E168" s="4" t="str">
        <f>IFERROR(FIND("mdi:",Table4[[#This Row],[Attributes]]),"")</f>
        <v/>
      </c>
      <c r="F168" s="4" t="str">
        <f>IF(Table4[[#This Row],[loc of mdi]]="","",  IFERROR(FIND(" ",Table4[[#This Row],[Attributes]],Table4[[#This Row],[loc of mdi]]+3),LEN(Table4[[#This Row],[Attributes]])+1))</f>
        <v/>
      </c>
      <c r="G168" s="4" t="str">
        <f>IFERROR(MID(Table4[[#This Row],[Attributes]],Table4[[#This Row],[loc of mdi]],Table4[[#This Row],[loc of space after mdi]]-Table4[[#This Row],[loc of mdi]]),"")</f>
        <v/>
      </c>
      <c r="H168" s="4" t="str">
        <f>IF(COUNTIFS(entities[entity_id],Table4[[#This Row],[Entity]])=1,"ok","missing from 'Entities' tab")</f>
        <v>ok</v>
      </c>
      <c r="I168" s="4" t="str">
        <f>LEFT(Table4[[#This Row],[Entity]],FIND(".",Table4[[#This Row],[Entity]])-1)</f>
        <v>switch</v>
      </c>
      <c r="J168" s="4" t="str">
        <f>MID(Table4[[#This Row],[Entity]],FIND(".",Table4[[#This Row],[Entity]])+1,999)</f>
        <v>smart_switch1_3</v>
      </c>
    </row>
    <row r="169" spans="2:10" x14ac:dyDescent="0.25">
      <c r="B169" t="s">
        <v>672</v>
      </c>
      <c r="C169" t="s">
        <v>1</v>
      </c>
      <c r="E169" s="4" t="str">
        <f>IFERROR(FIND("mdi:",Table4[[#This Row],[Attributes]]),"")</f>
        <v/>
      </c>
      <c r="F169" s="4" t="str">
        <f>IF(Table4[[#This Row],[loc of mdi]]="","",  IFERROR(FIND(" ",Table4[[#This Row],[Attributes]],Table4[[#This Row],[loc of mdi]]+3),LEN(Table4[[#This Row],[Attributes]])+1))</f>
        <v/>
      </c>
      <c r="G169" s="4" t="str">
        <f>IFERROR(MID(Table4[[#This Row],[Attributes]],Table4[[#This Row],[loc of mdi]],Table4[[#This Row],[loc of space after mdi]]-Table4[[#This Row],[loc of mdi]]),"")</f>
        <v/>
      </c>
      <c r="H169" s="4" t="str">
        <f>IF(COUNTIFS(entities[entity_id],Table4[[#This Row],[Entity]])=1,"ok","missing from 'Entities' tab")</f>
        <v>ok</v>
      </c>
      <c r="I169" s="4" t="str">
        <f>LEFT(Table4[[#This Row],[Entity]],FIND(".",Table4[[#This Row],[Entity]])-1)</f>
        <v>switch</v>
      </c>
      <c r="J169" s="4" t="str">
        <f>MID(Table4[[#This Row],[Entity]],FIND(".",Table4[[#This Row],[Entity]])+1,999)</f>
        <v>smart_switch2_7</v>
      </c>
    </row>
    <row r="170" spans="2:10" x14ac:dyDescent="0.25">
      <c r="B170" t="s">
        <v>149</v>
      </c>
      <c r="C170" t="s">
        <v>40</v>
      </c>
      <c r="E170" s="4" t="str">
        <f>IFERROR(FIND("mdi:",Table4[[#This Row],[Attributes]]),"")</f>
        <v/>
      </c>
      <c r="F170" s="4" t="str">
        <f>IF(Table4[[#This Row],[loc of mdi]]="","",  IFERROR(FIND(" ",Table4[[#This Row],[Attributes]],Table4[[#This Row],[loc of mdi]]+3),LEN(Table4[[#This Row],[Attributes]])+1))</f>
        <v/>
      </c>
      <c r="G170" s="4" t="str">
        <f>IFERROR(MID(Table4[[#This Row],[Attributes]],Table4[[#This Row],[loc of mdi]],Table4[[#This Row],[loc of space after mdi]]-Table4[[#This Row],[loc of mdi]]),"")</f>
        <v/>
      </c>
      <c r="H170" s="4" t="str">
        <f>IF(COUNTIFS(entities[entity_id],Table4[[#This Row],[Entity]])=1,"ok","missing from 'Entities' tab")</f>
        <v>ok</v>
      </c>
      <c r="I170" s="4" t="str">
        <f>LEFT(Table4[[#This Row],[Entity]],FIND(".",Table4[[#This Row],[Entity]])-1)</f>
        <v>switch</v>
      </c>
      <c r="J170" s="4" t="str">
        <f>MID(Table4[[#This Row],[Entity]],FIND(".",Table4[[#This Row],[Entity]])+1,999)</f>
        <v>switch4</v>
      </c>
    </row>
    <row r="171" spans="2:10" x14ac:dyDescent="0.25">
      <c r="B171" t="s">
        <v>150</v>
      </c>
      <c r="C171" t="s">
        <v>40</v>
      </c>
      <c r="E171" s="4" t="str">
        <f>IFERROR(FIND("mdi:",Table4[[#This Row],[Attributes]]),"")</f>
        <v/>
      </c>
      <c r="F171" s="4" t="str">
        <f>IF(Table4[[#This Row],[loc of mdi]]="","",  IFERROR(FIND(" ",Table4[[#This Row],[Attributes]],Table4[[#This Row],[loc of mdi]]+3),LEN(Table4[[#This Row],[Attributes]])+1))</f>
        <v/>
      </c>
      <c r="G171" s="4" t="str">
        <f>IFERROR(MID(Table4[[#This Row],[Attributes]],Table4[[#This Row],[loc of mdi]],Table4[[#This Row],[loc of space after mdi]]-Table4[[#This Row],[loc of mdi]]),"")</f>
        <v/>
      </c>
      <c r="H171" s="4" t="str">
        <f>IF(COUNTIFS(entities[entity_id],Table4[[#This Row],[Entity]])=1,"ok","missing from 'Entities' tab")</f>
        <v>ok</v>
      </c>
      <c r="I171" s="4" t="str">
        <f>LEFT(Table4[[#This Row],[Entity]],FIND(".",Table4[[#This Row],[Entity]])-1)</f>
        <v>switch</v>
      </c>
      <c r="J171" s="4" t="str">
        <f>MID(Table4[[#This Row],[Entity]],FIND(".",Table4[[#This Row],[Entity]])+1,999)</f>
        <v>switch5</v>
      </c>
    </row>
    <row r="172" spans="2:10" x14ac:dyDescent="0.25">
      <c r="B172" t="s">
        <v>151</v>
      </c>
      <c r="C172" t="s">
        <v>152</v>
      </c>
      <c r="E172" s="4" t="str">
        <f>IFERROR(FIND("mdi:",Table4[[#This Row],[Attributes]]),"")</f>
        <v/>
      </c>
      <c r="F172" s="4" t="str">
        <f>IF(Table4[[#This Row],[loc of mdi]]="","",  IFERROR(FIND(" ",Table4[[#This Row],[Attributes]],Table4[[#This Row],[loc of mdi]]+3),LEN(Table4[[#This Row],[Attributes]])+1))</f>
        <v/>
      </c>
      <c r="G172" s="4" t="str">
        <f>IFERROR(MID(Table4[[#This Row],[Attributes]],Table4[[#This Row],[loc of mdi]],Table4[[#This Row],[loc of space after mdi]]-Table4[[#This Row],[loc of mdi]]),"")</f>
        <v/>
      </c>
      <c r="H172" s="4" t="str">
        <f>IF(COUNTIFS(entities[entity_id],Table4[[#This Row],[Entity]])=1,"ok","missing from 'Entities' tab")</f>
        <v>ok</v>
      </c>
      <c r="I172" s="4" t="str">
        <f>LEFT(Table4[[#This Row],[Entity]],FIND(".",Table4[[#This Row],[Entity]])-1)</f>
        <v>zone</v>
      </c>
      <c r="J172" s="4" t="str">
        <f>MID(Table4[[#This Row],[Entity]],FIND(".",Table4[[#This Row],[Entity]])+1,999)</f>
        <v>home</v>
      </c>
    </row>
  </sheetData>
  <conditionalFormatting sqref="H11:H172">
    <cfRule type="containsText" dxfId="68" priority="1" operator="containsText" text="missing">
      <formula>NOT(ISERROR(SEARCH("missing",H11)))</formula>
    </cfRule>
  </conditionalFormatting>
  <hyperlinks>
    <hyperlink ref="B172" r:id="rId1" display="http://192.168.0.132:8123/dev-state"/>
    <hyperlink ref="B171" r:id="rId2" display="http://192.168.0.132:8123/dev-state"/>
    <hyperlink ref="B170" r:id="rId3" display="http://192.168.0.132:8123/dev-state"/>
    <hyperlink ref="B169" r:id="rId4" display="http://192.168.0.132:8123/dev-state"/>
    <hyperlink ref="B168" r:id="rId5" display="http://192.168.0.132:8123/dev-state"/>
    <hyperlink ref="B167" r:id="rId6" display="http://192.168.0.132:8123/dev-state"/>
    <hyperlink ref="B166" r:id="rId7" display="http://192.168.0.132:8123/dev-state"/>
    <hyperlink ref="B165" r:id="rId8" display="http://192.168.0.132:8123/dev-state"/>
    <hyperlink ref="B164" r:id="rId9" display="http://192.168.0.132:8123/dev-state"/>
    <hyperlink ref="B163" r:id="rId10" display="http://192.168.0.132:8123/dev-state"/>
    <hyperlink ref="B162" r:id="rId11" display="http://192.168.0.132:8123/dev-state"/>
    <hyperlink ref="B161" r:id="rId12" display="http://192.168.0.132:8123/dev-state"/>
    <hyperlink ref="B160" r:id="rId13" display="http://192.168.0.132:8123/dev-state"/>
    <hyperlink ref="B159" r:id="rId14" display="http://192.168.0.132:8123/dev-state"/>
    <hyperlink ref="B158" r:id="rId15" display="http://192.168.0.132:8123/dev-state"/>
    <hyperlink ref="B157" r:id="rId16" display="http://192.168.0.132:8123/dev-state"/>
    <hyperlink ref="B156" r:id="rId17" display="http://192.168.0.132:8123/dev-state"/>
    <hyperlink ref="B155" r:id="rId18" display="http://192.168.0.132:8123/dev-state"/>
    <hyperlink ref="B154" r:id="rId19" display="http://192.168.0.132:8123/dev-state"/>
    <hyperlink ref="B153" r:id="rId20" display="http://192.168.0.132:8123/dev-state"/>
    <hyperlink ref="B152" r:id="rId21" display="http://192.168.0.132:8123/dev-state"/>
    <hyperlink ref="B151" r:id="rId22" display="http://192.168.0.132:8123/dev-state"/>
    <hyperlink ref="B150" r:id="rId23" display="http://192.168.0.132:8123/dev-state"/>
    <hyperlink ref="B149" r:id="rId24" display="http://192.168.0.132:8123/dev-state"/>
    <hyperlink ref="B148" r:id="rId25" display="http://192.168.0.132:8123/dev-state"/>
    <hyperlink ref="B147" r:id="rId26" display="http://192.168.0.132:8123/dev-state"/>
    <hyperlink ref="B146" r:id="rId27" display="http://192.168.0.132:8123/dev-state"/>
    <hyperlink ref="B145" r:id="rId28" display="http://192.168.0.132:8123/dev-state"/>
    <hyperlink ref="B144" r:id="rId29" display="http://192.168.0.132:8123/dev-state"/>
    <hyperlink ref="B143" r:id="rId30" display="http://192.168.0.132:8123/dev-state"/>
    <hyperlink ref="B142" r:id="rId31" display="http://192.168.0.132:8123/dev-state"/>
    <hyperlink ref="B141" r:id="rId32" display="http://192.168.0.132:8123/dev-state"/>
    <hyperlink ref="B140" r:id="rId33" display="http://192.168.0.132:8123/dev-state"/>
    <hyperlink ref="B139" r:id="rId34" display="http://192.168.0.132:8123/dev-state"/>
    <hyperlink ref="B138" r:id="rId35" display="http://192.168.0.132:8123/dev-state"/>
    <hyperlink ref="B137" r:id="rId36" display="http://192.168.0.132:8123/dev-state"/>
    <hyperlink ref="B136" r:id="rId37" display="http://192.168.0.132:8123/dev-state"/>
    <hyperlink ref="B135" r:id="rId38" display="http://192.168.0.132:8123/dev-state"/>
    <hyperlink ref="B134" r:id="rId39" display="http://192.168.0.132:8123/dev-state"/>
    <hyperlink ref="B133" r:id="rId40" display="http://192.168.0.132:8123/dev-state"/>
    <hyperlink ref="B132" r:id="rId41" display="http://192.168.0.132:8123/dev-state"/>
    <hyperlink ref="B131" r:id="rId42" display="http://192.168.0.132:8123/dev-state"/>
    <hyperlink ref="B130" r:id="rId43" display="http://192.168.0.132:8123/dev-state"/>
    <hyperlink ref="B129" r:id="rId44" display="http://192.168.0.132:8123/dev-state"/>
    <hyperlink ref="B128" r:id="rId45" display="http://192.168.0.132:8123/dev-state"/>
    <hyperlink ref="B127" r:id="rId46" display="http://192.168.0.132:8123/dev-state"/>
    <hyperlink ref="B126" r:id="rId47" display="http://192.168.0.132:8123/dev-state"/>
    <hyperlink ref="B125" r:id="rId48" display="http://192.168.0.132:8123/dev-state"/>
    <hyperlink ref="B124" r:id="rId49" display="http://192.168.0.132:8123/dev-state"/>
    <hyperlink ref="B123" r:id="rId50" display="http://192.168.0.132:8123/dev-state"/>
    <hyperlink ref="B122" r:id="rId51" display="http://192.168.0.132:8123/dev-state"/>
    <hyperlink ref="B121" r:id="rId52" display="http://192.168.0.132:8123/dev-state"/>
    <hyperlink ref="B120" r:id="rId53" display="http://192.168.0.132:8123/dev-state"/>
    <hyperlink ref="B119" r:id="rId54" display="http://192.168.0.132:8123/dev-state"/>
    <hyperlink ref="B118" r:id="rId55" display="http://192.168.0.132:8123/dev-state"/>
    <hyperlink ref="B117" r:id="rId56" display="http://192.168.0.132:8123/dev-state"/>
    <hyperlink ref="B116" r:id="rId57" display="http://192.168.0.132:8123/dev-state"/>
    <hyperlink ref="B115" r:id="rId58" display="http://192.168.0.132:8123/dev-state"/>
    <hyperlink ref="B114" r:id="rId59" display="http://192.168.0.132:8123/dev-state"/>
    <hyperlink ref="B113" r:id="rId60" display="http://192.168.0.132:8123/dev-state"/>
    <hyperlink ref="B112" r:id="rId61" display="http://192.168.0.132:8123/dev-state"/>
    <hyperlink ref="B111" r:id="rId62" display="http://192.168.0.132:8123/dev-state"/>
    <hyperlink ref="B110" r:id="rId63" display="http://192.168.0.132:8123/dev-state"/>
    <hyperlink ref="B109" r:id="rId64" display="http://192.168.0.132:8123/dev-state"/>
    <hyperlink ref="B108" r:id="rId65" display="http://192.168.0.132:8123/dev-state"/>
    <hyperlink ref="B107" r:id="rId66" display="http://192.168.0.132:8123/dev-state"/>
    <hyperlink ref="B106" r:id="rId67" display="http://192.168.0.132:8123/dev-state"/>
    <hyperlink ref="B105" r:id="rId68" display="http://192.168.0.132:8123/dev-state"/>
    <hyperlink ref="B104" r:id="rId69" display="http://192.168.0.132:8123/dev-state"/>
    <hyperlink ref="B103" r:id="rId70" display="http://192.168.0.132:8123/dev-state"/>
    <hyperlink ref="B102" r:id="rId71" display="http://192.168.0.132:8123/dev-state"/>
    <hyperlink ref="B101" r:id="rId72" display="http://192.168.0.132:8123/dev-state"/>
    <hyperlink ref="B100" r:id="rId73" display="http://192.168.0.132:8123/dev-state"/>
    <hyperlink ref="B99" r:id="rId74" display="http://192.168.0.132:8123/dev-state"/>
    <hyperlink ref="B98" r:id="rId75" display="http://192.168.0.132:8123/dev-state"/>
    <hyperlink ref="B97" r:id="rId76" display="http://192.168.0.132:8123/dev-state"/>
    <hyperlink ref="B96" r:id="rId77" display="http://192.168.0.132:8123/dev-state"/>
    <hyperlink ref="B95" r:id="rId78" display="http://192.168.0.132:8123/dev-state"/>
    <hyperlink ref="B94" r:id="rId79" display="http://192.168.0.132:8123/dev-state"/>
    <hyperlink ref="B93" r:id="rId80" display="http://192.168.0.132:8123/dev-state"/>
    <hyperlink ref="B92" r:id="rId81" display="http://192.168.0.132:8123/dev-state"/>
    <hyperlink ref="B91" r:id="rId82" display="http://192.168.0.132:8123/dev-state"/>
    <hyperlink ref="B90" r:id="rId83" display="http://192.168.0.132:8123/dev-state"/>
    <hyperlink ref="B89" r:id="rId84" display="http://192.168.0.132:8123/dev-state"/>
    <hyperlink ref="B88" r:id="rId85" display="http://192.168.0.132:8123/dev-state"/>
    <hyperlink ref="B87" r:id="rId86" display="http://192.168.0.132:8123/dev-state"/>
    <hyperlink ref="B86" r:id="rId87" display="http://192.168.0.132:8123/dev-state"/>
    <hyperlink ref="B85" r:id="rId88" display="http://192.168.0.132:8123/dev-state"/>
    <hyperlink ref="B84" r:id="rId89" display="http://192.168.0.132:8123/dev-state"/>
    <hyperlink ref="B83" r:id="rId90" display="http://192.168.0.132:8123/dev-state"/>
    <hyperlink ref="B82" r:id="rId91" display="http://192.168.0.132:8123/dev-state"/>
    <hyperlink ref="B81" r:id="rId92" display="http://192.168.0.132:8123/dev-state"/>
    <hyperlink ref="B80" r:id="rId93" display="http://192.168.0.132:8123/dev-state"/>
    <hyperlink ref="B79" r:id="rId94" display="http://192.168.0.132:8123/dev-state"/>
    <hyperlink ref="B78" r:id="rId95" display="http://192.168.0.132:8123/dev-state"/>
    <hyperlink ref="B77" r:id="rId96" display="http://192.168.0.132:8123/dev-state"/>
    <hyperlink ref="B76" r:id="rId97" display="http://192.168.0.132:8123/dev-state"/>
    <hyperlink ref="B75" r:id="rId98" display="http://192.168.0.132:8123/dev-state"/>
    <hyperlink ref="B74" r:id="rId99" display="http://192.168.0.132:8123/dev-state"/>
    <hyperlink ref="B73" r:id="rId100" display="http://192.168.0.132:8123/dev-state"/>
    <hyperlink ref="B72" r:id="rId101" display="http://192.168.0.132:8123/dev-state"/>
    <hyperlink ref="B71" r:id="rId102" display="http://192.168.0.132:8123/dev-state"/>
    <hyperlink ref="B70" r:id="rId103" display="http://192.168.0.132:8123/dev-state"/>
    <hyperlink ref="B69" r:id="rId104" display="http://192.168.0.132:8123/dev-state"/>
    <hyperlink ref="B68" r:id="rId105" display="http://192.168.0.132:8123/dev-state"/>
    <hyperlink ref="B67" r:id="rId106" display="http://192.168.0.132:8123/dev-state"/>
    <hyperlink ref="B66" r:id="rId107" display="http://192.168.0.132:8123/dev-state"/>
    <hyperlink ref="B65" r:id="rId108" display="http://192.168.0.132:8123/dev-state"/>
    <hyperlink ref="B64" r:id="rId109" display="http://192.168.0.132:8123/dev-state"/>
    <hyperlink ref="B63" r:id="rId110" display="http://192.168.0.132:8123/dev-state"/>
    <hyperlink ref="B62" r:id="rId111" display="http://192.168.0.132:8123/dev-state"/>
    <hyperlink ref="B61" r:id="rId112" display="http://192.168.0.132:8123/dev-state"/>
    <hyperlink ref="B60" r:id="rId113" display="http://192.168.0.132:8123/dev-state"/>
    <hyperlink ref="B59" r:id="rId114" display="http://192.168.0.132:8123/dev-state"/>
    <hyperlink ref="B58" r:id="rId115" display="http://192.168.0.132:8123/dev-state"/>
    <hyperlink ref="B57" r:id="rId116" display="http://192.168.0.132:8123/dev-state"/>
    <hyperlink ref="B56" r:id="rId117" display="http://192.168.0.132:8123/dev-state"/>
    <hyperlink ref="B55" r:id="rId118" display="http://192.168.0.132:8123/dev-state"/>
    <hyperlink ref="B54" r:id="rId119" display="http://192.168.0.132:8123/dev-state"/>
    <hyperlink ref="B53" r:id="rId120" display="http://192.168.0.132:8123/dev-state"/>
    <hyperlink ref="B52" r:id="rId121" display="http://192.168.0.132:8123/dev-state"/>
    <hyperlink ref="B51" r:id="rId122" display="http://192.168.0.132:8123/dev-state"/>
    <hyperlink ref="B50" r:id="rId123" display="http://192.168.0.132:8123/dev-state"/>
    <hyperlink ref="B49" r:id="rId124" display="http://192.168.0.132:8123/dev-state"/>
    <hyperlink ref="B48" r:id="rId125" display="http://192.168.0.132:8123/dev-state"/>
    <hyperlink ref="B47" r:id="rId126" display="http://192.168.0.132:8123/dev-state"/>
    <hyperlink ref="B46" r:id="rId127" display="http://192.168.0.132:8123/dev-state"/>
    <hyperlink ref="B45" r:id="rId128" display="http://192.168.0.132:8123/dev-state"/>
    <hyperlink ref="B44" r:id="rId129" display="http://192.168.0.132:8123/dev-state"/>
    <hyperlink ref="B43" r:id="rId130" display="http://192.168.0.132:8123/dev-state"/>
    <hyperlink ref="B42" r:id="rId131" display="http://192.168.0.132:8123/dev-state"/>
    <hyperlink ref="B41" r:id="rId132" display="http://192.168.0.132:8123/dev-state"/>
    <hyperlink ref="B40" r:id="rId133" display="http://192.168.0.132:8123/dev-state"/>
    <hyperlink ref="B39" r:id="rId134" display="http://192.168.0.132:8123/dev-state"/>
    <hyperlink ref="B38" r:id="rId135" display="http://192.168.0.132:8123/dev-state"/>
    <hyperlink ref="B37" r:id="rId136" display="http://192.168.0.132:8123/dev-state"/>
    <hyperlink ref="B36" r:id="rId137" display="http://192.168.0.132:8123/dev-state"/>
    <hyperlink ref="B35" r:id="rId138" display="http://192.168.0.132:8123/dev-state"/>
    <hyperlink ref="B34" r:id="rId139" display="http://192.168.0.132:8123/dev-state"/>
    <hyperlink ref="B33" r:id="rId140" display="http://192.168.0.132:8123/dev-state"/>
    <hyperlink ref="B32" r:id="rId141" display="http://192.168.0.132:8123/dev-state"/>
    <hyperlink ref="B31" r:id="rId142" display="http://192.168.0.132:8123/dev-state"/>
    <hyperlink ref="B30" r:id="rId143" display="http://192.168.0.132:8123/dev-state"/>
    <hyperlink ref="B29" r:id="rId144" display="http://192.168.0.132:8123/dev-state"/>
    <hyperlink ref="B28" r:id="rId145" display="http://192.168.0.132:8123/dev-state"/>
    <hyperlink ref="B27" r:id="rId146" display="http://192.168.0.132:8123/dev-state"/>
    <hyperlink ref="B26" r:id="rId147" display="http://192.168.0.132:8123/dev-state"/>
    <hyperlink ref="B25" r:id="rId148" display="http://192.168.0.132:8123/dev-state"/>
    <hyperlink ref="B24" r:id="rId149" display="http://192.168.0.132:8123/dev-state"/>
    <hyperlink ref="B23" r:id="rId150" display="http://192.168.0.132:8123/dev-state"/>
    <hyperlink ref="B22" r:id="rId151" display="http://192.168.0.132:8123/dev-state"/>
    <hyperlink ref="B21" r:id="rId152" display="http://192.168.0.132:8123/dev-state"/>
    <hyperlink ref="B20" r:id="rId153" display="http://192.168.0.132:8123/dev-state"/>
    <hyperlink ref="B19" r:id="rId154" display="http://192.168.0.132:8123/dev-state"/>
    <hyperlink ref="B18" r:id="rId155" display="http://192.168.0.132:8123/dev-state"/>
    <hyperlink ref="B17" r:id="rId156" display="http://192.168.0.132:8123/dev-state"/>
    <hyperlink ref="B16" r:id="rId157" display="http://192.168.0.132:8123/dev-state"/>
    <hyperlink ref="B15" r:id="rId158" display="http://192.168.0.132:8123/dev-state"/>
    <hyperlink ref="B14" r:id="rId159" display="http://192.168.0.132:8123/dev-state"/>
    <hyperlink ref="B13" r:id="rId160" display="http://192.168.0.132:8123/dev-state"/>
    <hyperlink ref="B11" r:id="rId161" display="http://192.168.0.132:8123/dev-state"/>
  </hyperlinks>
  <pageMargins left="0.7" right="0.7" top="0.75" bottom="0.75" header="0.3" footer="0.3"/>
  <pageSetup orientation="portrait" horizontalDpi="1200" verticalDpi="1200" r:id="rId162"/>
  <tableParts count="1">
    <tablePart r:id="rId16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D169"/>
  <sheetViews>
    <sheetView showGridLines="0" zoomScale="80" zoomScaleNormal="80" workbookViewId="0"/>
  </sheetViews>
  <sheetFormatPr defaultRowHeight="15" outlineLevelCol="1" x14ac:dyDescent="0.25"/>
  <cols>
    <col min="1" max="1" width="2.42578125" customWidth="1"/>
    <col min="2" max="2" width="14.140625" bestFit="1" customWidth="1"/>
    <col min="3" max="3" width="73" customWidth="1"/>
    <col min="6" max="6" width="12.140625" customWidth="1"/>
    <col min="10" max="10" width="21.42578125" customWidth="1"/>
    <col min="11" max="11" width="38.85546875" customWidth="1"/>
    <col min="12" max="13" width="9.140625" hidden="1" customWidth="1" outlineLevel="1"/>
    <col min="14" max="20" width="8.85546875" hidden="1" customWidth="1" outlineLevel="1"/>
    <col min="21" max="21" width="17.140625" hidden="1" customWidth="1" outlineLevel="1"/>
    <col min="22" max="22" width="28.42578125" bestFit="1" customWidth="1" collapsed="1"/>
    <col min="23" max="23" width="30.5703125" bestFit="1" customWidth="1"/>
    <col min="25" max="25" width="24" bestFit="1" customWidth="1"/>
    <col min="26" max="27" width="21.42578125" customWidth="1"/>
    <col min="28" max="28" width="13.85546875" bestFit="1" customWidth="1"/>
    <col min="29" max="29" width="18.5703125" bestFit="1" customWidth="1"/>
    <col min="30" max="30" width="13.85546875" style="10" bestFit="1" customWidth="1"/>
    <col min="31" max="31" width="9.140625" customWidth="1"/>
  </cols>
  <sheetData>
    <row r="1" spans="1:30" ht="21" x14ac:dyDescent="0.35">
      <c r="A1" s="1" t="s">
        <v>342</v>
      </c>
      <c r="AD1"/>
    </row>
    <row r="2" spans="1:30" ht="8.25" customHeight="1" x14ac:dyDescent="0.25">
      <c r="AD2"/>
    </row>
    <row r="3" spans="1:30" x14ac:dyDescent="0.25">
      <c r="A3" s="12" t="s">
        <v>773</v>
      </c>
      <c r="AD3"/>
    </row>
    <row r="4" spans="1:30" x14ac:dyDescent="0.25">
      <c r="AD4"/>
    </row>
    <row r="5" spans="1:30" x14ac:dyDescent="0.25">
      <c r="A5" t="s">
        <v>768</v>
      </c>
      <c r="B5" s="19" t="s">
        <v>772</v>
      </c>
      <c r="C5" s="19"/>
      <c r="D5" s="19" t="s">
        <v>874</v>
      </c>
      <c r="E5" s="19"/>
      <c r="F5" s="19"/>
      <c r="G5" s="19"/>
      <c r="H5" s="19"/>
      <c r="I5" s="19"/>
      <c r="J5" s="19" t="s">
        <v>608</v>
      </c>
      <c r="K5" s="19" t="s">
        <v>891</v>
      </c>
      <c r="L5" s="19" t="s">
        <v>813</v>
      </c>
      <c r="M5" s="19"/>
      <c r="N5" s="19"/>
      <c r="O5" s="19"/>
      <c r="P5" s="19"/>
      <c r="Q5" s="19"/>
      <c r="R5" s="19"/>
      <c r="S5" s="21" t="s">
        <v>800</v>
      </c>
      <c r="T5" s="21" t="s">
        <v>793</v>
      </c>
      <c r="U5" s="19" t="s">
        <v>812</v>
      </c>
      <c r="V5" s="19" t="s">
        <v>896</v>
      </c>
      <c r="W5" s="19"/>
      <c r="AD5"/>
    </row>
    <row r="6" spans="1:30" x14ac:dyDescent="0.25">
      <c r="B6" s="2" t="s">
        <v>156</v>
      </c>
      <c r="C6" s="29" t="s">
        <v>157</v>
      </c>
      <c r="D6" t="s">
        <v>153</v>
      </c>
      <c r="E6" t="s">
        <v>2</v>
      </c>
      <c r="F6" t="s">
        <v>287</v>
      </c>
      <c r="G6" t="s">
        <v>284</v>
      </c>
      <c r="H6" t="s">
        <v>792</v>
      </c>
      <c r="I6" t="s">
        <v>154</v>
      </c>
      <c r="J6" s="9" t="s">
        <v>795</v>
      </c>
      <c r="K6" s="18" t="s">
        <v>155</v>
      </c>
      <c r="L6" s="9" t="s">
        <v>299</v>
      </c>
      <c r="M6" s="9" t="s">
        <v>300</v>
      </c>
      <c r="N6" s="9" t="s">
        <v>301</v>
      </c>
      <c r="O6" s="9" t="s">
        <v>351</v>
      </c>
      <c r="P6" s="9" t="s">
        <v>352</v>
      </c>
      <c r="Q6" s="9" t="s">
        <v>353</v>
      </c>
      <c r="R6" s="9" t="s">
        <v>797</v>
      </c>
      <c r="S6" s="9" t="s">
        <v>791</v>
      </c>
      <c r="T6" s="9" t="s">
        <v>298</v>
      </c>
      <c r="U6" s="9" t="s">
        <v>4</v>
      </c>
      <c r="V6" s="15" t="s">
        <v>775</v>
      </c>
      <c r="W6" s="15" t="s">
        <v>774</v>
      </c>
      <c r="AD6"/>
    </row>
    <row r="7" spans="1:30" x14ac:dyDescent="0.25">
      <c r="B7" t="s">
        <v>9</v>
      </c>
      <c r="C7" t="s">
        <v>320</v>
      </c>
      <c r="D7" s="3"/>
      <c r="J7" s="4" t="str">
        <f>IF(COUNTIF(Table4[Entity],entities[[#This Row],[entity_id]]),"ok","missing from States tab")</f>
        <v>ok</v>
      </c>
      <c r="K7" s="4" t="str">
        <f>entities[[#This Row],[domain]]&amp;"."&amp;entities[[#This Row],[object_id]]</f>
        <v>automation.almclk_wake_up_script_triggered_by_alarm_clock</v>
      </c>
      <c r="L7" s="4" t="str">
        <f>IF(entities[[#This Row],[hidden]]&lt;&gt;"",1,"")</f>
        <v/>
      </c>
      <c r="M7" s="4" t="str">
        <f>IF(entities[[#This Row],[friendly_name]]&lt;&gt;"",2,"")</f>
        <v/>
      </c>
      <c r="N7" s="4" t="str">
        <f>IF(entities[[#This Row],[emulated_hue:]]&lt;&gt;"",3,"")</f>
        <v/>
      </c>
      <c r="O7" s="4" t="str">
        <f>IF(entities[[#This Row],[emulated_hue_name: ]]&lt;&gt;"",4,"")</f>
        <v/>
      </c>
      <c r="P7" s="4" t="str">
        <f>IF(entities[[#This Row],[entity_picture]]&lt;&gt;"",5,"")</f>
        <v/>
      </c>
      <c r="Q7" s="4" t="str">
        <f>IF(entities[[#This Row],[icon]]&lt;&gt;"",6,"")</f>
        <v/>
      </c>
      <c r="R7" s="4" t="str">
        <f>CONCATENATE(entities[[#This Row],[1]],entities[[#This Row],[2]],entities[[#This Row],[3]],entities[[#This Row],[4]],entities[[#This Row],[5]],entities[[#This Row],[6]])</f>
        <v/>
      </c>
      <c r="S7" s="4">
        <f>6-COUNTBLANK(entities[[#This Row],[hidden]:[icon]])</f>
        <v>0</v>
      </c>
      <c r="T7" s="4" t="str">
        <f>IF(entities[[#This Row],[Num Attributes]]=0,"",
COUNTIFS(entities[Num Attributes],"&gt;0",entities[entity_id],"&lt;="&amp;entities[[#This Row],[entity_id]]))</f>
        <v/>
      </c>
      <c r="U7" t="str">
        <f t="array" ref="U7">IFERROR(INDEX(cards[object_id],SMALL(IF(cards[[1]:[25]]=entities[[#This Row],[entity_id]],ROW(cards[])-7,99^99),1)),"")</f>
        <v>automation_almclk</v>
      </c>
      <c r="V7" t="str">
        <f>IF(entities[[#This Row],[In ''States'' tab?]]&lt;&gt;"ok",  "Not in Home Assistant",
IF(entities[[#This Row],[hidden]]="true",  "Hidden",
IF(entities[[#This Row],[Card]]&lt;&gt;"",
INDEX(cards[name],MATCH(entities[[#This Row],[Card]],cards[object_id],0)),  "Badge / automatic card")))</f>
        <v>Automation || Alarm Clock</v>
      </c>
      <c r="W7" t="str">
        <f>IF(entities[[#This Row],[Card]]&lt;&gt;"","group."&amp;entities[[#This Row],[Card]],"")</f>
        <v>group.automation_almclk</v>
      </c>
      <c r="AD7"/>
    </row>
    <row r="8" spans="1:30" x14ac:dyDescent="0.25">
      <c r="B8" t="s">
        <v>9</v>
      </c>
      <c r="C8" t="s">
        <v>321</v>
      </c>
      <c r="D8" s="3" t="s">
        <v>243</v>
      </c>
      <c r="J8" s="4" t="str">
        <f>IF(COUNTIF(Table4[Entity],entities[[#This Row],[entity_id]]),"ok","missing from States tab")</f>
        <v>ok</v>
      </c>
      <c r="K8" s="4" t="str">
        <f>entities[[#This Row],[domain]]&amp;"."&amp;entities[[#This Row],[object_id]]</f>
        <v>automation.locaway_devices_in_bedroom_off_when_at_the_computer</v>
      </c>
      <c r="L8" s="4">
        <f>IF(entities[[#This Row],[hidden]]&lt;&gt;"",1,"")</f>
        <v>1</v>
      </c>
      <c r="M8" s="4" t="str">
        <f>IF(entities[[#This Row],[friendly_name]]&lt;&gt;"",2,"")</f>
        <v/>
      </c>
      <c r="N8" s="4" t="str">
        <f>IF(entities[[#This Row],[emulated_hue:]]&lt;&gt;"",3,"")</f>
        <v/>
      </c>
      <c r="O8" s="4" t="str">
        <f>IF(entities[[#This Row],[emulated_hue_name: ]]&lt;&gt;"",4,"")</f>
        <v/>
      </c>
      <c r="P8" s="4" t="str">
        <f>IF(entities[[#This Row],[entity_picture]]&lt;&gt;"",5,"")</f>
        <v/>
      </c>
      <c r="Q8" s="4" t="str">
        <f>IF(entities[[#This Row],[icon]]&lt;&gt;"",6,"")</f>
        <v/>
      </c>
      <c r="R8" s="4" t="str">
        <f>CONCATENATE(entities[[#This Row],[1]],entities[[#This Row],[2]],entities[[#This Row],[3]],entities[[#This Row],[4]],entities[[#This Row],[5]],entities[[#This Row],[6]])</f>
        <v>1</v>
      </c>
      <c r="S8" s="4">
        <f>6-COUNTBLANK(entities[[#This Row],[hidden]:[icon]])</f>
        <v>1</v>
      </c>
      <c r="T8" s="4">
        <f>IF(entities[[#This Row],[Num Attributes]]=0,"",
COUNTIFS(entities[Num Attributes],"&gt;0",entities[entity_id],"&lt;="&amp;entities[[#This Row],[entity_id]]))</f>
        <v>1</v>
      </c>
      <c r="U8" t="str">
        <f t="array" ref="U8">IFERROR(INDEX(cards[object_id],SMALL(IF(cards[[1]:[25]]=entities[[#This Row],[entity_id]],ROW(cards[])-7,99^99),1)),"")</f>
        <v>automation_locaway</v>
      </c>
      <c r="V8" t="str">
        <f>IF(entities[[#This Row],[In ''States'' tab?]]&lt;&gt;"ok",  "Not in Home Assistant",
IF(entities[[#This Row],[hidden]]="true",  "Hidden",
IF(entities[[#This Row],[Card]]&lt;&gt;"",
INDEX(cards[name],MATCH(entities[[#This Row],[Card]],cards[object_id],0)),  "Badge / automatic card")))</f>
        <v>Hidden</v>
      </c>
      <c r="W8" t="str">
        <f>IF(entities[[#This Row],[Card]]&lt;&gt;"","group."&amp;entities[[#This Row],[Card]],"")</f>
        <v>group.automation_locaway</v>
      </c>
      <c r="AD8"/>
    </row>
    <row r="9" spans="1:30" x14ac:dyDescent="0.25">
      <c r="B9" t="s">
        <v>9</v>
      </c>
      <c r="C9" t="s">
        <v>322</v>
      </c>
      <c r="D9" s="3" t="s">
        <v>243</v>
      </c>
      <c r="J9" s="4" t="str">
        <f>IF(COUNTIF(Table4[Entity],entities[[#This Row],[entity_id]]),"ok","missing from States tab")</f>
        <v>ok</v>
      </c>
      <c r="K9" s="4" t="str">
        <f>entities[[#This Row],[domain]]&amp;"."&amp;entities[[#This Row],[object_id]]</f>
        <v>automation.locaway_devices_off_when_away</v>
      </c>
      <c r="L9" s="4">
        <f>IF(entities[[#This Row],[hidden]]&lt;&gt;"",1,"")</f>
        <v>1</v>
      </c>
      <c r="M9" s="4" t="str">
        <f>IF(entities[[#This Row],[friendly_name]]&lt;&gt;"",2,"")</f>
        <v/>
      </c>
      <c r="N9" s="4" t="str">
        <f>IF(entities[[#This Row],[emulated_hue:]]&lt;&gt;"",3,"")</f>
        <v/>
      </c>
      <c r="O9" s="4" t="str">
        <f>IF(entities[[#This Row],[emulated_hue_name: ]]&lt;&gt;"",4,"")</f>
        <v/>
      </c>
      <c r="P9" s="4" t="str">
        <f>IF(entities[[#This Row],[entity_picture]]&lt;&gt;"",5,"")</f>
        <v/>
      </c>
      <c r="Q9" s="4" t="str">
        <f>IF(entities[[#This Row],[icon]]&lt;&gt;"",6,"")</f>
        <v/>
      </c>
      <c r="R9" s="4" t="str">
        <f>CONCATENATE(entities[[#This Row],[1]],entities[[#This Row],[2]],entities[[#This Row],[3]],entities[[#This Row],[4]],entities[[#This Row],[5]],entities[[#This Row],[6]])</f>
        <v>1</v>
      </c>
      <c r="S9" s="4">
        <f>6-COUNTBLANK(entities[[#This Row],[hidden]:[icon]])</f>
        <v>1</v>
      </c>
      <c r="T9" s="4">
        <f>IF(entities[[#This Row],[Num Attributes]]=0,"",
COUNTIFS(entities[Num Attributes],"&gt;0",entities[entity_id],"&lt;="&amp;entities[[#This Row],[entity_id]]))</f>
        <v>2</v>
      </c>
      <c r="U9" t="str">
        <f t="array" ref="U9">IFERROR(INDEX(cards[object_id],SMALL(IF(cards[[1]:[25]]=entities[[#This Row],[entity_id]],ROW(cards[])-7,99^99),1)),"")</f>
        <v>automation_almclk</v>
      </c>
      <c r="V9" t="str">
        <f>IF(entities[[#This Row],[In ''States'' tab?]]&lt;&gt;"ok",  "Not in Home Assistant",
IF(entities[[#This Row],[hidden]]="true",  "Hidden",
IF(entities[[#This Row],[Card]]&lt;&gt;"",
INDEX(cards[name],MATCH(entities[[#This Row],[Card]],cards[object_id],0)),  "Badge / automatic card")))</f>
        <v>Hidden</v>
      </c>
      <c r="W9" t="str">
        <f>IF(entities[[#This Row],[Card]]&lt;&gt;"","group."&amp;entities[[#This Row],[Card]],"")</f>
        <v>group.automation_almclk</v>
      </c>
      <c r="AD9"/>
    </row>
    <row r="10" spans="1:30" x14ac:dyDescent="0.25">
      <c r="B10" t="s">
        <v>9</v>
      </c>
      <c r="C10" t="s">
        <v>323</v>
      </c>
      <c r="D10" s="3" t="s">
        <v>243</v>
      </c>
      <c r="J10" s="4" t="str">
        <f>IF(COUNTIF(Table4[Entity],entities[[#This Row],[entity_id]]),"ok","missing from States tab")</f>
        <v>ok</v>
      </c>
      <c r="K10" s="4" t="str">
        <f>entities[[#This Row],[domain]]&amp;"."&amp;entities[[#This Row],[object_id]]</f>
        <v>automation.locaway_devices_on_desk_off_when_leave_the_computer</v>
      </c>
      <c r="L10" s="4">
        <f>IF(entities[[#This Row],[hidden]]&lt;&gt;"",1,"")</f>
        <v>1</v>
      </c>
      <c r="M10" s="4" t="str">
        <f>IF(entities[[#This Row],[friendly_name]]&lt;&gt;"",2,"")</f>
        <v/>
      </c>
      <c r="N10" s="4" t="str">
        <f>IF(entities[[#This Row],[emulated_hue:]]&lt;&gt;"",3,"")</f>
        <v/>
      </c>
      <c r="O10" s="4" t="str">
        <f>IF(entities[[#This Row],[emulated_hue_name: ]]&lt;&gt;"",4,"")</f>
        <v/>
      </c>
      <c r="P10" s="4" t="str">
        <f>IF(entities[[#This Row],[entity_picture]]&lt;&gt;"",5,"")</f>
        <v/>
      </c>
      <c r="Q10" s="4" t="str">
        <f>IF(entities[[#This Row],[icon]]&lt;&gt;"",6,"")</f>
        <v/>
      </c>
      <c r="R10" s="4" t="str">
        <f>CONCATENATE(entities[[#This Row],[1]],entities[[#This Row],[2]],entities[[#This Row],[3]],entities[[#This Row],[4]],entities[[#This Row],[5]],entities[[#This Row],[6]])</f>
        <v>1</v>
      </c>
      <c r="S10" s="4">
        <f>6-COUNTBLANK(entities[[#This Row],[hidden]:[icon]])</f>
        <v>1</v>
      </c>
      <c r="T10" s="4">
        <f>IF(entities[[#This Row],[Num Attributes]]=0,"",
COUNTIFS(entities[Num Attributes],"&gt;0",entities[entity_id],"&lt;="&amp;entities[[#This Row],[entity_id]]))</f>
        <v>3</v>
      </c>
      <c r="U10" t="str">
        <f t="array" ref="U10">IFERROR(INDEX(cards[object_id],SMALL(IF(cards[[1]:[25]]=entities[[#This Row],[entity_id]],ROW(cards[])-7,99^99),1)),"")</f>
        <v>automation_locaway</v>
      </c>
      <c r="V10" t="str">
        <f>IF(entities[[#This Row],[In ''States'' tab?]]&lt;&gt;"ok",  "Not in Home Assistant",
IF(entities[[#This Row],[hidden]]="true",  "Hidden",
IF(entities[[#This Row],[Card]]&lt;&gt;"",
INDEX(cards[name],MATCH(entities[[#This Row],[Card]],cards[object_id],0)),  "Badge / automatic card")))</f>
        <v>Hidden</v>
      </c>
      <c r="W10" t="str">
        <f>IF(entities[[#This Row],[Card]]&lt;&gt;"","group."&amp;entities[[#This Row],[Card]],"")</f>
        <v>group.automation_locaway</v>
      </c>
      <c r="AD10"/>
    </row>
    <row r="11" spans="1:30" x14ac:dyDescent="0.25">
      <c r="B11" t="s">
        <v>9</v>
      </c>
      <c r="C11" t="s">
        <v>760</v>
      </c>
      <c r="J11" s="4" t="str">
        <f>IF(COUNTIF(Table4[Entity],entities[[#This Row],[entity_id]]),"ok","missing from States tab")</f>
        <v>ok</v>
      </c>
      <c r="K11" s="4" t="str">
        <f>entities[[#This Row],[domain]]&amp;"."&amp;entities[[#This Row],[object_id]]</f>
        <v>automation.not_notification_when_humvee_left_on</v>
      </c>
      <c r="L11" s="4" t="str">
        <f>IF(entities[[#This Row],[hidden]]&lt;&gt;"",1,"")</f>
        <v/>
      </c>
      <c r="M11" s="4" t="str">
        <f>IF(entities[[#This Row],[friendly_name]]&lt;&gt;"",2,"")</f>
        <v/>
      </c>
      <c r="N11" s="4" t="str">
        <f>IF(entities[[#This Row],[emulated_hue:]]&lt;&gt;"",3,"")</f>
        <v/>
      </c>
      <c r="O11" s="4" t="str">
        <f>IF(entities[[#This Row],[emulated_hue_name: ]]&lt;&gt;"",4,"")</f>
        <v/>
      </c>
      <c r="P11" s="4" t="str">
        <f>IF(entities[[#This Row],[entity_picture]]&lt;&gt;"",5,"")</f>
        <v/>
      </c>
      <c r="Q11" s="4" t="str">
        <f>IF(entities[[#This Row],[icon]]&lt;&gt;"",6,"")</f>
        <v/>
      </c>
      <c r="R11" s="4" t="str">
        <f>CONCATENATE(entities[[#This Row],[1]],entities[[#This Row],[2]],entities[[#This Row],[3]],entities[[#This Row],[4]],entities[[#This Row],[5]],entities[[#This Row],[6]])</f>
        <v/>
      </c>
      <c r="S11" s="4">
        <f>6-COUNTBLANK(entities[[#This Row],[hidden]:[icon]])</f>
        <v>0</v>
      </c>
      <c r="T11" s="4" t="str">
        <f>IF(entities[[#This Row],[Num Attributes]]=0,"",
COUNTIFS(entities[Num Attributes],"&gt;0",entities[entity_id],"&lt;="&amp;entities[[#This Row],[entity_id]]))</f>
        <v/>
      </c>
      <c r="U11" s="4" t="str">
        <f t="array" ref="U11">IFERROR(INDEX(cards[object_id],SMALL(IF(cards[[1]:[25]]=entities[[#This Row],[entity_id]],ROW(cards[])-7,99^99),1)),"")</f>
        <v>automation_not</v>
      </c>
      <c r="V11" s="4" t="str">
        <f>IF(entities[[#This Row],[In ''States'' tab?]]&lt;&gt;"ok",  "Not in Home Assistant",
IF(entities[[#This Row],[hidden]]="true",  "Hidden",
IF(entities[[#This Row],[Card]]&lt;&gt;"",
INDEX(cards[name],MATCH(entities[[#This Row],[Card]],cards[object_id],0)),  "Badge / automatic card")))</f>
        <v>Automation || Notifications</v>
      </c>
      <c r="W11" s="4" t="str">
        <f>IF(entities[[#This Row],[Card]]&lt;&gt;"","group."&amp;entities[[#This Row],[Card]],"")</f>
        <v>group.automation_not</v>
      </c>
      <c r="AD11"/>
    </row>
    <row r="12" spans="1:30" x14ac:dyDescent="0.25">
      <c r="B12" t="s">
        <v>9</v>
      </c>
      <c r="C12" t="s">
        <v>324</v>
      </c>
      <c r="D12" s="3" t="s">
        <v>243</v>
      </c>
      <c r="J12" s="4" t="str">
        <f>IF(COUNTIF(Table4[Entity],entities[[#This Row],[entity_id]]),"ok","missing from States tab")</f>
        <v>ok</v>
      </c>
      <c r="K12" s="4" t="str">
        <f>entities[[#This Row],[domain]]&amp;"."&amp;entities[[#This Row],[object_id]]</f>
        <v>automation.not_notification_when_multisensor_battery_is_low</v>
      </c>
      <c r="L12" s="4">
        <f>IF(entities[[#This Row],[hidden]]&lt;&gt;"",1,"")</f>
        <v>1</v>
      </c>
      <c r="M12" s="4" t="str">
        <f>IF(entities[[#This Row],[friendly_name]]&lt;&gt;"",2,"")</f>
        <v/>
      </c>
      <c r="N12" s="4" t="str">
        <f>IF(entities[[#This Row],[emulated_hue:]]&lt;&gt;"",3,"")</f>
        <v/>
      </c>
      <c r="O12" s="4" t="str">
        <f>IF(entities[[#This Row],[emulated_hue_name: ]]&lt;&gt;"",4,"")</f>
        <v/>
      </c>
      <c r="P12" s="4" t="str">
        <f>IF(entities[[#This Row],[entity_picture]]&lt;&gt;"",5,"")</f>
        <v/>
      </c>
      <c r="Q12" s="4" t="str">
        <f>IF(entities[[#This Row],[icon]]&lt;&gt;"",6,"")</f>
        <v/>
      </c>
      <c r="R12" s="4" t="str">
        <f>CONCATENATE(entities[[#This Row],[1]],entities[[#This Row],[2]],entities[[#This Row],[3]],entities[[#This Row],[4]],entities[[#This Row],[5]],entities[[#This Row],[6]])</f>
        <v>1</v>
      </c>
      <c r="S12" s="4">
        <f>6-COUNTBLANK(entities[[#This Row],[hidden]:[icon]])</f>
        <v>1</v>
      </c>
      <c r="T12" s="4">
        <f>IF(entities[[#This Row],[Num Attributes]]=0,"",
COUNTIFS(entities[Num Attributes],"&gt;0",entities[entity_id],"&lt;="&amp;entities[[#This Row],[entity_id]]))</f>
        <v>4</v>
      </c>
      <c r="U12" t="str">
        <f t="array" ref="U12">IFERROR(INDEX(cards[object_id],SMALL(IF(cards[[1]:[25]]=entities[[#This Row],[entity_id]],ROW(cards[])-7,99^99),1)),"")</f>
        <v>automation_not</v>
      </c>
      <c r="V12" t="str">
        <f>IF(entities[[#This Row],[In ''States'' tab?]]&lt;&gt;"ok",  "Not in Home Assistant",
IF(entities[[#This Row],[hidden]]="true",  "Hidden",
IF(entities[[#This Row],[Card]]&lt;&gt;"",
INDEX(cards[name],MATCH(entities[[#This Row],[Card]],cards[object_id],0)),  "Badge / automatic card")))</f>
        <v>Hidden</v>
      </c>
      <c r="W12" t="str">
        <f>IF(entities[[#This Row],[Card]]&lt;&gt;"","group."&amp;entities[[#This Row],[Card]],"")</f>
        <v>group.automation_not</v>
      </c>
      <c r="AD12"/>
    </row>
    <row r="13" spans="1:30" x14ac:dyDescent="0.25">
      <c r="B13" t="s">
        <v>9</v>
      </c>
      <c r="C13" t="s">
        <v>325</v>
      </c>
      <c r="D13" s="3"/>
      <c r="J13" s="4" t="str">
        <f>IF(COUNTIF(Table4[Entity],entities[[#This Row],[entity_id]]),"ok","missing from States tab")</f>
        <v>ok</v>
      </c>
      <c r="K13" s="4" t="str">
        <f>entities[[#This Row],[domain]]&amp;"."&amp;entities[[#This Row],[object_id]]</f>
        <v>automation.not_notification_when_tank_turns_off</v>
      </c>
      <c r="L13" s="4" t="str">
        <f>IF(entities[[#This Row],[hidden]]&lt;&gt;"",1,"")</f>
        <v/>
      </c>
      <c r="M13" s="4" t="str">
        <f>IF(entities[[#This Row],[friendly_name]]&lt;&gt;"",2,"")</f>
        <v/>
      </c>
      <c r="N13" s="4" t="str">
        <f>IF(entities[[#This Row],[emulated_hue:]]&lt;&gt;"",3,"")</f>
        <v/>
      </c>
      <c r="O13" s="4" t="str">
        <f>IF(entities[[#This Row],[emulated_hue_name: ]]&lt;&gt;"",4,"")</f>
        <v/>
      </c>
      <c r="P13" s="4" t="str">
        <f>IF(entities[[#This Row],[entity_picture]]&lt;&gt;"",5,"")</f>
        <v/>
      </c>
      <c r="Q13" s="4" t="str">
        <f>IF(entities[[#This Row],[icon]]&lt;&gt;"",6,"")</f>
        <v/>
      </c>
      <c r="R13" s="4" t="str">
        <f>CONCATENATE(entities[[#This Row],[1]],entities[[#This Row],[2]],entities[[#This Row],[3]],entities[[#This Row],[4]],entities[[#This Row],[5]],entities[[#This Row],[6]])</f>
        <v/>
      </c>
      <c r="S13" s="4">
        <f>6-COUNTBLANK(entities[[#This Row],[hidden]:[icon]])</f>
        <v>0</v>
      </c>
      <c r="T13" s="4" t="str">
        <f>IF(entities[[#This Row],[Num Attributes]]=0,"",
COUNTIFS(entities[Num Attributes],"&gt;0",entities[entity_id],"&lt;="&amp;entities[[#This Row],[entity_id]]))</f>
        <v/>
      </c>
      <c r="U13" t="str">
        <f t="array" ref="U13">IFERROR(INDEX(cards[object_id],SMALL(IF(cards[[1]:[25]]=entities[[#This Row],[entity_id]],ROW(cards[])-7,99^99),1)),"")</f>
        <v>automation_not</v>
      </c>
      <c r="V13" t="str">
        <f>IF(entities[[#This Row],[In ''States'' tab?]]&lt;&gt;"ok",  "Not in Home Assistant",
IF(entities[[#This Row],[hidden]]="true",  "Hidden",
IF(entities[[#This Row],[Card]]&lt;&gt;"",
INDEX(cards[name],MATCH(entities[[#This Row],[Card]],cards[object_id],0)),  "Badge / automatic card")))</f>
        <v>Automation || Notifications</v>
      </c>
      <c r="W13" t="str">
        <f>IF(entities[[#This Row],[Card]]&lt;&gt;"","group."&amp;entities[[#This Row],[Card]],"")</f>
        <v>group.automation_not</v>
      </c>
      <c r="AD13"/>
    </row>
    <row r="14" spans="1:30" x14ac:dyDescent="0.25">
      <c r="B14" t="s">
        <v>9</v>
      </c>
      <c r="C14" t="s">
        <v>761</v>
      </c>
      <c r="J14" s="4" t="str">
        <f>IF(COUNTIF(Table4[Entity],entities[[#This Row],[entity_id]]),"ok","missing from States tab")</f>
        <v>ok</v>
      </c>
      <c r="K14" s="4" t="str">
        <f>entities[[#This Row],[domain]]&amp;"."&amp;entities[[#This Row],[object_id]]</f>
        <v>automation.not_speed_test_record</v>
      </c>
      <c r="L14" s="4" t="str">
        <f>IF(entities[[#This Row],[hidden]]&lt;&gt;"",1,"")</f>
        <v/>
      </c>
      <c r="M14" s="4" t="str">
        <f>IF(entities[[#This Row],[friendly_name]]&lt;&gt;"",2,"")</f>
        <v/>
      </c>
      <c r="N14" s="4" t="str">
        <f>IF(entities[[#This Row],[emulated_hue:]]&lt;&gt;"",3,"")</f>
        <v/>
      </c>
      <c r="O14" s="4" t="str">
        <f>IF(entities[[#This Row],[emulated_hue_name: ]]&lt;&gt;"",4,"")</f>
        <v/>
      </c>
      <c r="P14" s="4" t="str">
        <f>IF(entities[[#This Row],[entity_picture]]&lt;&gt;"",5,"")</f>
        <v/>
      </c>
      <c r="Q14" s="4" t="str">
        <f>IF(entities[[#This Row],[icon]]&lt;&gt;"",6,"")</f>
        <v/>
      </c>
      <c r="R14" s="4" t="str">
        <f>CONCATENATE(entities[[#This Row],[1]],entities[[#This Row],[2]],entities[[#This Row],[3]],entities[[#This Row],[4]],entities[[#This Row],[5]],entities[[#This Row],[6]])</f>
        <v/>
      </c>
      <c r="S14" s="4">
        <f>6-COUNTBLANK(entities[[#This Row],[hidden]:[icon]])</f>
        <v>0</v>
      </c>
      <c r="T14" s="4" t="str">
        <f>IF(entities[[#This Row],[Num Attributes]]=0,"",
COUNTIFS(entities[Num Attributes],"&gt;0",entities[entity_id],"&lt;="&amp;entities[[#This Row],[entity_id]]))</f>
        <v/>
      </c>
      <c r="U14" s="4" t="str">
        <f t="array" ref="U14">IFERROR(INDEX(cards[object_id],SMALL(IF(cards[[1]:[25]]=entities[[#This Row],[entity_id]],ROW(cards[])-7,99^99),1)),"")</f>
        <v>automation_not</v>
      </c>
      <c r="V14" s="4" t="str">
        <f>IF(entities[[#This Row],[In ''States'' tab?]]&lt;&gt;"ok",  "Not in Home Assistant",
IF(entities[[#This Row],[hidden]]="true",  "Hidden",
IF(entities[[#This Row],[Card]]&lt;&gt;"",
INDEX(cards[name],MATCH(entities[[#This Row],[Card]],cards[object_id],0)),  "Badge / automatic card")))</f>
        <v>Automation || Notifications</v>
      </c>
      <c r="W14" s="4" t="str">
        <f>IF(entities[[#This Row],[Card]]&lt;&gt;"","group."&amp;entities[[#This Row],[Card]],"")</f>
        <v>group.automation_not</v>
      </c>
      <c r="AD14"/>
    </row>
    <row r="15" spans="1:30" x14ac:dyDescent="0.25">
      <c r="B15" t="s">
        <v>9</v>
      </c>
      <c r="C15" t="s">
        <v>326</v>
      </c>
      <c r="D15" s="3" t="s">
        <v>243</v>
      </c>
      <c r="J15" s="4" t="str">
        <f>IF(COUNTIF(Table4[Entity],entities[[#This Row],[entity_id]]),"ok","missing from States tab")</f>
        <v>ok</v>
      </c>
      <c r="K15" s="4" t="str">
        <f>entities[[#This Row],[domain]]&amp;"."&amp;entities[[#This Row],[object_id]]</f>
        <v>automation.rmbd_fan_off_at_12_pm</v>
      </c>
      <c r="L15" s="4">
        <f>IF(entities[[#This Row],[hidden]]&lt;&gt;"",1,"")</f>
        <v>1</v>
      </c>
      <c r="M15" s="4" t="str">
        <f>IF(entities[[#This Row],[friendly_name]]&lt;&gt;"",2,"")</f>
        <v/>
      </c>
      <c r="N15" s="4" t="str">
        <f>IF(entities[[#This Row],[emulated_hue:]]&lt;&gt;"",3,"")</f>
        <v/>
      </c>
      <c r="O15" s="4" t="str">
        <f>IF(entities[[#This Row],[emulated_hue_name: ]]&lt;&gt;"",4,"")</f>
        <v/>
      </c>
      <c r="P15" s="4" t="str">
        <f>IF(entities[[#This Row],[entity_picture]]&lt;&gt;"",5,"")</f>
        <v/>
      </c>
      <c r="Q15" s="4" t="str">
        <f>IF(entities[[#This Row],[icon]]&lt;&gt;"",6,"")</f>
        <v/>
      </c>
      <c r="R15" s="4" t="str">
        <f>CONCATENATE(entities[[#This Row],[1]],entities[[#This Row],[2]],entities[[#This Row],[3]],entities[[#This Row],[4]],entities[[#This Row],[5]],entities[[#This Row],[6]])</f>
        <v>1</v>
      </c>
      <c r="S15" s="4">
        <f>6-COUNTBLANK(entities[[#This Row],[hidden]:[icon]])</f>
        <v>1</v>
      </c>
      <c r="T15" s="4">
        <f>IF(entities[[#This Row],[Num Attributes]]=0,"",
COUNTIFS(entities[Num Attributes],"&gt;0",entities[entity_id],"&lt;="&amp;entities[[#This Row],[entity_id]]))</f>
        <v>5</v>
      </c>
      <c r="U15" t="str">
        <f t="array" ref="U15">IFERROR(INDEX(cards[object_id],SMALL(IF(cards[[1]:[25]]=entities[[#This Row],[entity_id]],ROW(cards[])-7,99^99),1)),"")</f>
        <v>automation_rmbd</v>
      </c>
      <c r="V15" t="str">
        <f>IF(entities[[#This Row],[In ''States'' tab?]]&lt;&gt;"ok",  "Not in Home Assistant",
IF(entities[[#This Row],[hidden]]="true",  "Hidden",
IF(entities[[#This Row],[Card]]&lt;&gt;"",
INDEX(cards[name],MATCH(entities[[#This Row],[Card]],cards[object_id],0)),  "Badge / automatic card")))</f>
        <v>Hidden</v>
      </c>
      <c r="W15" t="str">
        <f>IF(entities[[#This Row],[Card]]&lt;&gt;"","group."&amp;entities[[#This Row],[Card]],"")</f>
        <v>group.automation_rmbd</v>
      </c>
      <c r="AD15"/>
    </row>
    <row r="16" spans="1:30" x14ac:dyDescent="0.25">
      <c r="B16" t="s">
        <v>9</v>
      </c>
      <c r="C16" t="s">
        <v>327</v>
      </c>
      <c r="D16" s="3" t="s">
        <v>243</v>
      </c>
      <c r="J16" s="4" t="str">
        <f>IF(COUNTIF(Table4[Entity],entities[[#This Row],[entity_id]]),"ok","missing from States tab")</f>
        <v>ok</v>
      </c>
      <c r="K16" s="4" t="str">
        <f>entities[[#This Row],[domain]]&amp;"."&amp;entities[[#This Row],[object_id]]</f>
        <v>automation.rmbd_one_bulb_off_at_sunset</v>
      </c>
      <c r="L16" s="4">
        <f>IF(entities[[#This Row],[hidden]]&lt;&gt;"",1,"")</f>
        <v>1</v>
      </c>
      <c r="M16" s="4" t="str">
        <f>IF(entities[[#This Row],[friendly_name]]&lt;&gt;"",2,"")</f>
        <v/>
      </c>
      <c r="N16" s="4" t="str">
        <f>IF(entities[[#This Row],[emulated_hue:]]&lt;&gt;"",3,"")</f>
        <v/>
      </c>
      <c r="O16" s="4" t="str">
        <f>IF(entities[[#This Row],[emulated_hue_name: ]]&lt;&gt;"",4,"")</f>
        <v/>
      </c>
      <c r="P16" s="4" t="str">
        <f>IF(entities[[#This Row],[entity_picture]]&lt;&gt;"",5,"")</f>
        <v/>
      </c>
      <c r="Q16" s="4" t="str">
        <f>IF(entities[[#This Row],[icon]]&lt;&gt;"",6,"")</f>
        <v/>
      </c>
      <c r="R16" s="4" t="str">
        <f>CONCATENATE(entities[[#This Row],[1]],entities[[#This Row],[2]],entities[[#This Row],[3]],entities[[#This Row],[4]],entities[[#This Row],[5]],entities[[#This Row],[6]])</f>
        <v>1</v>
      </c>
      <c r="S16" s="4">
        <f>6-COUNTBLANK(entities[[#This Row],[hidden]:[icon]])</f>
        <v>1</v>
      </c>
      <c r="T16" s="4">
        <f>IF(entities[[#This Row],[Num Attributes]]=0,"",
COUNTIFS(entities[Num Attributes],"&gt;0",entities[entity_id],"&lt;="&amp;entities[[#This Row],[entity_id]]))</f>
        <v>6</v>
      </c>
      <c r="U16" t="str">
        <f t="array" ref="U16">IFERROR(INDEX(cards[object_id],SMALL(IF(cards[[1]:[25]]=entities[[#This Row],[entity_id]],ROW(cards[])-7,99^99),1)),"")</f>
        <v>automation_rmbd</v>
      </c>
      <c r="V16" t="str">
        <f>IF(entities[[#This Row],[In ''States'' tab?]]&lt;&gt;"ok",  "Not in Home Assistant",
IF(entities[[#This Row],[hidden]]="true",  "Hidden",
IF(entities[[#This Row],[Card]]&lt;&gt;"",
INDEX(cards[name],MATCH(entities[[#This Row],[Card]],cards[object_id],0)),  "Badge / automatic card")))</f>
        <v>Hidden</v>
      </c>
      <c r="W16" t="str">
        <f>IF(entities[[#This Row],[Card]]&lt;&gt;"","group."&amp;entities[[#This Row],[Card]],"")</f>
        <v>group.automation_rmbd</v>
      </c>
      <c r="AD16"/>
    </row>
    <row r="17" spans="2:30" x14ac:dyDescent="0.25">
      <c r="B17" t="s">
        <v>9</v>
      </c>
      <c r="C17" t="s">
        <v>328</v>
      </c>
      <c r="D17" s="3" t="s">
        <v>243</v>
      </c>
      <c r="F17" s="3"/>
      <c r="G17" s="3"/>
      <c r="J17" s="4" t="str">
        <f>IF(COUNTIF(Table4[Entity],entities[[#This Row],[entity_id]]),"ok","missing from States tab")</f>
        <v>ok</v>
      </c>
      <c r="K17" s="4" t="str">
        <f>entities[[#This Row],[domain]]&amp;"."&amp;entities[[#This Row],[object_id]]</f>
        <v>automation.rmbd_one_bulb_on_with_switch_at_night</v>
      </c>
      <c r="L17" s="4">
        <f>IF(entities[[#This Row],[hidden]]&lt;&gt;"",1,"")</f>
        <v>1</v>
      </c>
      <c r="M17" s="4" t="str">
        <f>IF(entities[[#This Row],[friendly_name]]&lt;&gt;"",2,"")</f>
        <v/>
      </c>
      <c r="N17" s="4" t="str">
        <f>IF(entities[[#This Row],[emulated_hue:]]&lt;&gt;"",3,"")</f>
        <v/>
      </c>
      <c r="O17" s="4" t="str">
        <f>IF(entities[[#This Row],[emulated_hue_name: ]]&lt;&gt;"",4,"")</f>
        <v/>
      </c>
      <c r="P17" s="4" t="str">
        <f>IF(entities[[#This Row],[entity_picture]]&lt;&gt;"",5,"")</f>
        <v/>
      </c>
      <c r="Q17" s="4" t="str">
        <f>IF(entities[[#This Row],[icon]]&lt;&gt;"",6,"")</f>
        <v/>
      </c>
      <c r="R17" s="4" t="str">
        <f>CONCATENATE(entities[[#This Row],[1]],entities[[#This Row],[2]],entities[[#This Row],[3]],entities[[#This Row],[4]],entities[[#This Row],[5]],entities[[#This Row],[6]])</f>
        <v>1</v>
      </c>
      <c r="S17" s="4">
        <f>6-COUNTBLANK(entities[[#This Row],[hidden]:[icon]])</f>
        <v>1</v>
      </c>
      <c r="T17" s="4">
        <f>IF(entities[[#This Row],[Num Attributes]]=0,"",
COUNTIFS(entities[Num Attributes],"&gt;0",entities[entity_id],"&lt;="&amp;entities[[#This Row],[entity_id]]))</f>
        <v>7</v>
      </c>
      <c r="U17" t="str">
        <f t="array" ref="U17">IFERROR(INDEX(cards[object_id],SMALL(IF(cards[[1]:[25]]=entities[[#This Row],[entity_id]],ROW(cards[])-7,99^99),1)),"")</f>
        <v>automation_rmbd</v>
      </c>
      <c r="V17" t="str">
        <f>IF(entities[[#This Row],[In ''States'' tab?]]&lt;&gt;"ok",  "Not in Home Assistant",
IF(entities[[#This Row],[hidden]]="true",  "Hidden",
IF(entities[[#This Row],[Card]]&lt;&gt;"",
INDEX(cards[name],MATCH(entities[[#This Row],[Card]],cards[object_id],0)),  "Badge / automatic card")))</f>
        <v>Hidden</v>
      </c>
      <c r="W17" t="str">
        <f>IF(entities[[#This Row],[Card]]&lt;&gt;"","group."&amp;entities[[#This Row],[Card]],"")</f>
        <v>group.automation_rmbd</v>
      </c>
      <c r="AD17"/>
    </row>
    <row r="18" spans="2:30" x14ac:dyDescent="0.25">
      <c r="B18" t="s">
        <v>9</v>
      </c>
      <c r="C18" t="s">
        <v>329</v>
      </c>
      <c r="D18" s="3" t="s">
        <v>243</v>
      </c>
      <c r="E18" s="3"/>
      <c r="F18" s="3"/>
      <c r="G18" s="3"/>
      <c r="H18" s="3"/>
      <c r="J18" s="4" t="str">
        <f>IF(COUNTIF(Table4[Entity],entities[[#This Row],[entity_id]]),"ok","missing from States tab")</f>
        <v>ok</v>
      </c>
      <c r="K18" s="4" t="str">
        <f>entities[[#This Row],[domain]]&amp;"."&amp;entities[[#This Row],[object_id]]</f>
        <v>automation.rmlv_amp_off_at_3_am</v>
      </c>
      <c r="L18" s="4">
        <f>IF(entities[[#This Row],[hidden]]&lt;&gt;"",1,"")</f>
        <v>1</v>
      </c>
      <c r="M18" s="4" t="str">
        <f>IF(entities[[#This Row],[friendly_name]]&lt;&gt;"",2,"")</f>
        <v/>
      </c>
      <c r="N18" s="4" t="str">
        <f>IF(entities[[#This Row],[emulated_hue:]]&lt;&gt;"",3,"")</f>
        <v/>
      </c>
      <c r="O18" s="4" t="str">
        <f>IF(entities[[#This Row],[emulated_hue_name: ]]&lt;&gt;"",4,"")</f>
        <v/>
      </c>
      <c r="P18" s="4" t="str">
        <f>IF(entities[[#This Row],[entity_picture]]&lt;&gt;"",5,"")</f>
        <v/>
      </c>
      <c r="Q18" s="4" t="str">
        <f>IF(entities[[#This Row],[icon]]&lt;&gt;"",6,"")</f>
        <v/>
      </c>
      <c r="R18" s="4" t="str">
        <f>CONCATENATE(entities[[#This Row],[1]],entities[[#This Row],[2]],entities[[#This Row],[3]],entities[[#This Row],[4]],entities[[#This Row],[5]],entities[[#This Row],[6]])</f>
        <v>1</v>
      </c>
      <c r="S18" s="4">
        <f>6-COUNTBLANK(entities[[#This Row],[hidden]:[icon]])</f>
        <v>1</v>
      </c>
      <c r="T18" s="4">
        <f>IF(entities[[#This Row],[Num Attributes]]=0,"",
COUNTIFS(entities[Num Attributes],"&gt;0",entities[entity_id],"&lt;="&amp;entities[[#This Row],[entity_id]]))</f>
        <v>8</v>
      </c>
      <c r="U18" t="str">
        <f t="array" ref="U18">IFERROR(INDEX(cards[object_id],SMALL(IF(cards[[1]:[25]]=entities[[#This Row],[entity_id]],ROW(cards[])-7,99^99),1)),"")</f>
        <v>automation_rmlv</v>
      </c>
      <c r="V18" t="str">
        <f>IF(entities[[#This Row],[In ''States'' tab?]]&lt;&gt;"ok",  "Not in Home Assistant",
IF(entities[[#This Row],[hidden]]="true",  "Hidden",
IF(entities[[#This Row],[Card]]&lt;&gt;"",
INDEX(cards[name],MATCH(entities[[#This Row],[Card]],cards[object_id],0)),  "Badge / automatic card")))</f>
        <v>Hidden</v>
      </c>
      <c r="W18" t="str">
        <f>IF(entities[[#This Row],[Card]]&lt;&gt;"","group."&amp;entities[[#This Row],[Card]],"")</f>
        <v>group.automation_rmlv</v>
      </c>
      <c r="AD18"/>
    </row>
    <row r="19" spans="2:30" x14ac:dyDescent="0.25">
      <c r="B19" t="s">
        <v>9</v>
      </c>
      <c r="C19" t="s">
        <v>330</v>
      </c>
      <c r="D19" s="3" t="s">
        <v>243</v>
      </c>
      <c r="J19" s="4" t="str">
        <f>IF(COUNTIF(Table4[Entity],entities[[#This Row],[entity_id]]),"ok","missing from States tab")</f>
        <v>ok</v>
      </c>
      <c r="K19" s="4" t="str">
        <f>entities[[#This Row],[domain]]&amp;"."&amp;entities[[#This Row],[object_id]]</f>
        <v>automation.rmlv_amp_off_with_humvee</v>
      </c>
      <c r="L19" s="4">
        <f>IF(entities[[#This Row],[hidden]]&lt;&gt;"",1,"")</f>
        <v>1</v>
      </c>
      <c r="M19" s="4" t="str">
        <f>IF(entities[[#This Row],[friendly_name]]&lt;&gt;"",2,"")</f>
        <v/>
      </c>
      <c r="N19" s="4" t="str">
        <f>IF(entities[[#This Row],[emulated_hue:]]&lt;&gt;"",3,"")</f>
        <v/>
      </c>
      <c r="O19" s="4" t="str">
        <f>IF(entities[[#This Row],[emulated_hue_name: ]]&lt;&gt;"",4,"")</f>
        <v/>
      </c>
      <c r="P19" s="4" t="str">
        <f>IF(entities[[#This Row],[entity_picture]]&lt;&gt;"",5,"")</f>
        <v/>
      </c>
      <c r="Q19" s="4" t="str">
        <f>IF(entities[[#This Row],[icon]]&lt;&gt;"",6,"")</f>
        <v/>
      </c>
      <c r="R19" s="4" t="str">
        <f>CONCATENATE(entities[[#This Row],[1]],entities[[#This Row],[2]],entities[[#This Row],[3]],entities[[#This Row],[4]],entities[[#This Row],[5]],entities[[#This Row],[6]])</f>
        <v>1</v>
      </c>
      <c r="S19" s="4">
        <f>6-COUNTBLANK(entities[[#This Row],[hidden]:[icon]])</f>
        <v>1</v>
      </c>
      <c r="T19" s="4">
        <f>IF(entities[[#This Row],[Num Attributes]]=0,"",
COUNTIFS(entities[Num Attributes],"&gt;0",entities[entity_id],"&lt;="&amp;entities[[#This Row],[entity_id]]))</f>
        <v>9</v>
      </c>
      <c r="U19" t="str">
        <f t="array" ref="U19">IFERROR(INDEX(cards[object_id],SMALL(IF(cards[[1]:[25]]=entities[[#This Row],[entity_id]],ROW(cards[])-7,99^99),1)),"")</f>
        <v>automation_rmlv</v>
      </c>
      <c r="V19" t="str">
        <f>IF(entities[[#This Row],[In ''States'' tab?]]&lt;&gt;"ok",  "Not in Home Assistant",
IF(entities[[#This Row],[hidden]]="true",  "Hidden",
IF(entities[[#This Row],[Card]]&lt;&gt;"",
INDEX(cards[name],MATCH(entities[[#This Row],[Card]],cards[object_id],0)),  "Badge / automatic card")))</f>
        <v>Hidden</v>
      </c>
      <c r="W19" t="str">
        <f>IF(entities[[#This Row],[Card]]&lt;&gt;"","group."&amp;entities[[#This Row],[Card]],"")</f>
        <v>group.automation_rmlv</v>
      </c>
      <c r="AD19"/>
    </row>
    <row r="20" spans="2:30" x14ac:dyDescent="0.25">
      <c r="B20" t="s">
        <v>9</v>
      </c>
      <c r="C20" t="s">
        <v>331</v>
      </c>
      <c r="D20" s="3" t="s">
        <v>243</v>
      </c>
      <c r="J20" s="4" t="str">
        <f>IF(COUNTIF(Table4[Entity],entities[[#This Row],[entity_id]]),"ok","missing from States tab")</f>
        <v>ok</v>
      </c>
      <c r="K20" s="4" t="str">
        <f>entities[[#This Row],[domain]]&amp;"."&amp;entities[[#This Row],[object_id]]</f>
        <v>automation.rmlvtv_chromecast_volume_to_4_on_start</v>
      </c>
      <c r="L20" s="4">
        <f>IF(entities[[#This Row],[hidden]]&lt;&gt;"",1,"")</f>
        <v>1</v>
      </c>
      <c r="M20" s="4" t="str">
        <f>IF(entities[[#This Row],[friendly_name]]&lt;&gt;"",2,"")</f>
        <v/>
      </c>
      <c r="N20" s="4" t="str">
        <f>IF(entities[[#This Row],[emulated_hue:]]&lt;&gt;"",3,"")</f>
        <v/>
      </c>
      <c r="O20" s="4" t="str">
        <f>IF(entities[[#This Row],[emulated_hue_name: ]]&lt;&gt;"",4,"")</f>
        <v/>
      </c>
      <c r="P20" s="4" t="str">
        <f>IF(entities[[#This Row],[entity_picture]]&lt;&gt;"",5,"")</f>
        <v/>
      </c>
      <c r="Q20" s="4" t="str">
        <f>IF(entities[[#This Row],[icon]]&lt;&gt;"",6,"")</f>
        <v/>
      </c>
      <c r="R20" s="4" t="str">
        <f>CONCATENATE(entities[[#This Row],[1]],entities[[#This Row],[2]],entities[[#This Row],[3]],entities[[#This Row],[4]],entities[[#This Row],[5]],entities[[#This Row],[6]])</f>
        <v>1</v>
      </c>
      <c r="S20" s="4">
        <f>6-COUNTBLANK(entities[[#This Row],[hidden]:[icon]])</f>
        <v>1</v>
      </c>
      <c r="T20" s="4">
        <f>IF(entities[[#This Row],[Num Attributes]]=0,"",
COUNTIFS(entities[Num Attributes],"&gt;0",entities[entity_id],"&lt;="&amp;entities[[#This Row],[entity_id]]))</f>
        <v>10</v>
      </c>
      <c r="U20" t="str">
        <f t="array" ref="U20">IFERROR(INDEX(cards[object_id],SMALL(IF(cards[[1]:[25]]=entities[[#This Row],[entity_id]],ROW(cards[])-7,99^99),1)),"")</f>
        <v>automation_rmlvtv</v>
      </c>
      <c r="V20" t="str">
        <f>IF(entities[[#This Row],[In ''States'' tab?]]&lt;&gt;"ok",  "Not in Home Assistant",
IF(entities[[#This Row],[hidden]]="true",  "Hidden",
IF(entities[[#This Row],[Card]]&lt;&gt;"",
INDEX(cards[name],MATCH(entities[[#This Row],[Card]],cards[object_id],0)),  "Badge / automatic card")))</f>
        <v>Hidden</v>
      </c>
      <c r="W20" t="str">
        <f>IF(entities[[#This Row],[Card]]&lt;&gt;"","group."&amp;entities[[#This Row],[Card]],"")</f>
        <v>group.automation_rmlvtv</v>
      </c>
      <c r="AD20"/>
    </row>
    <row r="21" spans="2:30" x14ac:dyDescent="0.25">
      <c r="B21" t="s">
        <v>9</v>
      </c>
      <c r="C21" t="s">
        <v>762</v>
      </c>
      <c r="J21" s="4" t="str">
        <f>IF(COUNTIF(Table4[Entity],entities[[#This Row],[entity_id]]),"ok","missing from States tab")</f>
        <v>ok</v>
      </c>
      <c r="K21" s="4" t="str">
        <f>entities[[#This Row],[domain]]&amp;"."&amp;entities[[#This Row],[object_id]]</f>
        <v>automation.rmlvtv_turn_off_tv_if_chromecast_off</v>
      </c>
      <c r="L21" s="4" t="str">
        <f>IF(entities[[#This Row],[hidden]]&lt;&gt;"",1,"")</f>
        <v/>
      </c>
      <c r="M21" s="4" t="str">
        <f>IF(entities[[#This Row],[friendly_name]]&lt;&gt;"",2,"")</f>
        <v/>
      </c>
      <c r="N21" s="4" t="str">
        <f>IF(entities[[#This Row],[emulated_hue:]]&lt;&gt;"",3,"")</f>
        <v/>
      </c>
      <c r="O21" s="4" t="str">
        <f>IF(entities[[#This Row],[emulated_hue_name: ]]&lt;&gt;"",4,"")</f>
        <v/>
      </c>
      <c r="P21" s="4" t="str">
        <f>IF(entities[[#This Row],[entity_picture]]&lt;&gt;"",5,"")</f>
        <v/>
      </c>
      <c r="Q21" s="4" t="str">
        <f>IF(entities[[#This Row],[icon]]&lt;&gt;"",6,"")</f>
        <v/>
      </c>
      <c r="R21" s="4" t="str">
        <f>CONCATENATE(entities[[#This Row],[1]],entities[[#This Row],[2]],entities[[#This Row],[3]],entities[[#This Row],[4]],entities[[#This Row],[5]],entities[[#This Row],[6]])</f>
        <v/>
      </c>
      <c r="S21" s="4">
        <f>6-COUNTBLANK(entities[[#This Row],[hidden]:[icon]])</f>
        <v>0</v>
      </c>
      <c r="T21" s="4" t="str">
        <f>IF(entities[[#This Row],[Num Attributes]]=0,"",
COUNTIFS(entities[Num Attributes],"&gt;0",entities[entity_id],"&lt;="&amp;entities[[#This Row],[entity_id]]))</f>
        <v/>
      </c>
      <c r="U21" s="4" t="str">
        <f t="array" ref="U21">IFERROR(INDEX(cards[object_id],SMALL(IF(cards[[1]:[25]]=entities[[#This Row],[entity_id]],ROW(cards[])-7,99^99),1)),"")</f>
        <v>automation_rmlvtv</v>
      </c>
      <c r="V21" s="4" t="str">
        <f>IF(entities[[#This Row],[In ''States'' tab?]]&lt;&gt;"ok",  "Not in Home Assistant",
IF(entities[[#This Row],[hidden]]="true",  "Hidden",
IF(entities[[#This Row],[Card]]&lt;&gt;"",
INDEX(cards[name],MATCH(entities[[#This Row],[Card]],cards[object_id],0)),  "Badge / automatic card")))</f>
        <v>Automation || Living Room TV</v>
      </c>
      <c r="W21" s="4" t="str">
        <f>IF(entities[[#This Row],[Card]]&lt;&gt;"","group."&amp;entities[[#This Row],[Card]],"")</f>
        <v>group.automation_rmlvtv</v>
      </c>
      <c r="AD21"/>
    </row>
    <row r="22" spans="2:30" x14ac:dyDescent="0.25">
      <c r="B22" t="s">
        <v>9</v>
      </c>
      <c r="C22" t="s">
        <v>686</v>
      </c>
      <c r="D22" s="3" t="s">
        <v>243</v>
      </c>
      <c r="J22" s="4" t="str">
        <f>IF(COUNTIF(Table4[Entity],entities[[#This Row],[entity_id]]),"ok","missing from States tab")</f>
        <v>ok</v>
      </c>
      <c r="K22" s="4" t="str">
        <f>entities[[#This Row],[domain]]&amp;"."&amp;entities[[#This Row],[object_id]]</f>
        <v>automation.rmlvtv_tv_off_with_chromecast_from_idle</v>
      </c>
      <c r="L22" s="4">
        <f>IF(entities[[#This Row],[hidden]]&lt;&gt;"",1,"")</f>
        <v>1</v>
      </c>
      <c r="M22" s="4" t="str">
        <f>IF(entities[[#This Row],[friendly_name]]&lt;&gt;"",2,"")</f>
        <v/>
      </c>
      <c r="N22" s="4" t="str">
        <f>IF(entities[[#This Row],[emulated_hue:]]&lt;&gt;"",3,"")</f>
        <v/>
      </c>
      <c r="O22" s="4" t="str">
        <f>IF(entities[[#This Row],[emulated_hue_name: ]]&lt;&gt;"",4,"")</f>
        <v/>
      </c>
      <c r="P22" s="4" t="str">
        <f>IF(entities[[#This Row],[entity_picture]]&lt;&gt;"",5,"")</f>
        <v/>
      </c>
      <c r="Q22" s="4" t="str">
        <f>IF(entities[[#This Row],[icon]]&lt;&gt;"",6,"")</f>
        <v/>
      </c>
      <c r="R22" s="4" t="str">
        <f>CONCATENATE(entities[[#This Row],[1]],entities[[#This Row],[2]],entities[[#This Row],[3]],entities[[#This Row],[4]],entities[[#This Row],[5]],entities[[#This Row],[6]])</f>
        <v>1</v>
      </c>
      <c r="S22" s="4">
        <f>6-COUNTBLANK(entities[[#This Row],[hidden]:[icon]])</f>
        <v>1</v>
      </c>
      <c r="T22" s="4">
        <f>IF(entities[[#This Row],[Num Attributes]]=0,"",
COUNTIFS(entities[Num Attributes],"&gt;0",entities[entity_id],"&lt;="&amp;entities[[#This Row],[entity_id]]))</f>
        <v>11</v>
      </c>
      <c r="U22" t="str">
        <f t="array" ref="U22">IFERROR(INDEX(cards[object_id],SMALL(IF(cards[[1]:[25]]=entities[[#This Row],[entity_id]],ROW(cards[])-7,99^99),1)),"")</f>
        <v>automation_rmlvtv</v>
      </c>
      <c r="V22" t="str">
        <f>IF(entities[[#This Row],[In ''States'' tab?]]&lt;&gt;"ok",  "Not in Home Assistant",
IF(entities[[#This Row],[hidden]]="true",  "Hidden",
IF(entities[[#This Row],[Card]]&lt;&gt;"",
INDEX(cards[name],MATCH(entities[[#This Row],[Card]],cards[object_id],0)),  "Badge / automatic card")))</f>
        <v>Hidden</v>
      </c>
      <c r="W22" t="str">
        <f>IF(entities[[#This Row],[Card]]&lt;&gt;"","group."&amp;entities[[#This Row],[Card]],"")</f>
        <v>group.automation_rmlvtv</v>
      </c>
      <c r="AD22"/>
    </row>
    <row r="23" spans="2:30" x14ac:dyDescent="0.25">
      <c r="B23" t="s">
        <v>9</v>
      </c>
      <c r="C23" t="s">
        <v>687</v>
      </c>
      <c r="D23" s="3" t="s">
        <v>243</v>
      </c>
      <c r="J23" s="4" t="str">
        <f>IF(COUNTIF(Table4[Entity],entities[[#This Row],[entity_id]]),"ok","missing from States tab")</f>
        <v>ok</v>
      </c>
      <c r="K23" s="4" t="str">
        <f>entities[[#This Row],[domain]]&amp;"."&amp;entities[[#This Row],[object_id]]</f>
        <v>automation.rmlvtv_tv_off_with_chromecast_from_paused</v>
      </c>
      <c r="L23" s="4">
        <f>IF(entities[[#This Row],[hidden]]&lt;&gt;"",1,"")</f>
        <v>1</v>
      </c>
      <c r="M23" s="4" t="str">
        <f>IF(entities[[#This Row],[friendly_name]]&lt;&gt;"",2,"")</f>
        <v/>
      </c>
      <c r="N23" s="4" t="str">
        <f>IF(entities[[#This Row],[emulated_hue:]]&lt;&gt;"",3,"")</f>
        <v/>
      </c>
      <c r="O23" s="4" t="str">
        <f>IF(entities[[#This Row],[emulated_hue_name: ]]&lt;&gt;"",4,"")</f>
        <v/>
      </c>
      <c r="P23" s="4" t="str">
        <f>IF(entities[[#This Row],[entity_picture]]&lt;&gt;"",5,"")</f>
        <v/>
      </c>
      <c r="Q23" s="4" t="str">
        <f>IF(entities[[#This Row],[icon]]&lt;&gt;"",6,"")</f>
        <v/>
      </c>
      <c r="R23" s="4" t="str">
        <f>CONCATENATE(entities[[#This Row],[1]],entities[[#This Row],[2]],entities[[#This Row],[3]],entities[[#This Row],[4]],entities[[#This Row],[5]],entities[[#This Row],[6]])</f>
        <v>1</v>
      </c>
      <c r="S23" s="4">
        <f>6-COUNTBLANK(entities[[#This Row],[hidden]:[icon]])</f>
        <v>1</v>
      </c>
      <c r="T23" s="4">
        <f>IF(entities[[#This Row],[Num Attributes]]=0,"",
COUNTIFS(entities[Num Attributes],"&gt;0",entities[entity_id],"&lt;="&amp;entities[[#This Row],[entity_id]]))</f>
        <v>12</v>
      </c>
      <c r="U23" t="str">
        <f t="array" ref="U23">IFERROR(INDEX(cards[object_id],SMALL(IF(cards[[1]:[25]]=entities[[#This Row],[entity_id]],ROW(cards[])-7,99^99),1)),"")</f>
        <v>automation_rmlvtv</v>
      </c>
      <c r="V23" t="str">
        <f>IF(entities[[#This Row],[In ''States'' tab?]]&lt;&gt;"ok",  "Not in Home Assistant",
IF(entities[[#This Row],[hidden]]="true",  "Hidden",
IF(entities[[#This Row],[Card]]&lt;&gt;"",
INDEX(cards[name],MATCH(entities[[#This Row],[Card]],cards[object_id],0)),  "Badge / automatic card")))</f>
        <v>Hidden</v>
      </c>
      <c r="W23" t="str">
        <f>IF(entities[[#This Row],[Card]]&lt;&gt;"","group."&amp;entities[[#This Row],[Card]],"")</f>
        <v>group.automation_rmlvtv</v>
      </c>
      <c r="AD23"/>
    </row>
    <row r="24" spans="2:30" x14ac:dyDescent="0.25">
      <c r="B24" t="s">
        <v>9</v>
      </c>
      <c r="C24" t="s">
        <v>685</v>
      </c>
      <c r="D24" s="3" t="s">
        <v>243</v>
      </c>
      <c r="J24" s="4" t="str">
        <f>IF(COUNTIF(Table4[Entity],entities[[#This Row],[entity_id]]),"ok","missing from States tab")</f>
        <v>ok</v>
      </c>
      <c r="K24" s="4" t="str">
        <f>entities[[#This Row],[domain]]&amp;"."&amp;entities[[#This Row],[object_id]]</f>
        <v>automation.rmlvtv_tv_off_with_chromecast_from_playing</v>
      </c>
      <c r="L24" s="4">
        <f>IF(entities[[#This Row],[hidden]]&lt;&gt;"",1,"")</f>
        <v>1</v>
      </c>
      <c r="M24" s="4" t="str">
        <f>IF(entities[[#This Row],[friendly_name]]&lt;&gt;"",2,"")</f>
        <v/>
      </c>
      <c r="N24" s="4" t="str">
        <f>IF(entities[[#This Row],[emulated_hue:]]&lt;&gt;"",3,"")</f>
        <v/>
      </c>
      <c r="O24" s="4" t="str">
        <f>IF(entities[[#This Row],[emulated_hue_name: ]]&lt;&gt;"",4,"")</f>
        <v/>
      </c>
      <c r="P24" s="4" t="str">
        <f>IF(entities[[#This Row],[entity_picture]]&lt;&gt;"",5,"")</f>
        <v/>
      </c>
      <c r="Q24" s="4" t="str">
        <f>IF(entities[[#This Row],[icon]]&lt;&gt;"",6,"")</f>
        <v/>
      </c>
      <c r="R24" s="4" t="str">
        <f>CONCATENATE(entities[[#This Row],[1]],entities[[#This Row],[2]],entities[[#This Row],[3]],entities[[#This Row],[4]],entities[[#This Row],[5]],entities[[#This Row],[6]])</f>
        <v>1</v>
      </c>
      <c r="S24" s="4">
        <f>6-COUNTBLANK(entities[[#This Row],[hidden]:[icon]])</f>
        <v>1</v>
      </c>
      <c r="T24" s="4">
        <f>IF(entities[[#This Row],[Num Attributes]]=0,"",
COUNTIFS(entities[Num Attributes],"&gt;0",entities[entity_id],"&lt;="&amp;entities[[#This Row],[entity_id]]))</f>
        <v>13</v>
      </c>
      <c r="U24" t="str">
        <f t="array" ref="U24">IFERROR(INDEX(cards[object_id],SMALL(IF(cards[[1]:[25]]=entities[[#This Row],[entity_id]],ROW(cards[])-7,99^99),1)),"")</f>
        <v>automation_rmlvtv</v>
      </c>
      <c r="V24" t="str">
        <f>IF(entities[[#This Row],[In ''States'' tab?]]&lt;&gt;"ok",  "Not in Home Assistant",
IF(entities[[#This Row],[hidden]]="true",  "Hidden",
IF(entities[[#This Row],[Card]]&lt;&gt;"",
INDEX(cards[name],MATCH(entities[[#This Row],[Card]],cards[object_id],0)),  "Badge / automatic card")))</f>
        <v>Hidden</v>
      </c>
      <c r="W24" t="str">
        <f>IF(entities[[#This Row],[Card]]&lt;&gt;"","group."&amp;entities[[#This Row],[Card]],"")</f>
        <v>group.automation_rmlvtv</v>
      </c>
      <c r="AD24"/>
    </row>
    <row r="25" spans="2:30" x14ac:dyDescent="0.25">
      <c r="B25" t="s">
        <v>9</v>
      </c>
      <c r="C25" t="s">
        <v>332</v>
      </c>
      <c r="D25" s="3" t="s">
        <v>243</v>
      </c>
      <c r="J25" s="4" t="str">
        <f>IF(COUNTIF(Table4[Entity],entities[[#This Row],[entity_id]]),"ok","missing from States tab")</f>
        <v>ok</v>
      </c>
      <c r="K25" s="4" t="str">
        <f>entities[[#This Row],[domain]]&amp;"."&amp;entities[[#This Row],[object_id]]</f>
        <v>automation.rmlvtv_tv_on_with_chromecast</v>
      </c>
      <c r="L25" s="4">
        <f>IF(entities[[#This Row],[hidden]]&lt;&gt;"",1,"")</f>
        <v>1</v>
      </c>
      <c r="M25" s="4" t="str">
        <f>IF(entities[[#This Row],[friendly_name]]&lt;&gt;"",2,"")</f>
        <v/>
      </c>
      <c r="N25" s="4" t="str">
        <f>IF(entities[[#This Row],[emulated_hue:]]&lt;&gt;"",3,"")</f>
        <v/>
      </c>
      <c r="O25" s="4" t="str">
        <f>IF(entities[[#This Row],[emulated_hue_name: ]]&lt;&gt;"",4,"")</f>
        <v/>
      </c>
      <c r="P25" s="4" t="str">
        <f>IF(entities[[#This Row],[entity_picture]]&lt;&gt;"",5,"")</f>
        <v/>
      </c>
      <c r="Q25" s="4" t="str">
        <f>IF(entities[[#This Row],[icon]]&lt;&gt;"",6,"")</f>
        <v/>
      </c>
      <c r="R25" s="4" t="str">
        <f>CONCATENATE(entities[[#This Row],[1]],entities[[#This Row],[2]],entities[[#This Row],[3]],entities[[#This Row],[4]],entities[[#This Row],[5]],entities[[#This Row],[6]])</f>
        <v>1</v>
      </c>
      <c r="S25" s="4">
        <f>6-COUNTBLANK(entities[[#This Row],[hidden]:[icon]])</f>
        <v>1</v>
      </c>
      <c r="T25" s="4">
        <f>IF(entities[[#This Row],[Num Attributes]]=0,"",
COUNTIFS(entities[Num Attributes],"&gt;0",entities[entity_id],"&lt;="&amp;entities[[#This Row],[entity_id]]))</f>
        <v>14</v>
      </c>
      <c r="U25" t="str">
        <f t="array" ref="U25">IFERROR(INDEX(cards[object_id],SMALL(IF(cards[[1]:[25]]=entities[[#This Row],[entity_id]],ROW(cards[])-7,99^99),1)),"")</f>
        <v>automation_rmlvtv</v>
      </c>
      <c r="V25" t="str">
        <f>IF(entities[[#This Row],[In ''States'' tab?]]&lt;&gt;"ok",  "Not in Home Assistant",
IF(entities[[#This Row],[hidden]]="true",  "Hidden",
IF(entities[[#This Row],[Card]]&lt;&gt;"",
INDEX(cards[name],MATCH(entities[[#This Row],[Card]],cards[object_id],0)),  "Badge / automatic card")))</f>
        <v>Hidden</v>
      </c>
      <c r="W25" t="str">
        <f>IF(entities[[#This Row],[Card]]&lt;&gt;"","group."&amp;entities[[#This Row],[Card]],"")</f>
        <v>group.automation_rmlvtv</v>
      </c>
      <c r="AD25"/>
    </row>
    <row r="26" spans="2:30" x14ac:dyDescent="0.25">
      <c r="B26" t="s">
        <v>9</v>
      </c>
      <c r="C26" t="s">
        <v>333</v>
      </c>
      <c r="D26" s="3" t="s">
        <v>243</v>
      </c>
      <c r="J26" s="4" t="str">
        <f>IF(COUNTIF(Table4[Entity],entities[[#This Row],[entity_id]]),"ok","missing from States tab")</f>
        <v>ok</v>
      </c>
      <c r="K26" s="4" t="str">
        <f>entities[[#This Row],[domain]]&amp;"."&amp;entities[[#This Row],[object_id]]</f>
        <v>automation.statfriend_friend_visiting_off_from_device_tracker</v>
      </c>
      <c r="L26" s="4">
        <f>IF(entities[[#This Row],[hidden]]&lt;&gt;"",1,"")</f>
        <v>1</v>
      </c>
      <c r="M26" s="4" t="str">
        <f>IF(entities[[#This Row],[friendly_name]]&lt;&gt;"",2,"")</f>
        <v/>
      </c>
      <c r="N26" s="4" t="str">
        <f>IF(entities[[#This Row],[emulated_hue:]]&lt;&gt;"",3,"")</f>
        <v/>
      </c>
      <c r="O26" s="4" t="str">
        <f>IF(entities[[#This Row],[emulated_hue_name: ]]&lt;&gt;"",4,"")</f>
        <v/>
      </c>
      <c r="P26" s="4" t="str">
        <f>IF(entities[[#This Row],[entity_picture]]&lt;&gt;"",5,"")</f>
        <v/>
      </c>
      <c r="Q26" s="4" t="str">
        <f>IF(entities[[#This Row],[icon]]&lt;&gt;"",6,"")</f>
        <v/>
      </c>
      <c r="R26" s="4" t="str">
        <f>CONCATENATE(entities[[#This Row],[1]],entities[[#This Row],[2]],entities[[#This Row],[3]],entities[[#This Row],[4]],entities[[#This Row],[5]],entities[[#This Row],[6]])</f>
        <v>1</v>
      </c>
      <c r="S26" s="4">
        <f>6-COUNTBLANK(entities[[#This Row],[hidden]:[icon]])</f>
        <v>1</v>
      </c>
      <c r="T26" s="4">
        <f>IF(entities[[#This Row],[Num Attributes]]=0,"",
COUNTIFS(entities[Num Attributes],"&gt;0",entities[entity_id],"&lt;="&amp;entities[[#This Row],[entity_id]]))</f>
        <v>15</v>
      </c>
      <c r="U26" t="str">
        <f t="array" ref="U26">IFERROR(INDEX(cards[object_id],SMALL(IF(cards[[1]:[25]]=entities[[#This Row],[entity_id]],ROW(cards[])-7,99^99),1)),"")</f>
        <v>automation_statfriend</v>
      </c>
      <c r="V26" t="str">
        <f>IF(entities[[#This Row],[In ''States'' tab?]]&lt;&gt;"ok",  "Not in Home Assistant",
IF(entities[[#This Row],[hidden]]="true",  "Hidden",
IF(entities[[#This Row],[Card]]&lt;&gt;"",
INDEX(cards[name],MATCH(entities[[#This Row],[Card]],cards[object_id],0)),  "Badge / automatic card")))</f>
        <v>Hidden</v>
      </c>
      <c r="W26" t="str">
        <f>IF(entities[[#This Row],[Card]]&lt;&gt;"","group."&amp;entities[[#This Row],[Card]],"")</f>
        <v>group.automation_statfriend</v>
      </c>
      <c r="AD26"/>
    </row>
    <row r="27" spans="2:30" x14ac:dyDescent="0.25">
      <c r="B27" t="s">
        <v>9</v>
      </c>
      <c r="C27" t="s">
        <v>334</v>
      </c>
      <c r="D27" s="3" t="s">
        <v>243</v>
      </c>
      <c r="J27" s="4" t="str">
        <f>IF(COUNTIF(Table4[Entity],entities[[#This Row],[entity_id]]),"ok","missing from States tab")</f>
        <v>ok</v>
      </c>
      <c r="K27" s="4" t="str">
        <f>entities[[#This Row],[domain]]&amp;"."&amp;entities[[#This Row],[object_id]]</f>
        <v>automation.statfriend_friend_visiting_on_from_device_tracker</v>
      </c>
      <c r="L27" s="4">
        <f>IF(entities[[#This Row],[hidden]]&lt;&gt;"",1,"")</f>
        <v>1</v>
      </c>
      <c r="M27" s="4" t="str">
        <f>IF(entities[[#This Row],[friendly_name]]&lt;&gt;"",2,"")</f>
        <v/>
      </c>
      <c r="N27" s="4" t="str">
        <f>IF(entities[[#This Row],[emulated_hue:]]&lt;&gt;"",3,"")</f>
        <v/>
      </c>
      <c r="O27" s="4" t="str">
        <f>IF(entities[[#This Row],[emulated_hue_name: ]]&lt;&gt;"",4,"")</f>
        <v/>
      </c>
      <c r="P27" s="4" t="str">
        <f>IF(entities[[#This Row],[entity_picture]]&lt;&gt;"",5,"")</f>
        <v/>
      </c>
      <c r="Q27" s="4" t="str">
        <f>IF(entities[[#This Row],[icon]]&lt;&gt;"",6,"")</f>
        <v/>
      </c>
      <c r="R27" s="4" t="str">
        <f>CONCATENATE(entities[[#This Row],[1]],entities[[#This Row],[2]],entities[[#This Row],[3]],entities[[#This Row],[4]],entities[[#This Row],[5]],entities[[#This Row],[6]])</f>
        <v>1</v>
      </c>
      <c r="S27" s="4">
        <f>6-COUNTBLANK(entities[[#This Row],[hidden]:[icon]])</f>
        <v>1</v>
      </c>
      <c r="T27" s="4">
        <f>IF(entities[[#This Row],[Num Attributes]]=0,"",
COUNTIFS(entities[Num Attributes],"&gt;0",entities[entity_id],"&lt;="&amp;entities[[#This Row],[entity_id]]))</f>
        <v>16</v>
      </c>
      <c r="U27" t="str">
        <f t="array" ref="U27">IFERROR(INDEX(cards[object_id],SMALL(IF(cards[[1]:[25]]=entities[[#This Row],[entity_id]],ROW(cards[])-7,99^99),1)),"")</f>
        <v>automation_statfriend</v>
      </c>
      <c r="V27" t="str">
        <f>IF(entities[[#This Row],[In ''States'' tab?]]&lt;&gt;"ok",  "Not in Home Assistant",
IF(entities[[#This Row],[hidden]]="true",  "Hidden",
IF(entities[[#This Row],[Card]]&lt;&gt;"",
INDEX(cards[name],MATCH(entities[[#This Row],[Card]],cards[object_id],0)),  "Badge / automatic card")))</f>
        <v>Hidden</v>
      </c>
      <c r="W27" t="str">
        <f>IF(entities[[#This Row],[Card]]&lt;&gt;"","group."&amp;entities[[#This Row],[Card]],"")</f>
        <v>group.automation_statfriend</v>
      </c>
      <c r="AD27"/>
    </row>
    <row r="28" spans="2:30" x14ac:dyDescent="0.25">
      <c r="B28" t="s">
        <v>9</v>
      </c>
      <c r="C28" t="s">
        <v>335</v>
      </c>
      <c r="D28" s="3" t="s">
        <v>243</v>
      </c>
      <c r="J28" s="4" t="str">
        <f>IF(COUNTIF(Table4[Entity],entities[[#This Row],[entity_id]]),"ok","missing from States tab")</f>
        <v>ok</v>
      </c>
      <c r="K28" s="4" t="str">
        <f>entities[[#This Row],[domain]]&amp;"."&amp;entities[[#This Row],[object_id]]</f>
        <v>automation.statron_away_status_from_device_tracker</v>
      </c>
      <c r="L28" s="4">
        <f>IF(entities[[#This Row],[hidden]]&lt;&gt;"",1,"")</f>
        <v>1</v>
      </c>
      <c r="M28" s="4" t="str">
        <f>IF(entities[[#This Row],[friendly_name]]&lt;&gt;"",2,"")</f>
        <v/>
      </c>
      <c r="N28" s="4" t="str">
        <f>IF(entities[[#This Row],[emulated_hue:]]&lt;&gt;"",3,"")</f>
        <v/>
      </c>
      <c r="O28" s="4" t="str">
        <f>IF(entities[[#This Row],[emulated_hue_name: ]]&lt;&gt;"",4,"")</f>
        <v/>
      </c>
      <c r="P28" s="4" t="str">
        <f>IF(entities[[#This Row],[entity_picture]]&lt;&gt;"",5,"")</f>
        <v/>
      </c>
      <c r="Q28" s="4" t="str">
        <f>IF(entities[[#This Row],[icon]]&lt;&gt;"",6,"")</f>
        <v/>
      </c>
      <c r="R28" s="4" t="str">
        <f>CONCATENATE(entities[[#This Row],[1]],entities[[#This Row],[2]],entities[[#This Row],[3]],entities[[#This Row],[4]],entities[[#This Row],[5]],entities[[#This Row],[6]])</f>
        <v>1</v>
      </c>
      <c r="S28" s="4">
        <f>6-COUNTBLANK(entities[[#This Row],[hidden]:[icon]])</f>
        <v>1</v>
      </c>
      <c r="T28" s="4">
        <f>IF(entities[[#This Row],[Num Attributes]]=0,"",
COUNTIFS(entities[Num Attributes],"&gt;0",entities[entity_id],"&lt;="&amp;entities[[#This Row],[entity_id]]))</f>
        <v>17</v>
      </c>
      <c r="U28" t="str">
        <f t="array" ref="U28">IFERROR(INDEX(cards[object_id],SMALL(IF(cards[[1]:[25]]=entities[[#This Row],[entity_id]],ROW(cards[])-7,99^99),1)),"")</f>
        <v>automation_statron</v>
      </c>
      <c r="V28" t="str">
        <f>IF(entities[[#This Row],[In ''States'' tab?]]&lt;&gt;"ok",  "Not in Home Assistant",
IF(entities[[#This Row],[hidden]]="true",  "Hidden",
IF(entities[[#This Row],[Card]]&lt;&gt;"",
INDEX(cards[name],MATCH(entities[[#This Row],[Card]],cards[object_id],0)),  "Badge / automatic card")))</f>
        <v>Hidden</v>
      </c>
      <c r="W28" t="str">
        <f>IF(entities[[#This Row],[Card]]&lt;&gt;"","group."&amp;entities[[#This Row],[Card]],"")</f>
        <v>group.automation_statron</v>
      </c>
      <c r="AD28"/>
    </row>
    <row r="29" spans="2:30" x14ac:dyDescent="0.25">
      <c r="B29" t="s">
        <v>9</v>
      </c>
      <c r="C29" t="s">
        <v>336</v>
      </c>
      <c r="D29" s="3" t="s">
        <v>243</v>
      </c>
      <c r="J29" s="4" t="str">
        <f>IF(COUNTIF(Table4[Entity],entities[[#This Row],[entity_id]]),"ok","missing from States tab")</f>
        <v>ok</v>
      </c>
      <c r="K29" s="4" t="str">
        <f>entities[[#This Row],[domain]]&amp;"."&amp;entities[[#This Row],[object_id]]</f>
        <v>automation.statron_computer_status_from_monitor_status</v>
      </c>
      <c r="L29" s="4">
        <f>IF(entities[[#This Row],[hidden]]&lt;&gt;"",1,"")</f>
        <v>1</v>
      </c>
      <c r="M29" s="4" t="str">
        <f>IF(entities[[#This Row],[friendly_name]]&lt;&gt;"",2,"")</f>
        <v/>
      </c>
      <c r="N29" s="4" t="str">
        <f>IF(entities[[#This Row],[emulated_hue:]]&lt;&gt;"",3,"")</f>
        <v/>
      </c>
      <c r="O29" s="4" t="str">
        <f>IF(entities[[#This Row],[emulated_hue_name: ]]&lt;&gt;"",4,"")</f>
        <v/>
      </c>
      <c r="P29" s="4" t="str">
        <f>IF(entities[[#This Row],[entity_picture]]&lt;&gt;"",5,"")</f>
        <v/>
      </c>
      <c r="Q29" s="4" t="str">
        <f>IF(entities[[#This Row],[icon]]&lt;&gt;"",6,"")</f>
        <v/>
      </c>
      <c r="R29" s="4" t="str">
        <f>CONCATENATE(entities[[#This Row],[1]],entities[[#This Row],[2]],entities[[#This Row],[3]],entities[[#This Row],[4]],entities[[#This Row],[5]],entities[[#This Row],[6]])</f>
        <v>1</v>
      </c>
      <c r="S29" s="4">
        <f>6-COUNTBLANK(entities[[#This Row],[hidden]:[icon]])</f>
        <v>1</v>
      </c>
      <c r="T29" s="4">
        <f>IF(entities[[#This Row],[Num Attributes]]=0,"",
COUNTIFS(entities[Num Attributes],"&gt;0",entities[entity_id],"&lt;="&amp;entities[[#This Row],[entity_id]]))</f>
        <v>18</v>
      </c>
      <c r="U29" t="str">
        <f t="array" ref="U29">IFERROR(INDEX(cards[object_id],SMALL(IF(cards[[1]:[25]]=entities[[#This Row],[entity_id]],ROW(cards[])-7,99^99),1)),"")</f>
        <v>automation_statron</v>
      </c>
      <c r="V29" t="str">
        <f>IF(entities[[#This Row],[In ''States'' tab?]]&lt;&gt;"ok",  "Not in Home Assistant",
IF(entities[[#This Row],[hidden]]="true",  "Hidden",
IF(entities[[#This Row],[Card]]&lt;&gt;"",
INDEX(cards[name],MATCH(entities[[#This Row],[Card]],cards[object_id],0)),  "Badge / automatic card")))</f>
        <v>Hidden</v>
      </c>
      <c r="W29" t="str">
        <f>IF(entities[[#This Row],[Card]]&lt;&gt;"","group."&amp;entities[[#This Row],[Card]],"")</f>
        <v>group.automation_statron</v>
      </c>
      <c r="AD29"/>
    </row>
    <row r="30" spans="2:30" x14ac:dyDescent="0.25">
      <c r="B30" t="s">
        <v>9</v>
      </c>
      <c r="C30" t="s">
        <v>337</v>
      </c>
      <c r="D30" s="3" t="s">
        <v>243</v>
      </c>
      <c r="J30" s="4" t="str">
        <f>IF(COUNTIF(Table4[Entity],entities[[#This Row],[entity_id]]),"ok","missing from States tab")</f>
        <v>ok</v>
      </c>
      <c r="K30" s="4" t="str">
        <f>entities[[#This Row],[domain]]&amp;"."&amp;entities[[#This Row],[object_id]]</f>
        <v>automation.statron_home_status_from_device_tracker</v>
      </c>
      <c r="L30" s="4">
        <f>IF(entities[[#This Row],[hidden]]&lt;&gt;"",1,"")</f>
        <v>1</v>
      </c>
      <c r="M30" s="4" t="str">
        <f>IF(entities[[#This Row],[friendly_name]]&lt;&gt;"",2,"")</f>
        <v/>
      </c>
      <c r="N30" s="4" t="str">
        <f>IF(entities[[#This Row],[emulated_hue:]]&lt;&gt;"",3,"")</f>
        <v/>
      </c>
      <c r="O30" s="4" t="str">
        <f>IF(entities[[#This Row],[emulated_hue_name: ]]&lt;&gt;"",4,"")</f>
        <v/>
      </c>
      <c r="P30" s="4" t="str">
        <f>IF(entities[[#This Row],[entity_picture]]&lt;&gt;"",5,"")</f>
        <v/>
      </c>
      <c r="Q30" s="4" t="str">
        <f>IF(entities[[#This Row],[icon]]&lt;&gt;"",6,"")</f>
        <v/>
      </c>
      <c r="R30" s="4" t="str">
        <f>CONCATENATE(entities[[#This Row],[1]],entities[[#This Row],[2]],entities[[#This Row],[3]],entities[[#This Row],[4]],entities[[#This Row],[5]],entities[[#This Row],[6]])</f>
        <v>1</v>
      </c>
      <c r="S30" s="4">
        <f>6-COUNTBLANK(entities[[#This Row],[hidden]:[icon]])</f>
        <v>1</v>
      </c>
      <c r="T30" s="4">
        <f>IF(entities[[#This Row],[Num Attributes]]=0,"",
COUNTIFS(entities[Num Attributes],"&gt;0",entities[entity_id],"&lt;="&amp;entities[[#This Row],[entity_id]]))</f>
        <v>19</v>
      </c>
      <c r="U30" t="str">
        <f t="array" ref="U30">IFERROR(INDEX(cards[object_id],SMALL(IF(cards[[1]:[25]]=entities[[#This Row],[entity_id]],ROW(cards[])-7,99^99),1)),"")</f>
        <v>automation_statron</v>
      </c>
      <c r="V30" t="str">
        <f>IF(entities[[#This Row],[In ''States'' tab?]]&lt;&gt;"ok",  "Not in Home Assistant",
IF(entities[[#This Row],[hidden]]="true",  "Hidden",
IF(entities[[#This Row],[Card]]&lt;&gt;"",
INDEX(cards[name],MATCH(entities[[#This Row],[Card]],cards[object_id],0)),  "Badge / automatic card")))</f>
        <v>Hidden</v>
      </c>
      <c r="W30" t="str">
        <f>IF(entities[[#This Row],[Card]]&lt;&gt;"","group."&amp;entities[[#This Row],[Card]],"")</f>
        <v>group.automation_statron</v>
      </c>
      <c r="AD30"/>
    </row>
    <row r="31" spans="2:30" x14ac:dyDescent="0.25">
      <c r="B31" t="s">
        <v>9</v>
      </c>
      <c r="C31" t="s">
        <v>338</v>
      </c>
      <c r="D31" s="3" t="s">
        <v>243</v>
      </c>
      <c r="J31" s="4" t="str">
        <f>IF(COUNTIF(Table4[Entity],entities[[#This Row],[entity_id]]),"ok","missing from States tab")</f>
        <v>ok</v>
      </c>
      <c r="K31" s="4" t="str">
        <f>entities[[#This Row],[domain]]&amp;"."&amp;entities[[#This Row],[object_id]]</f>
        <v>automation.statron_home_status_from_monitor_status</v>
      </c>
      <c r="L31" s="4">
        <f>IF(entities[[#This Row],[hidden]]&lt;&gt;"",1,"")</f>
        <v>1</v>
      </c>
      <c r="M31" s="4" t="str">
        <f>IF(entities[[#This Row],[friendly_name]]&lt;&gt;"",2,"")</f>
        <v/>
      </c>
      <c r="N31" s="4" t="str">
        <f>IF(entities[[#This Row],[emulated_hue:]]&lt;&gt;"",3,"")</f>
        <v/>
      </c>
      <c r="O31" s="4" t="str">
        <f>IF(entities[[#This Row],[emulated_hue_name: ]]&lt;&gt;"",4,"")</f>
        <v/>
      </c>
      <c r="P31" s="4" t="str">
        <f>IF(entities[[#This Row],[entity_picture]]&lt;&gt;"",5,"")</f>
        <v/>
      </c>
      <c r="Q31" s="4" t="str">
        <f>IF(entities[[#This Row],[icon]]&lt;&gt;"",6,"")</f>
        <v/>
      </c>
      <c r="R31" s="4" t="str">
        <f>CONCATENATE(entities[[#This Row],[1]],entities[[#This Row],[2]],entities[[#This Row],[3]],entities[[#This Row],[4]],entities[[#This Row],[5]],entities[[#This Row],[6]])</f>
        <v>1</v>
      </c>
      <c r="S31" s="4">
        <f>6-COUNTBLANK(entities[[#This Row],[hidden]:[icon]])</f>
        <v>1</v>
      </c>
      <c r="T31" s="4">
        <f>IF(entities[[#This Row],[Num Attributes]]=0,"",
COUNTIFS(entities[Num Attributes],"&gt;0",entities[entity_id],"&lt;="&amp;entities[[#This Row],[entity_id]]))</f>
        <v>20</v>
      </c>
      <c r="U31" t="str">
        <f t="array" ref="U31">IFERROR(INDEX(cards[object_id],SMALL(IF(cards[[1]:[25]]=entities[[#This Row],[entity_id]],ROW(cards[])-7,99^99),1)),"")</f>
        <v>automation_statron</v>
      </c>
      <c r="V31" t="str">
        <f>IF(entities[[#This Row],[In ''States'' tab?]]&lt;&gt;"ok",  "Not in Home Assistant",
IF(entities[[#This Row],[hidden]]="true",  "Hidden",
IF(entities[[#This Row],[Card]]&lt;&gt;"",
INDEX(cards[name],MATCH(entities[[#This Row],[Card]],cards[object_id],0)),  "Badge / automatic card")))</f>
        <v>Hidden</v>
      </c>
      <c r="W31" t="str">
        <f>IF(entities[[#This Row],[Card]]&lt;&gt;"","group."&amp;entities[[#This Row],[Card]],"")</f>
        <v>group.automation_statron</v>
      </c>
      <c r="AD31"/>
    </row>
    <row r="32" spans="2:30" x14ac:dyDescent="0.25">
      <c r="B32" t="s">
        <v>9</v>
      </c>
      <c r="C32" t="s">
        <v>698</v>
      </c>
      <c r="D32" s="3" t="s">
        <v>243</v>
      </c>
      <c r="J32" s="4" t="str">
        <f>IF(COUNTIF(Table4[Entity],entities[[#This Row],[entity_id]]),"ok","missing from States tab")</f>
        <v>ok</v>
      </c>
      <c r="K32" s="4" t="str">
        <f>entities[[#This Row],[domain]]&amp;"."&amp;entities[[#This Row],[object_id]]</f>
        <v>automation.statron_tv_status_from_chromecast</v>
      </c>
      <c r="L32" s="4">
        <f>IF(entities[[#This Row],[hidden]]&lt;&gt;"",1,"")</f>
        <v>1</v>
      </c>
      <c r="M32" s="4" t="str">
        <f>IF(entities[[#This Row],[friendly_name]]&lt;&gt;"",2,"")</f>
        <v/>
      </c>
      <c r="N32" s="4" t="str">
        <f>IF(entities[[#This Row],[emulated_hue:]]&lt;&gt;"",3,"")</f>
        <v/>
      </c>
      <c r="O32" s="4" t="str">
        <f>IF(entities[[#This Row],[emulated_hue_name: ]]&lt;&gt;"",4,"")</f>
        <v/>
      </c>
      <c r="P32" s="4" t="str">
        <f>IF(entities[[#This Row],[entity_picture]]&lt;&gt;"",5,"")</f>
        <v/>
      </c>
      <c r="Q32" s="4" t="str">
        <f>IF(entities[[#This Row],[icon]]&lt;&gt;"",6,"")</f>
        <v/>
      </c>
      <c r="R32" s="4" t="str">
        <f>CONCATENATE(entities[[#This Row],[1]],entities[[#This Row],[2]],entities[[#This Row],[3]],entities[[#This Row],[4]],entities[[#This Row],[5]],entities[[#This Row],[6]])</f>
        <v>1</v>
      </c>
      <c r="S32" s="4">
        <f>6-COUNTBLANK(entities[[#This Row],[hidden]:[icon]])</f>
        <v>1</v>
      </c>
      <c r="T32" s="4">
        <f>IF(entities[[#This Row],[Num Attributes]]=0,"",
COUNTIFS(entities[Num Attributes],"&gt;0",entities[entity_id],"&lt;="&amp;entities[[#This Row],[entity_id]]))</f>
        <v>21</v>
      </c>
      <c r="U32" s="4" t="str">
        <f t="array" ref="U32">IFERROR(INDEX(cards[object_id],SMALL(IF(cards[[1]:[25]]=entities[[#This Row],[entity_id]],ROW(cards[])-7,99^99),1)),"")</f>
        <v>automation_statron</v>
      </c>
      <c r="V32" s="4" t="str">
        <f>IF(entities[[#This Row],[In ''States'' tab?]]&lt;&gt;"ok",  "Not in Home Assistant",
IF(entities[[#This Row],[hidden]]="true",  "Hidden",
IF(entities[[#This Row],[Card]]&lt;&gt;"",
INDEX(cards[name],MATCH(entities[[#This Row],[Card]],cards[object_id],0)),  "Badge / automatic card")))</f>
        <v>Hidden</v>
      </c>
      <c r="W32" s="4" t="str">
        <f>IF(entities[[#This Row],[Card]]&lt;&gt;"","group."&amp;entities[[#This Row],[Card]],"")</f>
        <v>group.automation_statron</v>
      </c>
      <c r="AD32"/>
    </row>
    <row r="33" spans="2:30" x14ac:dyDescent="0.25">
      <c r="B33" t="s">
        <v>9</v>
      </c>
      <c r="C33" t="s">
        <v>718</v>
      </c>
      <c r="D33" s="3" t="s">
        <v>243</v>
      </c>
      <c r="J33" s="4" t="str">
        <f>IF(COUNTIF(Table4[Entity],entities[[#This Row],[entity_id]]),"ok","missing from States tab")</f>
        <v>ok</v>
      </c>
      <c r="K33" s="4" t="str">
        <f>entities[[#This Row],[domain]]&amp;"."&amp;entities[[#This Row],[object_id]]</f>
        <v>automation.statvac_vacation_lights_at_sunset_when_vacation_mode_on</v>
      </c>
      <c r="L33" s="4">
        <f>IF(entities[[#This Row],[hidden]]&lt;&gt;"",1,"")</f>
        <v>1</v>
      </c>
      <c r="M33" s="4" t="str">
        <f>IF(entities[[#This Row],[friendly_name]]&lt;&gt;"",2,"")</f>
        <v/>
      </c>
      <c r="N33" s="4" t="str">
        <f>IF(entities[[#This Row],[emulated_hue:]]&lt;&gt;"",3,"")</f>
        <v/>
      </c>
      <c r="O33" s="4" t="str">
        <f>IF(entities[[#This Row],[emulated_hue_name: ]]&lt;&gt;"",4,"")</f>
        <v/>
      </c>
      <c r="P33" s="4" t="str">
        <f>IF(entities[[#This Row],[entity_picture]]&lt;&gt;"",5,"")</f>
        <v/>
      </c>
      <c r="Q33" s="4" t="str">
        <f>IF(entities[[#This Row],[icon]]&lt;&gt;"",6,"")</f>
        <v/>
      </c>
      <c r="R33" s="4" t="str">
        <f>CONCATENATE(entities[[#This Row],[1]],entities[[#This Row],[2]],entities[[#This Row],[3]],entities[[#This Row],[4]],entities[[#This Row],[5]],entities[[#This Row],[6]])</f>
        <v>1</v>
      </c>
      <c r="S33" s="4">
        <f>6-COUNTBLANK(entities[[#This Row],[hidden]:[icon]])</f>
        <v>1</v>
      </c>
      <c r="T33" s="4">
        <f>IF(entities[[#This Row],[Num Attributes]]=0,"",
COUNTIFS(entities[Num Attributes],"&gt;0",entities[entity_id],"&lt;="&amp;entities[[#This Row],[entity_id]]))</f>
        <v>22</v>
      </c>
      <c r="U33" s="4" t="str">
        <f t="array" ref="U33">IFERROR(INDEX(cards[object_id],SMALL(IF(cards[[1]:[25]]=entities[[#This Row],[entity_id]],ROW(cards[])-7,99^99),1)),"")</f>
        <v/>
      </c>
      <c r="V33" s="4" t="str">
        <f>IF(entities[[#This Row],[In ''States'' tab?]]&lt;&gt;"ok",  "Not in Home Assistant",
IF(entities[[#This Row],[hidden]]="true",  "Hidden",
IF(entities[[#This Row],[Card]]&lt;&gt;"",
INDEX(cards[name],MATCH(entities[[#This Row],[Card]],cards[object_id],0)),  "Badge / automatic card")))</f>
        <v>Hidden</v>
      </c>
      <c r="W33" s="4" t="str">
        <f>IF(entities[[#This Row],[Card]]&lt;&gt;"","group."&amp;entities[[#This Row],[Card]],"")</f>
        <v/>
      </c>
      <c r="AD33"/>
    </row>
    <row r="34" spans="2:30" x14ac:dyDescent="0.25">
      <c r="B34" t="s">
        <v>9</v>
      </c>
      <c r="C34" t="s">
        <v>339</v>
      </c>
      <c r="D34" s="3" t="s">
        <v>243</v>
      </c>
      <c r="J34" s="4" t="str">
        <f>IF(COUNTIF(Table4[Entity],entities[[#This Row],[entity_id]]),"ok","missing from States tab")</f>
        <v>ok</v>
      </c>
      <c r="K34" s="4" t="str">
        <f>entities[[#This Row],[domain]]&amp;"."&amp;entities[[#This Row],[object_id]]</f>
        <v>automation.statvac_vacation_mode_off_when_home</v>
      </c>
      <c r="L34" s="4">
        <f>IF(entities[[#This Row],[hidden]]&lt;&gt;"",1,"")</f>
        <v>1</v>
      </c>
      <c r="M34" s="4" t="str">
        <f>IF(entities[[#This Row],[friendly_name]]&lt;&gt;"",2,"")</f>
        <v/>
      </c>
      <c r="N34" s="4" t="str">
        <f>IF(entities[[#This Row],[emulated_hue:]]&lt;&gt;"",3,"")</f>
        <v/>
      </c>
      <c r="O34" s="4" t="str">
        <f>IF(entities[[#This Row],[emulated_hue_name: ]]&lt;&gt;"",4,"")</f>
        <v/>
      </c>
      <c r="P34" s="4" t="str">
        <f>IF(entities[[#This Row],[entity_picture]]&lt;&gt;"",5,"")</f>
        <v/>
      </c>
      <c r="Q34" s="4" t="str">
        <f>IF(entities[[#This Row],[icon]]&lt;&gt;"",6,"")</f>
        <v/>
      </c>
      <c r="R34" s="4" t="str">
        <f>CONCATENATE(entities[[#This Row],[1]],entities[[#This Row],[2]],entities[[#This Row],[3]],entities[[#This Row],[4]],entities[[#This Row],[5]],entities[[#This Row],[6]])</f>
        <v>1</v>
      </c>
      <c r="S34" s="4">
        <f>6-COUNTBLANK(entities[[#This Row],[hidden]:[icon]])</f>
        <v>1</v>
      </c>
      <c r="T34" s="4">
        <f>IF(entities[[#This Row],[Num Attributes]]=0,"",
COUNTIFS(entities[Num Attributes],"&gt;0",entities[entity_id],"&lt;="&amp;entities[[#This Row],[entity_id]]))</f>
        <v>23</v>
      </c>
      <c r="U34" t="str">
        <f t="array" ref="U34">IFERROR(INDEX(cards[object_id],SMALL(IF(cards[[1]:[25]]=entities[[#This Row],[entity_id]],ROW(cards[])-7,99^99),1)),"")</f>
        <v>automation_statvac</v>
      </c>
      <c r="V34" t="str">
        <f>IF(entities[[#This Row],[In ''States'' tab?]]&lt;&gt;"ok",  "Not in Home Assistant",
IF(entities[[#This Row],[hidden]]="true",  "Hidden",
IF(entities[[#This Row],[Card]]&lt;&gt;"",
INDEX(cards[name],MATCH(entities[[#This Row],[Card]],cards[object_id],0)),  "Badge / automatic card")))</f>
        <v>Hidden</v>
      </c>
      <c r="W34" t="str">
        <f>IF(entities[[#This Row],[Card]]&lt;&gt;"","group."&amp;entities[[#This Row],[Card]],"")</f>
        <v>group.automation_statvac</v>
      </c>
      <c r="AD34"/>
    </row>
    <row r="35" spans="2:30" x14ac:dyDescent="0.25">
      <c r="B35" t="s">
        <v>9</v>
      </c>
      <c r="C35" t="s">
        <v>340</v>
      </c>
      <c r="D35" s="3" t="s">
        <v>243</v>
      </c>
      <c r="F35" s="7"/>
      <c r="J35" s="4" t="str">
        <f>IF(COUNTIF(Table4[Entity],entities[[#This Row],[entity_id]]),"ok","missing from States tab")</f>
        <v>ok</v>
      </c>
      <c r="K35" s="4" t="str">
        <f>entities[[#This Row],[domain]]&amp;"."&amp;entities[[#This Row],[object_id]]</f>
        <v>automation.statvac_vacation_mode_on_when_gone_24_hours</v>
      </c>
      <c r="L35" s="4">
        <f>IF(entities[[#This Row],[hidden]]&lt;&gt;"",1,"")</f>
        <v>1</v>
      </c>
      <c r="M35" s="4" t="str">
        <f>IF(entities[[#This Row],[friendly_name]]&lt;&gt;"",2,"")</f>
        <v/>
      </c>
      <c r="N35" s="4" t="str">
        <f>IF(entities[[#This Row],[emulated_hue:]]&lt;&gt;"",3,"")</f>
        <v/>
      </c>
      <c r="O35" s="4" t="str">
        <f>IF(entities[[#This Row],[emulated_hue_name: ]]&lt;&gt;"",4,"")</f>
        <v/>
      </c>
      <c r="P35" s="4" t="str">
        <f>IF(entities[[#This Row],[entity_picture]]&lt;&gt;"",5,"")</f>
        <v/>
      </c>
      <c r="Q35" s="4" t="str">
        <f>IF(entities[[#This Row],[icon]]&lt;&gt;"",6,"")</f>
        <v/>
      </c>
      <c r="R35" s="4" t="str">
        <f>CONCATENATE(entities[[#This Row],[1]],entities[[#This Row],[2]],entities[[#This Row],[3]],entities[[#This Row],[4]],entities[[#This Row],[5]],entities[[#This Row],[6]])</f>
        <v>1</v>
      </c>
      <c r="S35" s="4">
        <f>6-COUNTBLANK(entities[[#This Row],[hidden]:[icon]])</f>
        <v>1</v>
      </c>
      <c r="T35" s="4">
        <f>IF(entities[[#This Row],[Num Attributes]]=0,"",
COUNTIFS(entities[Num Attributes],"&gt;0",entities[entity_id],"&lt;="&amp;entities[[#This Row],[entity_id]]))</f>
        <v>24</v>
      </c>
      <c r="U35" t="str">
        <f t="array" ref="U35">IFERROR(INDEX(cards[object_id],SMALL(IF(cards[[1]:[25]]=entities[[#This Row],[entity_id]],ROW(cards[])-7,99^99),1)),"")</f>
        <v>automation_statvac</v>
      </c>
      <c r="V35" t="str">
        <f>IF(entities[[#This Row],[In ''States'' tab?]]&lt;&gt;"ok",  "Not in Home Assistant",
IF(entities[[#This Row],[hidden]]="true",  "Hidden",
IF(entities[[#This Row],[Card]]&lt;&gt;"",
INDEX(cards[name],MATCH(entities[[#This Row],[Card]],cards[object_id],0)),  "Badge / automatic card")))</f>
        <v>Hidden</v>
      </c>
      <c r="W35" t="str">
        <f>IF(entities[[#This Row],[Card]]&lt;&gt;"","group."&amp;entities[[#This Row],[Card]],"")</f>
        <v>group.automation_statvac</v>
      </c>
      <c r="AD35"/>
    </row>
    <row r="36" spans="2:30" x14ac:dyDescent="0.25">
      <c r="B36" t="s">
        <v>158</v>
      </c>
      <c r="C36" t="s">
        <v>709</v>
      </c>
      <c r="D36" s="3" t="s">
        <v>243</v>
      </c>
      <c r="J36" s="4" t="str">
        <f>IF(COUNTIF(Table4[Entity],entities[[#This Row],[entity_id]]),"ok","missing from States tab")</f>
        <v>ok</v>
      </c>
      <c r="K36" t="str">
        <f>entities[[#This Row],[domain]]&amp;"."&amp;entities[[#This Row],[object_id]]</f>
        <v>binary_sensor.humvee_monitor_status</v>
      </c>
      <c r="L36" s="4">
        <f>IF(entities[[#This Row],[hidden]]&lt;&gt;"",1,"")</f>
        <v>1</v>
      </c>
      <c r="M36" s="4" t="str">
        <f>IF(entities[[#This Row],[friendly_name]]&lt;&gt;"",2,"")</f>
        <v/>
      </c>
      <c r="N36" s="4" t="str">
        <f>IF(entities[[#This Row],[emulated_hue:]]&lt;&gt;"",3,"")</f>
        <v/>
      </c>
      <c r="O36" s="4" t="str">
        <f>IF(entities[[#This Row],[emulated_hue_name: ]]&lt;&gt;"",4,"")</f>
        <v/>
      </c>
      <c r="P36" s="4" t="str">
        <f>IF(entities[[#This Row],[entity_picture]]&lt;&gt;"",5,"")</f>
        <v/>
      </c>
      <c r="Q36" s="4" t="str">
        <f>IF(entities[[#This Row],[icon]]&lt;&gt;"",6,"")</f>
        <v/>
      </c>
      <c r="R36" s="4" t="str">
        <f>CONCATENATE(entities[[#This Row],[1]],entities[[#This Row],[2]],entities[[#This Row],[3]],entities[[#This Row],[4]],entities[[#This Row],[5]],entities[[#This Row],[6]])</f>
        <v>1</v>
      </c>
      <c r="S36">
        <f>6-COUNTBLANK(entities[[#This Row],[hidden]:[icon]])</f>
        <v>1</v>
      </c>
      <c r="T36">
        <f>IF(entities[[#This Row],[Num Attributes]]=0,"",
COUNTIFS(entities[Num Attributes],"&gt;0",entities[entity_id],"&lt;="&amp;entities[[#This Row],[entity_id]]))</f>
        <v>25</v>
      </c>
      <c r="U36" t="str">
        <f t="array" ref="U36">IFERROR(INDEX(cards[object_id],SMALL(IF(cards[[1]:[25]]=entities[[#This Row],[entity_id]],ROW(cards[])-7,99^99),1)),"")</f>
        <v/>
      </c>
      <c r="V36" t="str">
        <f>IF(entities[[#This Row],[In ''States'' tab?]]&lt;&gt;"ok",  "Not in Home Assistant",
IF(entities[[#This Row],[hidden]]="true",  "Hidden",
IF(entities[[#This Row],[Card]]&lt;&gt;"",
INDEX(cards[name],MATCH(entities[[#This Row],[Card]],cards[object_id],0)),  "Badge / automatic card")))</f>
        <v>Hidden</v>
      </c>
      <c r="W36" t="str">
        <f>IF(entities[[#This Row],[Card]]&lt;&gt;"","group."&amp;entities[[#This Row],[Card]],"")</f>
        <v/>
      </c>
      <c r="AD36"/>
    </row>
    <row r="37" spans="2:30" x14ac:dyDescent="0.25">
      <c r="B37" t="s">
        <v>158</v>
      </c>
      <c r="C37" t="s">
        <v>681</v>
      </c>
      <c r="E37" t="s">
        <v>244</v>
      </c>
      <c r="I37" t="s">
        <v>245</v>
      </c>
      <c r="J37" s="4" t="str">
        <f>IF(COUNTIF(Table4[Entity],entities[[#This Row],[entity_id]]),"ok","missing from States tab")</f>
        <v>ok</v>
      </c>
      <c r="K37" t="str">
        <f>entities[[#This Row],[domain]]&amp;"."&amp;entities[[#This Row],[object_id]]</f>
        <v>binary_sensor.multi_sensor_4</v>
      </c>
      <c r="L37" s="4" t="str">
        <f>IF(entities[[#This Row],[hidden]]&lt;&gt;"",1,"")</f>
        <v/>
      </c>
      <c r="M37" s="4">
        <f>IF(entities[[#This Row],[friendly_name]]&lt;&gt;"",2,"")</f>
        <v>2</v>
      </c>
      <c r="N37" s="4" t="str">
        <f>IF(entities[[#This Row],[emulated_hue:]]&lt;&gt;"",3,"")</f>
        <v/>
      </c>
      <c r="O37" s="4" t="str">
        <f>IF(entities[[#This Row],[emulated_hue_name: ]]&lt;&gt;"",4,"")</f>
        <v/>
      </c>
      <c r="P37" s="4" t="str">
        <f>IF(entities[[#This Row],[entity_picture]]&lt;&gt;"",5,"")</f>
        <v/>
      </c>
      <c r="Q37" s="4">
        <f>IF(entities[[#This Row],[icon]]&lt;&gt;"",6,"")</f>
        <v>6</v>
      </c>
      <c r="R37" s="4" t="str">
        <f>CONCATENATE(entities[[#This Row],[1]],entities[[#This Row],[2]],entities[[#This Row],[3]],entities[[#This Row],[4]],entities[[#This Row],[5]],entities[[#This Row],[6]])</f>
        <v>26</v>
      </c>
      <c r="S37">
        <f>6-COUNTBLANK(entities[[#This Row],[hidden]:[icon]])</f>
        <v>2</v>
      </c>
      <c r="T37">
        <f>IF(entities[[#This Row],[Num Attributes]]=0,"",
COUNTIFS(entities[Num Attributes],"&gt;0",entities[entity_id],"&lt;="&amp;entities[[#This Row],[entity_id]]))</f>
        <v>26</v>
      </c>
      <c r="U37" t="str">
        <f t="array" ref="U37">IFERROR(INDEX(cards[object_id],SMALL(IF(cards[[1]:[25]]=entities[[#This Row],[entity_id]],ROW(cards[])-7,99^99),1)),"")</f>
        <v>environment_living_room</v>
      </c>
      <c r="V37" t="str">
        <f>IF(entities[[#This Row],[In ''States'' tab?]]&lt;&gt;"ok",  "Not in Home Assistant",
IF(entities[[#This Row],[hidden]]="true",  "Hidden",
IF(entities[[#This Row],[Card]]&lt;&gt;"",
INDEX(cards[name],MATCH(entities[[#This Row],[Card]],cards[object_id],0)),  "Badge / automatic card")))</f>
        <v>Environment || Living Room</v>
      </c>
      <c r="W37" t="str">
        <f>IF(entities[[#This Row],[Card]]&lt;&gt;"","group."&amp;entities[[#This Row],[Card]],"")</f>
        <v>group.environment_living_room</v>
      </c>
      <c r="AD37"/>
    </row>
    <row r="38" spans="2:30" x14ac:dyDescent="0.25">
      <c r="B38" t="s">
        <v>158</v>
      </c>
      <c r="C38" t="s">
        <v>663</v>
      </c>
      <c r="D38" s="3" t="s">
        <v>243</v>
      </c>
      <c r="J38" s="4" t="str">
        <f>IF(COUNTIF(Table4[Entity],entities[[#This Row],[entity_id]]),"ok","missing from States tab")</f>
        <v>ok</v>
      </c>
      <c r="K38" s="4" t="str">
        <f>entities[[#This Row],[domain]]&amp;"."&amp;entities[[#This Row],[object_id]]</f>
        <v>binary_sensor.tv_status</v>
      </c>
      <c r="L38" s="4">
        <f>IF(entities[[#This Row],[hidden]]&lt;&gt;"",1,"")</f>
        <v>1</v>
      </c>
      <c r="M38" s="4" t="str">
        <f>IF(entities[[#This Row],[friendly_name]]&lt;&gt;"",2,"")</f>
        <v/>
      </c>
      <c r="N38" s="4" t="str">
        <f>IF(entities[[#This Row],[emulated_hue:]]&lt;&gt;"",3,"")</f>
        <v/>
      </c>
      <c r="O38" s="4" t="str">
        <f>IF(entities[[#This Row],[emulated_hue_name: ]]&lt;&gt;"",4,"")</f>
        <v/>
      </c>
      <c r="P38" s="4" t="str">
        <f>IF(entities[[#This Row],[entity_picture]]&lt;&gt;"",5,"")</f>
        <v/>
      </c>
      <c r="Q38" s="4" t="str">
        <f>IF(entities[[#This Row],[icon]]&lt;&gt;"",6,"")</f>
        <v/>
      </c>
      <c r="R38" s="4" t="str">
        <f>CONCATENATE(entities[[#This Row],[1]],entities[[#This Row],[2]],entities[[#This Row],[3]],entities[[#This Row],[4]],entities[[#This Row],[5]],entities[[#This Row],[6]])</f>
        <v>1</v>
      </c>
      <c r="S38" s="4">
        <f>6-COUNTBLANK(entities[[#This Row],[hidden]:[icon]])</f>
        <v>1</v>
      </c>
      <c r="T38" s="4">
        <f>IF(entities[[#This Row],[Num Attributes]]=0,"",
COUNTIFS(entities[Num Attributes],"&gt;0",entities[entity_id],"&lt;="&amp;entities[[#This Row],[entity_id]]))</f>
        <v>27</v>
      </c>
      <c r="U38" s="4" t="str">
        <f t="array" ref="U38">IFERROR(INDEX(cards[object_id],SMALL(IF(cards[[1]:[25]]=entities[[#This Row],[entity_id]],ROW(cards[])-7,99^99),1)),"")</f>
        <v/>
      </c>
      <c r="V38" s="4" t="str">
        <f>IF(entities[[#This Row],[In ''States'' tab?]]&lt;&gt;"ok",  "Not in Home Assistant",
IF(entities[[#This Row],[hidden]]="true",  "Hidden",
IF(entities[[#This Row],[Card]]&lt;&gt;"",
INDEX(cards[name],MATCH(entities[[#This Row],[Card]],cards[object_id],0)),  "Badge / automatic card")))</f>
        <v>Hidden</v>
      </c>
      <c r="W38" s="4" t="str">
        <f>IF(entities[[#This Row],[Card]]&lt;&gt;"","group."&amp;entities[[#This Row],[Card]],"")</f>
        <v/>
      </c>
      <c r="AD38"/>
    </row>
    <row r="39" spans="2:30" x14ac:dyDescent="0.25">
      <c r="B39" t="s">
        <v>159</v>
      </c>
      <c r="C39" t="s">
        <v>649</v>
      </c>
      <c r="I39" t="s">
        <v>258</v>
      </c>
      <c r="J39" s="4" t="str">
        <f>IF(COUNTIF(Table4[Entity],entities[[#This Row],[entity_id]]),"ok","missing from States tab")</f>
        <v>ok</v>
      </c>
      <c r="K39" t="str">
        <f>entities[[#This Row],[domain]]&amp;"."&amp;entities[[#This Row],[object_id]]</f>
        <v>device_tracker.bazooka</v>
      </c>
      <c r="L39" s="4" t="str">
        <f>IF(entities[[#This Row],[hidden]]&lt;&gt;"",1,"")</f>
        <v/>
      </c>
      <c r="M39" s="4" t="str">
        <f>IF(entities[[#This Row],[friendly_name]]&lt;&gt;"",2,"")</f>
        <v/>
      </c>
      <c r="N39" s="4" t="str">
        <f>IF(entities[[#This Row],[emulated_hue:]]&lt;&gt;"",3,"")</f>
        <v/>
      </c>
      <c r="O39" s="4" t="str">
        <f>IF(entities[[#This Row],[emulated_hue_name: ]]&lt;&gt;"",4,"")</f>
        <v/>
      </c>
      <c r="P39" s="4" t="str">
        <f>IF(entities[[#This Row],[entity_picture]]&lt;&gt;"",5,"")</f>
        <v/>
      </c>
      <c r="Q39" s="4">
        <f>IF(entities[[#This Row],[icon]]&lt;&gt;"",6,"")</f>
        <v>6</v>
      </c>
      <c r="R39" s="4" t="str">
        <f>CONCATENATE(entities[[#This Row],[1]],entities[[#This Row],[2]],entities[[#This Row],[3]],entities[[#This Row],[4]],entities[[#This Row],[5]],entities[[#This Row],[6]])</f>
        <v>6</v>
      </c>
      <c r="S39">
        <f>6-COUNTBLANK(entities[[#This Row],[hidden]:[icon]])</f>
        <v>1</v>
      </c>
      <c r="T39">
        <f>IF(entities[[#This Row],[Num Attributes]]=0,"",
COUNTIFS(entities[Num Attributes],"&gt;0",entities[entity_id],"&lt;="&amp;entities[[#This Row],[entity_id]]))</f>
        <v>28</v>
      </c>
      <c r="U39" t="str">
        <f t="array" ref="U39">IFERROR(INDEX(cards[object_id],SMALL(IF(cards[[1]:[25]]=entities[[#This Row],[entity_id]],ROW(cards[])-7,99^99),1)),"")</f>
        <v>personal_devices</v>
      </c>
      <c r="V39" t="str">
        <f>IF(entities[[#This Row],[In ''States'' tab?]]&lt;&gt;"ok",  "Not in Home Assistant",
IF(entities[[#This Row],[hidden]]="true",  "Hidden",
IF(entities[[#This Row],[Card]]&lt;&gt;"",
INDEX(cards[name],MATCH(entities[[#This Row],[Card]],cards[object_id],0)),  "Badge / automatic card")))</f>
        <v>LAN || Computers</v>
      </c>
      <c r="W39" t="str">
        <f>IF(entities[[#This Row],[Card]]&lt;&gt;"","group."&amp;entities[[#This Row],[Card]],"")</f>
        <v>group.personal_devices</v>
      </c>
      <c r="AD39"/>
    </row>
    <row r="40" spans="2:30" x14ac:dyDescent="0.25">
      <c r="B40" t="s">
        <v>159</v>
      </c>
      <c r="C40" t="s">
        <v>160</v>
      </c>
      <c r="I40" t="s">
        <v>247</v>
      </c>
      <c r="J40" s="4" t="str">
        <f>IF(COUNTIF(Table4[Entity],entities[[#This Row],[entity_id]]),"ok","missing from States tab")</f>
        <v>ok</v>
      </c>
      <c r="K40" t="str">
        <f>entities[[#This Row],[domain]]&amp;"."&amp;entities[[#This Row],[object_id]]</f>
        <v>device_tracker.carolyn_phone</v>
      </c>
      <c r="L40" s="4" t="str">
        <f>IF(entities[[#This Row],[hidden]]&lt;&gt;"",1,"")</f>
        <v/>
      </c>
      <c r="M40" s="4" t="str">
        <f>IF(entities[[#This Row],[friendly_name]]&lt;&gt;"",2,"")</f>
        <v/>
      </c>
      <c r="N40" s="4" t="str">
        <f>IF(entities[[#This Row],[emulated_hue:]]&lt;&gt;"",3,"")</f>
        <v/>
      </c>
      <c r="O40" s="4" t="str">
        <f>IF(entities[[#This Row],[emulated_hue_name: ]]&lt;&gt;"",4,"")</f>
        <v/>
      </c>
      <c r="P40" s="4" t="str">
        <f>IF(entities[[#This Row],[entity_picture]]&lt;&gt;"",5,"")</f>
        <v/>
      </c>
      <c r="Q40" s="4">
        <f>IF(entities[[#This Row],[icon]]&lt;&gt;"",6,"")</f>
        <v>6</v>
      </c>
      <c r="R40" s="4" t="str">
        <f>CONCATENATE(entities[[#This Row],[1]],entities[[#This Row],[2]],entities[[#This Row],[3]],entities[[#This Row],[4]],entities[[#This Row],[5]],entities[[#This Row],[6]])</f>
        <v>6</v>
      </c>
      <c r="S40">
        <f>6-COUNTBLANK(entities[[#This Row],[hidden]:[icon]])</f>
        <v>1</v>
      </c>
      <c r="T40">
        <f>IF(entities[[#This Row],[Num Attributes]]=0,"",
COUNTIFS(entities[Num Attributes],"&gt;0",entities[entity_id],"&lt;="&amp;entities[[#This Row],[entity_id]]))</f>
        <v>29</v>
      </c>
      <c r="U40" t="str">
        <f t="array" ref="U40">IFERROR(INDEX(cards[object_id],SMALL(IF(cards[[1]:[25]]=entities[[#This Row],[entity_id]],ROW(cards[])-7,99^99),1)),"")</f>
        <v>phones</v>
      </c>
      <c r="V40" t="str">
        <f>IF(entities[[#This Row],[In ''States'' tab?]]&lt;&gt;"ok",  "Not in Home Assistant",
IF(entities[[#This Row],[hidden]]="true",  "Hidden",
IF(entities[[#This Row],[Card]]&lt;&gt;"",
INDEX(cards[name],MATCH(entities[[#This Row],[Card]],cards[object_id],0)),  "Badge / automatic card")))</f>
        <v>LAN || Phones</v>
      </c>
      <c r="W40" t="str">
        <f>IF(entities[[#This Row],[Card]]&lt;&gt;"","group."&amp;entities[[#This Row],[Card]],"")</f>
        <v>group.phones</v>
      </c>
      <c r="AD40"/>
    </row>
    <row r="41" spans="2:30" x14ac:dyDescent="0.25">
      <c r="B41" t="s">
        <v>159</v>
      </c>
      <c r="C41" t="s">
        <v>161</v>
      </c>
      <c r="J41" s="4" t="str">
        <f>IF(COUNTIF(Table4[Entity],entities[[#This Row],[entity_id]]),"ok","missing from States tab")</f>
        <v>ok</v>
      </c>
      <c r="K41" t="str">
        <f>entities[[#This Row],[domain]]&amp;"."&amp;entities[[#This Row],[object_id]]</f>
        <v>device_tracker.carolyn_smbp</v>
      </c>
      <c r="L41" s="4" t="str">
        <f>IF(entities[[#This Row],[hidden]]&lt;&gt;"",1,"")</f>
        <v/>
      </c>
      <c r="M41" s="4" t="str">
        <f>IF(entities[[#This Row],[friendly_name]]&lt;&gt;"",2,"")</f>
        <v/>
      </c>
      <c r="N41" s="4" t="str">
        <f>IF(entities[[#This Row],[emulated_hue:]]&lt;&gt;"",3,"")</f>
        <v/>
      </c>
      <c r="O41" s="4" t="str">
        <f>IF(entities[[#This Row],[emulated_hue_name: ]]&lt;&gt;"",4,"")</f>
        <v/>
      </c>
      <c r="P41" s="4" t="str">
        <f>IF(entities[[#This Row],[entity_picture]]&lt;&gt;"",5,"")</f>
        <v/>
      </c>
      <c r="Q41" s="4" t="str">
        <f>IF(entities[[#This Row],[icon]]&lt;&gt;"",6,"")</f>
        <v/>
      </c>
      <c r="R41" s="4" t="str">
        <f>CONCATENATE(entities[[#This Row],[1]],entities[[#This Row],[2]],entities[[#This Row],[3]],entities[[#This Row],[4]],entities[[#This Row],[5]],entities[[#This Row],[6]])</f>
        <v/>
      </c>
      <c r="S41">
        <f>6-COUNTBLANK(entities[[#This Row],[hidden]:[icon]])</f>
        <v>0</v>
      </c>
      <c r="T41" t="str">
        <f>IF(entities[[#This Row],[Num Attributes]]=0,"",
COUNTIFS(entities[Num Attributes],"&gt;0",entities[entity_id],"&lt;="&amp;entities[[#This Row],[entity_id]]))</f>
        <v/>
      </c>
      <c r="U41" t="str">
        <f t="array" ref="U41">IFERROR(INDEX(cards[object_id],SMALL(IF(cards[[1]:[25]]=entities[[#This Row],[entity_id]],ROW(cards[])-7,99^99),1)),"")</f>
        <v/>
      </c>
      <c r="V41" t="str">
        <f>IF(entities[[#This Row],[In ''States'' tab?]]&lt;&gt;"ok",  "Not in Home Assistant",
IF(entities[[#This Row],[hidden]]="true",  "Hidden",
IF(entities[[#This Row],[Card]]&lt;&gt;"",
INDEX(cards[name],MATCH(entities[[#This Row],[Card]],cards[object_id],0)),  "Badge / automatic card")))</f>
        <v>Badge / automatic card</v>
      </c>
      <c r="W41" t="str">
        <f>IF(entities[[#This Row],[Card]]&lt;&gt;"","group."&amp;entities[[#This Row],[Card]],"")</f>
        <v/>
      </c>
      <c r="AD41"/>
    </row>
    <row r="42" spans="2:30" x14ac:dyDescent="0.25">
      <c r="B42" t="s">
        <v>159</v>
      </c>
      <c r="C42" t="s">
        <v>162</v>
      </c>
      <c r="I42" t="s">
        <v>248</v>
      </c>
      <c r="J42" s="4" t="str">
        <f>IF(COUNTIF(Table4[Entity],entities[[#This Row],[entity_id]]),"ok","missing from States tab")</f>
        <v>ok</v>
      </c>
      <c r="K42" t="str">
        <f>entities[[#This Row],[domain]]&amp;"."&amp;entities[[#This Row],[object_id]]</f>
        <v>device_tracker.carolyn_tablet</v>
      </c>
      <c r="L42" s="4" t="str">
        <f>IF(entities[[#This Row],[hidden]]&lt;&gt;"",1,"")</f>
        <v/>
      </c>
      <c r="M42" s="4" t="str">
        <f>IF(entities[[#This Row],[friendly_name]]&lt;&gt;"",2,"")</f>
        <v/>
      </c>
      <c r="N42" s="4" t="str">
        <f>IF(entities[[#This Row],[emulated_hue:]]&lt;&gt;"",3,"")</f>
        <v/>
      </c>
      <c r="O42" s="4" t="str">
        <f>IF(entities[[#This Row],[emulated_hue_name: ]]&lt;&gt;"",4,"")</f>
        <v/>
      </c>
      <c r="P42" s="4" t="str">
        <f>IF(entities[[#This Row],[entity_picture]]&lt;&gt;"",5,"")</f>
        <v/>
      </c>
      <c r="Q42" s="4">
        <f>IF(entities[[#This Row],[icon]]&lt;&gt;"",6,"")</f>
        <v>6</v>
      </c>
      <c r="R42" s="4" t="str">
        <f>CONCATENATE(entities[[#This Row],[1]],entities[[#This Row],[2]],entities[[#This Row],[3]],entities[[#This Row],[4]],entities[[#This Row],[5]],entities[[#This Row],[6]])</f>
        <v>6</v>
      </c>
      <c r="S42">
        <f>6-COUNTBLANK(entities[[#This Row],[hidden]:[icon]])</f>
        <v>1</v>
      </c>
      <c r="T42">
        <f>IF(entities[[#This Row],[Num Attributes]]=0,"",
COUNTIFS(entities[Num Attributes],"&gt;0",entities[entity_id],"&lt;="&amp;entities[[#This Row],[entity_id]]))</f>
        <v>30</v>
      </c>
      <c r="U42" t="str">
        <f t="array" ref="U42">IFERROR(INDEX(cards[object_id],SMALL(IF(cards[[1]:[25]]=entities[[#This Row],[entity_id]],ROW(cards[])-7,99^99),1)),"")</f>
        <v/>
      </c>
      <c r="V42" t="str">
        <f>IF(entities[[#This Row],[In ''States'' tab?]]&lt;&gt;"ok",  "Not in Home Assistant",
IF(entities[[#This Row],[hidden]]="true",  "Hidden",
IF(entities[[#This Row],[Card]]&lt;&gt;"",
INDEX(cards[name],MATCH(entities[[#This Row],[Card]],cards[object_id],0)),  "Badge / automatic card")))</f>
        <v>Badge / automatic card</v>
      </c>
      <c r="W42" t="str">
        <f>IF(entities[[#This Row],[Card]]&lt;&gt;"","group."&amp;entities[[#This Row],[Card]],"")</f>
        <v/>
      </c>
      <c r="AD42"/>
    </row>
    <row r="43" spans="2:30" x14ac:dyDescent="0.25">
      <c r="B43" t="s">
        <v>159</v>
      </c>
      <c r="C43" t="s">
        <v>163</v>
      </c>
      <c r="J43" s="4" t="str">
        <f>IF(COUNTIF(Table4[Entity],entities[[#This Row],[entity_id]]),"ok","missing from States tab")</f>
        <v>ok</v>
      </c>
      <c r="K43" t="str">
        <f>entities[[#This Row],[domain]]&amp;"."&amp;entities[[#This Row],[object_id]]</f>
        <v>device_tracker.carolyn_watch</v>
      </c>
      <c r="L43" s="4" t="str">
        <f>IF(entities[[#This Row],[hidden]]&lt;&gt;"",1,"")</f>
        <v/>
      </c>
      <c r="M43" s="4" t="str">
        <f>IF(entities[[#This Row],[friendly_name]]&lt;&gt;"",2,"")</f>
        <v/>
      </c>
      <c r="N43" s="4" t="str">
        <f>IF(entities[[#This Row],[emulated_hue:]]&lt;&gt;"",3,"")</f>
        <v/>
      </c>
      <c r="O43" s="4" t="str">
        <f>IF(entities[[#This Row],[emulated_hue_name: ]]&lt;&gt;"",4,"")</f>
        <v/>
      </c>
      <c r="P43" s="4" t="str">
        <f>IF(entities[[#This Row],[entity_picture]]&lt;&gt;"",5,"")</f>
        <v/>
      </c>
      <c r="Q43" s="4" t="str">
        <f>IF(entities[[#This Row],[icon]]&lt;&gt;"",6,"")</f>
        <v/>
      </c>
      <c r="R43" s="4" t="str">
        <f>CONCATENATE(entities[[#This Row],[1]],entities[[#This Row],[2]],entities[[#This Row],[3]],entities[[#This Row],[4]],entities[[#This Row],[5]],entities[[#This Row],[6]])</f>
        <v/>
      </c>
      <c r="S43">
        <f>6-COUNTBLANK(entities[[#This Row],[hidden]:[icon]])</f>
        <v>0</v>
      </c>
      <c r="T43" t="str">
        <f>IF(entities[[#This Row],[Num Attributes]]=0,"",
COUNTIFS(entities[Num Attributes],"&gt;0",entities[entity_id],"&lt;="&amp;entities[[#This Row],[entity_id]]))</f>
        <v/>
      </c>
      <c r="U43" t="str">
        <f t="array" ref="U43">IFERROR(INDEX(cards[object_id],SMALL(IF(cards[[1]:[25]]=entities[[#This Row],[entity_id]],ROW(cards[])-7,99^99),1)),"")</f>
        <v/>
      </c>
      <c r="V43" t="str">
        <f>IF(entities[[#This Row],[In ''States'' tab?]]&lt;&gt;"ok",  "Not in Home Assistant",
IF(entities[[#This Row],[hidden]]="true",  "Hidden",
IF(entities[[#This Row],[Card]]&lt;&gt;"",
INDEX(cards[name],MATCH(entities[[#This Row],[Card]],cards[object_id],0)),  "Badge / automatic card")))</f>
        <v>Badge / automatic card</v>
      </c>
      <c r="W43" t="str">
        <f>IF(entities[[#This Row],[Card]]&lt;&gt;"","group."&amp;entities[[#This Row],[Card]],"")</f>
        <v/>
      </c>
      <c r="AD43"/>
    </row>
    <row r="44" spans="2:30" x14ac:dyDescent="0.25">
      <c r="B44" t="s">
        <v>159</v>
      </c>
      <c r="C44" t="s">
        <v>164</v>
      </c>
      <c r="I44" t="s">
        <v>249</v>
      </c>
      <c r="J44" s="4" t="str">
        <f>IF(COUNTIF(Table4[Entity],entities[[#This Row],[entity_id]]),"ok","missing from States tab")</f>
        <v>ok</v>
      </c>
      <c r="K44" t="str">
        <f>entities[[#This Row],[domain]]&amp;"."&amp;entities[[#This Row],[object_id]]</f>
        <v>device_tracker.carolynsair</v>
      </c>
      <c r="L44" s="4" t="str">
        <f>IF(entities[[#This Row],[hidden]]&lt;&gt;"",1,"")</f>
        <v/>
      </c>
      <c r="M44" s="4" t="str">
        <f>IF(entities[[#This Row],[friendly_name]]&lt;&gt;"",2,"")</f>
        <v/>
      </c>
      <c r="N44" s="4" t="str">
        <f>IF(entities[[#This Row],[emulated_hue:]]&lt;&gt;"",3,"")</f>
        <v/>
      </c>
      <c r="O44" s="4" t="str">
        <f>IF(entities[[#This Row],[emulated_hue_name: ]]&lt;&gt;"",4,"")</f>
        <v/>
      </c>
      <c r="P44" s="4" t="str">
        <f>IF(entities[[#This Row],[entity_picture]]&lt;&gt;"",5,"")</f>
        <v/>
      </c>
      <c r="Q44" s="4">
        <f>IF(entities[[#This Row],[icon]]&lt;&gt;"",6,"")</f>
        <v>6</v>
      </c>
      <c r="R44" s="4" t="str">
        <f>CONCATENATE(entities[[#This Row],[1]],entities[[#This Row],[2]],entities[[#This Row],[3]],entities[[#This Row],[4]],entities[[#This Row],[5]],entities[[#This Row],[6]])</f>
        <v>6</v>
      </c>
      <c r="S44">
        <f>6-COUNTBLANK(entities[[#This Row],[hidden]:[icon]])</f>
        <v>1</v>
      </c>
      <c r="T44">
        <f>IF(entities[[#This Row],[Num Attributes]]=0,"",
COUNTIFS(entities[Num Attributes],"&gt;0",entities[entity_id],"&lt;="&amp;entities[[#This Row],[entity_id]]))</f>
        <v>31</v>
      </c>
      <c r="U44" t="str">
        <f t="array" ref="U44">IFERROR(INDEX(cards[object_id],SMALL(IF(cards[[1]:[25]]=entities[[#This Row],[entity_id]],ROW(cards[])-7,99^99),1)),"")</f>
        <v/>
      </c>
      <c r="V44" t="str">
        <f>IF(entities[[#This Row],[In ''States'' tab?]]&lt;&gt;"ok",  "Not in Home Assistant",
IF(entities[[#This Row],[hidden]]="true",  "Hidden",
IF(entities[[#This Row],[Card]]&lt;&gt;"",
INDEX(cards[name],MATCH(entities[[#This Row],[Card]],cards[object_id],0)),  "Badge / automatic card")))</f>
        <v>Badge / automatic card</v>
      </c>
      <c r="W44" t="str">
        <f>IF(entities[[#This Row],[Card]]&lt;&gt;"","group."&amp;entities[[#This Row],[Card]],"")</f>
        <v/>
      </c>
      <c r="AD44"/>
    </row>
    <row r="45" spans="2:30" x14ac:dyDescent="0.25">
      <c r="B45" t="s">
        <v>159</v>
      </c>
      <c r="C45" t="s">
        <v>165</v>
      </c>
      <c r="I45" t="s">
        <v>250</v>
      </c>
      <c r="J45" s="4" t="str">
        <f>IF(COUNTIF(Table4[Entity],entities[[#This Row],[entity_id]]),"ok","missing from States tab")</f>
        <v>ok</v>
      </c>
      <c r="K45" t="str">
        <f>entities[[#This Row],[domain]]&amp;"."&amp;entities[[#This Row],[object_id]]</f>
        <v>device_tracker.chromecast</v>
      </c>
      <c r="L45" s="4" t="str">
        <f>IF(entities[[#This Row],[hidden]]&lt;&gt;"",1,"")</f>
        <v/>
      </c>
      <c r="M45" s="4" t="str">
        <f>IF(entities[[#This Row],[friendly_name]]&lt;&gt;"",2,"")</f>
        <v/>
      </c>
      <c r="N45" s="4" t="str">
        <f>IF(entities[[#This Row],[emulated_hue:]]&lt;&gt;"",3,"")</f>
        <v/>
      </c>
      <c r="O45" s="4" t="str">
        <f>IF(entities[[#This Row],[emulated_hue_name: ]]&lt;&gt;"",4,"")</f>
        <v/>
      </c>
      <c r="P45" s="4" t="str">
        <f>IF(entities[[#This Row],[entity_picture]]&lt;&gt;"",5,"")</f>
        <v/>
      </c>
      <c r="Q45" s="4">
        <f>IF(entities[[#This Row],[icon]]&lt;&gt;"",6,"")</f>
        <v>6</v>
      </c>
      <c r="R45" s="4" t="str">
        <f>CONCATENATE(entities[[#This Row],[1]],entities[[#This Row],[2]],entities[[#This Row],[3]],entities[[#This Row],[4]],entities[[#This Row],[5]],entities[[#This Row],[6]])</f>
        <v>6</v>
      </c>
      <c r="S45">
        <f>6-COUNTBLANK(entities[[#This Row],[hidden]:[icon]])</f>
        <v>1</v>
      </c>
      <c r="T45">
        <f>IF(entities[[#This Row],[Num Attributes]]=0,"",
COUNTIFS(entities[Num Attributes],"&gt;0",entities[entity_id],"&lt;="&amp;entities[[#This Row],[entity_id]]))</f>
        <v>32</v>
      </c>
      <c r="U45" t="str">
        <f t="array" ref="U45">IFERROR(INDEX(cards[object_id],SMALL(IF(cards[[1]:[25]]=entities[[#This Row],[entity_id]],ROW(cards[])-7,99^99),1)),"")</f>
        <v>iot_devices</v>
      </c>
      <c r="V45" t="str">
        <f>IF(entities[[#This Row],[In ''States'' tab?]]&lt;&gt;"ok",  "Not in Home Assistant",
IF(entities[[#This Row],[hidden]]="true",  "Hidden",
IF(entities[[#This Row],[Card]]&lt;&gt;"",
INDEX(cards[name],MATCH(entities[[#This Row],[Card]],cards[object_id],0)),  "Badge / automatic card")))</f>
        <v>LAN || IoT</v>
      </c>
      <c r="W45" t="str">
        <f>IF(entities[[#This Row],[Card]]&lt;&gt;"","group."&amp;entities[[#This Row],[Card]],"")</f>
        <v>group.iot_devices</v>
      </c>
      <c r="AD45"/>
    </row>
    <row r="46" spans="2:30" x14ac:dyDescent="0.25">
      <c r="B46" t="s">
        <v>159</v>
      </c>
      <c r="C46" t="s">
        <v>166</v>
      </c>
      <c r="I46" t="s">
        <v>250</v>
      </c>
      <c r="J46" s="4" t="str">
        <f>IF(COUNTIF(Table4[Entity],entities[[#This Row],[entity_id]]),"ok","missing from States tab")</f>
        <v>ok</v>
      </c>
      <c r="K46" t="str">
        <f>entities[[#This Row],[domain]]&amp;"."&amp;entities[[#This Row],[object_id]]</f>
        <v>device_tracker.chromecast_2</v>
      </c>
      <c r="L46" s="4" t="str">
        <f>IF(entities[[#This Row],[hidden]]&lt;&gt;"",1,"")</f>
        <v/>
      </c>
      <c r="M46" s="4" t="str">
        <f>IF(entities[[#This Row],[friendly_name]]&lt;&gt;"",2,"")</f>
        <v/>
      </c>
      <c r="N46" s="4" t="str">
        <f>IF(entities[[#This Row],[emulated_hue:]]&lt;&gt;"",3,"")</f>
        <v/>
      </c>
      <c r="O46" s="4" t="str">
        <f>IF(entities[[#This Row],[emulated_hue_name: ]]&lt;&gt;"",4,"")</f>
        <v/>
      </c>
      <c r="P46" s="4" t="str">
        <f>IF(entities[[#This Row],[entity_picture]]&lt;&gt;"",5,"")</f>
        <v/>
      </c>
      <c r="Q46" s="4">
        <f>IF(entities[[#This Row],[icon]]&lt;&gt;"",6,"")</f>
        <v>6</v>
      </c>
      <c r="R46" s="4" t="str">
        <f>CONCATENATE(entities[[#This Row],[1]],entities[[#This Row],[2]],entities[[#This Row],[3]],entities[[#This Row],[4]],entities[[#This Row],[5]],entities[[#This Row],[6]])</f>
        <v>6</v>
      </c>
      <c r="S46">
        <f>6-COUNTBLANK(entities[[#This Row],[hidden]:[icon]])</f>
        <v>1</v>
      </c>
      <c r="T46">
        <f>IF(entities[[#This Row],[Num Attributes]]=0,"",
COUNTIFS(entities[Num Attributes],"&gt;0",entities[entity_id],"&lt;="&amp;entities[[#This Row],[entity_id]]))</f>
        <v>33</v>
      </c>
      <c r="U46" t="str">
        <f t="array" ref="U46">IFERROR(INDEX(cards[object_id],SMALL(IF(cards[[1]:[25]]=entities[[#This Row],[entity_id]],ROW(cards[])-7,99^99),1)),"")</f>
        <v>iot_devices</v>
      </c>
      <c r="V46" t="str">
        <f>IF(entities[[#This Row],[In ''States'' tab?]]&lt;&gt;"ok",  "Not in Home Assistant",
IF(entities[[#This Row],[hidden]]="true",  "Hidden",
IF(entities[[#This Row],[Card]]&lt;&gt;"",
INDEX(cards[name],MATCH(entities[[#This Row],[Card]],cards[object_id],0)),  "Badge / automatic card")))</f>
        <v>LAN || IoT</v>
      </c>
      <c r="W46" t="str">
        <f>IF(entities[[#This Row],[Card]]&lt;&gt;"","group."&amp;entities[[#This Row],[Card]],"")</f>
        <v>group.iot_devices</v>
      </c>
      <c r="AD46"/>
    </row>
    <row r="47" spans="2:30" x14ac:dyDescent="0.25">
      <c r="B47" t="s">
        <v>159</v>
      </c>
      <c r="C47" t="s">
        <v>167</v>
      </c>
      <c r="I47" t="s">
        <v>251</v>
      </c>
      <c r="J47" s="4" t="str">
        <f>IF(COUNTIF(Table4[Entity],entities[[#This Row],[entity_id]]),"ok","missing from States tab")</f>
        <v>ok</v>
      </c>
      <c r="K47" t="str">
        <f>entities[[#This Row],[domain]]&amp;"."&amp;entities[[#This Row],[object_id]]</f>
        <v>device_tracker.daniel_br</v>
      </c>
      <c r="L47" s="4" t="str">
        <f>IF(entities[[#This Row],[hidden]]&lt;&gt;"",1,"")</f>
        <v/>
      </c>
      <c r="M47" s="4" t="str">
        <f>IF(entities[[#This Row],[friendly_name]]&lt;&gt;"",2,"")</f>
        <v/>
      </c>
      <c r="N47" s="4" t="str">
        <f>IF(entities[[#This Row],[emulated_hue:]]&lt;&gt;"",3,"")</f>
        <v/>
      </c>
      <c r="O47" s="4" t="str">
        <f>IF(entities[[#This Row],[emulated_hue_name: ]]&lt;&gt;"",4,"")</f>
        <v/>
      </c>
      <c r="P47" s="4" t="str">
        <f>IF(entities[[#This Row],[entity_picture]]&lt;&gt;"",5,"")</f>
        <v/>
      </c>
      <c r="Q47" s="4">
        <f>IF(entities[[#This Row],[icon]]&lt;&gt;"",6,"")</f>
        <v>6</v>
      </c>
      <c r="R47" s="4" t="str">
        <f>CONCATENATE(entities[[#This Row],[1]],entities[[#This Row],[2]],entities[[#This Row],[3]],entities[[#This Row],[4]],entities[[#This Row],[5]],entities[[#This Row],[6]])</f>
        <v>6</v>
      </c>
      <c r="S47">
        <f>6-COUNTBLANK(entities[[#This Row],[hidden]:[icon]])</f>
        <v>1</v>
      </c>
      <c r="T47">
        <f>IF(entities[[#This Row],[Num Attributes]]=0,"",
COUNTIFS(entities[Num Attributes],"&gt;0",entities[entity_id],"&lt;="&amp;entities[[#This Row],[entity_id]]))</f>
        <v>34</v>
      </c>
      <c r="U47" t="str">
        <f t="array" ref="U47">IFERROR(INDEX(cards[object_id],SMALL(IF(cards[[1]:[25]]=entities[[#This Row],[entity_id]],ROW(cards[])-7,99^99),1)),"")</f>
        <v/>
      </c>
      <c r="V47" t="str">
        <f>IF(entities[[#This Row],[In ''States'' tab?]]&lt;&gt;"ok",  "Not in Home Assistant",
IF(entities[[#This Row],[hidden]]="true",  "Hidden",
IF(entities[[#This Row],[Card]]&lt;&gt;"",
INDEX(cards[name],MATCH(entities[[#This Row],[Card]],cards[object_id],0)),  "Badge / automatic card")))</f>
        <v>Badge / automatic card</v>
      </c>
      <c r="W47" t="str">
        <f>IF(entities[[#This Row],[Card]]&lt;&gt;"","group."&amp;entities[[#This Row],[Card]],"")</f>
        <v/>
      </c>
      <c r="AD47"/>
    </row>
    <row r="48" spans="2:30" x14ac:dyDescent="0.25">
      <c r="B48" t="s">
        <v>159</v>
      </c>
      <c r="C48" t="s">
        <v>168</v>
      </c>
      <c r="I48" t="s">
        <v>252</v>
      </c>
      <c r="J48" s="4" t="str">
        <f>IF(COUNTIF(Table4[Entity],entities[[#This Row],[entity_id]]),"ok","missing from States tab")</f>
        <v>ok</v>
      </c>
      <c r="K48" t="str">
        <f>entities[[#This Row],[domain]]&amp;"."&amp;entities[[#This Row],[object_id]]</f>
        <v>device_tracker.daniel_laptop</v>
      </c>
      <c r="L48" s="4" t="str">
        <f>IF(entities[[#This Row],[hidden]]&lt;&gt;"",1,"")</f>
        <v/>
      </c>
      <c r="M48" s="4" t="str">
        <f>IF(entities[[#This Row],[friendly_name]]&lt;&gt;"",2,"")</f>
        <v/>
      </c>
      <c r="N48" s="4" t="str">
        <f>IF(entities[[#This Row],[emulated_hue:]]&lt;&gt;"",3,"")</f>
        <v/>
      </c>
      <c r="O48" s="4" t="str">
        <f>IF(entities[[#This Row],[emulated_hue_name: ]]&lt;&gt;"",4,"")</f>
        <v/>
      </c>
      <c r="P48" s="4" t="str">
        <f>IF(entities[[#This Row],[entity_picture]]&lt;&gt;"",5,"")</f>
        <v/>
      </c>
      <c r="Q48" s="4">
        <f>IF(entities[[#This Row],[icon]]&lt;&gt;"",6,"")</f>
        <v>6</v>
      </c>
      <c r="R48" s="4" t="str">
        <f>CONCATENATE(entities[[#This Row],[1]],entities[[#This Row],[2]],entities[[#This Row],[3]],entities[[#This Row],[4]],entities[[#This Row],[5]],entities[[#This Row],[6]])</f>
        <v>6</v>
      </c>
      <c r="S48">
        <f>6-COUNTBLANK(entities[[#This Row],[hidden]:[icon]])</f>
        <v>1</v>
      </c>
      <c r="T48">
        <f>IF(entities[[#This Row],[Num Attributes]]=0,"",
COUNTIFS(entities[Num Attributes],"&gt;0",entities[entity_id],"&lt;="&amp;entities[[#This Row],[entity_id]]))</f>
        <v>35</v>
      </c>
      <c r="U48" t="str">
        <f t="array" ref="U48">IFERROR(INDEX(cards[object_id],SMALL(IF(cards[[1]:[25]]=entities[[#This Row],[entity_id]],ROW(cards[])-7,99^99),1)),"")</f>
        <v/>
      </c>
      <c r="V48" t="str">
        <f>IF(entities[[#This Row],[In ''States'' tab?]]&lt;&gt;"ok",  "Not in Home Assistant",
IF(entities[[#This Row],[hidden]]="true",  "Hidden",
IF(entities[[#This Row],[Card]]&lt;&gt;"",
INDEX(cards[name],MATCH(entities[[#This Row],[Card]],cards[object_id],0)),  "Badge / automatic card")))</f>
        <v>Badge / automatic card</v>
      </c>
      <c r="W48" t="str">
        <f>IF(entities[[#This Row],[Card]]&lt;&gt;"","group."&amp;entities[[#This Row],[Card]],"")</f>
        <v/>
      </c>
      <c r="AD48"/>
    </row>
    <row r="49" spans="2:30" x14ac:dyDescent="0.25">
      <c r="B49" t="s">
        <v>159</v>
      </c>
      <c r="C49" t="s">
        <v>169</v>
      </c>
      <c r="I49" t="s">
        <v>247</v>
      </c>
      <c r="J49" s="4" t="str">
        <f>IF(COUNTIF(Table4[Entity],entities[[#This Row],[entity_id]]),"ok","missing from States tab")</f>
        <v>ok</v>
      </c>
      <c r="K49" t="str">
        <f>entities[[#This Row],[domain]]&amp;"."&amp;entities[[#This Row],[object_id]]</f>
        <v>device_tracker.daniel_phone</v>
      </c>
      <c r="L49" s="4" t="str">
        <f>IF(entities[[#This Row],[hidden]]&lt;&gt;"",1,"")</f>
        <v/>
      </c>
      <c r="M49" s="4" t="str">
        <f>IF(entities[[#This Row],[friendly_name]]&lt;&gt;"",2,"")</f>
        <v/>
      </c>
      <c r="N49" s="4" t="str">
        <f>IF(entities[[#This Row],[emulated_hue:]]&lt;&gt;"",3,"")</f>
        <v/>
      </c>
      <c r="O49" s="4" t="str">
        <f>IF(entities[[#This Row],[emulated_hue_name: ]]&lt;&gt;"",4,"")</f>
        <v/>
      </c>
      <c r="P49" s="4" t="str">
        <f>IF(entities[[#This Row],[entity_picture]]&lt;&gt;"",5,"")</f>
        <v/>
      </c>
      <c r="Q49" s="4">
        <f>IF(entities[[#This Row],[icon]]&lt;&gt;"",6,"")</f>
        <v>6</v>
      </c>
      <c r="R49" s="4" t="str">
        <f>CONCATENATE(entities[[#This Row],[1]],entities[[#This Row],[2]],entities[[#This Row],[3]],entities[[#This Row],[4]],entities[[#This Row],[5]],entities[[#This Row],[6]])</f>
        <v>6</v>
      </c>
      <c r="S49">
        <f>6-COUNTBLANK(entities[[#This Row],[hidden]:[icon]])</f>
        <v>1</v>
      </c>
      <c r="T49">
        <f>IF(entities[[#This Row],[Num Attributes]]=0,"",
COUNTIFS(entities[Num Attributes],"&gt;0",entities[entity_id],"&lt;="&amp;entities[[#This Row],[entity_id]]))</f>
        <v>36</v>
      </c>
      <c r="U49" t="str">
        <f t="array" ref="U49">IFERROR(INDEX(cards[object_id],SMALL(IF(cards[[1]:[25]]=entities[[#This Row],[entity_id]],ROW(cards[])-7,99^99),1)),"")</f>
        <v>phones</v>
      </c>
      <c r="V49" t="str">
        <f>IF(entities[[#This Row],[In ''States'' tab?]]&lt;&gt;"ok",  "Not in Home Assistant",
IF(entities[[#This Row],[hidden]]="true",  "Hidden",
IF(entities[[#This Row],[Card]]&lt;&gt;"",
INDEX(cards[name],MATCH(entities[[#This Row],[Card]],cards[object_id],0)),  "Badge / automatic card")))</f>
        <v>LAN || Phones</v>
      </c>
      <c r="W49" t="str">
        <f>IF(entities[[#This Row],[Card]]&lt;&gt;"","group."&amp;entities[[#This Row],[Card]],"")</f>
        <v>group.phones</v>
      </c>
      <c r="AD49"/>
    </row>
    <row r="50" spans="2:30" x14ac:dyDescent="0.25">
      <c r="B50" t="s">
        <v>159</v>
      </c>
      <c r="C50" t="s">
        <v>170</v>
      </c>
      <c r="I50" t="s">
        <v>253</v>
      </c>
      <c r="J50" s="4" t="str">
        <f>IF(COUNTIF(Table4[Entity],entities[[#This Row],[entity_id]]),"ok","missing from States tab")</f>
        <v>ok</v>
      </c>
      <c r="K50" t="str">
        <f>entities[[#This Row],[domain]]&amp;"."&amp;entities[[#This Row],[object_id]]</f>
        <v>device_tracker.echo_dot</v>
      </c>
      <c r="L50" s="4" t="str">
        <f>IF(entities[[#This Row],[hidden]]&lt;&gt;"",1,"")</f>
        <v/>
      </c>
      <c r="M50" s="4" t="str">
        <f>IF(entities[[#This Row],[friendly_name]]&lt;&gt;"",2,"")</f>
        <v/>
      </c>
      <c r="N50" s="4" t="str">
        <f>IF(entities[[#This Row],[emulated_hue:]]&lt;&gt;"",3,"")</f>
        <v/>
      </c>
      <c r="O50" s="4" t="str">
        <f>IF(entities[[#This Row],[emulated_hue_name: ]]&lt;&gt;"",4,"")</f>
        <v/>
      </c>
      <c r="P50" s="4" t="str">
        <f>IF(entities[[#This Row],[entity_picture]]&lt;&gt;"",5,"")</f>
        <v/>
      </c>
      <c r="Q50" s="4">
        <f>IF(entities[[#This Row],[icon]]&lt;&gt;"",6,"")</f>
        <v>6</v>
      </c>
      <c r="R50" s="4" t="str">
        <f>CONCATENATE(entities[[#This Row],[1]],entities[[#This Row],[2]],entities[[#This Row],[3]],entities[[#This Row],[4]],entities[[#This Row],[5]],entities[[#This Row],[6]])</f>
        <v>6</v>
      </c>
      <c r="S50">
        <f>6-COUNTBLANK(entities[[#This Row],[hidden]:[icon]])</f>
        <v>1</v>
      </c>
      <c r="T50">
        <f>IF(entities[[#This Row],[Num Attributes]]=0,"",
COUNTIFS(entities[Num Attributes],"&gt;0",entities[entity_id],"&lt;="&amp;entities[[#This Row],[entity_id]]))</f>
        <v>37</v>
      </c>
      <c r="U50" t="str">
        <f t="array" ref="U50">IFERROR(INDEX(cards[object_id],SMALL(IF(cards[[1]:[25]]=entities[[#This Row],[entity_id]],ROW(cards[])-7,99^99),1)),"")</f>
        <v>iot_devices</v>
      </c>
      <c r="V50" t="str">
        <f>IF(entities[[#This Row],[In ''States'' tab?]]&lt;&gt;"ok",  "Not in Home Assistant",
IF(entities[[#This Row],[hidden]]="true",  "Hidden",
IF(entities[[#This Row],[Card]]&lt;&gt;"",
INDEX(cards[name],MATCH(entities[[#This Row],[Card]],cards[object_id],0)),  "Badge / automatic card")))</f>
        <v>LAN || IoT</v>
      </c>
      <c r="W50" t="str">
        <f>IF(entities[[#This Row],[Card]]&lt;&gt;"","group."&amp;entities[[#This Row],[Card]],"")</f>
        <v>group.iot_devices</v>
      </c>
      <c r="AD50"/>
    </row>
    <row r="51" spans="2:30" x14ac:dyDescent="0.25">
      <c r="B51" t="s">
        <v>159</v>
      </c>
      <c r="C51" t="s">
        <v>729</v>
      </c>
      <c r="I51" t="s">
        <v>253</v>
      </c>
      <c r="J51" s="4" t="str">
        <f>IF(COUNTIF(Table4[Entity],entities[[#This Row],[entity_id]]),"ok","missing from States tab")</f>
        <v>ok</v>
      </c>
      <c r="K51" t="str">
        <f>entities[[#This Row],[domain]]&amp;"."&amp;entities[[#This Row],[object_id]]</f>
        <v>device_tracker.echo_tap</v>
      </c>
      <c r="L51" s="4" t="str">
        <f>IF(entities[[#This Row],[hidden]]&lt;&gt;"",1,"")</f>
        <v/>
      </c>
      <c r="M51" s="4" t="str">
        <f>IF(entities[[#This Row],[friendly_name]]&lt;&gt;"",2,"")</f>
        <v/>
      </c>
      <c r="N51" s="4" t="str">
        <f>IF(entities[[#This Row],[emulated_hue:]]&lt;&gt;"",3,"")</f>
        <v/>
      </c>
      <c r="O51" s="4" t="str">
        <f>IF(entities[[#This Row],[emulated_hue_name: ]]&lt;&gt;"",4,"")</f>
        <v/>
      </c>
      <c r="P51" s="4" t="str">
        <f>IF(entities[[#This Row],[entity_picture]]&lt;&gt;"",5,"")</f>
        <v/>
      </c>
      <c r="Q51" s="4">
        <f>IF(entities[[#This Row],[icon]]&lt;&gt;"",6,"")</f>
        <v>6</v>
      </c>
      <c r="R51" s="4" t="str">
        <f>CONCATENATE(entities[[#This Row],[1]],entities[[#This Row],[2]],entities[[#This Row],[3]],entities[[#This Row],[4]],entities[[#This Row],[5]],entities[[#This Row],[6]])</f>
        <v>6</v>
      </c>
      <c r="S51">
        <f>6-COUNTBLANK(entities[[#This Row],[hidden]:[icon]])</f>
        <v>1</v>
      </c>
      <c r="T51">
        <f>IF(entities[[#This Row],[Num Attributes]]=0,"",
COUNTIFS(entities[Num Attributes],"&gt;0",entities[entity_id],"&lt;="&amp;entities[[#This Row],[entity_id]]))</f>
        <v>38</v>
      </c>
      <c r="U51" t="str">
        <f t="array" ref="U51">IFERROR(INDEX(cards[object_id],SMALL(IF(cards[[1]:[25]]=entities[[#This Row],[entity_id]],ROW(cards[])-7,99^99),1)),"")</f>
        <v>iot_devices</v>
      </c>
      <c r="V51" t="str">
        <f>IF(entities[[#This Row],[In ''States'' tab?]]&lt;&gt;"ok",  "Not in Home Assistant",
IF(entities[[#This Row],[hidden]]="true",  "Hidden",
IF(entities[[#This Row],[Card]]&lt;&gt;"",
INDEX(cards[name],MATCH(entities[[#This Row],[Card]],cards[object_id],0)),  "Badge / automatic card")))</f>
        <v>LAN || IoT</v>
      </c>
      <c r="W51" t="str">
        <f>IF(entities[[#This Row],[Card]]&lt;&gt;"","group."&amp;entities[[#This Row],[Card]],"")</f>
        <v>group.iot_devices</v>
      </c>
      <c r="AD51"/>
    </row>
    <row r="52" spans="2:30" x14ac:dyDescent="0.25">
      <c r="B52" t="s">
        <v>159</v>
      </c>
      <c r="C52" t="s">
        <v>171</v>
      </c>
      <c r="J52" s="4" t="str">
        <f>IF(COUNTIF(Table4[Entity],entities[[#This Row],[entity_id]]),"ok","missing from States tab")</f>
        <v>ok</v>
      </c>
      <c r="K52" t="str">
        <f>entities[[#This Row],[domain]]&amp;"."&amp;entities[[#This Row],[object_id]]</f>
        <v>device_tracker.gear_fit_2</v>
      </c>
      <c r="L52" s="4" t="str">
        <f>IF(entities[[#This Row],[hidden]]&lt;&gt;"",1,"")</f>
        <v/>
      </c>
      <c r="M52" s="4" t="str">
        <f>IF(entities[[#This Row],[friendly_name]]&lt;&gt;"",2,"")</f>
        <v/>
      </c>
      <c r="N52" s="4" t="str">
        <f>IF(entities[[#This Row],[emulated_hue:]]&lt;&gt;"",3,"")</f>
        <v/>
      </c>
      <c r="O52" s="4" t="str">
        <f>IF(entities[[#This Row],[emulated_hue_name: ]]&lt;&gt;"",4,"")</f>
        <v/>
      </c>
      <c r="P52" s="4" t="str">
        <f>IF(entities[[#This Row],[entity_picture]]&lt;&gt;"",5,"")</f>
        <v/>
      </c>
      <c r="Q52" s="4" t="str">
        <f>IF(entities[[#This Row],[icon]]&lt;&gt;"",6,"")</f>
        <v/>
      </c>
      <c r="R52" s="4" t="str">
        <f>CONCATENATE(entities[[#This Row],[1]],entities[[#This Row],[2]],entities[[#This Row],[3]],entities[[#This Row],[4]],entities[[#This Row],[5]],entities[[#This Row],[6]])</f>
        <v/>
      </c>
      <c r="S52">
        <f>6-COUNTBLANK(entities[[#This Row],[hidden]:[icon]])</f>
        <v>0</v>
      </c>
      <c r="T52" t="str">
        <f>IF(entities[[#This Row],[Num Attributes]]=0,"",
COUNTIFS(entities[Num Attributes],"&gt;0",entities[entity_id],"&lt;="&amp;entities[[#This Row],[entity_id]]))</f>
        <v/>
      </c>
      <c r="U52" t="str">
        <f t="array" ref="U52">IFERROR(INDEX(cards[object_id],SMALL(IF(cards[[1]:[25]]=entities[[#This Row],[entity_id]],ROW(cards[])-7,99^99),1)),"")</f>
        <v>misc_devices</v>
      </c>
      <c r="V52" t="str">
        <f>IF(entities[[#This Row],[In ''States'' tab?]]&lt;&gt;"ok",  "Not in Home Assistant",
IF(entities[[#This Row],[hidden]]="true",  "Hidden",
IF(entities[[#This Row],[Card]]&lt;&gt;"",
INDEX(cards[name],MATCH(entities[[#This Row],[Card]],cards[object_id],0)),  "Badge / automatic card")))</f>
        <v>Misc Devices</v>
      </c>
      <c r="W52" t="str">
        <f>IF(entities[[#This Row],[Card]]&lt;&gt;"","group."&amp;entities[[#This Row],[Card]],"")</f>
        <v>group.misc_devices</v>
      </c>
      <c r="AD52"/>
    </row>
    <row r="53" spans="2:30" x14ac:dyDescent="0.25">
      <c r="B53" t="s">
        <v>159</v>
      </c>
      <c r="C53" t="s">
        <v>172</v>
      </c>
      <c r="I53" t="s">
        <v>254</v>
      </c>
      <c r="J53" s="4" t="str">
        <f>IF(COUNTIF(Table4[Entity],entities[[#This Row],[entity_id]]),"ok","missing from States tab")</f>
        <v>ok</v>
      </c>
      <c r="K53" t="str">
        <f>entities[[#This Row],[domain]]&amp;"."&amp;entities[[#This Row],[object_id]]</f>
        <v>device_tracker.growler</v>
      </c>
      <c r="L53" s="4" t="str">
        <f>IF(entities[[#This Row],[hidden]]&lt;&gt;"",1,"")</f>
        <v/>
      </c>
      <c r="M53" s="4" t="str">
        <f>IF(entities[[#This Row],[friendly_name]]&lt;&gt;"",2,"")</f>
        <v/>
      </c>
      <c r="N53" s="4" t="str">
        <f>IF(entities[[#This Row],[emulated_hue:]]&lt;&gt;"",3,"")</f>
        <v/>
      </c>
      <c r="O53" s="4" t="str">
        <f>IF(entities[[#This Row],[emulated_hue_name: ]]&lt;&gt;"",4,"")</f>
        <v/>
      </c>
      <c r="P53" s="4" t="str">
        <f>IF(entities[[#This Row],[entity_picture]]&lt;&gt;"",5,"")</f>
        <v/>
      </c>
      <c r="Q53" s="4">
        <f>IF(entities[[#This Row],[icon]]&lt;&gt;"",6,"")</f>
        <v>6</v>
      </c>
      <c r="R53" s="4" t="str">
        <f>CONCATENATE(entities[[#This Row],[1]],entities[[#This Row],[2]],entities[[#This Row],[3]],entities[[#This Row],[4]],entities[[#This Row],[5]],entities[[#This Row],[6]])</f>
        <v>6</v>
      </c>
      <c r="S53">
        <f>6-COUNTBLANK(entities[[#This Row],[hidden]:[icon]])</f>
        <v>1</v>
      </c>
      <c r="T53">
        <f>IF(entities[[#This Row],[Num Attributes]]=0,"",
COUNTIFS(entities[Num Attributes],"&gt;0",entities[entity_id],"&lt;="&amp;entities[[#This Row],[entity_id]]))</f>
        <v>39</v>
      </c>
      <c r="U53" t="str">
        <f t="array" ref="U53">IFERROR(INDEX(cards[object_id],SMALL(IF(cards[[1]:[25]]=entities[[#This Row],[entity_id]],ROW(cards[])-7,99^99),1)),"")</f>
        <v>personal_devices</v>
      </c>
      <c r="V53" t="str">
        <f>IF(entities[[#This Row],[In ''States'' tab?]]&lt;&gt;"ok",  "Not in Home Assistant",
IF(entities[[#This Row],[hidden]]="true",  "Hidden",
IF(entities[[#This Row],[Card]]&lt;&gt;"",
INDEX(cards[name],MATCH(entities[[#This Row],[Card]],cards[object_id],0)),  "Badge / automatic card")))</f>
        <v>LAN || Computers</v>
      </c>
      <c r="W53" t="str">
        <f>IF(entities[[#This Row],[Card]]&lt;&gt;"","group."&amp;entities[[#This Row],[Card]],"")</f>
        <v>group.personal_devices</v>
      </c>
      <c r="AD53"/>
    </row>
    <row r="54" spans="2:30" x14ac:dyDescent="0.25">
      <c r="B54" t="s">
        <v>159</v>
      </c>
      <c r="C54" t="s">
        <v>173</v>
      </c>
      <c r="I54" t="s">
        <v>11</v>
      </c>
      <c r="J54" s="4" t="str">
        <f>IF(COUNTIF(Table4[Entity],entities[[#This Row],[entity_id]]),"ok","missing from States tab")</f>
        <v>ok</v>
      </c>
      <c r="K54" t="str">
        <f>entities[[#This Row],[domain]]&amp;"."&amp;entities[[#This Row],[object_id]]</f>
        <v>device_tracker.hue_hub</v>
      </c>
      <c r="L54" s="4" t="str">
        <f>IF(entities[[#This Row],[hidden]]&lt;&gt;"",1,"")</f>
        <v/>
      </c>
      <c r="M54" s="4" t="str">
        <f>IF(entities[[#This Row],[friendly_name]]&lt;&gt;"",2,"")</f>
        <v/>
      </c>
      <c r="N54" s="4" t="str">
        <f>IF(entities[[#This Row],[emulated_hue:]]&lt;&gt;"",3,"")</f>
        <v/>
      </c>
      <c r="O54" s="4" t="str">
        <f>IF(entities[[#This Row],[emulated_hue_name: ]]&lt;&gt;"",4,"")</f>
        <v/>
      </c>
      <c r="P54" s="4" t="str">
        <f>IF(entities[[#This Row],[entity_picture]]&lt;&gt;"",5,"")</f>
        <v/>
      </c>
      <c r="Q54" s="4" t="str">
        <f>IF(entities[[#This Row],[icon]]&lt;&gt;"",6,"")</f>
        <v/>
      </c>
      <c r="R54" s="4" t="str">
        <f>CONCATENATE(entities[[#This Row],[1]],entities[[#This Row],[2]],entities[[#This Row],[3]],entities[[#This Row],[4]],entities[[#This Row],[5]],entities[[#This Row],[6]])</f>
        <v/>
      </c>
      <c r="S54">
        <f>6-COUNTBLANK(entities[[#This Row],[hidden]:[icon]])</f>
        <v>0</v>
      </c>
      <c r="T54" t="str">
        <f>IF(entities[[#This Row],[Num Attributes]]=0,"",
COUNTIFS(entities[Num Attributes],"&gt;0",entities[entity_id],"&lt;="&amp;entities[[#This Row],[entity_id]]))</f>
        <v/>
      </c>
      <c r="U54" t="str">
        <f t="array" ref="U54">IFERROR(INDEX(cards[object_id],SMALL(IF(cards[[1]:[25]]=entities[[#This Row],[entity_id]],ROW(cards[])-7,99^99),1)),"")</f>
        <v>iot_devices</v>
      </c>
      <c r="V54" t="str">
        <f>IF(entities[[#This Row],[In ''States'' tab?]]&lt;&gt;"ok",  "Not in Home Assistant",
IF(entities[[#This Row],[hidden]]="true",  "Hidden",
IF(entities[[#This Row],[Card]]&lt;&gt;"",
INDEX(cards[name],MATCH(entities[[#This Row],[Card]],cards[object_id],0)),  "Badge / automatic card")))</f>
        <v>LAN || IoT</v>
      </c>
      <c r="W54" t="str">
        <f>IF(entities[[#This Row],[Card]]&lt;&gt;"","group."&amp;entities[[#This Row],[Card]],"")</f>
        <v>group.iot_devices</v>
      </c>
      <c r="AD54"/>
    </row>
    <row r="55" spans="2:30" x14ac:dyDescent="0.25">
      <c r="B55" t="s">
        <v>159</v>
      </c>
      <c r="C55" t="s">
        <v>174</v>
      </c>
      <c r="I55" t="s">
        <v>255</v>
      </c>
      <c r="J55" s="4" t="str">
        <f>IF(COUNTIF(Table4[Entity],entities[[#This Row],[entity_id]]),"ok","missing from States tab")</f>
        <v>ok</v>
      </c>
      <c r="K55" t="str">
        <f>entities[[#This Row],[domain]]&amp;"."&amp;entities[[#This Row],[object_id]]</f>
        <v>device_tracker.humvee</v>
      </c>
      <c r="L55" s="4" t="str">
        <f>IF(entities[[#This Row],[hidden]]&lt;&gt;"",1,"")</f>
        <v/>
      </c>
      <c r="M55" s="4" t="str">
        <f>IF(entities[[#This Row],[friendly_name]]&lt;&gt;"",2,"")</f>
        <v/>
      </c>
      <c r="N55" s="4" t="str">
        <f>IF(entities[[#This Row],[emulated_hue:]]&lt;&gt;"",3,"")</f>
        <v/>
      </c>
      <c r="O55" s="4" t="str">
        <f>IF(entities[[#This Row],[emulated_hue_name: ]]&lt;&gt;"",4,"")</f>
        <v/>
      </c>
      <c r="P55" s="4" t="str">
        <f>IF(entities[[#This Row],[entity_picture]]&lt;&gt;"",5,"")</f>
        <v/>
      </c>
      <c r="Q55" s="4">
        <f>IF(entities[[#This Row],[icon]]&lt;&gt;"",6,"")</f>
        <v>6</v>
      </c>
      <c r="R55" s="4" t="str">
        <f>CONCATENATE(entities[[#This Row],[1]],entities[[#This Row],[2]],entities[[#This Row],[3]],entities[[#This Row],[4]],entities[[#This Row],[5]],entities[[#This Row],[6]])</f>
        <v>6</v>
      </c>
      <c r="S55">
        <f>6-COUNTBLANK(entities[[#This Row],[hidden]:[icon]])</f>
        <v>1</v>
      </c>
      <c r="T55">
        <f>IF(entities[[#This Row],[Num Attributes]]=0,"",
COUNTIFS(entities[Num Attributes],"&gt;0",entities[entity_id],"&lt;="&amp;entities[[#This Row],[entity_id]]))</f>
        <v>40</v>
      </c>
      <c r="U55" t="str">
        <f t="array" ref="U55">IFERROR(INDEX(cards[object_id],SMALL(IF(cards[[1]:[25]]=entities[[#This Row],[entity_id]],ROW(cards[])-7,99^99),1)),"")</f>
        <v>personal_devices</v>
      </c>
      <c r="V55" t="str">
        <f>IF(entities[[#This Row],[In ''States'' tab?]]&lt;&gt;"ok",  "Not in Home Assistant",
IF(entities[[#This Row],[hidden]]="true",  "Hidden",
IF(entities[[#This Row],[Card]]&lt;&gt;"",
INDEX(cards[name],MATCH(entities[[#This Row],[Card]],cards[object_id],0)),  "Badge / automatic card")))</f>
        <v>LAN || Computers</v>
      </c>
      <c r="W55" t="str">
        <f>IF(entities[[#This Row],[Card]]&lt;&gt;"","group."&amp;entities[[#This Row],[Card]],"")</f>
        <v>group.personal_devices</v>
      </c>
      <c r="AD55"/>
    </row>
    <row r="56" spans="2:30" x14ac:dyDescent="0.25">
      <c r="B56" t="s">
        <v>159</v>
      </c>
      <c r="C56" t="s">
        <v>175</v>
      </c>
      <c r="I56" t="s">
        <v>252</v>
      </c>
      <c r="J56" s="4" t="str">
        <f>IF(COUNTIF(Table4[Entity],entities[[#This Row],[entity_id]]),"ok","missing from States tab")</f>
        <v>ok</v>
      </c>
      <c r="K56" t="str">
        <f>entities[[#This Row],[domain]]&amp;"."&amp;entities[[#This Row],[object_id]]</f>
        <v>device_tracker.jeep</v>
      </c>
      <c r="L56" s="4" t="str">
        <f>IF(entities[[#This Row],[hidden]]&lt;&gt;"",1,"")</f>
        <v/>
      </c>
      <c r="M56" s="4" t="str">
        <f>IF(entities[[#This Row],[friendly_name]]&lt;&gt;"",2,"")</f>
        <v/>
      </c>
      <c r="N56" s="4" t="str">
        <f>IF(entities[[#This Row],[emulated_hue:]]&lt;&gt;"",3,"")</f>
        <v/>
      </c>
      <c r="O56" s="4" t="str">
        <f>IF(entities[[#This Row],[emulated_hue_name: ]]&lt;&gt;"",4,"")</f>
        <v/>
      </c>
      <c r="P56" s="4" t="str">
        <f>IF(entities[[#This Row],[entity_picture]]&lt;&gt;"",5,"")</f>
        <v/>
      </c>
      <c r="Q56" s="4">
        <f>IF(entities[[#This Row],[icon]]&lt;&gt;"",6,"")</f>
        <v>6</v>
      </c>
      <c r="R56" s="4" t="str">
        <f>CONCATENATE(entities[[#This Row],[1]],entities[[#This Row],[2]],entities[[#This Row],[3]],entities[[#This Row],[4]],entities[[#This Row],[5]],entities[[#This Row],[6]])</f>
        <v>6</v>
      </c>
      <c r="S56">
        <f>6-COUNTBLANK(entities[[#This Row],[hidden]:[icon]])</f>
        <v>1</v>
      </c>
      <c r="T56">
        <f>IF(entities[[#This Row],[Num Attributes]]=0,"",
COUNTIFS(entities[Num Attributes],"&gt;0",entities[entity_id],"&lt;="&amp;entities[[#This Row],[entity_id]]))</f>
        <v>41</v>
      </c>
      <c r="U56" t="str">
        <f t="array" ref="U56">IFERROR(INDEX(cards[object_id],SMALL(IF(cards[[1]:[25]]=entities[[#This Row],[entity_id]],ROW(cards[])-7,99^99),1)),"")</f>
        <v/>
      </c>
      <c r="V56" t="str">
        <f>IF(entities[[#This Row],[In ''States'' tab?]]&lt;&gt;"ok",  "Not in Home Assistant",
IF(entities[[#This Row],[hidden]]="true",  "Hidden",
IF(entities[[#This Row],[Card]]&lt;&gt;"",
INDEX(cards[name],MATCH(entities[[#This Row],[Card]],cards[object_id],0)),  "Badge / automatic card")))</f>
        <v>Badge / automatic card</v>
      </c>
      <c r="W56" t="str">
        <f>IF(entities[[#This Row],[Card]]&lt;&gt;"","group."&amp;entities[[#This Row],[Card]],"")</f>
        <v/>
      </c>
      <c r="AD56"/>
    </row>
    <row r="57" spans="2:30" x14ac:dyDescent="0.25">
      <c r="B57" t="s">
        <v>159</v>
      </c>
      <c r="C57" t="s">
        <v>176</v>
      </c>
      <c r="I57" t="s">
        <v>256</v>
      </c>
      <c r="J57" s="4" t="str">
        <f>IF(COUNTIF(Table4[Entity],entities[[#This Row],[entity_id]]),"ok","missing from States tab")</f>
        <v>ok</v>
      </c>
      <c r="K57" t="str">
        <f>entities[[#This Row],[domain]]&amp;"."&amp;entities[[#This Row],[object_id]]</f>
        <v>device_tracker.jtac</v>
      </c>
      <c r="L57" s="4" t="str">
        <f>IF(entities[[#This Row],[hidden]]&lt;&gt;"",1,"")</f>
        <v/>
      </c>
      <c r="M57" s="4" t="str">
        <f>IF(entities[[#This Row],[friendly_name]]&lt;&gt;"",2,"")</f>
        <v/>
      </c>
      <c r="N57" s="4" t="str">
        <f>IF(entities[[#This Row],[emulated_hue:]]&lt;&gt;"",3,"")</f>
        <v/>
      </c>
      <c r="O57" s="4" t="str">
        <f>IF(entities[[#This Row],[emulated_hue_name: ]]&lt;&gt;"",4,"")</f>
        <v/>
      </c>
      <c r="P57" s="4" t="str">
        <f>IF(entities[[#This Row],[entity_picture]]&lt;&gt;"",5,"")</f>
        <v/>
      </c>
      <c r="Q57" s="4">
        <f>IF(entities[[#This Row],[icon]]&lt;&gt;"",6,"")</f>
        <v>6</v>
      </c>
      <c r="R57" s="4" t="str">
        <f>CONCATENATE(entities[[#This Row],[1]],entities[[#This Row],[2]],entities[[#This Row],[3]],entities[[#This Row],[4]],entities[[#This Row],[5]],entities[[#This Row],[6]])</f>
        <v>6</v>
      </c>
      <c r="S57">
        <f>6-COUNTBLANK(entities[[#This Row],[hidden]:[icon]])</f>
        <v>1</v>
      </c>
      <c r="T57">
        <f>IF(entities[[#This Row],[Num Attributes]]=0,"",
COUNTIFS(entities[Num Attributes],"&gt;0",entities[entity_id],"&lt;="&amp;entities[[#This Row],[entity_id]]))</f>
        <v>42</v>
      </c>
      <c r="U57" t="str">
        <f t="array" ref="U57">IFERROR(INDEX(cards[object_id],SMALL(IF(cards[[1]:[25]]=entities[[#This Row],[entity_id]],ROW(cards[])-7,99^99),1)),"")</f>
        <v>iot_devices</v>
      </c>
      <c r="V57" t="str">
        <f>IF(entities[[#This Row],[In ''States'' tab?]]&lt;&gt;"ok",  "Not in Home Assistant",
IF(entities[[#This Row],[hidden]]="true",  "Hidden",
IF(entities[[#This Row],[Card]]&lt;&gt;"",
INDEX(cards[name],MATCH(entities[[#This Row],[Card]],cards[object_id],0)),  "Badge / automatic card")))</f>
        <v>LAN || IoT</v>
      </c>
      <c r="W57" t="str">
        <f>IF(entities[[#This Row],[Card]]&lt;&gt;"","group."&amp;entities[[#This Row],[Card]],"")</f>
        <v>group.iot_devices</v>
      </c>
      <c r="AD57"/>
    </row>
    <row r="58" spans="2:30" x14ac:dyDescent="0.25">
      <c r="B58" t="s">
        <v>159</v>
      </c>
      <c r="C58" t="s">
        <v>177</v>
      </c>
      <c r="I58" t="s">
        <v>651</v>
      </c>
      <c r="J58" s="4" t="str">
        <f>IF(COUNTIF(Table4[Entity],entities[[#This Row],[entity_id]]),"ok","missing from States tab")</f>
        <v>ok</v>
      </c>
      <c r="K58" t="str">
        <f>entities[[#This Row],[domain]]&amp;"."&amp;entities[[#This Row],[object_id]]</f>
        <v>device_tracker.raspi_vpn</v>
      </c>
      <c r="L58" s="4" t="str">
        <f>IF(entities[[#This Row],[hidden]]&lt;&gt;"",1,"")</f>
        <v/>
      </c>
      <c r="M58" s="4" t="str">
        <f>IF(entities[[#This Row],[friendly_name]]&lt;&gt;"",2,"")</f>
        <v/>
      </c>
      <c r="N58" s="4" t="str">
        <f>IF(entities[[#This Row],[emulated_hue:]]&lt;&gt;"",3,"")</f>
        <v/>
      </c>
      <c r="O58" s="4" t="str">
        <f>IF(entities[[#This Row],[emulated_hue_name: ]]&lt;&gt;"",4,"")</f>
        <v/>
      </c>
      <c r="P58" s="4" t="str">
        <f>IF(entities[[#This Row],[entity_picture]]&lt;&gt;"",5,"")</f>
        <v/>
      </c>
      <c r="Q58" s="4">
        <f>IF(entities[[#This Row],[icon]]&lt;&gt;"",6,"")</f>
        <v>6</v>
      </c>
      <c r="R58" s="4" t="str">
        <f>CONCATENATE(entities[[#This Row],[1]],entities[[#This Row],[2]],entities[[#This Row],[3]],entities[[#This Row],[4]],entities[[#This Row],[5]],entities[[#This Row],[6]])</f>
        <v>6</v>
      </c>
      <c r="S58">
        <f>6-COUNTBLANK(entities[[#This Row],[hidden]:[icon]])</f>
        <v>1</v>
      </c>
      <c r="T58">
        <f>IF(entities[[#This Row],[Num Attributes]]=0,"",
COUNTIFS(entities[Num Attributes],"&gt;0",entities[entity_id],"&lt;="&amp;entities[[#This Row],[entity_id]]))</f>
        <v>43</v>
      </c>
      <c r="U58" t="str">
        <f t="array" ref="U58">IFERROR(INDEX(cards[object_id],SMALL(IF(cards[[1]:[25]]=entities[[#This Row],[entity_id]],ROW(cards[])-7,99^99),1)),"")</f>
        <v>iot_devices</v>
      </c>
      <c r="V58" t="str">
        <f>IF(entities[[#This Row],[In ''States'' tab?]]&lt;&gt;"ok",  "Not in Home Assistant",
IF(entities[[#This Row],[hidden]]="true",  "Hidden",
IF(entities[[#This Row],[Card]]&lt;&gt;"",
INDEX(cards[name],MATCH(entities[[#This Row],[Card]],cards[object_id],0)),  "Badge / automatic card")))</f>
        <v>LAN || IoT</v>
      </c>
      <c r="W58" t="str">
        <f>IF(entities[[#This Row],[Card]]&lt;&gt;"","group."&amp;entities[[#This Row],[Card]],"")</f>
        <v>group.iot_devices</v>
      </c>
      <c r="AD58"/>
    </row>
    <row r="59" spans="2:30" x14ac:dyDescent="0.25">
      <c r="B59" t="s">
        <v>159</v>
      </c>
      <c r="C59" t="s">
        <v>178</v>
      </c>
      <c r="I59" t="s">
        <v>257</v>
      </c>
      <c r="J59" s="4" t="str">
        <f>IF(COUNTIF(Table4[Entity],entities[[#This Row],[entity_id]]),"ok","missing from States tab")</f>
        <v>ok</v>
      </c>
      <c r="K59" t="str">
        <f>entities[[#This Row],[domain]]&amp;"."&amp;entities[[#This Row],[object_id]]</f>
        <v>device_tracker.ron_phone</v>
      </c>
      <c r="L59" s="4" t="str">
        <f>IF(entities[[#This Row],[hidden]]&lt;&gt;"",1,"")</f>
        <v/>
      </c>
      <c r="M59" s="4" t="str">
        <f>IF(entities[[#This Row],[friendly_name]]&lt;&gt;"",2,"")</f>
        <v/>
      </c>
      <c r="N59" s="4" t="str">
        <f>IF(entities[[#This Row],[emulated_hue:]]&lt;&gt;"",3,"")</f>
        <v/>
      </c>
      <c r="O59" s="4" t="str">
        <f>IF(entities[[#This Row],[emulated_hue_name: ]]&lt;&gt;"",4,"")</f>
        <v/>
      </c>
      <c r="P59" s="4" t="str">
        <f>IF(entities[[#This Row],[entity_picture]]&lt;&gt;"",5,"")</f>
        <v/>
      </c>
      <c r="Q59" s="4">
        <f>IF(entities[[#This Row],[icon]]&lt;&gt;"",6,"")</f>
        <v>6</v>
      </c>
      <c r="R59" s="4" t="str">
        <f>CONCATENATE(entities[[#This Row],[1]],entities[[#This Row],[2]],entities[[#This Row],[3]],entities[[#This Row],[4]],entities[[#This Row],[5]],entities[[#This Row],[6]])</f>
        <v>6</v>
      </c>
      <c r="S59">
        <f>6-COUNTBLANK(entities[[#This Row],[hidden]:[icon]])</f>
        <v>1</v>
      </c>
      <c r="T59">
        <f>IF(entities[[#This Row],[Num Attributes]]=0,"",
COUNTIFS(entities[Num Attributes],"&gt;0",entities[entity_id],"&lt;="&amp;entities[[#This Row],[entity_id]]))</f>
        <v>44</v>
      </c>
      <c r="U59" t="str">
        <f t="array" ref="U59">IFERROR(INDEX(cards[object_id],SMALL(IF(cards[[1]:[25]]=entities[[#This Row],[entity_id]],ROW(cards[])-7,99^99),1)),"")</f>
        <v>phones</v>
      </c>
      <c r="V59" t="str">
        <f>IF(entities[[#This Row],[In ''States'' tab?]]&lt;&gt;"ok",  "Not in Home Assistant",
IF(entities[[#This Row],[hidden]]="true",  "Hidden",
IF(entities[[#This Row],[Card]]&lt;&gt;"",
INDEX(cards[name],MATCH(entities[[#This Row],[Card]],cards[object_id],0)),  "Badge / automatic card")))</f>
        <v>LAN || Phones</v>
      </c>
      <c r="W59" t="str">
        <f>IF(entities[[#This Row],[Card]]&lt;&gt;"","group."&amp;entities[[#This Row],[Card]],"")</f>
        <v>group.phones</v>
      </c>
      <c r="AD59"/>
    </row>
    <row r="60" spans="2:30" x14ac:dyDescent="0.25">
      <c r="B60" t="s">
        <v>159</v>
      </c>
      <c r="C60" t="s">
        <v>179</v>
      </c>
      <c r="I60" t="s">
        <v>259</v>
      </c>
      <c r="J60" s="4" t="str">
        <f>IF(COUNTIF(Table4[Entity],entities[[#This Row],[entity_id]]),"ok","missing from States tab")</f>
        <v>ok</v>
      </c>
      <c r="K60" t="str">
        <f>entities[[#This Row],[domain]]&amp;"."&amp;entities[[#This Row],[object_id]]</f>
        <v>device_tracker.tank</v>
      </c>
      <c r="L60" s="4" t="str">
        <f>IF(entities[[#This Row],[hidden]]&lt;&gt;"",1,"")</f>
        <v/>
      </c>
      <c r="M60" s="4" t="str">
        <f>IF(entities[[#This Row],[friendly_name]]&lt;&gt;"",2,"")</f>
        <v/>
      </c>
      <c r="N60" s="4" t="str">
        <f>IF(entities[[#This Row],[emulated_hue:]]&lt;&gt;"",3,"")</f>
        <v/>
      </c>
      <c r="O60" s="4" t="str">
        <f>IF(entities[[#This Row],[emulated_hue_name: ]]&lt;&gt;"",4,"")</f>
        <v/>
      </c>
      <c r="P60" s="4" t="str">
        <f>IF(entities[[#This Row],[entity_picture]]&lt;&gt;"",5,"")</f>
        <v/>
      </c>
      <c r="Q60" s="4">
        <f>IF(entities[[#This Row],[icon]]&lt;&gt;"",6,"")</f>
        <v>6</v>
      </c>
      <c r="R60" s="4" t="str">
        <f>CONCATENATE(entities[[#This Row],[1]],entities[[#This Row],[2]],entities[[#This Row],[3]],entities[[#This Row],[4]],entities[[#This Row],[5]],entities[[#This Row],[6]])</f>
        <v>6</v>
      </c>
      <c r="S60">
        <f>6-COUNTBLANK(entities[[#This Row],[hidden]:[icon]])</f>
        <v>1</v>
      </c>
      <c r="T60">
        <f>IF(entities[[#This Row],[Num Attributes]]=0,"",
COUNTIFS(entities[Num Attributes],"&gt;0",entities[entity_id],"&lt;="&amp;entities[[#This Row],[entity_id]]))</f>
        <v>45</v>
      </c>
      <c r="U60" t="str">
        <f t="array" ref="U60">IFERROR(INDEX(cards[object_id],SMALL(IF(cards[[1]:[25]]=entities[[#This Row],[entity_id]],ROW(cards[])-7,99^99),1)),"")</f>
        <v>personal_devices</v>
      </c>
      <c r="V60" t="str">
        <f>IF(entities[[#This Row],[In ''States'' tab?]]&lt;&gt;"ok",  "Not in Home Assistant",
IF(entities[[#This Row],[hidden]]="true",  "Hidden",
IF(entities[[#This Row],[Card]]&lt;&gt;"",
INDEX(cards[name],MATCH(entities[[#This Row],[Card]],cards[object_id],0)),  "Badge / automatic card")))</f>
        <v>LAN || Computers</v>
      </c>
      <c r="W60" t="str">
        <f>IF(entities[[#This Row],[Card]]&lt;&gt;"","group."&amp;entities[[#This Row],[Card]],"")</f>
        <v>group.personal_devices</v>
      </c>
      <c r="AD60"/>
    </row>
    <row r="61" spans="2:30" x14ac:dyDescent="0.25">
      <c r="B61" t="s">
        <v>159</v>
      </c>
      <c r="C61" t="s">
        <v>180</v>
      </c>
      <c r="I61" t="s">
        <v>11</v>
      </c>
      <c r="J61" s="4" t="str">
        <f>IF(COUNTIF(Table4[Entity],entities[[#This Row],[entity_id]]),"ok","missing from States tab")</f>
        <v>ok</v>
      </c>
      <c r="K61" t="str">
        <f>entities[[#This Row],[domain]]&amp;"."&amp;entities[[#This Row],[object_id]]</f>
        <v>device_tracker.tplink_switch</v>
      </c>
      <c r="L61" s="4" t="str">
        <f>IF(entities[[#This Row],[hidden]]&lt;&gt;"",1,"")</f>
        <v/>
      </c>
      <c r="M61" s="4" t="str">
        <f>IF(entities[[#This Row],[friendly_name]]&lt;&gt;"",2,"")</f>
        <v/>
      </c>
      <c r="N61" s="4" t="str">
        <f>IF(entities[[#This Row],[emulated_hue:]]&lt;&gt;"",3,"")</f>
        <v/>
      </c>
      <c r="O61" s="4" t="str">
        <f>IF(entities[[#This Row],[emulated_hue_name: ]]&lt;&gt;"",4,"")</f>
        <v/>
      </c>
      <c r="P61" s="4" t="str">
        <f>IF(entities[[#This Row],[entity_picture]]&lt;&gt;"",5,"")</f>
        <v/>
      </c>
      <c r="Q61" s="4" t="str">
        <f>IF(entities[[#This Row],[icon]]&lt;&gt;"",6,"")</f>
        <v/>
      </c>
      <c r="R61" s="4" t="str">
        <f>CONCATENATE(entities[[#This Row],[1]],entities[[#This Row],[2]],entities[[#This Row],[3]],entities[[#This Row],[4]],entities[[#This Row],[5]],entities[[#This Row],[6]])</f>
        <v/>
      </c>
      <c r="S61">
        <f>6-COUNTBLANK(entities[[#This Row],[hidden]:[icon]])</f>
        <v>0</v>
      </c>
      <c r="T61" t="str">
        <f>IF(entities[[#This Row],[Num Attributes]]=0,"",
COUNTIFS(entities[Num Attributes],"&gt;0",entities[entity_id],"&lt;="&amp;entities[[#This Row],[entity_id]]))</f>
        <v/>
      </c>
      <c r="U61" t="str">
        <f t="array" ref="U61">IFERROR(INDEX(cards[object_id],SMALL(IF(cards[[1]:[25]]=entities[[#This Row],[entity_id]],ROW(cards[])-7,99^99),1)),"")</f>
        <v/>
      </c>
      <c r="V61" t="str">
        <f>IF(entities[[#This Row],[In ''States'' tab?]]&lt;&gt;"ok",  "Not in Home Assistant",
IF(entities[[#This Row],[hidden]]="true",  "Hidden",
IF(entities[[#This Row],[Card]]&lt;&gt;"",
INDEX(cards[name],MATCH(entities[[#This Row],[Card]],cards[object_id],0)),  "Badge / automatic card")))</f>
        <v>Badge / automatic card</v>
      </c>
      <c r="W61" t="str">
        <f>IF(entities[[#This Row],[Card]]&lt;&gt;"","group."&amp;entities[[#This Row],[Card]],"")</f>
        <v/>
      </c>
      <c r="AD61"/>
    </row>
    <row r="62" spans="2:30" x14ac:dyDescent="0.25">
      <c r="B62" t="s">
        <v>159</v>
      </c>
      <c r="C62" t="s">
        <v>181</v>
      </c>
      <c r="I62" t="s">
        <v>11</v>
      </c>
      <c r="J62" s="4" t="str">
        <f>IF(COUNTIF(Table4[Entity],entities[[#This Row],[entity_id]]),"ok","missing from States tab")</f>
        <v>ok</v>
      </c>
      <c r="K62" t="str">
        <f>entities[[#This Row],[domain]]&amp;"."&amp;entities[[#This Row],[object_id]]</f>
        <v>device_tracker.vera_lite</v>
      </c>
      <c r="L62" s="4" t="str">
        <f>IF(entities[[#This Row],[hidden]]&lt;&gt;"",1,"")</f>
        <v/>
      </c>
      <c r="M62" s="4" t="str">
        <f>IF(entities[[#This Row],[friendly_name]]&lt;&gt;"",2,"")</f>
        <v/>
      </c>
      <c r="N62" s="4" t="str">
        <f>IF(entities[[#This Row],[emulated_hue:]]&lt;&gt;"",3,"")</f>
        <v/>
      </c>
      <c r="O62" s="4" t="str">
        <f>IF(entities[[#This Row],[emulated_hue_name: ]]&lt;&gt;"",4,"")</f>
        <v/>
      </c>
      <c r="P62" s="4" t="str">
        <f>IF(entities[[#This Row],[entity_picture]]&lt;&gt;"",5,"")</f>
        <v/>
      </c>
      <c r="Q62" s="4" t="str">
        <f>IF(entities[[#This Row],[icon]]&lt;&gt;"",6,"")</f>
        <v/>
      </c>
      <c r="R62" s="4" t="str">
        <f>CONCATENATE(entities[[#This Row],[1]],entities[[#This Row],[2]],entities[[#This Row],[3]],entities[[#This Row],[4]],entities[[#This Row],[5]],entities[[#This Row],[6]])</f>
        <v/>
      </c>
      <c r="S62">
        <f>6-COUNTBLANK(entities[[#This Row],[hidden]:[icon]])</f>
        <v>0</v>
      </c>
      <c r="T62" t="str">
        <f>IF(entities[[#This Row],[Num Attributes]]=0,"",
COUNTIFS(entities[Num Attributes],"&gt;0",entities[entity_id],"&lt;="&amp;entities[[#This Row],[entity_id]]))</f>
        <v/>
      </c>
      <c r="U62" t="str">
        <f t="array" ref="U62">IFERROR(INDEX(cards[object_id],SMALL(IF(cards[[1]:[25]]=entities[[#This Row],[entity_id]],ROW(cards[])-7,99^99),1)),"")</f>
        <v>iot_devices</v>
      </c>
      <c r="V62" t="str">
        <f>IF(entities[[#This Row],[In ''States'' tab?]]&lt;&gt;"ok",  "Not in Home Assistant",
IF(entities[[#This Row],[hidden]]="true",  "Hidden",
IF(entities[[#This Row],[Card]]&lt;&gt;"",
INDEX(cards[name],MATCH(entities[[#This Row],[Card]],cards[object_id],0)),  "Badge / automatic card")))</f>
        <v>LAN || IoT</v>
      </c>
      <c r="W62" t="str">
        <f>IF(entities[[#This Row],[Card]]&lt;&gt;"","group."&amp;entities[[#This Row],[Card]],"")</f>
        <v>group.iot_devices</v>
      </c>
      <c r="AD62"/>
    </row>
    <row r="63" spans="2:30" x14ac:dyDescent="0.25">
      <c r="B63" t="s">
        <v>159</v>
      </c>
      <c r="C63" t="s">
        <v>182</v>
      </c>
      <c r="I63" t="s">
        <v>260</v>
      </c>
      <c r="J63" s="4" t="str">
        <f>IF(COUNTIF(Table4[Entity],entities[[#This Row],[entity_id]]),"ok","missing from States tab")</f>
        <v>ok</v>
      </c>
      <c r="K63" t="str">
        <f>entities[[#This Row],[domain]]&amp;"."&amp;entities[[#This Row],[object_id]]</f>
        <v>device_tracker.wf2ir</v>
      </c>
      <c r="L63" s="4" t="str">
        <f>IF(entities[[#This Row],[hidden]]&lt;&gt;"",1,"")</f>
        <v/>
      </c>
      <c r="M63" s="4" t="str">
        <f>IF(entities[[#This Row],[friendly_name]]&lt;&gt;"",2,"")</f>
        <v/>
      </c>
      <c r="N63" s="4" t="str">
        <f>IF(entities[[#This Row],[emulated_hue:]]&lt;&gt;"",3,"")</f>
        <v/>
      </c>
      <c r="O63" s="4" t="str">
        <f>IF(entities[[#This Row],[emulated_hue_name: ]]&lt;&gt;"",4,"")</f>
        <v/>
      </c>
      <c r="P63" s="4" t="str">
        <f>IF(entities[[#This Row],[entity_picture]]&lt;&gt;"",5,"")</f>
        <v/>
      </c>
      <c r="Q63" s="4">
        <f>IF(entities[[#This Row],[icon]]&lt;&gt;"",6,"")</f>
        <v>6</v>
      </c>
      <c r="R63" s="4" t="str">
        <f>CONCATENATE(entities[[#This Row],[1]],entities[[#This Row],[2]],entities[[#This Row],[3]],entities[[#This Row],[4]],entities[[#This Row],[5]],entities[[#This Row],[6]])</f>
        <v>6</v>
      </c>
      <c r="S63">
        <f>6-COUNTBLANK(entities[[#This Row],[hidden]:[icon]])</f>
        <v>1</v>
      </c>
      <c r="T63">
        <f>IF(entities[[#This Row],[Num Attributes]]=0,"",
COUNTIFS(entities[Num Attributes],"&gt;0",entities[entity_id],"&lt;="&amp;entities[[#This Row],[entity_id]]))</f>
        <v>46</v>
      </c>
      <c r="U63" t="str">
        <f t="array" ref="U63">IFERROR(INDEX(cards[object_id],SMALL(IF(cards[[1]:[25]]=entities[[#This Row],[entity_id]],ROW(cards[])-7,99^99),1)),"")</f>
        <v>iot_devices</v>
      </c>
      <c r="V63" t="str">
        <f>IF(entities[[#This Row],[In ''States'' tab?]]&lt;&gt;"ok",  "Not in Home Assistant",
IF(entities[[#This Row],[hidden]]="true",  "Hidden",
IF(entities[[#This Row],[Card]]&lt;&gt;"",
INDEX(cards[name],MATCH(entities[[#This Row],[Card]],cards[object_id],0)),  "Badge / automatic card")))</f>
        <v>LAN || IoT</v>
      </c>
      <c r="W63" t="str">
        <f>IF(entities[[#This Row],[Card]]&lt;&gt;"","group."&amp;entities[[#This Row],[Card]],"")</f>
        <v>group.iot_devices</v>
      </c>
      <c r="AD63"/>
    </row>
    <row r="64" spans="2:30" x14ac:dyDescent="0.25">
      <c r="B64" t="s">
        <v>159</v>
      </c>
      <c r="C64" t="s">
        <v>183</v>
      </c>
      <c r="I64" t="s">
        <v>261</v>
      </c>
      <c r="J64" s="4" t="str">
        <f>IF(COUNTIF(Table4[Entity],entities[[#This Row],[entity_id]]),"ok","missing from States tab")</f>
        <v>ok</v>
      </c>
      <c r="K64" t="str">
        <f>entities[[#This Row],[domain]]&amp;"."&amp;entities[[#This Row],[object_id]]</f>
        <v>device_tracker.withings_scale</v>
      </c>
      <c r="L64" s="4" t="str">
        <f>IF(entities[[#This Row],[hidden]]&lt;&gt;"",1,"")</f>
        <v/>
      </c>
      <c r="M64" s="4" t="str">
        <f>IF(entities[[#This Row],[friendly_name]]&lt;&gt;"",2,"")</f>
        <v/>
      </c>
      <c r="N64" s="4" t="str">
        <f>IF(entities[[#This Row],[emulated_hue:]]&lt;&gt;"",3,"")</f>
        <v/>
      </c>
      <c r="O64" s="4" t="str">
        <f>IF(entities[[#This Row],[emulated_hue_name: ]]&lt;&gt;"",4,"")</f>
        <v/>
      </c>
      <c r="P64" s="4" t="str">
        <f>IF(entities[[#This Row],[entity_picture]]&lt;&gt;"",5,"")</f>
        <v/>
      </c>
      <c r="Q64" s="4">
        <f>IF(entities[[#This Row],[icon]]&lt;&gt;"",6,"")</f>
        <v>6</v>
      </c>
      <c r="R64" s="4" t="str">
        <f>CONCATENATE(entities[[#This Row],[1]],entities[[#This Row],[2]],entities[[#This Row],[3]],entities[[#This Row],[4]],entities[[#This Row],[5]],entities[[#This Row],[6]])</f>
        <v>6</v>
      </c>
      <c r="S64">
        <f>6-COUNTBLANK(entities[[#This Row],[hidden]:[icon]])</f>
        <v>1</v>
      </c>
      <c r="T64">
        <f>IF(entities[[#This Row],[Num Attributes]]=0,"",
COUNTIFS(entities[Num Attributes],"&gt;0",entities[entity_id],"&lt;="&amp;entities[[#This Row],[entity_id]]))</f>
        <v>47</v>
      </c>
      <c r="U64" t="str">
        <f t="array" ref="U64">IFERROR(INDEX(cards[object_id],SMALL(IF(cards[[1]:[25]]=entities[[#This Row],[entity_id]],ROW(cards[])-7,99^99),1)),"")</f>
        <v>iot_devices</v>
      </c>
      <c r="V64" t="str">
        <f>IF(entities[[#This Row],[In ''States'' tab?]]&lt;&gt;"ok",  "Not in Home Assistant",
IF(entities[[#This Row],[hidden]]="true",  "Hidden",
IF(entities[[#This Row],[Card]]&lt;&gt;"",
INDEX(cards[name],MATCH(entities[[#This Row],[Card]],cards[object_id],0)),  "Badge / automatic card")))</f>
        <v>LAN || IoT</v>
      </c>
      <c r="W64" t="str">
        <f>IF(entities[[#This Row],[Card]]&lt;&gt;"","group."&amp;entities[[#This Row],[Card]],"")</f>
        <v>group.iot_devices</v>
      </c>
      <c r="AD64"/>
    </row>
    <row r="65" spans="2:30" x14ac:dyDescent="0.25">
      <c r="B65" t="s">
        <v>700</v>
      </c>
      <c r="C65" t="s">
        <v>585</v>
      </c>
      <c r="J65" s="4" t="str">
        <f>IF(COUNTIF(Table4[Entity],entities[[#This Row],[entity_id]]),"ok","missing from States tab")</f>
        <v>ok</v>
      </c>
      <c r="K65" s="4" t="str">
        <f>entities[[#This Row],[domain]]&amp;"."&amp;entities[[#This Row],[object_id]]</f>
        <v>group.alarm_clock</v>
      </c>
      <c r="L65" s="4" t="str">
        <f>IF(entities[[#This Row],[hidden]]&lt;&gt;"",1,"")</f>
        <v/>
      </c>
      <c r="M65" s="4" t="str">
        <f>IF(entities[[#This Row],[friendly_name]]&lt;&gt;"",2,"")</f>
        <v/>
      </c>
      <c r="N65" s="4" t="str">
        <f>IF(entities[[#This Row],[emulated_hue:]]&lt;&gt;"",3,"")</f>
        <v/>
      </c>
      <c r="O65" s="4" t="str">
        <f>IF(entities[[#This Row],[emulated_hue_name: ]]&lt;&gt;"",4,"")</f>
        <v/>
      </c>
      <c r="P65" s="4" t="str">
        <f>IF(entities[[#This Row],[entity_picture]]&lt;&gt;"",5,"")</f>
        <v/>
      </c>
      <c r="Q65" s="4" t="str">
        <f>IF(entities[[#This Row],[icon]]&lt;&gt;"",6,"")</f>
        <v/>
      </c>
      <c r="R65" s="4" t="str">
        <f>CONCATENATE(entities[[#This Row],[1]],entities[[#This Row],[2]],entities[[#This Row],[3]],entities[[#This Row],[4]],entities[[#This Row],[5]],entities[[#This Row],[6]])</f>
        <v/>
      </c>
      <c r="S65" s="4">
        <f>6-COUNTBLANK(entities[[#This Row],[hidden]:[icon]])</f>
        <v>0</v>
      </c>
      <c r="T65" s="4" t="str">
        <f>IF(entities[[#This Row],[Num Attributes]]=0,"",
COUNTIFS(entities[Num Attributes],"&gt;0",entities[entity_id],"&lt;="&amp;entities[[#This Row],[entity_id]]))</f>
        <v/>
      </c>
      <c r="U65" s="4" t="str">
        <f t="array" ref="U65">IFERROR(INDEX(cards[object_id],SMALL(IF(cards[[1]:[25]]=entities[[#This Row],[entity_id]],ROW(cards[])-7,99^99),1)),"")</f>
        <v>default_view</v>
      </c>
      <c r="V65" s="4">
        <f>IF(entities[[#This Row],[In ''States'' tab?]]&lt;&gt;"ok",  "Not in Home Assistant",
IF(entities[[#This Row],[hidden]]="true",  "Hidden",
IF(entities[[#This Row],[Card]]&lt;&gt;"",
INDEX(cards[name],MATCH(entities[[#This Row],[Card]],cards[object_id],0)),  "Badge / automatic card")))</f>
        <v>0</v>
      </c>
      <c r="W65" s="4" t="str">
        <f>IF(entities[[#This Row],[Card]]&lt;&gt;"","group."&amp;entities[[#This Row],[Card]],"")</f>
        <v>group.default_view</v>
      </c>
      <c r="AD65"/>
    </row>
    <row r="66" spans="2:30" x14ac:dyDescent="0.25">
      <c r="B66" t="s">
        <v>700</v>
      </c>
      <c r="C66" t="s">
        <v>701</v>
      </c>
      <c r="J66" s="4" t="str">
        <f>IF(COUNTIF(Table4[Entity],entities[[#This Row],[entity_id]]),"ok","missing from States tab")</f>
        <v>ok</v>
      </c>
      <c r="K66" s="4" t="str">
        <f>entities[[#This Row],[domain]]&amp;"."&amp;entities[[#This Row],[object_id]]</f>
        <v>group.all_automations</v>
      </c>
      <c r="L66" s="4" t="str">
        <f>IF(entities[[#This Row],[hidden]]&lt;&gt;"",1,"")</f>
        <v/>
      </c>
      <c r="M66" s="4" t="str">
        <f>IF(entities[[#This Row],[friendly_name]]&lt;&gt;"",2,"")</f>
        <v/>
      </c>
      <c r="N66" s="4" t="str">
        <f>IF(entities[[#This Row],[emulated_hue:]]&lt;&gt;"",3,"")</f>
        <v/>
      </c>
      <c r="O66" s="4" t="str">
        <f>IF(entities[[#This Row],[emulated_hue_name: ]]&lt;&gt;"",4,"")</f>
        <v/>
      </c>
      <c r="P66" s="4" t="str">
        <f>IF(entities[[#This Row],[entity_picture]]&lt;&gt;"",5,"")</f>
        <v/>
      </c>
      <c r="Q66" s="4" t="str">
        <f>IF(entities[[#This Row],[icon]]&lt;&gt;"",6,"")</f>
        <v/>
      </c>
      <c r="R66" s="4" t="str">
        <f>CONCATENATE(entities[[#This Row],[1]],entities[[#This Row],[2]],entities[[#This Row],[3]],entities[[#This Row],[4]],entities[[#This Row],[5]],entities[[#This Row],[6]])</f>
        <v/>
      </c>
      <c r="S66" s="4">
        <f>6-COUNTBLANK(entities[[#This Row],[hidden]:[icon]])</f>
        <v>0</v>
      </c>
      <c r="T66" s="4" t="str">
        <f>IF(entities[[#This Row],[Num Attributes]]=0,"",
COUNTIFS(entities[Num Attributes],"&gt;0",entities[entity_id],"&lt;="&amp;entities[[#This Row],[entity_id]]))</f>
        <v/>
      </c>
      <c r="U66" s="4" t="str">
        <f t="array" ref="U66">IFERROR(INDEX(cards[object_id],SMALL(IF(cards[[1]:[25]]=entities[[#This Row],[entity_id]],ROW(cards[])-7,99^99),1)),"")</f>
        <v/>
      </c>
      <c r="V66" s="4" t="str">
        <f>IF(entities[[#This Row],[In ''States'' tab?]]&lt;&gt;"ok",  "Not in Home Assistant",
IF(entities[[#This Row],[hidden]]="true",  "Hidden",
IF(entities[[#This Row],[Card]]&lt;&gt;"",
INDEX(cards[name],MATCH(entities[[#This Row],[Card]],cards[object_id],0)),  "Badge / automatic card")))</f>
        <v>Badge / automatic card</v>
      </c>
      <c r="W66" s="4" t="str">
        <f>IF(entities[[#This Row],[Card]]&lt;&gt;"","group."&amp;entities[[#This Row],[Card]],"")</f>
        <v/>
      </c>
      <c r="AD66"/>
    </row>
    <row r="67" spans="2:30" x14ac:dyDescent="0.25">
      <c r="B67" t="s">
        <v>700</v>
      </c>
      <c r="C67" t="s">
        <v>702</v>
      </c>
      <c r="J67" s="4" t="str">
        <f>IF(COUNTIF(Table4[Entity],entities[[#This Row],[entity_id]]),"ok","missing from States tab")</f>
        <v>ok</v>
      </c>
      <c r="K67" s="4" t="str">
        <f>entities[[#This Row],[domain]]&amp;"."&amp;entities[[#This Row],[object_id]]</f>
        <v>group.all_devices</v>
      </c>
      <c r="L67" s="4" t="str">
        <f>IF(entities[[#This Row],[hidden]]&lt;&gt;"",1,"")</f>
        <v/>
      </c>
      <c r="M67" s="4" t="str">
        <f>IF(entities[[#This Row],[friendly_name]]&lt;&gt;"",2,"")</f>
        <v/>
      </c>
      <c r="N67" s="4" t="str">
        <f>IF(entities[[#This Row],[emulated_hue:]]&lt;&gt;"",3,"")</f>
        <v/>
      </c>
      <c r="O67" s="4" t="str">
        <f>IF(entities[[#This Row],[emulated_hue_name: ]]&lt;&gt;"",4,"")</f>
        <v/>
      </c>
      <c r="P67" s="4" t="str">
        <f>IF(entities[[#This Row],[entity_picture]]&lt;&gt;"",5,"")</f>
        <v/>
      </c>
      <c r="Q67" s="4" t="str">
        <f>IF(entities[[#This Row],[icon]]&lt;&gt;"",6,"")</f>
        <v/>
      </c>
      <c r="R67" s="4" t="str">
        <f>CONCATENATE(entities[[#This Row],[1]],entities[[#This Row],[2]],entities[[#This Row],[3]],entities[[#This Row],[4]],entities[[#This Row],[5]],entities[[#This Row],[6]])</f>
        <v/>
      </c>
      <c r="S67" s="4">
        <f>6-COUNTBLANK(entities[[#This Row],[hidden]:[icon]])</f>
        <v>0</v>
      </c>
      <c r="T67" s="4" t="str">
        <f>IF(entities[[#This Row],[Num Attributes]]=0,"",
COUNTIFS(entities[Num Attributes],"&gt;0",entities[entity_id],"&lt;="&amp;entities[[#This Row],[entity_id]]))</f>
        <v/>
      </c>
      <c r="U67" s="4" t="str">
        <f t="array" ref="U67">IFERROR(INDEX(cards[object_id],SMALL(IF(cards[[1]:[25]]=entities[[#This Row],[entity_id]],ROW(cards[])-7,99^99),1)),"")</f>
        <v/>
      </c>
      <c r="V67" s="4" t="str">
        <f>IF(entities[[#This Row],[In ''States'' tab?]]&lt;&gt;"ok",  "Not in Home Assistant",
IF(entities[[#This Row],[hidden]]="true",  "Hidden",
IF(entities[[#This Row],[Card]]&lt;&gt;"",
INDEX(cards[name],MATCH(entities[[#This Row],[Card]],cards[object_id],0)),  "Badge / automatic card")))</f>
        <v>Badge / automatic card</v>
      </c>
      <c r="W67" s="4" t="str">
        <f>IF(entities[[#This Row],[Card]]&lt;&gt;"","group."&amp;entities[[#This Row],[Card]],"")</f>
        <v/>
      </c>
      <c r="AD67"/>
    </row>
    <row r="68" spans="2:30" x14ac:dyDescent="0.25">
      <c r="B68" t="s">
        <v>700</v>
      </c>
      <c r="C68" t="s">
        <v>703</v>
      </c>
      <c r="J68" s="4" t="str">
        <f>IF(COUNTIF(Table4[Entity],entities[[#This Row],[entity_id]]),"ok","missing from States tab")</f>
        <v>ok</v>
      </c>
      <c r="K68" s="4" t="str">
        <f>entities[[#This Row],[domain]]&amp;"."&amp;entities[[#This Row],[object_id]]</f>
        <v>group.all_lights</v>
      </c>
      <c r="L68" s="4" t="str">
        <f>IF(entities[[#This Row],[hidden]]&lt;&gt;"",1,"")</f>
        <v/>
      </c>
      <c r="M68" s="4" t="str">
        <f>IF(entities[[#This Row],[friendly_name]]&lt;&gt;"",2,"")</f>
        <v/>
      </c>
      <c r="N68" s="4" t="str">
        <f>IF(entities[[#This Row],[emulated_hue:]]&lt;&gt;"",3,"")</f>
        <v/>
      </c>
      <c r="O68" s="4" t="str">
        <f>IF(entities[[#This Row],[emulated_hue_name: ]]&lt;&gt;"",4,"")</f>
        <v/>
      </c>
      <c r="P68" s="4" t="str">
        <f>IF(entities[[#This Row],[entity_picture]]&lt;&gt;"",5,"")</f>
        <v/>
      </c>
      <c r="Q68" s="4" t="str">
        <f>IF(entities[[#This Row],[icon]]&lt;&gt;"",6,"")</f>
        <v/>
      </c>
      <c r="R68" s="4" t="str">
        <f>CONCATENATE(entities[[#This Row],[1]],entities[[#This Row],[2]],entities[[#This Row],[3]],entities[[#This Row],[4]],entities[[#This Row],[5]],entities[[#This Row],[6]])</f>
        <v/>
      </c>
      <c r="S68" s="4">
        <f>6-COUNTBLANK(entities[[#This Row],[hidden]:[icon]])</f>
        <v>0</v>
      </c>
      <c r="T68" s="4" t="str">
        <f>IF(entities[[#This Row],[Num Attributes]]=0,"",
COUNTIFS(entities[Num Attributes],"&gt;0",entities[entity_id],"&lt;="&amp;entities[[#This Row],[entity_id]]))</f>
        <v/>
      </c>
      <c r="U68" s="4" t="str">
        <f t="array" ref="U68">IFERROR(INDEX(cards[object_id],SMALL(IF(cards[[1]:[25]]=entities[[#This Row],[entity_id]],ROW(cards[])-7,99^99),1)),"")</f>
        <v/>
      </c>
      <c r="V68" s="4" t="str">
        <f>IF(entities[[#This Row],[In ''States'' tab?]]&lt;&gt;"ok",  "Not in Home Assistant",
IF(entities[[#This Row],[hidden]]="true",  "Hidden",
IF(entities[[#This Row],[Card]]&lt;&gt;"",
INDEX(cards[name],MATCH(entities[[#This Row],[Card]],cards[object_id],0)),  "Badge / automatic card")))</f>
        <v>Badge / automatic card</v>
      </c>
      <c r="W68" s="4" t="str">
        <f>IF(entities[[#This Row],[Card]]&lt;&gt;"","group."&amp;entities[[#This Row],[Card]],"")</f>
        <v/>
      </c>
      <c r="AD68"/>
    </row>
    <row r="69" spans="2:30" x14ac:dyDescent="0.25">
      <c r="B69" t="s">
        <v>700</v>
      </c>
      <c r="C69" t="s">
        <v>704</v>
      </c>
      <c r="J69" s="4" t="str">
        <f>IF(COUNTIF(Table4[Entity],entities[[#This Row],[entity_id]]),"ok","missing from States tab")</f>
        <v>ok</v>
      </c>
      <c r="K69" s="4" t="str">
        <f>entities[[#This Row],[domain]]&amp;"."&amp;entities[[#This Row],[object_id]]</f>
        <v>group.all_remotes</v>
      </c>
      <c r="L69" s="4" t="str">
        <f>IF(entities[[#This Row],[hidden]]&lt;&gt;"",1,"")</f>
        <v/>
      </c>
      <c r="M69" s="4" t="str">
        <f>IF(entities[[#This Row],[friendly_name]]&lt;&gt;"",2,"")</f>
        <v/>
      </c>
      <c r="N69" s="4" t="str">
        <f>IF(entities[[#This Row],[emulated_hue:]]&lt;&gt;"",3,"")</f>
        <v/>
      </c>
      <c r="O69" s="4" t="str">
        <f>IF(entities[[#This Row],[emulated_hue_name: ]]&lt;&gt;"",4,"")</f>
        <v/>
      </c>
      <c r="P69" s="4" t="str">
        <f>IF(entities[[#This Row],[entity_picture]]&lt;&gt;"",5,"")</f>
        <v/>
      </c>
      <c r="Q69" s="4" t="str">
        <f>IF(entities[[#This Row],[icon]]&lt;&gt;"",6,"")</f>
        <v/>
      </c>
      <c r="R69" s="4" t="str">
        <f>CONCATENATE(entities[[#This Row],[1]],entities[[#This Row],[2]],entities[[#This Row],[3]],entities[[#This Row],[4]],entities[[#This Row],[5]],entities[[#This Row],[6]])</f>
        <v/>
      </c>
      <c r="S69" s="4">
        <f>6-COUNTBLANK(entities[[#This Row],[hidden]:[icon]])</f>
        <v>0</v>
      </c>
      <c r="T69" s="4" t="str">
        <f>IF(entities[[#This Row],[Num Attributes]]=0,"",
COUNTIFS(entities[Num Attributes],"&gt;0",entities[entity_id],"&lt;="&amp;entities[[#This Row],[entity_id]]))</f>
        <v/>
      </c>
      <c r="U69" s="4" t="str">
        <f t="array" ref="U69">IFERROR(INDEX(cards[object_id],SMALL(IF(cards[[1]:[25]]=entities[[#This Row],[entity_id]],ROW(cards[])-7,99^99),1)),"")</f>
        <v/>
      </c>
      <c r="V69" s="4" t="str">
        <f>IF(entities[[#This Row],[In ''States'' tab?]]&lt;&gt;"ok",  "Not in Home Assistant",
IF(entities[[#This Row],[hidden]]="true",  "Hidden",
IF(entities[[#This Row],[Card]]&lt;&gt;"",
INDEX(cards[name],MATCH(entities[[#This Row],[Card]],cards[object_id],0)),  "Badge / automatic card")))</f>
        <v>Badge / automatic card</v>
      </c>
      <c r="W69" s="4" t="str">
        <f>IF(entities[[#This Row],[Card]]&lt;&gt;"","group."&amp;entities[[#This Row],[Card]],"")</f>
        <v/>
      </c>
      <c r="AD69"/>
    </row>
    <row r="70" spans="2:30" x14ac:dyDescent="0.25">
      <c r="B70" t="s">
        <v>700</v>
      </c>
      <c r="C70" t="s">
        <v>705</v>
      </c>
      <c r="J70" s="4" t="str">
        <f>IF(COUNTIF(Table4[Entity],entities[[#This Row],[entity_id]]),"ok","missing from States tab")</f>
        <v>ok</v>
      </c>
      <c r="K70" s="4" t="str">
        <f>entities[[#This Row],[domain]]&amp;"."&amp;entities[[#This Row],[object_id]]</f>
        <v>group.all_scripts</v>
      </c>
      <c r="L70" s="4" t="str">
        <f>IF(entities[[#This Row],[hidden]]&lt;&gt;"",1,"")</f>
        <v/>
      </c>
      <c r="M70" s="4" t="str">
        <f>IF(entities[[#This Row],[friendly_name]]&lt;&gt;"",2,"")</f>
        <v/>
      </c>
      <c r="N70" s="4" t="str">
        <f>IF(entities[[#This Row],[emulated_hue:]]&lt;&gt;"",3,"")</f>
        <v/>
      </c>
      <c r="O70" s="4" t="str">
        <f>IF(entities[[#This Row],[emulated_hue_name: ]]&lt;&gt;"",4,"")</f>
        <v/>
      </c>
      <c r="P70" s="4" t="str">
        <f>IF(entities[[#This Row],[entity_picture]]&lt;&gt;"",5,"")</f>
        <v/>
      </c>
      <c r="Q70" s="4" t="str">
        <f>IF(entities[[#This Row],[icon]]&lt;&gt;"",6,"")</f>
        <v/>
      </c>
      <c r="R70" s="4" t="str">
        <f>CONCATENATE(entities[[#This Row],[1]],entities[[#This Row],[2]],entities[[#This Row],[3]],entities[[#This Row],[4]],entities[[#This Row],[5]],entities[[#This Row],[6]])</f>
        <v/>
      </c>
      <c r="S70" s="4">
        <f>6-COUNTBLANK(entities[[#This Row],[hidden]:[icon]])</f>
        <v>0</v>
      </c>
      <c r="T70" s="4" t="str">
        <f>IF(entities[[#This Row],[Num Attributes]]=0,"",
COUNTIFS(entities[Num Attributes],"&gt;0",entities[entity_id],"&lt;="&amp;entities[[#This Row],[entity_id]]))</f>
        <v/>
      </c>
      <c r="U70" s="4" t="str">
        <f t="array" ref="U70">IFERROR(INDEX(cards[object_id],SMALL(IF(cards[[1]:[25]]=entities[[#This Row],[entity_id]],ROW(cards[])-7,99^99),1)),"")</f>
        <v/>
      </c>
      <c r="V70" s="4" t="str">
        <f>IF(entities[[#This Row],[In ''States'' tab?]]&lt;&gt;"ok",  "Not in Home Assistant",
IF(entities[[#This Row],[hidden]]="true",  "Hidden",
IF(entities[[#This Row],[Card]]&lt;&gt;"",
INDEX(cards[name],MATCH(entities[[#This Row],[Card]],cards[object_id],0)),  "Badge / automatic card")))</f>
        <v>Badge / automatic card</v>
      </c>
      <c r="W70" s="4" t="str">
        <f>IF(entities[[#This Row],[Card]]&lt;&gt;"","group."&amp;entities[[#This Row],[Card]],"")</f>
        <v/>
      </c>
      <c r="AD70"/>
    </row>
    <row r="71" spans="2:30" x14ac:dyDescent="0.25">
      <c r="B71" t="s">
        <v>700</v>
      </c>
      <c r="C71" t="s">
        <v>706</v>
      </c>
      <c r="J71" s="4" t="str">
        <f>IF(COUNTIF(Table4[Entity],entities[[#This Row],[entity_id]]),"ok","missing from States tab")</f>
        <v>ok</v>
      </c>
      <c r="K71" s="4" t="str">
        <f>entities[[#This Row],[domain]]&amp;"."&amp;entities[[#This Row],[object_id]]</f>
        <v>group.all_switches</v>
      </c>
      <c r="L71" s="4" t="str">
        <f>IF(entities[[#This Row],[hidden]]&lt;&gt;"",1,"")</f>
        <v/>
      </c>
      <c r="M71" s="4" t="str">
        <f>IF(entities[[#This Row],[friendly_name]]&lt;&gt;"",2,"")</f>
        <v/>
      </c>
      <c r="N71" s="4" t="str">
        <f>IF(entities[[#This Row],[emulated_hue:]]&lt;&gt;"",3,"")</f>
        <v/>
      </c>
      <c r="O71" s="4" t="str">
        <f>IF(entities[[#This Row],[emulated_hue_name: ]]&lt;&gt;"",4,"")</f>
        <v/>
      </c>
      <c r="P71" s="4" t="str">
        <f>IF(entities[[#This Row],[entity_picture]]&lt;&gt;"",5,"")</f>
        <v/>
      </c>
      <c r="Q71" s="4" t="str">
        <f>IF(entities[[#This Row],[icon]]&lt;&gt;"",6,"")</f>
        <v/>
      </c>
      <c r="R71" s="4" t="str">
        <f>CONCATENATE(entities[[#This Row],[1]],entities[[#This Row],[2]],entities[[#This Row],[3]],entities[[#This Row],[4]],entities[[#This Row],[5]],entities[[#This Row],[6]])</f>
        <v/>
      </c>
      <c r="S71" s="4">
        <f>6-COUNTBLANK(entities[[#This Row],[hidden]:[icon]])</f>
        <v>0</v>
      </c>
      <c r="T71" s="4" t="str">
        <f>IF(entities[[#This Row],[Num Attributes]]=0,"",
COUNTIFS(entities[Num Attributes],"&gt;0",entities[entity_id],"&lt;="&amp;entities[[#This Row],[entity_id]]))</f>
        <v/>
      </c>
      <c r="U71" s="4" t="str">
        <f t="array" ref="U71">IFERROR(INDEX(cards[object_id],SMALL(IF(cards[[1]:[25]]=entities[[#This Row],[entity_id]],ROW(cards[])-7,99^99),1)),"")</f>
        <v/>
      </c>
      <c r="V71" s="4" t="str">
        <f>IF(entities[[#This Row],[In ''States'' tab?]]&lt;&gt;"ok",  "Not in Home Assistant",
IF(entities[[#This Row],[hidden]]="true",  "Hidden",
IF(entities[[#This Row],[Card]]&lt;&gt;"",
INDEX(cards[name],MATCH(entities[[#This Row],[Card]],cards[object_id],0)),  "Badge / automatic card")))</f>
        <v>Badge / automatic card</v>
      </c>
      <c r="W71" s="4" t="str">
        <f>IF(entities[[#This Row],[Card]]&lt;&gt;"","group."&amp;entities[[#This Row],[Card]],"")</f>
        <v/>
      </c>
      <c r="AD71"/>
    </row>
    <row r="72" spans="2:30" x14ac:dyDescent="0.25">
      <c r="B72" t="s">
        <v>700</v>
      </c>
      <c r="C72" t="s">
        <v>573</v>
      </c>
      <c r="D72" s="3" t="s">
        <v>243</v>
      </c>
      <c r="J72" s="4" t="str">
        <f>IF(COUNTIF(Table4[Entity],entities[[#This Row],[entity_id]]),"ok","missing from States tab")</f>
        <v>ok</v>
      </c>
      <c r="K72" s="4" t="str">
        <f>entities[[#This Row],[domain]]&amp;"."&amp;entities[[#This Row],[object_id]]</f>
        <v>group.automation_almclk</v>
      </c>
      <c r="L72" s="4">
        <f>IF(entities[[#This Row],[hidden]]&lt;&gt;"",1,"")</f>
        <v>1</v>
      </c>
      <c r="M72" s="4" t="str">
        <f>IF(entities[[#This Row],[friendly_name]]&lt;&gt;"",2,"")</f>
        <v/>
      </c>
      <c r="N72" s="4" t="str">
        <f>IF(entities[[#This Row],[emulated_hue:]]&lt;&gt;"",3,"")</f>
        <v/>
      </c>
      <c r="O72" s="4" t="str">
        <f>IF(entities[[#This Row],[emulated_hue_name: ]]&lt;&gt;"",4,"")</f>
        <v/>
      </c>
      <c r="P72" s="4" t="str">
        <f>IF(entities[[#This Row],[entity_picture]]&lt;&gt;"",5,"")</f>
        <v/>
      </c>
      <c r="Q72" s="4" t="str">
        <f>IF(entities[[#This Row],[icon]]&lt;&gt;"",6,"")</f>
        <v/>
      </c>
      <c r="R72" s="4" t="str">
        <f>CONCATENATE(entities[[#This Row],[1]],entities[[#This Row],[2]],entities[[#This Row],[3]],entities[[#This Row],[4]],entities[[#This Row],[5]],entities[[#This Row],[6]])</f>
        <v>1</v>
      </c>
      <c r="S72" s="4">
        <f>6-COUNTBLANK(entities[[#This Row],[hidden]:[icon]])</f>
        <v>1</v>
      </c>
      <c r="T72" s="4">
        <f>IF(entities[[#This Row],[Num Attributes]]=0,"",
COUNTIFS(entities[Num Attributes],"&gt;0",entities[entity_id],"&lt;="&amp;entities[[#This Row],[entity_id]]))</f>
        <v>48</v>
      </c>
      <c r="U72" s="4" t="str">
        <f t="array" ref="U72">IFERROR(INDEX(cards[object_id],SMALL(IF(cards[[1]:[25]]=entities[[#This Row],[entity_id]],ROW(cards[])-7,99^99),1)),"")</f>
        <v/>
      </c>
      <c r="V72" s="4" t="str">
        <f>IF(entities[[#This Row],[In ''States'' tab?]]&lt;&gt;"ok",  "Not in Home Assistant",
IF(entities[[#This Row],[hidden]]="true",  "Hidden",
IF(entities[[#This Row],[Card]]&lt;&gt;"",
INDEX(cards[name],MATCH(entities[[#This Row],[Card]],cards[object_id],0)),  "Badge / automatic card")))</f>
        <v>Hidden</v>
      </c>
      <c r="W72" s="4" t="str">
        <f>IF(entities[[#This Row],[Card]]&lt;&gt;"","group."&amp;entities[[#This Row],[Card]],"")</f>
        <v/>
      </c>
      <c r="AD72"/>
    </row>
    <row r="73" spans="2:30" x14ac:dyDescent="0.25">
      <c r="B73" t="s">
        <v>700</v>
      </c>
      <c r="C73" t="s">
        <v>574</v>
      </c>
      <c r="D73" s="3" t="s">
        <v>243</v>
      </c>
      <c r="J73" s="4" t="str">
        <f>IF(COUNTIF(Table4[Entity],entities[[#This Row],[entity_id]]),"ok","missing from States tab")</f>
        <v>ok</v>
      </c>
      <c r="K73" s="4" t="str">
        <f>entities[[#This Row],[domain]]&amp;"."&amp;entities[[#This Row],[object_id]]</f>
        <v>group.automation_ifttt</v>
      </c>
      <c r="L73" s="4">
        <f>IF(entities[[#This Row],[hidden]]&lt;&gt;"",1,"")</f>
        <v>1</v>
      </c>
      <c r="M73" s="4" t="str">
        <f>IF(entities[[#This Row],[friendly_name]]&lt;&gt;"",2,"")</f>
        <v/>
      </c>
      <c r="N73" s="4" t="str">
        <f>IF(entities[[#This Row],[emulated_hue:]]&lt;&gt;"",3,"")</f>
        <v/>
      </c>
      <c r="O73" s="4" t="str">
        <f>IF(entities[[#This Row],[emulated_hue_name: ]]&lt;&gt;"",4,"")</f>
        <v/>
      </c>
      <c r="P73" s="4" t="str">
        <f>IF(entities[[#This Row],[entity_picture]]&lt;&gt;"",5,"")</f>
        <v/>
      </c>
      <c r="Q73" s="4" t="str">
        <f>IF(entities[[#This Row],[icon]]&lt;&gt;"",6,"")</f>
        <v/>
      </c>
      <c r="R73" s="4" t="str">
        <f>CONCATENATE(entities[[#This Row],[1]],entities[[#This Row],[2]],entities[[#This Row],[3]],entities[[#This Row],[4]],entities[[#This Row],[5]],entities[[#This Row],[6]])</f>
        <v>1</v>
      </c>
      <c r="S73" s="4">
        <f>6-COUNTBLANK(entities[[#This Row],[hidden]:[icon]])</f>
        <v>1</v>
      </c>
      <c r="T73" s="4">
        <f>IF(entities[[#This Row],[Num Attributes]]=0,"",
COUNTIFS(entities[Num Attributes],"&gt;0",entities[entity_id],"&lt;="&amp;entities[[#This Row],[entity_id]]))</f>
        <v>49</v>
      </c>
      <c r="U73" s="4" t="str">
        <f t="array" ref="U73">IFERROR(INDEX(cards[object_id],SMALL(IF(cards[[1]:[25]]=entities[[#This Row],[entity_id]],ROW(cards[])-7,99^99),1)),"")</f>
        <v/>
      </c>
      <c r="V73" s="4" t="str">
        <f>IF(entities[[#This Row],[In ''States'' tab?]]&lt;&gt;"ok",  "Not in Home Assistant",
IF(entities[[#This Row],[hidden]]="true",  "Hidden",
IF(entities[[#This Row],[Card]]&lt;&gt;"",
INDEX(cards[name],MATCH(entities[[#This Row],[Card]],cards[object_id],0)),  "Badge / automatic card")))</f>
        <v>Hidden</v>
      </c>
      <c r="W73" s="4" t="str">
        <f>IF(entities[[#This Row],[Card]]&lt;&gt;"","group."&amp;entities[[#This Row],[Card]],"")</f>
        <v/>
      </c>
      <c r="AD73"/>
    </row>
    <row r="74" spans="2:30" x14ac:dyDescent="0.25">
      <c r="B74" t="s">
        <v>700</v>
      </c>
      <c r="C74" t="s">
        <v>575</v>
      </c>
      <c r="D74" s="3" t="s">
        <v>243</v>
      </c>
      <c r="J74" s="4" t="str">
        <f>IF(COUNTIF(Table4[Entity],entities[[#This Row],[entity_id]]),"ok","missing from States tab")</f>
        <v>ok</v>
      </c>
      <c r="K74" s="4" t="str">
        <f>entities[[#This Row],[domain]]&amp;"."&amp;entities[[#This Row],[object_id]]</f>
        <v>group.automation_locaway</v>
      </c>
      <c r="L74" s="4">
        <f>IF(entities[[#This Row],[hidden]]&lt;&gt;"",1,"")</f>
        <v>1</v>
      </c>
      <c r="M74" s="4" t="str">
        <f>IF(entities[[#This Row],[friendly_name]]&lt;&gt;"",2,"")</f>
        <v/>
      </c>
      <c r="N74" s="4" t="str">
        <f>IF(entities[[#This Row],[emulated_hue:]]&lt;&gt;"",3,"")</f>
        <v/>
      </c>
      <c r="O74" s="4" t="str">
        <f>IF(entities[[#This Row],[emulated_hue_name: ]]&lt;&gt;"",4,"")</f>
        <v/>
      </c>
      <c r="P74" s="4" t="str">
        <f>IF(entities[[#This Row],[entity_picture]]&lt;&gt;"",5,"")</f>
        <v/>
      </c>
      <c r="Q74" s="4" t="str">
        <f>IF(entities[[#This Row],[icon]]&lt;&gt;"",6,"")</f>
        <v/>
      </c>
      <c r="R74" s="4" t="str">
        <f>CONCATENATE(entities[[#This Row],[1]],entities[[#This Row],[2]],entities[[#This Row],[3]],entities[[#This Row],[4]],entities[[#This Row],[5]],entities[[#This Row],[6]])</f>
        <v>1</v>
      </c>
      <c r="S74" s="4">
        <f>6-COUNTBLANK(entities[[#This Row],[hidden]:[icon]])</f>
        <v>1</v>
      </c>
      <c r="T74" s="4">
        <f>IF(entities[[#This Row],[Num Attributes]]=0,"",
COUNTIFS(entities[Num Attributes],"&gt;0",entities[entity_id],"&lt;="&amp;entities[[#This Row],[entity_id]]))</f>
        <v>50</v>
      </c>
      <c r="U74" s="4" t="str">
        <f t="array" ref="U74">IFERROR(INDEX(cards[object_id],SMALL(IF(cards[[1]:[25]]=entities[[#This Row],[entity_id]],ROW(cards[])-7,99^99),1)),"")</f>
        <v/>
      </c>
      <c r="V74" s="4" t="str">
        <f>IF(entities[[#This Row],[In ''States'' tab?]]&lt;&gt;"ok",  "Not in Home Assistant",
IF(entities[[#This Row],[hidden]]="true",  "Hidden",
IF(entities[[#This Row],[Card]]&lt;&gt;"",
INDEX(cards[name],MATCH(entities[[#This Row],[Card]],cards[object_id],0)),  "Badge / automatic card")))</f>
        <v>Hidden</v>
      </c>
      <c r="W74" s="4" t="str">
        <f>IF(entities[[#This Row],[Card]]&lt;&gt;"","group."&amp;entities[[#This Row],[Card]],"")</f>
        <v/>
      </c>
      <c r="AD74"/>
    </row>
    <row r="75" spans="2:30" x14ac:dyDescent="0.25">
      <c r="B75" t="s">
        <v>700</v>
      </c>
      <c r="C75" t="s">
        <v>576</v>
      </c>
      <c r="D75" s="3" t="s">
        <v>243</v>
      </c>
      <c r="J75" s="4" t="str">
        <f>IF(COUNTIF(Table4[Entity],entities[[#This Row],[entity_id]]),"ok","missing from States tab")</f>
        <v>ok</v>
      </c>
      <c r="K75" s="4" t="str">
        <f>entities[[#This Row],[domain]]&amp;"."&amp;entities[[#This Row],[object_id]]</f>
        <v>group.automation_not</v>
      </c>
      <c r="L75" s="4">
        <f>IF(entities[[#This Row],[hidden]]&lt;&gt;"",1,"")</f>
        <v>1</v>
      </c>
      <c r="M75" s="4" t="str">
        <f>IF(entities[[#This Row],[friendly_name]]&lt;&gt;"",2,"")</f>
        <v/>
      </c>
      <c r="N75" s="4" t="str">
        <f>IF(entities[[#This Row],[emulated_hue:]]&lt;&gt;"",3,"")</f>
        <v/>
      </c>
      <c r="O75" s="4" t="str">
        <f>IF(entities[[#This Row],[emulated_hue_name: ]]&lt;&gt;"",4,"")</f>
        <v/>
      </c>
      <c r="P75" s="4" t="str">
        <f>IF(entities[[#This Row],[entity_picture]]&lt;&gt;"",5,"")</f>
        <v/>
      </c>
      <c r="Q75" s="4" t="str">
        <f>IF(entities[[#This Row],[icon]]&lt;&gt;"",6,"")</f>
        <v/>
      </c>
      <c r="R75" s="4" t="str">
        <f>CONCATENATE(entities[[#This Row],[1]],entities[[#This Row],[2]],entities[[#This Row],[3]],entities[[#This Row],[4]],entities[[#This Row],[5]],entities[[#This Row],[6]])</f>
        <v>1</v>
      </c>
      <c r="S75" s="4">
        <f>6-COUNTBLANK(entities[[#This Row],[hidden]:[icon]])</f>
        <v>1</v>
      </c>
      <c r="T75" s="4">
        <f>IF(entities[[#This Row],[Num Attributes]]=0,"",
COUNTIFS(entities[Num Attributes],"&gt;0",entities[entity_id],"&lt;="&amp;entities[[#This Row],[entity_id]]))</f>
        <v>51</v>
      </c>
      <c r="U75" s="4" t="str">
        <f t="array" ref="U75">IFERROR(INDEX(cards[object_id],SMALL(IF(cards[[1]:[25]]=entities[[#This Row],[entity_id]],ROW(cards[])-7,99^99),1)),"")</f>
        <v/>
      </c>
      <c r="V75" s="4" t="str">
        <f>IF(entities[[#This Row],[In ''States'' tab?]]&lt;&gt;"ok",  "Not in Home Assistant",
IF(entities[[#This Row],[hidden]]="true",  "Hidden",
IF(entities[[#This Row],[Card]]&lt;&gt;"",
INDEX(cards[name],MATCH(entities[[#This Row],[Card]],cards[object_id],0)),  "Badge / automatic card")))</f>
        <v>Hidden</v>
      </c>
      <c r="W75" s="4" t="str">
        <f>IF(entities[[#This Row],[Card]]&lt;&gt;"","group."&amp;entities[[#This Row],[Card]],"")</f>
        <v/>
      </c>
      <c r="AD75"/>
    </row>
    <row r="76" spans="2:30" x14ac:dyDescent="0.25">
      <c r="B76" t="s">
        <v>700</v>
      </c>
      <c r="C76" t="s">
        <v>577</v>
      </c>
      <c r="D76" s="3" t="s">
        <v>243</v>
      </c>
      <c r="J76" s="4" t="str">
        <f>IF(COUNTIF(Table4[Entity],entities[[#This Row],[entity_id]]),"ok","missing from States tab")</f>
        <v>ok</v>
      </c>
      <c r="K76" s="4" t="str">
        <f>entities[[#This Row],[domain]]&amp;"."&amp;entities[[#This Row],[object_id]]</f>
        <v>group.automation_rmbd</v>
      </c>
      <c r="L76" s="4">
        <f>IF(entities[[#This Row],[hidden]]&lt;&gt;"",1,"")</f>
        <v>1</v>
      </c>
      <c r="M76" s="4" t="str">
        <f>IF(entities[[#This Row],[friendly_name]]&lt;&gt;"",2,"")</f>
        <v/>
      </c>
      <c r="N76" s="4" t="str">
        <f>IF(entities[[#This Row],[emulated_hue:]]&lt;&gt;"",3,"")</f>
        <v/>
      </c>
      <c r="O76" s="4" t="str">
        <f>IF(entities[[#This Row],[emulated_hue_name: ]]&lt;&gt;"",4,"")</f>
        <v/>
      </c>
      <c r="P76" s="4" t="str">
        <f>IF(entities[[#This Row],[entity_picture]]&lt;&gt;"",5,"")</f>
        <v/>
      </c>
      <c r="Q76" s="4" t="str">
        <f>IF(entities[[#This Row],[icon]]&lt;&gt;"",6,"")</f>
        <v/>
      </c>
      <c r="R76" s="4" t="str">
        <f>CONCATENATE(entities[[#This Row],[1]],entities[[#This Row],[2]],entities[[#This Row],[3]],entities[[#This Row],[4]],entities[[#This Row],[5]],entities[[#This Row],[6]])</f>
        <v>1</v>
      </c>
      <c r="S76" s="4">
        <f>6-COUNTBLANK(entities[[#This Row],[hidden]:[icon]])</f>
        <v>1</v>
      </c>
      <c r="T76" s="4">
        <f>IF(entities[[#This Row],[Num Attributes]]=0,"",
COUNTIFS(entities[Num Attributes],"&gt;0",entities[entity_id],"&lt;="&amp;entities[[#This Row],[entity_id]]))</f>
        <v>52</v>
      </c>
      <c r="U76" s="4" t="str">
        <f t="array" ref="U76">IFERROR(INDEX(cards[object_id],SMALL(IF(cards[[1]:[25]]=entities[[#This Row],[entity_id]],ROW(cards[])-7,99^99),1)),"")</f>
        <v/>
      </c>
      <c r="V76" s="4" t="str">
        <f>IF(entities[[#This Row],[In ''States'' tab?]]&lt;&gt;"ok",  "Not in Home Assistant",
IF(entities[[#This Row],[hidden]]="true",  "Hidden",
IF(entities[[#This Row],[Card]]&lt;&gt;"",
INDEX(cards[name],MATCH(entities[[#This Row],[Card]],cards[object_id],0)),  "Badge / automatic card")))</f>
        <v>Hidden</v>
      </c>
      <c r="W76" s="4" t="str">
        <f>IF(entities[[#This Row],[Card]]&lt;&gt;"","group."&amp;entities[[#This Row],[Card]],"")</f>
        <v/>
      </c>
      <c r="AD76"/>
    </row>
    <row r="77" spans="2:30" x14ac:dyDescent="0.25">
      <c r="B77" t="s">
        <v>700</v>
      </c>
      <c r="C77" t="s">
        <v>578</v>
      </c>
      <c r="D77" s="3" t="s">
        <v>243</v>
      </c>
      <c r="J77" s="4" t="str">
        <f>IF(COUNTIF(Table4[Entity],entities[[#This Row],[entity_id]]),"ok","missing from States tab")</f>
        <v>ok</v>
      </c>
      <c r="K77" s="4" t="str">
        <f>entities[[#This Row],[domain]]&amp;"."&amp;entities[[#This Row],[object_id]]</f>
        <v>group.automation_rmlv</v>
      </c>
      <c r="L77" s="4">
        <f>IF(entities[[#This Row],[hidden]]&lt;&gt;"",1,"")</f>
        <v>1</v>
      </c>
      <c r="M77" s="4" t="str">
        <f>IF(entities[[#This Row],[friendly_name]]&lt;&gt;"",2,"")</f>
        <v/>
      </c>
      <c r="N77" s="4" t="str">
        <f>IF(entities[[#This Row],[emulated_hue:]]&lt;&gt;"",3,"")</f>
        <v/>
      </c>
      <c r="O77" s="4" t="str">
        <f>IF(entities[[#This Row],[emulated_hue_name: ]]&lt;&gt;"",4,"")</f>
        <v/>
      </c>
      <c r="P77" s="4" t="str">
        <f>IF(entities[[#This Row],[entity_picture]]&lt;&gt;"",5,"")</f>
        <v/>
      </c>
      <c r="Q77" s="4" t="str">
        <f>IF(entities[[#This Row],[icon]]&lt;&gt;"",6,"")</f>
        <v/>
      </c>
      <c r="R77" s="4" t="str">
        <f>CONCATENATE(entities[[#This Row],[1]],entities[[#This Row],[2]],entities[[#This Row],[3]],entities[[#This Row],[4]],entities[[#This Row],[5]],entities[[#This Row],[6]])</f>
        <v>1</v>
      </c>
      <c r="S77" s="4">
        <f>6-COUNTBLANK(entities[[#This Row],[hidden]:[icon]])</f>
        <v>1</v>
      </c>
      <c r="T77" s="4">
        <f>IF(entities[[#This Row],[Num Attributes]]=0,"",
COUNTIFS(entities[Num Attributes],"&gt;0",entities[entity_id],"&lt;="&amp;entities[[#This Row],[entity_id]]))</f>
        <v>53</v>
      </c>
      <c r="U77" s="4" t="str">
        <f t="array" ref="U77">IFERROR(INDEX(cards[object_id],SMALL(IF(cards[[1]:[25]]=entities[[#This Row],[entity_id]],ROW(cards[])-7,99^99),1)),"")</f>
        <v/>
      </c>
      <c r="V77" s="4" t="str">
        <f>IF(entities[[#This Row],[In ''States'' tab?]]&lt;&gt;"ok",  "Not in Home Assistant",
IF(entities[[#This Row],[hidden]]="true",  "Hidden",
IF(entities[[#This Row],[Card]]&lt;&gt;"",
INDEX(cards[name],MATCH(entities[[#This Row],[Card]],cards[object_id],0)),  "Badge / automatic card")))</f>
        <v>Hidden</v>
      </c>
      <c r="W77" s="4" t="str">
        <f>IF(entities[[#This Row],[Card]]&lt;&gt;"","group."&amp;entities[[#This Row],[Card]],"")</f>
        <v/>
      </c>
      <c r="AD77"/>
    </row>
    <row r="78" spans="2:30" x14ac:dyDescent="0.25">
      <c r="B78" t="s">
        <v>700</v>
      </c>
      <c r="C78" t="s">
        <v>579</v>
      </c>
      <c r="D78" s="3" t="s">
        <v>243</v>
      </c>
      <c r="J78" s="4" t="str">
        <f>IF(COUNTIF(Table4[Entity],entities[[#This Row],[entity_id]]),"ok","missing from States tab")</f>
        <v>ok</v>
      </c>
      <c r="K78" s="4" t="str">
        <f>entities[[#This Row],[domain]]&amp;"."&amp;entities[[#This Row],[object_id]]</f>
        <v>group.automation_rmlvtv</v>
      </c>
      <c r="L78" s="4">
        <f>IF(entities[[#This Row],[hidden]]&lt;&gt;"",1,"")</f>
        <v>1</v>
      </c>
      <c r="M78" s="4" t="str">
        <f>IF(entities[[#This Row],[friendly_name]]&lt;&gt;"",2,"")</f>
        <v/>
      </c>
      <c r="N78" s="4" t="str">
        <f>IF(entities[[#This Row],[emulated_hue:]]&lt;&gt;"",3,"")</f>
        <v/>
      </c>
      <c r="O78" s="4" t="str">
        <f>IF(entities[[#This Row],[emulated_hue_name: ]]&lt;&gt;"",4,"")</f>
        <v/>
      </c>
      <c r="P78" s="4" t="str">
        <f>IF(entities[[#This Row],[entity_picture]]&lt;&gt;"",5,"")</f>
        <v/>
      </c>
      <c r="Q78" s="4" t="str">
        <f>IF(entities[[#This Row],[icon]]&lt;&gt;"",6,"")</f>
        <v/>
      </c>
      <c r="R78" s="4" t="str">
        <f>CONCATENATE(entities[[#This Row],[1]],entities[[#This Row],[2]],entities[[#This Row],[3]],entities[[#This Row],[4]],entities[[#This Row],[5]],entities[[#This Row],[6]])</f>
        <v>1</v>
      </c>
      <c r="S78" s="4">
        <f>6-COUNTBLANK(entities[[#This Row],[hidden]:[icon]])</f>
        <v>1</v>
      </c>
      <c r="T78" s="4">
        <f>IF(entities[[#This Row],[Num Attributes]]=0,"",
COUNTIFS(entities[Num Attributes],"&gt;0",entities[entity_id],"&lt;="&amp;entities[[#This Row],[entity_id]]))</f>
        <v>54</v>
      </c>
      <c r="U78" s="4" t="str">
        <f t="array" ref="U78">IFERROR(INDEX(cards[object_id],SMALL(IF(cards[[1]:[25]]=entities[[#This Row],[entity_id]],ROW(cards[])-7,99^99),1)),"")</f>
        <v/>
      </c>
      <c r="V78" s="4" t="str">
        <f>IF(entities[[#This Row],[In ''States'' tab?]]&lt;&gt;"ok",  "Not in Home Assistant",
IF(entities[[#This Row],[hidden]]="true",  "Hidden",
IF(entities[[#This Row],[Card]]&lt;&gt;"",
INDEX(cards[name],MATCH(entities[[#This Row],[Card]],cards[object_id],0)),  "Badge / automatic card")))</f>
        <v>Hidden</v>
      </c>
      <c r="W78" s="4" t="str">
        <f>IF(entities[[#This Row],[Card]]&lt;&gt;"","group."&amp;entities[[#This Row],[Card]],"")</f>
        <v/>
      </c>
      <c r="AD78"/>
    </row>
    <row r="79" spans="2:30" x14ac:dyDescent="0.25">
      <c r="B79" t="s">
        <v>700</v>
      </c>
      <c r="C79" t="s">
        <v>580</v>
      </c>
      <c r="D79" s="3" t="s">
        <v>243</v>
      </c>
      <c r="J79" s="4" t="str">
        <f>IF(COUNTIF(Table4[Entity],entities[[#This Row],[entity_id]]),"ok","missing from States tab")</f>
        <v>ok</v>
      </c>
      <c r="K79" s="4" t="str">
        <f>entities[[#This Row],[domain]]&amp;"."&amp;entities[[#This Row],[object_id]]</f>
        <v>group.automation_statfriend</v>
      </c>
      <c r="L79" s="4">
        <f>IF(entities[[#This Row],[hidden]]&lt;&gt;"",1,"")</f>
        <v>1</v>
      </c>
      <c r="M79" s="4" t="str">
        <f>IF(entities[[#This Row],[friendly_name]]&lt;&gt;"",2,"")</f>
        <v/>
      </c>
      <c r="N79" s="4" t="str">
        <f>IF(entities[[#This Row],[emulated_hue:]]&lt;&gt;"",3,"")</f>
        <v/>
      </c>
      <c r="O79" s="4" t="str">
        <f>IF(entities[[#This Row],[emulated_hue_name: ]]&lt;&gt;"",4,"")</f>
        <v/>
      </c>
      <c r="P79" s="4" t="str">
        <f>IF(entities[[#This Row],[entity_picture]]&lt;&gt;"",5,"")</f>
        <v/>
      </c>
      <c r="Q79" s="4" t="str">
        <f>IF(entities[[#This Row],[icon]]&lt;&gt;"",6,"")</f>
        <v/>
      </c>
      <c r="R79" s="4" t="str">
        <f>CONCATENATE(entities[[#This Row],[1]],entities[[#This Row],[2]],entities[[#This Row],[3]],entities[[#This Row],[4]],entities[[#This Row],[5]],entities[[#This Row],[6]])</f>
        <v>1</v>
      </c>
      <c r="S79" s="4">
        <f>6-COUNTBLANK(entities[[#This Row],[hidden]:[icon]])</f>
        <v>1</v>
      </c>
      <c r="T79" s="4">
        <f>IF(entities[[#This Row],[Num Attributes]]=0,"",
COUNTIFS(entities[Num Attributes],"&gt;0",entities[entity_id],"&lt;="&amp;entities[[#This Row],[entity_id]]))</f>
        <v>55</v>
      </c>
      <c r="U79" s="4" t="str">
        <f t="array" ref="U79">IFERROR(INDEX(cards[object_id],SMALL(IF(cards[[1]:[25]]=entities[[#This Row],[entity_id]],ROW(cards[])-7,99^99),1)),"")</f>
        <v/>
      </c>
      <c r="V79" s="4" t="str">
        <f>IF(entities[[#This Row],[In ''States'' tab?]]&lt;&gt;"ok",  "Not in Home Assistant",
IF(entities[[#This Row],[hidden]]="true",  "Hidden",
IF(entities[[#This Row],[Card]]&lt;&gt;"",
INDEX(cards[name],MATCH(entities[[#This Row],[Card]],cards[object_id],0)),  "Badge / automatic card")))</f>
        <v>Hidden</v>
      </c>
      <c r="W79" s="4" t="str">
        <f>IF(entities[[#This Row],[Card]]&lt;&gt;"","group."&amp;entities[[#This Row],[Card]],"")</f>
        <v/>
      </c>
      <c r="AD79"/>
    </row>
    <row r="80" spans="2:30" x14ac:dyDescent="0.25">
      <c r="B80" t="s">
        <v>700</v>
      </c>
      <c r="C80" t="s">
        <v>581</v>
      </c>
      <c r="D80" s="3" t="s">
        <v>243</v>
      </c>
      <c r="J80" s="4" t="str">
        <f>IF(COUNTIF(Table4[Entity],entities[[#This Row],[entity_id]]),"ok","missing from States tab")</f>
        <v>ok</v>
      </c>
      <c r="K80" s="4" t="str">
        <f>entities[[#This Row],[domain]]&amp;"."&amp;entities[[#This Row],[object_id]]</f>
        <v>group.automation_statron</v>
      </c>
      <c r="L80" s="4">
        <f>IF(entities[[#This Row],[hidden]]&lt;&gt;"",1,"")</f>
        <v>1</v>
      </c>
      <c r="M80" s="4" t="str">
        <f>IF(entities[[#This Row],[friendly_name]]&lt;&gt;"",2,"")</f>
        <v/>
      </c>
      <c r="N80" s="4" t="str">
        <f>IF(entities[[#This Row],[emulated_hue:]]&lt;&gt;"",3,"")</f>
        <v/>
      </c>
      <c r="O80" s="4" t="str">
        <f>IF(entities[[#This Row],[emulated_hue_name: ]]&lt;&gt;"",4,"")</f>
        <v/>
      </c>
      <c r="P80" s="4" t="str">
        <f>IF(entities[[#This Row],[entity_picture]]&lt;&gt;"",5,"")</f>
        <v/>
      </c>
      <c r="Q80" s="4" t="str">
        <f>IF(entities[[#This Row],[icon]]&lt;&gt;"",6,"")</f>
        <v/>
      </c>
      <c r="R80" s="4" t="str">
        <f>CONCATENATE(entities[[#This Row],[1]],entities[[#This Row],[2]],entities[[#This Row],[3]],entities[[#This Row],[4]],entities[[#This Row],[5]],entities[[#This Row],[6]])</f>
        <v>1</v>
      </c>
      <c r="S80" s="4">
        <f>6-COUNTBLANK(entities[[#This Row],[hidden]:[icon]])</f>
        <v>1</v>
      </c>
      <c r="T80" s="4">
        <f>IF(entities[[#This Row],[Num Attributes]]=0,"",
COUNTIFS(entities[Num Attributes],"&gt;0",entities[entity_id],"&lt;="&amp;entities[[#This Row],[entity_id]]))</f>
        <v>56</v>
      </c>
      <c r="U80" s="4" t="str">
        <f t="array" ref="U80">IFERROR(INDEX(cards[object_id],SMALL(IF(cards[[1]:[25]]=entities[[#This Row],[entity_id]],ROW(cards[])-7,99^99),1)),"")</f>
        <v/>
      </c>
      <c r="V80" s="4" t="str">
        <f>IF(entities[[#This Row],[In ''States'' tab?]]&lt;&gt;"ok",  "Not in Home Assistant",
IF(entities[[#This Row],[hidden]]="true",  "Hidden",
IF(entities[[#This Row],[Card]]&lt;&gt;"",
INDEX(cards[name],MATCH(entities[[#This Row],[Card]],cards[object_id],0)),  "Badge / automatic card")))</f>
        <v>Hidden</v>
      </c>
      <c r="W80" s="4" t="str">
        <f>IF(entities[[#This Row],[Card]]&lt;&gt;"","group."&amp;entities[[#This Row],[Card]],"")</f>
        <v/>
      </c>
      <c r="AD80"/>
    </row>
    <row r="81" spans="2:30" x14ac:dyDescent="0.25">
      <c r="B81" t="s">
        <v>700</v>
      </c>
      <c r="C81" t="s">
        <v>582</v>
      </c>
      <c r="D81" s="3" t="s">
        <v>243</v>
      </c>
      <c r="J81" s="4" t="str">
        <f>IF(COUNTIF(Table4[Entity],entities[[#This Row],[entity_id]]),"ok","missing from States tab")</f>
        <v>ok</v>
      </c>
      <c r="K81" s="4" t="str">
        <f>entities[[#This Row],[domain]]&amp;"."&amp;entities[[#This Row],[object_id]]</f>
        <v>group.automation_statvac</v>
      </c>
      <c r="L81" s="4">
        <f>IF(entities[[#This Row],[hidden]]&lt;&gt;"",1,"")</f>
        <v>1</v>
      </c>
      <c r="M81" s="4" t="str">
        <f>IF(entities[[#This Row],[friendly_name]]&lt;&gt;"",2,"")</f>
        <v/>
      </c>
      <c r="N81" s="4" t="str">
        <f>IF(entities[[#This Row],[emulated_hue:]]&lt;&gt;"",3,"")</f>
        <v/>
      </c>
      <c r="O81" s="4" t="str">
        <f>IF(entities[[#This Row],[emulated_hue_name: ]]&lt;&gt;"",4,"")</f>
        <v/>
      </c>
      <c r="P81" s="4" t="str">
        <f>IF(entities[[#This Row],[entity_picture]]&lt;&gt;"",5,"")</f>
        <v/>
      </c>
      <c r="Q81" s="4" t="str">
        <f>IF(entities[[#This Row],[icon]]&lt;&gt;"",6,"")</f>
        <v/>
      </c>
      <c r="R81" s="4" t="str">
        <f>CONCATENATE(entities[[#This Row],[1]],entities[[#This Row],[2]],entities[[#This Row],[3]],entities[[#This Row],[4]],entities[[#This Row],[5]],entities[[#This Row],[6]])</f>
        <v>1</v>
      </c>
      <c r="S81" s="4">
        <f>6-COUNTBLANK(entities[[#This Row],[hidden]:[icon]])</f>
        <v>1</v>
      </c>
      <c r="T81" s="4">
        <f>IF(entities[[#This Row],[Num Attributes]]=0,"",
COUNTIFS(entities[Num Attributes],"&gt;0",entities[entity_id],"&lt;="&amp;entities[[#This Row],[entity_id]]))</f>
        <v>57</v>
      </c>
      <c r="U81" s="4" t="str">
        <f t="array" ref="U81">IFERROR(INDEX(cards[object_id],SMALL(IF(cards[[1]:[25]]=entities[[#This Row],[entity_id]],ROW(cards[])-7,99^99),1)),"")</f>
        <v/>
      </c>
      <c r="V81" s="4" t="str">
        <f>IF(entities[[#This Row],[In ''States'' tab?]]&lt;&gt;"ok",  "Not in Home Assistant",
IF(entities[[#This Row],[hidden]]="true",  "Hidden",
IF(entities[[#This Row],[Card]]&lt;&gt;"",
INDEX(cards[name],MATCH(entities[[#This Row],[Card]],cards[object_id],0)),  "Badge / automatic card")))</f>
        <v>Hidden</v>
      </c>
      <c r="W81" s="4" t="str">
        <f>IF(entities[[#This Row],[Card]]&lt;&gt;"","group."&amp;entities[[#This Row],[Card]],"")</f>
        <v/>
      </c>
      <c r="AD81"/>
    </row>
    <row r="82" spans="2:30" x14ac:dyDescent="0.25">
      <c r="B82" t="s">
        <v>700</v>
      </c>
      <c r="C82" t="s">
        <v>583</v>
      </c>
      <c r="J82" s="4" t="str">
        <f>IF(COUNTIF(Table4[Entity],entities[[#This Row],[entity_id]]),"ok","missing from States tab")</f>
        <v>ok</v>
      </c>
      <c r="K82" s="4" t="str">
        <f>entities[[#This Row],[domain]]&amp;"."&amp;entities[[#This Row],[object_id]]</f>
        <v>group.bedroom</v>
      </c>
      <c r="L82" s="4" t="str">
        <f>IF(entities[[#This Row],[hidden]]&lt;&gt;"",1,"")</f>
        <v/>
      </c>
      <c r="M82" s="4" t="str">
        <f>IF(entities[[#This Row],[friendly_name]]&lt;&gt;"",2,"")</f>
        <v/>
      </c>
      <c r="N82" s="4" t="str">
        <f>IF(entities[[#This Row],[emulated_hue:]]&lt;&gt;"",3,"")</f>
        <v/>
      </c>
      <c r="O82" s="4" t="str">
        <f>IF(entities[[#This Row],[emulated_hue_name: ]]&lt;&gt;"",4,"")</f>
        <v/>
      </c>
      <c r="P82" s="4" t="str">
        <f>IF(entities[[#This Row],[entity_picture]]&lt;&gt;"",5,"")</f>
        <v/>
      </c>
      <c r="Q82" s="4" t="str">
        <f>IF(entities[[#This Row],[icon]]&lt;&gt;"",6,"")</f>
        <v/>
      </c>
      <c r="R82" s="4" t="str">
        <f>CONCATENATE(entities[[#This Row],[1]],entities[[#This Row],[2]],entities[[#This Row],[3]],entities[[#This Row],[4]],entities[[#This Row],[5]],entities[[#This Row],[6]])</f>
        <v/>
      </c>
      <c r="S82" s="4">
        <f>6-COUNTBLANK(entities[[#This Row],[hidden]:[icon]])</f>
        <v>0</v>
      </c>
      <c r="T82" s="4" t="str">
        <f>IF(entities[[#This Row],[Num Attributes]]=0,"",
COUNTIFS(entities[Num Attributes],"&gt;0",entities[entity_id],"&lt;="&amp;entities[[#This Row],[entity_id]]))</f>
        <v/>
      </c>
      <c r="U82" s="4" t="str">
        <f t="array" ref="U82">IFERROR(INDEX(cards[object_id],SMALL(IF(cards[[1]:[25]]=entities[[#This Row],[entity_id]],ROW(cards[])-7,99^99),1)),"")</f>
        <v>default_view</v>
      </c>
      <c r="V82" s="4">
        <f>IF(entities[[#This Row],[In ''States'' tab?]]&lt;&gt;"ok",  "Not in Home Assistant",
IF(entities[[#This Row],[hidden]]="true",  "Hidden",
IF(entities[[#This Row],[Card]]&lt;&gt;"",
INDEX(cards[name],MATCH(entities[[#This Row],[Card]],cards[object_id],0)),  "Badge / automatic card")))</f>
        <v>0</v>
      </c>
      <c r="W82" s="4" t="str">
        <f>IF(entities[[#This Row],[Card]]&lt;&gt;"","group."&amp;entities[[#This Row],[Card]],"")</f>
        <v>group.default_view</v>
      </c>
      <c r="AD82"/>
    </row>
    <row r="83" spans="2:30" x14ac:dyDescent="0.25">
      <c r="B83" t="s">
        <v>700</v>
      </c>
      <c r="C83" t="s">
        <v>647</v>
      </c>
      <c r="J83" s="4" t="str">
        <f>IF(COUNTIF(Table4[Entity],entities[[#This Row],[entity_id]]),"ok","missing from States tab")</f>
        <v>ok</v>
      </c>
      <c r="K83" s="4" t="str">
        <f>entities[[#This Row],[domain]]&amp;"."&amp;entities[[#This Row],[object_id]]</f>
        <v>group.bedroom_devices</v>
      </c>
      <c r="L83" s="4" t="str">
        <f>IF(entities[[#This Row],[hidden]]&lt;&gt;"",1,"")</f>
        <v/>
      </c>
      <c r="M83" s="4" t="str">
        <f>IF(entities[[#This Row],[friendly_name]]&lt;&gt;"",2,"")</f>
        <v/>
      </c>
      <c r="N83" s="4" t="str">
        <f>IF(entities[[#This Row],[emulated_hue:]]&lt;&gt;"",3,"")</f>
        <v/>
      </c>
      <c r="O83" s="4" t="str">
        <f>IF(entities[[#This Row],[emulated_hue_name: ]]&lt;&gt;"",4,"")</f>
        <v/>
      </c>
      <c r="P83" s="4" t="str">
        <f>IF(entities[[#This Row],[entity_picture]]&lt;&gt;"",5,"")</f>
        <v/>
      </c>
      <c r="Q83" s="4" t="str">
        <f>IF(entities[[#This Row],[icon]]&lt;&gt;"",6,"")</f>
        <v/>
      </c>
      <c r="R83" s="4" t="str">
        <f>CONCATENATE(entities[[#This Row],[1]],entities[[#This Row],[2]],entities[[#This Row],[3]],entities[[#This Row],[4]],entities[[#This Row],[5]],entities[[#This Row],[6]])</f>
        <v/>
      </c>
      <c r="S83" s="4">
        <f>6-COUNTBLANK(entities[[#This Row],[hidden]:[icon]])</f>
        <v>0</v>
      </c>
      <c r="T83" s="4" t="str">
        <f>IF(entities[[#This Row],[Num Attributes]]=0,"",
COUNTIFS(entities[Num Attributes],"&gt;0",entities[entity_id],"&lt;="&amp;entities[[#This Row],[entity_id]]))</f>
        <v/>
      </c>
      <c r="U83" s="4" t="str">
        <f t="array" ref="U83">IFERROR(INDEX(cards[object_id],SMALL(IF(cards[[1]:[25]]=entities[[#This Row],[entity_id]],ROW(cards[])-7,99^99),1)),"")</f>
        <v>bedroom_view</v>
      </c>
      <c r="V83" s="4">
        <f>IF(entities[[#This Row],[In ''States'' tab?]]&lt;&gt;"ok",  "Not in Home Assistant",
IF(entities[[#This Row],[hidden]]="true",  "Hidden",
IF(entities[[#This Row],[Card]]&lt;&gt;"",
INDEX(cards[name],MATCH(entities[[#This Row],[Card]],cards[object_id],0)),  "Badge / automatic card")))</f>
        <v>0</v>
      </c>
      <c r="W83" s="4" t="str">
        <f>IF(entities[[#This Row],[Card]]&lt;&gt;"","group."&amp;entities[[#This Row],[Card]],"")</f>
        <v>group.bedroom_view</v>
      </c>
      <c r="AD83"/>
    </row>
    <row r="84" spans="2:30" x14ac:dyDescent="0.25">
      <c r="B84" t="s">
        <v>700</v>
      </c>
      <c r="C84" t="s">
        <v>584</v>
      </c>
      <c r="J84" s="4" t="str">
        <f>IF(COUNTIF(Table4[Entity],entities[[#This Row],[entity_id]]),"ok","missing from States tab")</f>
        <v>ok</v>
      </c>
      <c r="K84" s="4" t="str">
        <f>entities[[#This Row],[domain]]&amp;"."&amp;entities[[#This Row],[object_id]]</f>
        <v>group.bedroom_lights</v>
      </c>
      <c r="L84" s="4" t="str">
        <f>IF(entities[[#This Row],[hidden]]&lt;&gt;"",1,"")</f>
        <v/>
      </c>
      <c r="M84" s="4" t="str">
        <f>IF(entities[[#This Row],[friendly_name]]&lt;&gt;"",2,"")</f>
        <v/>
      </c>
      <c r="N84" s="4" t="str">
        <f>IF(entities[[#This Row],[emulated_hue:]]&lt;&gt;"",3,"")</f>
        <v/>
      </c>
      <c r="O84" s="4" t="str">
        <f>IF(entities[[#This Row],[emulated_hue_name: ]]&lt;&gt;"",4,"")</f>
        <v/>
      </c>
      <c r="P84" s="4" t="str">
        <f>IF(entities[[#This Row],[entity_picture]]&lt;&gt;"",5,"")</f>
        <v/>
      </c>
      <c r="Q84" s="4" t="str">
        <f>IF(entities[[#This Row],[icon]]&lt;&gt;"",6,"")</f>
        <v/>
      </c>
      <c r="R84" s="4" t="str">
        <f>CONCATENATE(entities[[#This Row],[1]],entities[[#This Row],[2]],entities[[#This Row],[3]],entities[[#This Row],[4]],entities[[#This Row],[5]],entities[[#This Row],[6]])</f>
        <v/>
      </c>
      <c r="S84" s="4">
        <f>6-COUNTBLANK(entities[[#This Row],[hidden]:[icon]])</f>
        <v>0</v>
      </c>
      <c r="T84" s="4" t="str">
        <f>IF(entities[[#This Row],[Num Attributes]]=0,"",
COUNTIFS(entities[Num Attributes],"&gt;0",entities[entity_id],"&lt;="&amp;entities[[#This Row],[entity_id]]))</f>
        <v/>
      </c>
      <c r="U84" s="4" t="str">
        <f t="array" ref="U84">IFERROR(INDEX(cards[object_id],SMALL(IF(cards[[1]:[25]]=entities[[#This Row],[entity_id]],ROW(cards[])-7,99^99),1)),"")</f>
        <v>bedroom_devices</v>
      </c>
      <c r="V84" s="4" t="str">
        <f>IF(entities[[#This Row],[In ''States'' tab?]]&lt;&gt;"ok",  "Not in Home Assistant",
IF(entities[[#This Row],[hidden]]="true",  "Hidden",
IF(entities[[#This Row],[Card]]&lt;&gt;"",
INDEX(cards[name],MATCH(entities[[#This Row],[Card]],cards[object_id],0)),  "Badge / automatic card")))</f>
        <v>Bedroom || Devices</v>
      </c>
      <c r="W84" s="4" t="str">
        <f>IF(entities[[#This Row],[Card]]&lt;&gt;"","group."&amp;entities[[#This Row],[Card]],"")</f>
        <v>group.bedroom_devices</v>
      </c>
      <c r="AD84"/>
    </row>
    <row r="85" spans="2:30" x14ac:dyDescent="0.25">
      <c r="B85" t="s">
        <v>700</v>
      </c>
      <c r="C85" t="s">
        <v>343</v>
      </c>
      <c r="J85" s="4" t="str">
        <f>IF(COUNTIF(Table4[Entity],entities[[#This Row],[entity_id]]),"ok","missing from States tab")</f>
        <v>ok</v>
      </c>
      <c r="K85" s="4" t="str">
        <f>entities[[#This Row],[domain]]&amp;"."&amp;entities[[#This Row],[object_id]]</f>
        <v>group.bedroom_view</v>
      </c>
      <c r="L85" s="4" t="str">
        <f>IF(entities[[#This Row],[hidden]]&lt;&gt;"",1,"")</f>
        <v/>
      </c>
      <c r="M85" s="4" t="str">
        <f>IF(entities[[#This Row],[friendly_name]]&lt;&gt;"",2,"")</f>
        <v/>
      </c>
      <c r="N85" s="4" t="str">
        <f>IF(entities[[#This Row],[emulated_hue:]]&lt;&gt;"",3,"")</f>
        <v/>
      </c>
      <c r="O85" s="4" t="str">
        <f>IF(entities[[#This Row],[emulated_hue_name: ]]&lt;&gt;"",4,"")</f>
        <v/>
      </c>
      <c r="P85" s="4" t="str">
        <f>IF(entities[[#This Row],[entity_picture]]&lt;&gt;"",5,"")</f>
        <v/>
      </c>
      <c r="Q85" s="4" t="str">
        <f>IF(entities[[#This Row],[icon]]&lt;&gt;"",6,"")</f>
        <v/>
      </c>
      <c r="R85" s="4" t="str">
        <f>CONCATENATE(entities[[#This Row],[1]],entities[[#This Row],[2]],entities[[#This Row],[3]],entities[[#This Row],[4]],entities[[#This Row],[5]],entities[[#This Row],[6]])</f>
        <v/>
      </c>
      <c r="S85" s="4">
        <f>6-COUNTBLANK(entities[[#This Row],[hidden]:[icon]])</f>
        <v>0</v>
      </c>
      <c r="T85" s="4" t="str">
        <f>IF(entities[[#This Row],[Num Attributes]]=0,"",
COUNTIFS(entities[Num Attributes],"&gt;0",entities[entity_id],"&lt;="&amp;entities[[#This Row],[entity_id]]))</f>
        <v/>
      </c>
      <c r="U85" s="4" t="str">
        <f t="array" ref="U85">IFERROR(INDEX(cards[object_id],SMALL(IF(cards[[1]:[25]]=entities[[#This Row],[entity_id]],ROW(cards[])-7,99^99),1)),"")</f>
        <v/>
      </c>
      <c r="V85" s="4" t="str">
        <f>IF(entities[[#This Row],[In ''States'' tab?]]&lt;&gt;"ok",  "Not in Home Assistant",
IF(entities[[#This Row],[hidden]]="true",  "Hidden",
IF(entities[[#This Row],[Card]]&lt;&gt;"",
INDEX(cards[name],MATCH(entities[[#This Row],[Card]],cards[object_id],0)),  "Badge / automatic card")))</f>
        <v>Badge / automatic card</v>
      </c>
      <c r="W85" s="4" t="str">
        <f>IF(entities[[#This Row],[Card]]&lt;&gt;"","group."&amp;entities[[#This Row],[Card]],"")</f>
        <v/>
      </c>
      <c r="AD85"/>
    </row>
    <row r="86" spans="2:30" x14ac:dyDescent="0.25">
      <c r="B86" t="s">
        <v>700</v>
      </c>
      <c r="C86" t="s">
        <v>640</v>
      </c>
      <c r="J86" s="4" t="str">
        <f>IF(COUNTIF(Table4[Entity],entities[[#This Row],[entity_id]]),"ok","missing from States tab")</f>
        <v>ok</v>
      </c>
      <c r="K86" s="4" t="str">
        <f>entities[[#This Row],[domain]]&amp;"."&amp;entities[[#This Row],[object_id]]</f>
        <v>group.default_view</v>
      </c>
      <c r="L86" s="4" t="str">
        <f>IF(entities[[#This Row],[hidden]]&lt;&gt;"",1,"")</f>
        <v/>
      </c>
      <c r="M86" s="4" t="str">
        <f>IF(entities[[#This Row],[friendly_name]]&lt;&gt;"",2,"")</f>
        <v/>
      </c>
      <c r="N86" s="4" t="str">
        <f>IF(entities[[#This Row],[emulated_hue:]]&lt;&gt;"",3,"")</f>
        <v/>
      </c>
      <c r="O86" s="4" t="str">
        <f>IF(entities[[#This Row],[emulated_hue_name: ]]&lt;&gt;"",4,"")</f>
        <v/>
      </c>
      <c r="P86" s="4" t="str">
        <f>IF(entities[[#This Row],[entity_picture]]&lt;&gt;"",5,"")</f>
        <v/>
      </c>
      <c r="Q86" s="4" t="str">
        <f>IF(entities[[#This Row],[icon]]&lt;&gt;"",6,"")</f>
        <v/>
      </c>
      <c r="R86" s="4" t="str">
        <f>CONCATENATE(entities[[#This Row],[1]],entities[[#This Row],[2]],entities[[#This Row],[3]],entities[[#This Row],[4]],entities[[#This Row],[5]],entities[[#This Row],[6]])</f>
        <v/>
      </c>
      <c r="S86" s="4">
        <f>6-COUNTBLANK(entities[[#This Row],[hidden]:[icon]])</f>
        <v>0</v>
      </c>
      <c r="T86" s="4" t="str">
        <f>IF(entities[[#This Row],[Num Attributes]]=0,"",
COUNTIFS(entities[Num Attributes],"&gt;0",entities[entity_id],"&lt;="&amp;entities[[#This Row],[entity_id]]))</f>
        <v/>
      </c>
      <c r="U86" s="4" t="str">
        <f t="array" ref="U86">IFERROR(INDEX(cards[object_id],SMALL(IF(cards[[1]:[25]]=entities[[#This Row],[entity_id]],ROW(cards[])-7,99^99),1)),"")</f>
        <v/>
      </c>
      <c r="V86" s="4" t="str">
        <f>IF(entities[[#This Row],[In ''States'' tab?]]&lt;&gt;"ok",  "Not in Home Assistant",
IF(entities[[#This Row],[hidden]]="true",  "Hidden",
IF(entities[[#This Row],[Card]]&lt;&gt;"",
INDEX(cards[name],MATCH(entities[[#This Row],[Card]],cards[object_id],0)),  "Badge / automatic card")))</f>
        <v>Badge / automatic card</v>
      </c>
      <c r="W86" s="4" t="str">
        <f>IF(entities[[#This Row],[Card]]&lt;&gt;"","group."&amp;entities[[#This Row],[Card]],"")</f>
        <v/>
      </c>
      <c r="AD86"/>
    </row>
    <row r="87" spans="2:30" x14ac:dyDescent="0.25">
      <c r="B87" t="s">
        <v>700</v>
      </c>
      <c r="C87" t="s">
        <v>586</v>
      </c>
      <c r="J87" s="4" t="str">
        <f>IF(COUNTIF(Table4[Entity],entities[[#This Row],[entity_id]]),"ok","missing from States tab")</f>
        <v>ok</v>
      </c>
      <c r="K87" s="4" t="str">
        <f>entities[[#This Row],[domain]]&amp;"."&amp;entities[[#This Row],[object_id]]</f>
        <v>group.environment</v>
      </c>
      <c r="L87" s="4" t="str">
        <f>IF(entities[[#This Row],[hidden]]&lt;&gt;"",1,"")</f>
        <v/>
      </c>
      <c r="M87" s="4" t="str">
        <f>IF(entities[[#This Row],[friendly_name]]&lt;&gt;"",2,"")</f>
        <v/>
      </c>
      <c r="N87" s="4" t="str">
        <f>IF(entities[[#This Row],[emulated_hue:]]&lt;&gt;"",3,"")</f>
        <v/>
      </c>
      <c r="O87" s="4" t="str">
        <f>IF(entities[[#This Row],[emulated_hue_name: ]]&lt;&gt;"",4,"")</f>
        <v/>
      </c>
      <c r="P87" s="4" t="str">
        <f>IF(entities[[#This Row],[entity_picture]]&lt;&gt;"",5,"")</f>
        <v/>
      </c>
      <c r="Q87" s="4" t="str">
        <f>IF(entities[[#This Row],[icon]]&lt;&gt;"",6,"")</f>
        <v/>
      </c>
      <c r="R87" s="4" t="str">
        <f>CONCATENATE(entities[[#This Row],[1]],entities[[#This Row],[2]],entities[[#This Row],[3]],entities[[#This Row],[4]],entities[[#This Row],[5]],entities[[#This Row],[6]])</f>
        <v/>
      </c>
      <c r="S87" s="4">
        <f>6-COUNTBLANK(entities[[#This Row],[hidden]:[icon]])</f>
        <v>0</v>
      </c>
      <c r="T87" s="4" t="str">
        <f>IF(entities[[#This Row],[Num Attributes]]=0,"",
COUNTIFS(entities[Num Attributes],"&gt;0",entities[entity_id],"&lt;="&amp;entities[[#This Row],[entity_id]]))</f>
        <v/>
      </c>
      <c r="U87" s="4" t="str">
        <f t="array" ref="U87">IFERROR(INDEX(cards[object_id],SMALL(IF(cards[[1]:[25]]=entities[[#This Row],[entity_id]],ROW(cards[])-7,99^99),1)),"")</f>
        <v>environment_view</v>
      </c>
      <c r="V87" s="4">
        <f>IF(entities[[#This Row],[In ''States'' tab?]]&lt;&gt;"ok",  "Not in Home Assistant",
IF(entities[[#This Row],[hidden]]="true",  "Hidden",
IF(entities[[#This Row],[Card]]&lt;&gt;"",
INDEX(cards[name],MATCH(entities[[#This Row],[Card]],cards[object_id],0)),  "Badge / automatic card")))</f>
        <v>0</v>
      </c>
      <c r="W87" s="4" t="str">
        <f>IF(entities[[#This Row],[Card]]&lt;&gt;"","group."&amp;entities[[#This Row],[Card]],"")</f>
        <v>group.environment_view</v>
      </c>
      <c r="AD87"/>
    </row>
    <row r="88" spans="2:30" x14ac:dyDescent="0.25">
      <c r="B88" t="s">
        <v>700</v>
      </c>
      <c r="C88" t="s">
        <v>587</v>
      </c>
      <c r="J88" s="4" t="str">
        <f>IF(COUNTIF(Table4[Entity],entities[[#This Row],[entity_id]]),"ok","missing from States tab")</f>
        <v>ok</v>
      </c>
      <c r="K88" s="4" t="str">
        <f>entities[[#This Row],[domain]]&amp;"."&amp;entities[[#This Row],[object_id]]</f>
        <v>group.environment_detail</v>
      </c>
      <c r="L88" s="4" t="str">
        <f>IF(entities[[#This Row],[hidden]]&lt;&gt;"",1,"")</f>
        <v/>
      </c>
      <c r="M88" s="4" t="str">
        <f>IF(entities[[#This Row],[friendly_name]]&lt;&gt;"",2,"")</f>
        <v/>
      </c>
      <c r="N88" s="4" t="str">
        <f>IF(entities[[#This Row],[emulated_hue:]]&lt;&gt;"",3,"")</f>
        <v/>
      </c>
      <c r="O88" s="4" t="str">
        <f>IF(entities[[#This Row],[emulated_hue_name: ]]&lt;&gt;"",4,"")</f>
        <v/>
      </c>
      <c r="P88" s="4" t="str">
        <f>IF(entities[[#This Row],[entity_picture]]&lt;&gt;"",5,"")</f>
        <v/>
      </c>
      <c r="Q88" s="4" t="str">
        <f>IF(entities[[#This Row],[icon]]&lt;&gt;"",6,"")</f>
        <v/>
      </c>
      <c r="R88" s="4" t="str">
        <f>CONCATENATE(entities[[#This Row],[1]],entities[[#This Row],[2]],entities[[#This Row],[3]],entities[[#This Row],[4]],entities[[#This Row],[5]],entities[[#This Row],[6]])</f>
        <v/>
      </c>
      <c r="S88" s="4">
        <f>6-COUNTBLANK(entities[[#This Row],[hidden]:[icon]])</f>
        <v>0</v>
      </c>
      <c r="T88" s="4" t="str">
        <f>IF(entities[[#This Row],[Num Attributes]]=0,"",
COUNTIFS(entities[Num Attributes],"&gt;0",entities[entity_id],"&lt;="&amp;entities[[#This Row],[entity_id]]))</f>
        <v/>
      </c>
      <c r="U88" s="4" t="str">
        <f t="array" ref="U88">IFERROR(INDEX(cards[object_id],SMALL(IF(cards[[1]:[25]]=entities[[#This Row],[entity_id]],ROW(cards[])-7,99^99),1)),"")</f>
        <v/>
      </c>
      <c r="V88" s="4" t="str">
        <f>IF(entities[[#This Row],[In ''States'' tab?]]&lt;&gt;"ok",  "Not in Home Assistant",
IF(entities[[#This Row],[hidden]]="true",  "Hidden",
IF(entities[[#This Row],[Card]]&lt;&gt;"",
INDEX(cards[name],MATCH(entities[[#This Row],[Card]],cards[object_id],0)),  "Badge / automatic card")))</f>
        <v>Badge / automatic card</v>
      </c>
      <c r="W88" s="4" t="str">
        <f>IF(entities[[#This Row],[Card]]&lt;&gt;"","group."&amp;entities[[#This Row],[Card]],"")</f>
        <v/>
      </c>
      <c r="AD88"/>
    </row>
    <row r="89" spans="2:30" x14ac:dyDescent="0.25">
      <c r="B89" t="s">
        <v>700</v>
      </c>
      <c r="C89" t="s">
        <v>708</v>
      </c>
      <c r="J89" s="4" t="str">
        <f>IF(COUNTIF(Table4[Entity],entities[[#This Row],[entity_id]]),"ok","missing from States tab")</f>
        <v>ok</v>
      </c>
      <c r="K89" s="4" t="str">
        <f>entities[[#This Row],[domain]]&amp;"."&amp;entities[[#This Row],[object_id]]</f>
        <v>group.environment_living_room</v>
      </c>
      <c r="L89" s="4" t="str">
        <f>IF(entities[[#This Row],[hidden]]&lt;&gt;"",1,"")</f>
        <v/>
      </c>
      <c r="M89" s="4" t="str">
        <f>IF(entities[[#This Row],[friendly_name]]&lt;&gt;"",2,"")</f>
        <v/>
      </c>
      <c r="N89" s="4" t="str">
        <f>IF(entities[[#This Row],[emulated_hue:]]&lt;&gt;"",3,"")</f>
        <v/>
      </c>
      <c r="O89" s="4" t="str">
        <f>IF(entities[[#This Row],[emulated_hue_name: ]]&lt;&gt;"",4,"")</f>
        <v/>
      </c>
      <c r="P89" s="4" t="str">
        <f>IF(entities[[#This Row],[entity_picture]]&lt;&gt;"",5,"")</f>
        <v/>
      </c>
      <c r="Q89" s="4" t="str">
        <f>IF(entities[[#This Row],[icon]]&lt;&gt;"",6,"")</f>
        <v/>
      </c>
      <c r="R89" s="4" t="str">
        <f>CONCATENATE(entities[[#This Row],[1]],entities[[#This Row],[2]],entities[[#This Row],[3]],entities[[#This Row],[4]],entities[[#This Row],[5]],entities[[#This Row],[6]])</f>
        <v/>
      </c>
      <c r="S89" s="4">
        <f>6-COUNTBLANK(entities[[#This Row],[hidden]:[icon]])</f>
        <v>0</v>
      </c>
      <c r="T89" s="4" t="str">
        <f>IF(entities[[#This Row],[Num Attributes]]=0,"",
COUNTIFS(entities[Num Attributes],"&gt;0",entities[entity_id],"&lt;="&amp;entities[[#This Row],[entity_id]]))</f>
        <v/>
      </c>
      <c r="U89" s="4" t="str">
        <f t="array" ref="U89">IFERROR(INDEX(cards[object_id],SMALL(IF(cards[[1]:[25]]=entities[[#This Row],[entity_id]],ROW(cards[])-7,99^99),1)),"")</f>
        <v>environment_view</v>
      </c>
      <c r="V89" s="4">
        <f>IF(entities[[#This Row],[In ''States'' tab?]]&lt;&gt;"ok",  "Not in Home Assistant",
IF(entities[[#This Row],[hidden]]="true",  "Hidden",
IF(entities[[#This Row],[Card]]&lt;&gt;"",
INDEX(cards[name],MATCH(entities[[#This Row],[Card]],cards[object_id],0)),  "Badge / automatic card")))</f>
        <v>0</v>
      </c>
      <c r="W89" s="4" t="str">
        <f>IF(entities[[#This Row],[Card]]&lt;&gt;"","group."&amp;entities[[#This Row],[Card]],"")</f>
        <v>group.environment_view</v>
      </c>
      <c r="AD89"/>
    </row>
    <row r="90" spans="2:30" x14ac:dyDescent="0.25">
      <c r="B90" t="s">
        <v>700</v>
      </c>
      <c r="C90" t="s">
        <v>344</v>
      </c>
      <c r="J90" s="4" t="str">
        <f>IF(COUNTIF(Table4[Entity],entities[[#This Row],[entity_id]]),"ok","missing from States tab")</f>
        <v>ok</v>
      </c>
      <c r="K90" s="4" t="str">
        <f>entities[[#This Row],[domain]]&amp;"."&amp;entities[[#This Row],[object_id]]</f>
        <v>group.environment_view</v>
      </c>
      <c r="L90" s="4" t="str">
        <f>IF(entities[[#This Row],[hidden]]&lt;&gt;"",1,"")</f>
        <v/>
      </c>
      <c r="M90" s="4" t="str">
        <f>IF(entities[[#This Row],[friendly_name]]&lt;&gt;"",2,"")</f>
        <v/>
      </c>
      <c r="N90" s="4" t="str">
        <f>IF(entities[[#This Row],[emulated_hue:]]&lt;&gt;"",3,"")</f>
        <v/>
      </c>
      <c r="O90" s="4" t="str">
        <f>IF(entities[[#This Row],[emulated_hue_name: ]]&lt;&gt;"",4,"")</f>
        <v/>
      </c>
      <c r="P90" s="4" t="str">
        <f>IF(entities[[#This Row],[entity_picture]]&lt;&gt;"",5,"")</f>
        <v/>
      </c>
      <c r="Q90" s="4" t="str">
        <f>IF(entities[[#This Row],[icon]]&lt;&gt;"",6,"")</f>
        <v/>
      </c>
      <c r="R90" s="4" t="str">
        <f>CONCATENATE(entities[[#This Row],[1]],entities[[#This Row],[2]],entities[[#This Row],[3]],entities[[#This Row],[4]],entities[[#This Row],[5]],entities[[#This Row],[6]])</f>
        <v/>
      </c>
      <c r="S90" s="4">
        <f>6-COUNTBLANK(entities[[#This Row],[hidden]:[icon]])</f>
        <v>0</v>
      </c>
      <c r="T90" s="4" t="str">
        <f>IF(entities[[#This Row],[Num Attributes]]=0,"",
COUNTIFS(entities[Num Attributes],"&gt;0",entities[entity_id],"&lt;="&amp;entities[[#This Row],[entity_id]]))</f>
        <v/>
      </c>
      <c r="U90" s="4" t="str">
        <f t="array" ref="U90">IFERROR(INDEX(cards[object_id],SMALL(IF(cards[[1]:[25]]=entities[[#This Row],[entity_id]],ROW(cards[])-7,99^99),1)),"")</f>
        <v/>
      </c>
      <c r="V90" s="4" t="str">
        <f>IF(entities[[#This Row],[In ''States'' tab?]]&lt;&gt;"ok",  "Not in Home Assistant",
IF(entities[[#This Row],[hidden]]="true",  "Hidden",
IF(entities[[#This Row],[Card]]&lt;&gt;"",
INDEX(cards[name],MATCH(entities[[#This Row],[Card]],cards[object_id],0)),  "Badge / automatic card")))</f>
        <v>Badge / automatic card</v>
      </c>
      <c r="W90" s="4" t="str">
        <f>IF(entities[[#This Row],[Card]]&lt;&gt;"","group."&amp;entities[[#This Row],[Card]],"")</f>
        <v/>
      </c>
      <c r="AD90"/>
    </row>
    <row r="91" spans="2:30" x14ac:dyDescent="0.25">
      <c r="B91" t="s">
        <v>700</v>
      </c>
      <c r="C91" t="s">
        <v>593</v>
      </c>
      <c r="J91" s="4" t="str">
        <f>IF(COUNTIF(Table4[Entity],entities[[#This Row],[entity_id]]),"ok","missing from States tab")</f>
        <v>ok</v>
      </c>
      <c r="K91" s="4" t="str">
        <f>entities[[#This Row],[domain]]&amp;"."&amp;entities[[#This Row],[object_id]]</f>
        <v>group.host_device</v>
      </c>
      <c r="L91" s="4" t="str">
        <f>IF(entities[[#This Row],[hidden]]&lt;&gt;"",1,"")</f>
        <v/>
      </c>
      <c r="M91" s="4" t="str">
        <f>IF(entities[[#This Row],[friendly_name]]&lt;&gt;"",2,"")</f>
        <v/>
      </c>
      <c r="N91" s="4" t="str">
        <f>IF(entities[[#This Row],[emulated_hue:]]&lt;&gt;"",3,"")</f>
        <v/>
      </c>
      <c r="O91" s="4" t="str">
        <f>IF(entities[[#This Row],[emulated_hue_name: ]]&lt;&gt;"",4,"")</f>
        <v/>
      </c>
      <c r="P91" s="4" t="str">
        <f>IF(entities[[#This Row],[entity_picture]]&lt;&gt;"",5,"")</f>
        <v/>
      </c>
      <c r="Q91" s="4" t="str">
        <f>IF(entities[[#This Row],[icon]]&lt;&gt;"",6,"")</f>
        <v/>
      </c>
      <c r="R91" s="4" t="str">
        <f>CONCATENATE(entities[[#This Row],[1]],entities[[#This Row],[2]],entities[[#This Row],[3]],entities[[#This Row],[4]],entities[[#This Row],[5]],entities[[#This Row],[6]])</f>
        <v/>
      </c>
      <c r="S91" s="4">
        <f>6-COUNTBLANK(entities[[#This Row],[hidden]:[icon]])</f>
        <v>0</v>
      </c>
      <c r="T91" s="4" t="str">
        <f>IF(entities[[#This Row],[Num Attributes]]=0,"",
COUNTIFS(entities[Num Attributes],"&gt;0",entities[entity_id],"&lt;="&amp;entities[[#This Row],[entity_id]]))</f>
        <v/>
      </c>
      <c r="U91" s="4" t="str">
        <f t="array" ref="U91">IFERROR(INDEX(cards[object_id],SMALL(IF(cards[[1]:[25]]=entities[[#This Row],[entity_id]],ROW(cards[])-7,99^99),1)),"")</f>
        <v>network_view</v>
      </c>
      <c r="V91" s="4">
        <f>IF(entities[[#This Row],[In ''States'' tab?]]&lt;&gt;"ok",  "Not in Home Assistant",
IF(entities[[#This Row],[hidden]]="true",  "Hidden",
IF(entities[[#This Row],[Card]]&lt;&gt;"",
INDEX(cards[name],MATCH(entities[[#This Row],[Card]],cards[object_id],0)),  "Badge / automatic card")))</f>
        <v>0</v>
      </c>
      <c r="W91" s="4" t="str">
        <f>IF(entities[[#This Row],[Card]]&lt;&gt;"","group."&amp;entities[[#This Row],[Card]],"")</f>
        <v>group.network_view</v>
      </c>
      <c r="AD91"/>
    </row>
    <row r="92" spans="2:30" x14ac:dyDescent="0.25">
      <c r="B92" t="s">
        <v>700</v>
      </c>
      <c r="C92" t="s">
        <v>592</v>
      </c>
      <c r="J92" s="4" t="str">
        <f>IF(COUNTIF(Table4[Entity],entities[[#This Row],[entity_id]]),"ok","missing from States tab")</f>
        <v>ok</v>
      </c>
      <c r="K92" s="4" t="str">
        <f>entities[[#This Row],[domain]]&amp;"."&amp;entities[[#This Row],[object_id]]</f>
        <v>group.iot_devices</v>
      </c>
      <c r="L92" s="4" t="str">
        <f>IF(entities[[#This Row],[hidden]]&lt;&gt;"",1,"")</f>
        <v/>
      </c>
      <c r="M92" s="4" t="str">
        <f>IF(entities[[#This Row],[friendly_name]]&lt;&gt;"",2,"")</f>
        <v/>
      </c>
      <c r="N92" s="4" t="str">
        <f>IF(entities[[#This Row],[emulated_hue:]]&lt;&gt;"",3,"")</f>
        <v/>
      </c>
      <c r="O92" s="4" t="str">
        <f>IF(entities[[#This Row],[emulated_hue_name: ]]&lt;&gt;"",4,"")</f>
        <v/>
      </c>
      <c r="P92" s="4" t="str">
        <f>IF(entities[[#This Row],[entity_picture]]&lt;&gt;"",5,"")</f>
        <v/>
      </c>
      <c r="Q92" s="4" t="str">
        <f>IF(entities[[#This Row],[icon]]&lt;&gt;"",6,"")</f>
        <v/>
      </c>
      <c r="R92" s="4" t="str">
        <f>CONCATENATE(entities[[#This Row],[1]],entities[[#This Row],[2]],entities[[#This Row],[3]],entities[[#This Row],[4]],entities[[#This Row],[5]],entities[[#This Row],[6]])</f>
        <v/>
      </c>
      <c r="S92" s="4">
        <f>6-COUNTBLANK(entities[[#This Row],[hidden]:[icon]])</f>
        <v>0</v>
      </c>
      <c r="T92" s="4" t="str">
        <f>IF(entities[[#This Row],[Num Attributes]]=0,"",
COUNTIFS(entities[Num Attributes],"&gt;0",entities[entity_id],"&lt;="&amp;entities[[#This Row],[entity_id]]))</f>
        <v/>
      </c>
      <c r="U92" s="4" t="str">
        <f t="array" ref="U92">IFERROR(INDEX(cards[object_id],SMALL(IF(cards[[1]:[25]]=entities[[#This Row],[entity_id]],ROW(cards[])-7,99^99),1)),"")</f>
        <v>network_view</v>
      </c>
      <c r="V92" s="4">
        <f>IF(entities[[#This Row],[In ''States'' tab?]]&lt;&gt;"ok",  "Not in Home Assistant",
IF(entities[[#This Row],[hidden]]="true",  "Hidden",
IF(entities[[#This Row],[Card]]&lt;&gt;"",
INDEX(cards[name],MATCH(entities[[#This Row],[Card]],cards[object_id],0)),  "Badge / automatic card")))</f>
        <v>0</v>
      </c>
      <c r="W92" s="4" t="str">
        <f>IF(entities[[#This Row],[Card]]&lt;&gt;"","group."&amp;entities[[#This Row],[Card]],"")</f>
        <v>group.network_view</v>
      </c>
      <c r="AD92"/>
    </row>
    <row r="93" spans="2:30" x14ac:dyDescent="0.25">
      <c r="B93" t="s">
        <v>700</v>
      </c>
      <c r="C93" t="s">
        <v>674</v>
      </c>
      <c r="J93" s="4" t="str">
        <f>IF(COUNTIF(Table4[Entity],entities[[#This Row],[entity_id]]),"ok","missing from States tab")</f>
        <v>ok</v>
      </c>
      <c r="K93" s="4" t="str">
        <f>entities[[#This Row],[domain]]&amp;"."&amp;entities[[#This Row],[object_id]]</f>
        <v>group.living_room</v>
      </c>
      <c r="L93" s="4" t="str">
        <f>IF(entities[[#This Row],[hidden]]&lt;&gt;"",1,"")</f>
        <v/>
      </c>
      <c r="M93" s="4" t="str">
        <f>IF(entities[[#This Row],[friendly_name]]&lt;&gt;"",2,"")</f>
        <v/>
      </c>
      <c r="N93" s="4" t="str">
        <f>IF(entities[[#This Row],[emulated_hue:]]&lt;&gt;"",3,"")</f>
        <v/>
      </c>
      <c r="O93" s="4" t="str">
        <f>IF(entities[[#This Row],[emulated_hue_name: ]]&lt;&gt;"",4,"")</f>
        <v/>
      </c>
      <c r="P93" s="4" t="str">
        <f>IF(entities[[#This Row],[entity_picture]]&lt;&gt;"",5,"")</f>
        <v/>
      </c>
      <c r="Q93" s="4" t="str">
        <f>IF(entities[[#This Row],[icon]]&lt;&gt;"",6,"")</f>
        <v/>
      </c>
      <c r="R93" s="4" t="str">
        <f>CONCATENATE(entities[[#This Row],[1]],entities[[#This Row],[2]],entities[[#This Row],[3]],entities[[#This Row],[4]],entities[[#This Row],[5]],entities[[#This Row],[6]])</f>
        <v/>
      </c>
      <c r="S93" s="4">
        <f>6-COUNTBLANK(entities[[#This Row],[hidden]:[icon]])</f>
        <v>0</v>
      </c>
      <c r="T93" s="4" t="str">
        <f>IF(entities[[#This Row],[Num Attributes]]=0,"",
COUNTIFS(entities[Num Attributes],"&gt;0",entities[entity_id],"&lt;="&amp;entities[[#This Row],[entity_id]]))</f>
        <v/>
      </c>
      <c r="U93" s="4" t="str">
        <f t="array" ref="U93">IFERROR(INDEX(cards[object_id],SMALL(IF(cards[[1]:[25]]=entities[[#This Row],[entity_id]],ROW(cards[])-7,99^99),1)),"")</f>
        <v>default_view</v>
      </c>
      <c r="V93" s="4">
        <f>IF(entities[[#This Row],[In ''States'' tab?]]&lt;&gt;"ok",  "Not in Home Assistant",
IF(entities[[#This Row],[hidden]]="true",  "Hidden",
IF(entities[[#This Row],[Card]]&lt;&gt;"",
INDEX(cards[name],MATCH(entities[[#This Row],[Card]],cards[object_id],0)),  "Badge / automatic card")))</f>
        <v>0</v>
      </c>
      <c r="W93" s="4" t="str">
        <f>IF(entities[[#This Row],[Card]]&lt;&gt;"","group."&amp;entities[[#This Row],[Card]],"")</f>
        <v>group.default_view</v>
      </c>
      <c r="AD93"/>
    </row>
    <row r="94" spans="2:30" x14ac:dyDescent="0.25">
      <c r="B94" t="s">
        <v>700</v>
      </c>
      <c r="C94" t="s">
        <v>710</v>
      </c>
      <c r="J94" s="4" t="str">
        <f>IF(COUNTIF(Table4[Entity],entities[[#This Row],[entity_id]]),"ok","missing from States tab")</f>
        <v>ok</v>
      </c>
      <c r="K94" s="4" t="str">
        <f>entities[[#This Row],[domain]]&amp;"."&amp;entities[[#This Row],[object_id]]</f>
        <v>group.living_room_view</v>
      </c>
      <c r="L94" s="4" t="str">
        <f>IF(entities[[#This Row],[hidden]]&lt;&gt;"",1,"")</f>
        <v/>
      </c>
      <c r="M94" s="4" t="str">
        <f>IF(entities[[#This Row],[friendly_name]]&lt;&gt;"",2,"")</f>
        <v/>
      </c>
      <c r="N94" s="4" t="str">
        <f>IF(entities[[#This Row],[emulated_hue:]]&lt;&gt;"",3,"")</f>
        <v/>
      </c>
      <c r="O94" s="4" t="str">
        <f>IF(entities[[#This Row],[emulated_hue_name: ]]&lt;&gt;"",4,"")</f>
        <v/>
      </c>
      <c r="P94" s="4" t="str">
        <f>IF(entities[[#This Row],[entity_picture]]&lt;&gt;"",5,"")</f>
        <v/>
      </c>
      <c r="Q94" s="4" t="str">
        <f>IF(entities[[#This Row],[icon]]&lt;&gt;"",6,"")</f>
        <v/>
      </c>
      <c r="R94" s="4" t="str">
        <f>CONCATENATE(entities[[#This Row],[1]],entities[[#This Row],[2]],entities[[#This Row],[3]],entities[[#This Row],[4]],entities[[#This Row],[5]],entities[[#This Row],[6]])</f>
        <v/>
      </c>
      <c r="S94" s="4">
        <f>6-COUNTBLANK(entities[[#This Row],[hidden]:[icon]])</f>
        <v>0</v>
      </c>
      <c r="T94" s="4" t="str">
        <f>IF(entities[[#This Row],[Num Attributes]]=0,"",
COUNTIFS(entities[Num Attributes],"&gt;0",entities[entity_id],"&lt;="&amp;entities[[#This Row],[entity_id]]))</f>
        <v/>
      </c>
      <c r="U94" s="4" t="str">
        <f t="array" ref="U94">IFERROR(INDEX(cards[object_id],SMALL(IF(cards[[1]:[25]]=entities[[#This Row],[entity_id]],ROW(cards[])-7,99^99),1)),"")</f>
        <v/>
      </c>
      <c r="V94" s="4" t="str">
        <f>IF(entities[[#This Row],[In ''States'' tab?]]&lt;&gt;"ok",  "Not in Home Assistant",
IF(entities[[#This Row],[hidden]]="true",  "Hidden",
IF(entities[[#This Row],[Card]]&lt;&gt;"",
INDEX(cards[name],MATCH(entities[[#This Row],[Card]],cards[object_id],0)),  "Badge / automatic card")))</f>
        <v>Badge / automatic card</v>
      </c>
      <c r="W94" s="4" t="str">
        <f>IF(entities[[#This Row],[Card]]&lt;&gt;"","group."&amp;entities[[#This Row],[Card]],"")</f>
        <v/>
      </c>
      <c r="AD94"/>
    </row>
    <row r="95" spans="2:30" x14ac:dyDescent="0.25">
      <c r="B95" t="s">
        <v>700</v>
      </c>
      <c r="C95" t="s">
        <v>653</v>
      </c>
      <c r="J95" s="4" t="str">
        <f>IF(COUNTIF(Table4[Entity],entities[[#This Row],[entity_id]]),"ok","missing from States tab")</f>
        <v>ok</v>
      </c>
      <c r="K95" s="4" t="str">
        <f>entities[[#This Row],[domain]]&amp;"."&amp;entities[[#This Row],[object_id]]</f>
        <v>group.misc_devices</v>
      </c>
      <c r="L95" s="4" t="str">
        <f>IF(entities[[#This Row],[hidden]]&lt;&gt;"",1,"")</f>
        <v/>
      </c>
      <c r="M95" s="4" t="str">
        <f>IF(entities[[#This Row],[friendly_name]]&lt;&gt;"",2,"")</f>
        <v/>
      </c>
      <c r="N95" s="4" t="str">
        <f>IF(entities[[#This Row],[emulated_hue:]]&lt;&gt;"",3,"")</f>
        <v/>
      </c>
      <c r="O95" s="4" t="str">
        <f>IF(entities[[#This Row],[emulated_hue_name: ]]&lt;&gt;"",4,"")</f>
        <v/>
      </c>
      <c r="P95" s="4" t="str">
        <f>IF(entities[[#This Row],[entity_picture]]&lt;&gt;"",5,"")</f>
        <v/>
      </c>
      <c r="Q95" s="4" t="str">
        <f>IF(entities[[#This Row],[icon]]&lt;&gt;"",6,"")</f>
        <v/>
      </c>
      <c r="R95" s="4" t="str">
        <f>CONCATENATE(entities[[#This Row],[1]],entities[[#This Row],[2]],entities[[#This Row],[3]],entities[[#This Row],[4]],entities[[#This Row],[5]],entities[[#This Row],[6]])</f>
        <v/>
      </c>
      <c r="S95" s="4">
        <f>6-COUNTBLANK(entities[[#This Row],[hidden]:[icon]])</f>
        <v>0</v>
      </c>
      <c r="T95" s="4" t="str">
        <f>IF(entities[[#This Row],[Num Attributes]]=0,"",
COUNTIFS(entities[Num Attributes],"&gt;0",entities[entity_id],"&lt;="&amp;entities[[#This Row],[entity_id]]))</f>
        <v/>
      </c>
      <c r="U95" s="4" t="str">
        <f t="array" ref="U95">IFERROR(INDEX(cards[object_id],SMALL(IF(cards[[1]:[25]]=entities[[#This Row],[entity_id]],ROW(cards[])-7,99^99),1)),"")</f>
        <v/>
      </c>
      <c r="V95" s="4" t="str">
        <f>IF(entities[[#This Row],[In ''States'' tab?]]&lt;&gt;"ok",  "Not in Home Assistant",
IF(entities[[#This Row],[hidden]]="true",  "Hidden",
IF(entities[[#This Row],[Card]]&lt;&gt;"",
INDEX(cards[name],MATCH(entities[[#This Row],[Card]],cards[object_id],0)),  "Badge / automatic card")))</f>
        <v>Badge / automatic card</v>
      </c>
      <c r="W95" s="4" t="str">
        <f>IF(entities[[#This Row],[Card]]&lt;&gt;"","group."&amp;entities[[#This Row],[Card]],"")</f>
        <v/>
      </c>
      <c r="AD95"/>
    </row>
    <row r="96" spans="2:30" x14ac:dyDescent="0.25">
      <c r="B96" t="s">
        <v>700</v>
      </c>
      <c r="C96" t="s">
        <v>589</v>
      </c>
      <c r="J96" s="4" t="str">
        <f>IF(COUNTIF(Table4[Entity],entities[[#This Row],[entity_id]]),"ok","missing from States tab")</f>
        <v>ok</v>
      </c>
      <c r="K96" s="4" t="str">
        <f>entities[[#This Row],[domain]]&amp;"."&amp;entities[[#This Row],[object_id]]</f>
        <v>group.network</v>
      </c>
      <c r="L96" s="4" t="str">
        <f>IF(entities[[#This Row],[hidden]]&lt;&gt;"",1,"")</f>
        <v/>
      </c>
      <c r="M96" s="4" t="str">
        <f>IF(entities[[#This Row],[friendly_name]]&lt;&gt;"",2,"")</f>
        <v/>
      </c>
      <c r="N96" s="4" t="str">
        <f>IF(entities[[#This Row],[emulated_hue:]]&lt;&gt;"",3,"")</f>
        <v/>
      </c>
      <c r="O96" s="4" t="str">
        <f>IF(entities[[#This Row],[emulated_hue_name: ]]&lt;&gt;"",4,"")</f>
        <v/>
      </c>
      <c r="P96" s="4" t="str">
        <f>IF(entities[[#This Row],[entity_picture]]&lt;&gt;"",5,"")</f>
        <v/>
      </c>
      <c r="Q96" s="4" t="str">
        <f>IF(entities[[#This Row],[icon]]&lt;&gt;"",6,"")</f>
        <v/>
      </c>
      <c r="R96" s="4" t="str">
        <f>CONCATENATE(entities[[#This Row],[1]],entities[[#This Row],[2]],entities[[#This Row],[3]],entities[[#This Row],[4]],entities[[#This Row],[5]],entities[[#This Row],[6]])</f>
        <v/>
      </c>
      <c r="S96" s="4">
        <f>6-COUNTBLANK(entities[[#This Row],[hidden]:[icon]])</f>
        <v>0</v>
      </c>
      <c r="T96" s="4" t="str">
        <f>IF(entities[[#This Row],[Num Attributes]]=0,"",
COUNTIFS(entities[Num Attributes],"&gt;0",entities[entity_id],"&lt;="&amp;entities[[#This Row],[entity_id]]))</f>
        <v/>
      </c>
      <c r="U96" s="4" t="str">
        <f t="array" ref="U96">IFERROR(INDEX(cards[object_id],SMALL(IF(cards[[1]:[25]]=entities[[#This Row],[entity_id]],ROW(cards[])-7,99^99),1)),"")</f>
        <v>network_view</v>
      </c>
      <c r="V96" s="4">
        <f>IF(entities[[#This Row],[In ''States'' tab?]]&lt;&gt;"ok",  "Not in Home Assistant",
IF(entities[[#This Row],[hidden]]="true",  "Hidden",
IF(entities[[#This Row],[Card]]&lt;&gt;"",
INDEX(cards[name],MATCH(entities[[#This Row],[Card]],cards[object_id],0)),  "Badge / automatic card")))</f>
        <v>0</v>
      </c>
      <c r="W96" s="4" t="str">
        <f>IF(entities[[#This Row],[Card]]&lt;&gt;"","group."&amp;entities[[#This Row],[Card]],"")</f>
        <v>group.network_view</v>
      </c>
      <c r="AD96"/>
    </row>
    <row r="97" spans="2:30" x14ac:dyDescent="0.25">
      <c r="B97" t="s">
        <v>700</v>
      </c>
      <c r="C97" t="s">
        <v>345</v>
      </c>
      <c r="J97" s="4" t="str">
        <f>IF(COUNTIF(Table4[Entity],entities[[#This Row],[entity_id]]),"ok","missing from States tab")</f>
        <v>ok</v>
      </c>
      <c r="K97" s="4" t="str">
        <f>entities[[#This Row],[domain]]&amp;"."&amp;entities[[#This Row],[object_id]]</f>
        <v>group.network_view</v>
      </c>
      <c r="L97" s="4" t="str">
        <f>IF(entities[[#This Row],[hidden]]&lt;&gt;"",1,"")</f>
        <v/>
      </c>
      <c r="M97" s="4" t="str">
        <f>IF(entities[[#This Row],[friendly_name]]&lt;&gt;"",2,"")</f>
        <v/>
      </c>
      <c r="N97" s="4" t="str">
        <f>IF(entities[[#This Row],[emulated_hue:]]&lt;&gt;"",3,"")</f>
        <v/>
      </c>
      <c r="O97" s="4" t="str">
        <f>IF(entities[[#This Row],[emulated_hue_name: ]]&lt;&gt;"",4,"")</f>
        <v/>
      </c>
      <c r="P97" s="4" t="str">
        <f>IF(entities[[#This Row],[entity_picture]]&lt;&gt;"",5,"")</f>
        <v/>
      </c>
      <c r="Q97" s="4" t="str">
        <f>IF(entities[[#This Row],[icon]]&lt;&gt;"",6,"")</f>
        <v/>
      </c>
      <c r="R97" s="4" t="str">
        <f>CONCATENATE(entities[[#This Row],[1]],entities[[#This Row],[2]],entities[[#This Row],[3]],entities[[#This Row],[4]],entities[[#This Row],[5]],entities[[#This Row],[6]])</f>
        <v/>
      </c>
      <c r="S97" s="4">
        <f>6-COUNTBLANK(entities[[#This Row],[hidden]:[icon]])</f>
        <v>0</v>
      </c>
      <c r="T97" s="4" t="str">
        <f>IF(entities[[#This Row],[Num Attributes]]=0,"",
COUNTIFS(entities[Num Attributes],"&gt;0",entities[entity_id],"&lt;="&amp;entities[[#This Row],[entity_id]]))</f>
        <v/>
      </c>
      <c r="U97" s="4" t="str">
        <f t="array" ref="U97">IFERROR(INDEX(cards[object_id],SMALL(IF(cards[[1]:[25]]=entities[[#This Row],[entity_id]],ROW(cards[])-7,99^99),1)),"")</f>
        <v/>
      </c>
      <c r="V97" s="4" t="str">
        <f>IF(entities[[#This Row],[In ''States'' tab?]]&lt;&gt;"ok",  "Not in Home Assistant",
IF(entities[[#This Row],[hidden]]="true",  "Hidden",
IF(entities[[#This Row],[Card]]&lt;&gt;"",
INDEX(cards[name],MATCH(entities[[#This Row],[Card]],cards[object_id],0)),  "Badge / automatic card")))</f>
        <v>Badge / automatic card</v>
      </c>
      <c r="W97" s="4" t="str">
        <f>IF(entities[[#This Row],[Card]]&lt;&gt;"","group."&amp;entities[[#This Row],[Card]],"")</f>
        <v/>
      </c>
      <c r="AD97"/>
    </row>
    <row r="98" spans="2:30" x14ac:dyDescent="0.25">
      <c r="B98" t="s">
        <v>700</v>
      </c>
      <c r="C98" t="s">
        <v>591</v>
      </c>
      <c r="J98" s="4" t="str">
        <f>IF(COUNTIF(Table4[Entity],entities[[#This Row],[entity_id]]),"ok","missing from States tab")</f>
        <v>ok</v>
      </c>
      <c r="K98" s="4" t="str">
        <f>entities[[#This Row],[domain]]&amp;"."&amp;entities[[#This Row],[object_id]]</f>
        <v>group.personal_devices</v>
      </c>
      <c r="L98" s="4" t="str">
        <f>IF(entities[[#This Row],[hidden]]&lt;&gt;"",1,"")</f>
        <v/>
      </c>
      <c r="M98" s="4" t="str">
        <f>IF(entities[[#This Row],[friendly_name]]&lt;&gt;"",2,"")</f>
        <v/>
      </c>
      <c r="N98" s="4" t="str">
        <f>IF(entities[[#This Row],[emulated_hue:]]&lt;&gt;"",3,"")</f>
        <v/>
      </c>
      <c r="O98" s="4" t="str">
        <f>IF(entities[[#This Row],[emulated_hue_name: ]]&lt;&gt;"",4,"")</f>
        <v/>
      </c>
      <c r="P98" s="4" t="str">
        <f>IF(entities[[#This Row],[entity_picture]]&lt;&gt;"",5,"")</f>
        <v/>
      </c>
      <c r="Q98" s="4" t="str">
        <f>IF(entities[[#This Row],[icon]]&lt;&gt;"",6,"")</f>
        <v/>
      </c>
      <c r="R98" s="4" t="str">
        <f>CONCATENATE(entities[[#This Row],[1]],entities[[#This Row],[2]],entities[[#This Row],[3]],entities[[#This Row],[4]],entities[[#This Row],[5]],entities[[#This Row],[6]])</f>
        <v/>
      </c>
      <c r="S98" s="4">
        <f>6-COUNTBLANK(entities[[#This Row],[hidden]:[icon]])</f>
        <v>0</v>
      </c>
      <c r="T98" s="4" t="str">
        <f>IF(entities[[#This Row],[Num Attributes]]=0,"",
COUNTIFS(entities[Num Attributes],"&gt;0",entities[entity_id],"&lt;="&amp;entities[[#This Row],[entity_id]]))</f>
        <v/>
      </c>
      <c r="U98" s="4" t="str">
        <f t="array" ref="U98">IFERROR(INDEX(cards[object_id],SMALL(IF(cards[[1]:[25]]=entities[[#This Row],[entity_id]],ROW(cards[])-7,99^99),1)),"")</f>
        <v>network_view</v>
      </c>
      <c r="V98" s="4">
        <f>IF(entities[[#This Row],[In ''States'' tab?]]&lt;&gt;"ok",  "Not in Home Assistant",
IF(entities[[#This Row],[hidden]]="true",  "Hidden",
IF(entities[[#This Row],[Card]]&lt;&gt;"",
INDEX(cards[name],MATCH(entities[[#This Row],[Card]],cards[object_id],0)),  "Badge / automatic card")))</f>
        <v>0</v>
      </c>
      <c r="W98" s="4" t="str">
        <f>IF(entities[[#This Row],[Card]]&lt;&gt;"","group."&amp;entities[[#This Row],[Card]],"")</f>
        <v>group.network_view</v>
      </c>
      <c r="AD98"/>
    </row>
    <row r="99" spans="2:30" x14ac:dyDescent="0.25">
      <c r="B99" t="s">
        <v>700</v>
      </c>
      <c r="C99" t="s">
        <v>590</v>
      </c>
      <c r="J99" s="4" t="str">
        <f>IF(COUNTIF(Table4[Entity],entities[[#This Row],[entity_id]]),"ok","missing from States tab")</f>
        <v>ok</v>
      </c>
      <c r="K99" s="4" t="str">
        <f>entities[[#This Row],[domain]]&amp;"."&amp;entities[[#This Row],[object_id]]</f>
        <v>group.phones</v>
      </c>
      <c r="L99" s="4" t="str">
        <f>IF(entities[[#This Row],[hidden]]&lt;&gt;"",1,"")</f>
        <v/>
      </c>
      <c r="M99" s="4" t="str">
        <f>IF(entities[[#This Row],[friendly_name]]&lt;&gt;"",2,"")</f>
        <v/>
      </c>
      <c r="N99" s="4" t="str">
        <f>IF(entities[[#This Row],[emulated_hue:]]&lt;&gt;"",3,"")</f>
        <v/>
      </c>
      <c r="O99" s="4" t="str">
        <f>IF(entities[[#This Row],[emulated_hue_name: ]]&lt;&gt;"",4,"")</f>
        <v/>
      </c>
      <c r="P99" s="4" t="str">
        <f>IF(entities[[#This Row],[entity_picture]]&lt;&gt;"",5,"")</f>
        <v/>
      </c>
      <c r="Q99" s="4" t="str">
        <f>IF(entities[[#This Row],[icon]]&lt;&gt;"",6,"")</f>
        <v/>
      </c>
      <c r="R99" s="4" t="str">
        <f>CONCATENATE(entities[[#This Row],[1]],entities[[#This Row],[2]],entities[[#This Row],[3]],entities[[#This Row],[4]],entities[[#This Row],[5]],entities[[#This Row],[6]])</f>
        <v/>
      </c>
      <c r="S99" s="4">
        <f>6-COUNTBLANK(entities[[#This Row],[hidden]:[icon]])</f>
        <v>0</v>
      </c>
      <c r="T99" s="4" t="str">
        <f>IF(entities[[#This Row],[Num Attributes]]=0,"",
COUNTIFS(entities[Num Attributes],"&gt;0",entities[entity_id],"&lt;="&amp;entities[[#This Row],[entity_id]]))</f>
        <v/>
      </c>
      <c r="U99" s="4" t="str">
        <f t="array" ref="U99">IFERROR(INDEX(cards[object_id],SMALL(IF(cards[[1]:[25]]=entities[[#This Row],[entity_id]],ROW(cards[])-7,99^99),1)),"")</f>
        <v>network_view</v>
      </c>
      <c r="V99" s="4">
        <f>IF(entities[[#This Row],[In ''States'' tab?]]&lt;&gt;"ok",  "Not in Home Assistant",
IF(entities[[#This Row],[hidden]]="true",  "Hidden",
IF(entities[[#This Row],[Card]]&lt;&gt;"",
INDEX(cards[name],MATCH(entities[[#This Row],[Card]],cards[object_id],0)),  "Badge / automatic card")))</f>
        <v>0</v>
      </c>
      <c r="W99" s="4" t="str">
        <f>IF(entities[[#This Row],[Card]]&lt;&gt;"","group."&amp;entities[[#This Row],[Card]],"")</f>
        <v>group.network_view</v>
      </c>
      <c r="AD99"/>
    </row>
    <row r="100" spans="2:30" x14ac:dyDescent="0.25">
      <c r="B100" t="s">
        <v>700</v>
      </c>
      <c r="C100" t="s">
        <v>588</v>
      </c>
      <c r="J100" s="4" t="str">
        <f>IF(COUNTIF(Table4[Entity],entities[[#This Row],[entity_id]]),"ok","missing from States tab")</f>
        <v>ok</v>
      </c>
      <c r="K100" s="4" t="str">
        <f>entities[[#This Row],[domain]]&amp;"."&amp;entities[[#This Row],[object_id]]</f>
        <v>group.status</v>
      </c>
      <c r="L100" s="4" t="str">
        <f>IF(entities[[#This Row],[hidden]]&lt;&gt;"",1,"")</f>
        <v/>
      </c>
      <c r="M100" s="4" t="str">
        <f>IF(entities[[#This Row],[friendly_name]]&lt;&gt;"",2,"")</f>
        <v/>
      </c>
      <c r="N100" s="4" t="str">
        <f>IF(entities[[#This Row],[emulated_hue:]]&lt;&gt;"",3,"")</f>
        <v/>
      </c>
      <c r="O100" s="4" t="str">
        <f>IF(entities[[#This Row],[emulated_hue_name: ]]&lt;&gt;"",4,"")</f>
        <v/>
      </c>
      <c r="P100" s="4" t="str">
        <f>IF(entities[[#This Row],[entity_picture]]&lt;&gt;"",5,"")</f>
        <v/>
      </c>
      <c r="Q100" s="4" t="str">
        <f>IF(entities[[#This Row],[icon]]&lt;&gt;"",6,"")</f>
        <v/>
      </c>
      <c r="R100" s="4" t="str">
        <f>CONCATENATE(entities[[#This Row],[1]],entities[[#This Row],[2]],entities[[#This Row],[3]],entities[[#This Row],[4]],entities[[#This Row],[5]],entities[[#This Row],[6]])</f>
        <v/>
      </c>
      <c r="S100" s="4">
        <f>6-COUNTBLANK(entities[[#This Row],[hidden]:[icon]])</f>
        <v>0</v>
      </c>
      <c r="T100" s="4" t="str">
        <f>IF(entities[[#This Row],[Num Attributes]]=0,"",
COUNTIFS(entities[Num Attributes],"&gt;0",entities[entity_id],"&lt;="&amp;entities[[#This Row],[entity_id]]))</f>
        <v/>
      </c>
      <c r="U100" s="4" t="str">
        <f t="array" ref="U100">IFERROR(INDEX(cards[object_id],SMALL(IF(cards[[1]:[25]]=entities[[#This Row],[entity_id]],ROW(cards[])-7,99^99),1)),"")</f>
        <v>default_view</v>
      </c>
      <c r="V100" s="4">
        <f>IF(entities[[#This Row],[In ''States'' tab?]]&lt;&gt;"ok",  "Not in Home Assistant",
IF(entities[[#This Row],[hidden]]="true",  "Hidden",
IF(entities[[#This Row],[Card]]&lt;&gt;"",
INDEX(cards[name],MATCH(entities[[#This Row],[Card]],cards[object_id],0)),  "Badge / automatic card")))</f>
        <v>0</v>
      </c>
      <c r="W100" s="4" t="str">
        <f>IF(entities[[#This Row],[Card]]&lt;&gt;"","group."&amp;entities[[#This Row],[Card]],"")</f>
        <v>group.default_view</v>
      </c>
      <c r="AD100"/>
    </row>
    <row r="101" spans="2:30" x14ac:dyDescent="0.25">
      <c r="B101" t="s">
        <v>184</v>
      </c>
      <c r="C101" t="s">
        <v>185</v>
      </c>
      <c r="E101" t="s">
        <v>263</v>
      </c>
      <c r="I101" t="s">
        <v>262</v>
      </c>
      <c r="J101" s="4" t="str">
        <f>IF(COUNTIF(Table4[Entity],entities[[#This Row],[entity_id]]),"ok","missing from States tab")</f>
        <v>ok</v>
      </c>
      <c r="K101" t="str">
        <f>entities[[#This Row],[domain]]&amp;"."&amp;entities[[#This Row],[object_id]]</f>
        <v>input_boolean.alarm_clock_status</v>
      </c>
      <c r="L101" s="4" t="str">
        <f>IF(entities[[#This Row],[hidden]]&lt;&gt;"",1,"")</f>
        <v/>
      </c>
      <c r="M101" s="4">
        <f>IF(entities[[#This Row],[friendly_name]]&lt;&gt;"",2,"")</f>
        <v>2</v>
      </c>
      <c r="N101" s="4" t="str">
        <f>IF(entities[[#This Row],[emulated_hue:]]&lt;&gt;"",3,"")</f>
        <v/>
      </c>
      <c r="O101" s="4" t="str">
        <f>IF(entities[[#This Row],[emulated_hue_name: ]]&lt;&gt;"",4,"")</f>
        <v/>
      </c>
      <c r="P101" s="4" t="str">
        <f>IF(entities[[#This Row],[entity_picture]]&lt;&gt;"",5,"")</f>
        <v/>
      </c>
      <c r="Q101" s="4">
        <f>IF(entities[[#This Row],[icon]]&lt;&gt;"",6,"")</f>
        <v>6</v>
      </c>
      <c r="R101" s="4" t="str">
        <f>CONCATENATE(entities[[#This Row],[1]],entities[[#This Row],[2]],entities[[#This Row],[3]],entities[[#This Row],[4]],entities[[#This Row],[5]],entities[[#This Row],[6]])</f>
        <v>26</v>
      </c>
      <c r="S101">
        <f>6-COUNTBLANK(entities[[#This Row],[hidden]:[icon]])</f>
        <v>2</v>
      </c>
      <c r="T101">
        <f>IF(entities[[#This Row],[Num Attributes]]=0,"",
COUNTIFS(entities[Num Attributes],"&gt;0",entities[entity_id],"&lt;="&amp;entities[[#This Row],[entity_id]]))</f>
        <v>58</v>
      </c>
      <c r="U101" t="str">
        <f t="array" ref="U101">IFERROR(INDEX(cards[object_id],SMALL(IF(cards[[1]:[25]]=entities[[#This Row],[entity_id]],ROW(cards[])-7,99^99),1)),"")</f>
        <v>alarm_clock</v>
      </c>
      <c r="V101" t="str">
        <f>IF(entities[[#This Row],[In ''States'' tab?]]&lt;&gt;"ok",  "Not in Home Assistant",
IF(entities[[#This Row],[hidden]]="true",  "Hidden",
IF(entities[[#This Row],[Card]]&lt;&gt;"",
INDEX(cards[name],MATCH(entities[[#This Row],[Card]],cards[object_id],0)),  "Badge / automatic card")))</f>
        <v>Alarm Clock</v>
      </c>
      <c r="W101" t="str">
        <f>IF(entities[[#This Row],[Card]]&lt;&gt;"","group."&amp;entities[[#This Row],[Card]],"")</f>
        <v>group.alarm_clock</v>
      </c>
      <c r="AD101"/>
    </row>
    <row r="102" spans="2:30" x14ac:dyDescent="0.25">
      <c r="B102" t="s">
        <v>184</v>
      </c>
      <c r="C102" t="s">
        <v>186</v>
      </c>
      <c r="J102" s="4" t="str">
        <f>IF(COUNTIF(Table4[Entity],entities[[#This Row],[entity_id]]),"ok","missing from States tab")</f>
        <v>ok</v>
      </c>
      <c r="K102" t="str">
        <f>entities[[#This Row],[domain]]&amp;"."&amp;entities[[#This Row],[object_id]]</f>
        <v>input_boolean.friend_visiting</v>
      </c>
      <c r="L102" s="4" t="str">
        <f>IF(entities[[#This Row],[hidden]]&lt;&gt;"",1,"")</f>
        <v/>
      </c>
      <c r="M102" s="4" t="str">
        <f>IF(entities[[#This Row],[friendly_name]]&lt;&gt;"",2,"")</f>
        <v/>
      </c>
      <c r="N102" s="4" t="str">
        <f>IF(entities[[#This Row],[emulated_hue:]]&lt;&gt;"",3,"")</f>
        <v/>
      </c>
      <c r="O102" s="4" t="str">
        <f>IF(entities[[#This Row],[emulated_hue_name: ]]&lt;&gt;"",4,"")</f>
        <v/>
      </c>
      <c r="P102" s="4" t="str">
        <f>IF(entities[[#This Row],[entity_picture]]&lt;&gt;"",5,"")</f>
        <v/>
      </c>
      <c r="Q102" s="4" t="str">
        <f>IF(entities[[#This Row],[icon]]&lt;&gt;"",6,"")</f>
        <v/>
      </c>
      <c r="R102" s="4" t="str">
        <f>CONCATENATE(entities[[#This Row],[1]],entities[[#This Row],[2]],entities[[#This Row],[3]],entities[[#This Row],[4]],entities[[#This Row],[5]],entities[[#This Row],[6]])</f>
        <v/>
      </c>
      <c r="S102">
        <f>6-COUNTBLANK(entities[[#This Row],[hidden]:[icon]])</f>
        <v>0</v>
      </c>
      <c r="T102" t="str">
        <f>IF(entities[[#This Row],[Num Attributes]]=0,"",
COUNTIFS(entities[Num Attributes],"&gt;0",entities[entity_id],"&lt;="&amp;entities[[#This Row],[entity_id]]))</f>
        <v/>
      </c>
      <c r="U102" t="str">
        <f t="array" ref="U102">IFERROR(INDEX(cards[object_id],SMALL(IF(cards[[1]:[25]]=entities[[#This Row],[entity_id]],ROW(cards[])-7,99^99),1)),"")</f>
        <v>status</v>
      </c>
      <c r="V102" t="str">
        <f>IF(entities[[#This Row],[In ''States'' tab?]]&lt;&gt;"ok",  "Not in Home Assistant",
IF(entities[[#This Row],[hidden]]="true",  "Hidden",
IF(entities[[#This Row],[Card]]&lt;&gt;"",
INDEX(cards[name],MATCH(entities[[#This Row],[Card]],cards[object_id],0)),  "Badge / automatic card")))</f>
        <v>Status</v>
      </c>
      <c r="W102" t="str">
        <f>IF(entities[[#This Row],[Card]]&lt;&gt;"","group."&amp;entities[[#This Row],[Card]],"")</f>
        <v>group.status</v>
      </c>
      <c r="AD102"/>
    </row>
    <row r="103" spans="2:30" x14ac:dyDescent="0.25">
      <c r="B103" t="s">
        <v>184</v>
      </c>
      <c r="C103" t="s">
        <v>187</v>
      </c>
      <c r="J103" s="4" t="str">
        <f>IF(COUNTIF(Table4[Entity],entities[[#This Row],[entity_id]]),"ok","missing from States tab")</f>
        <v>ok</v>
      </c>
      <c r="K103" t="str">
        <f>entities[[#This Row],[domain]]&amp;"."&amp;entities[[#This Row],[object_id]]</f>
        <v>input_boolean.vacation_mode</v>
      </c>
      <c r="L103" s="4" t="str">
        <f>IF(entities[[#This Row],[hidden]]&lt;&gt;"",1,"")</f>
        <v/>
      </c>
      <c r="M103" s="4" t="str">
        <f>IF(entities[[#This Row],[friendly_name]]&lt;&gt;"",2,"")</f>
        <v/>
      </c>
      <c r="N103" s="4" t="str">
        <f>IF(entities[[#This Row],[emulated_hue:]]&lt;&gt;"",3,"")</f>
        <v/>
      </c>
      <c r="O103" s="4" t="str">
        <f>IF(entities[[#This Row],[emulated_hue_name: ]]&lt;&gt;"",4,"")</f>
        <v/>
      </c>
      <c r="P103" s="4" t="str">
        <f>IF(entities[[#This Row],[entity_picture]]&lt;&gt;"",5,"")</f>
        <v/>
      </c>
      <c r="Q103" s="4" t="str">
        <f>IF(entities[[#This Row],[icon]]&lt;&gt;"",6,"")</f>
        <v/>
      </c>
      <c r="R103" s="4" t="str">
        <f>CONCATENATE(entities[[#This Row],[1]],entities[[#This Row],[2]],entities[[#This Row],[3]],entities[[#This Row],[4]],entities[[#This Row],[5]],entities[[#This Row],[6]])</f>
        <v/>
      </c>
      <c r="S103">
        <f>6-COUNTBLANK(entities[[#This Row],[hidden]:[icon]])</f>
        <v>0</v>
      </c>
      <c r="T103" t="str">
        <f>IF(entities[[#This Row],[Num Attributes]]=0,"",
COUNTIFS(entities[Num Attributes],"&gt;0",entities[entity_id],"&lt;="&amp;entities[[#This Row],[entity_id]]))</f>
        <v/>
      </c>
      <c r="U103" t="str">
        <f t="array" ref="U103">IFERROR(INDEX(cards[object_id],SMALL(IF(cards[[1]:[25]]=entities[[#This Row],[entity_id]],ROW(cards[])-7,99^99),1)),"")</f>
        <v>status</v>
      </c>
      <c r="V103" t="str">
        <f>IF(entities[[#This Row],[In ''States'' tab?]]&lt;&gt;"ok",  "Not in Home Assistant",
IF(entities[[#This Row],[hidden]]="true",  "Hidden",
IF(entities[[#This Row],[Card]]&lt;&gt;"",
INDEX(cards[name],MATCH(entities[[#This Row],[Card]],cards[object_id],0)),  "Badge / automatic card")))</f>
        <v>Status</v>
      </c>
      <c r="W103" t="str">
        <f>IF(entities[[#This Row],[Card]]&lt;&gt;"","group."&amp;entities[[#This Row],[Card]],"")</f>
        <v>group.status</v>
      </c>
      <c r="AD103"/>
    </row>
    <row r="104" spans="2:30" x14ac:dyDescent="0.25">
      <c r="B104" t="s">
        <v>188</v>
      </c>
      <c r="C104" t="s">
        <v>189</v>
      </c>
      <c r="J104" s="4" t="str">
        <f>IF(COUNTIF(Table4[Entity],entities[[#This Row],[entity_id]]),"ok","missing from States tab")</f>
        <v>ok</v>
      </c>
      <c r="K104" t="str">
        <f>entities[[#This Row],[domain]]&amp;"."&amp;entities[[#This Row],[object_id]]</f>
        <v>input_select.ron_status</v>
      </c>
      <c r="L104" s="4" t="str">
        <f>IF(entities[[#This Row],[hidden]]&lt;&gt;"",1,"")</f>
        <v/>
      </c>
      <c r="M104" s="4" t="str">
        <f>IF(entities[[#This Row],[friendly_name]]&lt;&gt;"",2,"")</f>
        <v/>
      </c>
      <c r="N104" s="4" t="str">
        <f>IF(entities[[#This Row],[emulated_hue:]]&lt;&gt;"",3,"")</f>
        <v/>
      </c>
      <c r="O104" s="4" t="str">
        <f>IF(entities[[#This Row],[emulated_hue_name: ]]&lt;&gt;"",4,"")</f>
        <v/>
      </c>
      <c r="P104" s="4" t="str">
        <f>IF(entities[[#This Row],[entity_picture]]&lt;&gt;"",5,"")</f>
        <v/>
      </c>
      <c r="Q104" s="4" t="str">
        <f>IF(entities[[#This Row],[icon]]&lt;&gt;"",6,"")</f>
        <v/>
      </c>
      <c r="R104" s="4" t="str">
        <f>CONCATENATE(entities[[#This Row],[1]],entities[[#This Row],[2]],entities[[#This Row],[3]],entities[[#This Row],[4]],entities[[#This Row],[5]],entities[[#This Row],[6]])</f>
        <v/>
      </c>
      <c r="S104">
        <f>6-COUNTBLANK(entities[[#This Row],[hidden]:[icon]])</f>
        <v>0</v>
      </c>
      <c r="T104" t="str">
        <f>IF(entities[[#This Row],[Num Attributes]]=0,"",
COUNTIFS(entities[Num Attributes],"&gt;0",entities[entity_id],"&lt;="&amp;entities[[#This Row],[entity_id]]))</f>
        <v/>
      </c>
      <c r="U104" t="str">
        <f t="array" ref="U104">IFERROR(INDEX(cards[object_id],SMALL(IF(cards[[1]:[25]]=entities[[#This Row],[entity_id]],ROW(cards[])-7,99^99),1)),"")</f>
        <v>status</v>
      </c>
      <c r="V104" t="str">
        <f>IF(entities[[#This Row],[In ''States'' tab?]]&lt;&gt;"ok",  "Not in Home Assistant",
IF(entities[[#This Row],[hidden]]="true",  "Hidden",
IF(entities[[#This Row],[Card]]&lt;&gt;"",
INDEX(cards[name],MATCH(entities[[#This Row],[Card]],cards[object_id],0)),  "Badge / automatic card")))</f>
        <v>Status</v>
      </c>
      <c r="W104" t="str">
        <f>IF(entities[[#This Row],[Card]]&lt;&gt;"","group."&amp;entities[[#This Row],[Card]],"")</f>
        <v>group.status</v>
      </c>
      <c r="AD104"/>
    </row>
    <row r="105" spans="2:30" x14ac:dyDescent="0.25">
      <c r="B105" t="s">
        <v>190</v>
      </c>
      <c r="C105" t="s">
        <v>191</v>
      </c>
      <c r="E105" t="s">
        <v>289</v>
      </c>
      <c r="I105" t="s">
        <v>313</v>
      </c>
      <c r="J105" s="4" t="str">
        <f>IF(COUNTIF(Table4[Entity],entities[[#This Row],[entity_id]]),"ok","missing from States tab")</f>
        <v>ok</v>
      </c>
      <c r="K105" t="str">
        <f>entities[[#This Row],[domain]]&amp;"."&amp;entities[[#This Row],[object_id]]</f>
        <v>input_slider.alarm_clock_hour</v>
      </c>
      <c r="L105" s="4" t="str">
        <f>IF(entities[[#This Row],[hidden]]&lt;&gt;"",1,"")</f>
        <v/>
      </c>
      <c r="M105" s="4">
        <f>IF(entities[[#This Row],[friendly_name]]&lt;&gt;"",2,"")</f>
        <v>2</v>
      </c>
      <c r="N105" s="4" t="str">
        <f>IF(entities[[#This Row],[emulated_hue:]]&lt;&gt;"",3,"")</f>
        <v/>
      </c>
      <c r="O105" s="4" t="str">
        <f>IF(entities[[#This Row],[emulated_hue_name: ]]&lt;&gt;"",4,"")</f>
        <v/>
      </c>
      <c r="P105" s="4" t="str">
        <f>IF(entities[[#This Row],[entity_picture]]&lt;&gt;"",5,"")</f>
        <v/>
      </c>
      <c r="Q105" s="4">
        <f>IF(entities[[#This Row],[icon]]&lt;&gt;"",6,"")</f>
        <v>6</v>
      </c>
      <c r="R105" s="4" t="str">
        <f>CONCATENATE(entities[[#This Row],[1]],entities[[#This Row],[2]],entities[[#This Row],[3]],entities[[#This Row],[4]],entities[[#This Row],[5]],entities[[#This Row],[6]])</f>
        <v>26</v>
      </c>
      <c r="S105">
        <f>6-COUNTBLANK(entities[[#This Row],[hidden]:[icon]])</f>
        <v>2</v>
      </c>
      <c r="T105">
        <f>IF(entities[[#This Row],[Num Attributes]]=0,"",
COUNTIFS(entities[Num Attributes],"&gt;0",entities[entity_id],"&lt;="&amp;entities[[#This Row],[entity_id]]))</f>
        <v>59</v>
      </c>
      <c r="U105" t="str">
        <f t="array" ref="U105">IFERROR(INDEX(cards[object_id],SMALL(IF(cards[[1]:[25]]=entities[[#This Row],[entity_id]],ROW(cards[])-7,99^99),1)),"")</f>
        <v>alarm_clock</v>
      </c>
      <c r="V105" t="str">
        <f>IF(entities[[#This Row],[In ''States'' tab?]]&lt;&gt;"ok",  "Not in Home Assistant",
IF(entities[[#This Row],[hidden]]="true",  "Hidden",
IF(entities[[#This Row],[Card]]&lt;&gt;"",
INDEX(cards[name],MATCH(entities[[#This Row],[Card]],cards[object_id],0)),  "Badge / automatic card")))</f>
        <v>Alarm Clock</v>
      </c>
      <c r="W105" t="str">
        <f>IF(entities[[#This Row],[Card]]&lt;&gt;"","group."&amp;entities[[#This Row],[Card]],"")</f>
        <v>group.alarm_clock</v>
      </c>
      <c r="AD105"/>
    </row>
    <row r="106" spans="2:30" x14ac:dyDescent="0.25">
      <c r="B106" t="s">
        <v>190</v>
      </c>
      <c r="C106" t="s">
        <v>192</v>
      </c>
      <c r="E106" t="s">
        <v>290</v>
      </c>
      <c r="I106" t="s">
        <v>313</v>
      </c>
      <c r="J106" s="4" t="str">
        <f>IF(COUNTIF(Table4[Entity],entities[[#This Row],[entity_id]]),"ok","missing from States tab")</f>
        <v>ok</v>
      </c>
      <c r="K106" t="str">
        <f>entities[[#This Row],[domain]]&amp;"."&amp;entities[[#This Row],[object_id]]</f>
        <v>input_slider.alarm_clock_minute</v>
      </c>
      <c r="L106" s="4" t="str">
        <f>IF(entities[[#This Row],[hidden]]&lt;&gt;"",1,"")</f>
        <v/>
      </c>
      <c r="M106" s="4">
        <f>IF(entities[[#This Row],[friendly_name]]&lt;&gt;"",2,"")</f>
        <v>2</v>
      </c>
      <c r="N106" s="4" t="str">
        <f>IF(entities[[#This Row],[emulated_hue:]]&lt;&gt;"",3,"")</f>
        <v/>
      </c>
      <c r="O106" s="4" t="str">
        <f>IF(entities[[#This Row],[emulated_hue_name: ]]&lt;&gt;"",4,"")</f>
        <v/>
      </c>
      <c r="P106" s="4" t="str">
        <f>IF(entities[[#This Row],[entity_picture]]&lt;&gt;"",5,"")</f>
        <v/>
      </c>
      <c r="Q106" s="4">
        <f>IF(entities[[#This Row],[icon]]&lt;&gt;"",6,"")</f>
        <v>6</v>
      </c>
      <c r="R106" s="4" t="str">
        <f>CONCATENATE(entities[[#This Row],[1]],entities[[#This Row],[2]],entities[[#This Row],[3]],entities[[#This Row],[4]],entities[[#This Row],[5]],entities[[#This Row],[6]])</f>
        <v>26</v>
      </c>
      <c r="S106">
        <f>6-COUNTBLANK(entities[[#This Row],[hidden]:[icon]])</f>
        <v>2</v>
      </c>
      <c r="T106">
        <f>IF(entities[[#This Row],[Num Attributes]]=0,"",
COUNTIFS(entities[Num Attributes],"&gt;0",entities[entity_id],"&lt;="&amp;entities[[#This Row],[entity_id]]))</f>
        <v>60</v>
      </c>
      <c r="U106" t="str">
        <f t="array" ref="U106">IFERROR(INDEX(cards[object_id],SMALL(IF(cards[[1]:[25]]=entities[[#This Row],[entity_id]],ROW(cards[])-7,99^99),1)),"")</f>
        <v>alarm_clock</v>
      </c>
      <c r="V106" t="str">
        <f>IF(entities[[#This Row],[In ''States'' tab?]]&lt;&gt;"ok",  "Not in Home Assistant",
IF(entities[[#This Row],[hidden]]="true",  "Hidden",
IF(entities[[#This Row],[Card]]&lt;&gt;"",
INDEX(cards[name],MATCH(entities[[#This Row],[Card]],cards[object_id],0)),  "Badge / automatic card")))</f>
        <v>Alarm Clock</v>
      </c>
      <c r="W106" t="str">
        <f>IF(entities[[#This Row],[Card]]&lt;&gt;"","group."&amp;entities[[#This Row],[Card]],"")</f>
        <v>group.alarm_clock</v>
      </c>
      <c r="AD106"/>
    </row>
    <row r="107" spans="2:30" x14ac:dyDescent="0.25">
      <c r="B107" t="s">
        <v>193</v>
      </c>
      <c r="C107" t="s">
        <v>673</v>
      </c>
      <c r="J107" s="4" t="str">
        <f>IF(COUNTIF(Table4[Entity],entities[[#This Row],[entity_id]]),"ok","missing from States tab")</f>
        <v>ok</v>
      </c>
      <c r="K107" t="str">
        <f>entities[[#This Row],[domain]]&amp;"."&amp;entities[[#This Row],[object_id]]</f>
        <v>light.dimmable_light_5</v>
      </c>
      <c r="L107" s="4" t="str">
        <f>IF(entities[[#This Row],[hidden]]&lt;&gt;"",1,"")</f>
        <v/>
      </c>
      <c r="M107" s="4" t="str">
        <f>IF(entities[[#This Row],[friendly_name]]&lt;&gt;"",2,"")</f>
        <v/>
      </c>
      <c r="N107" s="4" t="str">
        <f>IF(entities[[#This Row],[emulated_hue:]]&lt;&gt;"",3,"")</f>
        <v/>
      </c>
      <c r="O107" s="4" t="str">
        <f>IF(entities[[#This Row],[emulated_hue_name: ]]&lt;&gt;"",4,"")</f>
        <v/>
      </c>
      <c r="P107" s="4" t="str">
        <f>IF(entities[[#This Row],[entity_picture]]&lt;&gt;"",5,"")</f>
        <v/>
      </c>
      <c r="Q107" s="4" t="str">
        <f>IF(entities[[#This Row],[icon]]&lt;&gt;"",6,"")</f>
        <v/>
      </c>
      <c r="R107" s="4" t="str">
        <f>CONCATENATE(entities[[#This Row],[1]],entities[[#This Row],[2]],entities[[#This Row],[3]],entities[[#This Row],[4]],entities[[#This Row],[5]],entities[[#This Row],[6]])</f>
        <v/>
      </c>
      <c r="S107">
        <f>6-COUNTBLANK(entities[[#This Row],[hidden]:[icon]])</f>
        <v>0</v>
      </c>
      <c r="T107" t="str">
        <f>IF(entities[[#This Row],[Num Attributes]]=0,"",
COUNTIFS(entities[Num Attributes],"&gt;0",entities[entity_id],"&lt;="&amp;entities[[#This Row],[entity_id]]))</f>
        <v/>
      </c>
      <c r="U107" t="str">
        <f t="array" ref="U107">IFERROR(INDEX(cards[object_id],SMALL(IF(cards[[1]:[25]]=entities[[#This Row],[entity_id]],ROW(cards[])-7,99^99),1)),"")</f>
        <v/>
      </c>
      <c r="V107" t="str">
        <f>IF(entities[[#This Row],[In ''States'' tab?]]&lt;&gt;"ok",  "Not in Home Assistant",
IF(entities[[#This Row],[hidden]]="true",  "Hidden",
IF(entities[[#This Row],[Card]]&lt;&gt;"",
INDEX(cards[name],MATCH(entities[[#This Row],[Card]],cards[object_id],0)),  "Badge / automatic card")))</f>
        <v>Badge / automatic card</v>
      </c>
      <c r="W107" t="str">
        <f>IF(entities[[#This Row],[Card]]&lt;&gt;"","group."&amp;entities[[#This Row],[Card]],"")</f>
        <v/>
      </c>
      <c r="AD107"/>
    </row>
    <row r="108" spans="2:30" x14ac:dyDescent="0.25">
      <c r="B108" t="s">
        <v>193</v>
      </c>
      <c r="C108" t="s">
        <v>194</v>
      </c>
      <c r="D108" s="3" t="s">
        <v>243</v>
      </c>
      <c r="F108" s="3" t="s">
        <v>288</v>
      </c>
      <c r="J108" s="4" t="str">
        <f>IF(COUNTIF(Table4[Entity],entities[[#This Row],[entity_id]]),"ok","missing from States tab")</f>
        <v>ok</v>
      </c>
      <c r="K108" t="str">
        <f>entities[[#This Row],[domain]]&amp;"."&amp;entities[[#This Row],[object_id]]</f>
        <v>light.lux_lamp</v>
      </c>
      <c r="L108" s="4">
        <f>IF(entities[[#This Row],[hidden]]&lt;&gt;"",1,"")</f>
        <v>1</v>
      </c>
      <c r="M108" s="4" t="str">
        <f>IF(entities[[#This Row],[friendly_name]]&lt;&gt;"",2,"")</f>
        <v/>
      </c>
      <c r="N108" s="4">
        <f>IF(entities[[#This Row],[emulated_hue:]]&lt;&gt;"",3,"")</f>
        <v>3</v>
      </c>
      <c r="O108" s="4" t="str">
        <f>IF(entities[[#This Row],[emulated_hue_name: ]]&lt;&gt;"",4,"")</f>
        <v/>
      </c>
      <c r="P108" s="4" t="str">
        <f>IF(entities[[#This Row],[entity_picture]]&lt;&gt;"",5,"")</f>
        <v/>
      </c>
      <c r="Q108" s="4" t="str">
        <f>IF(entities[[#This Row],[icon]]&lt;&gt;"",6,"")</f>
        <v/>
      </c>
      <c r="R108" s="4" t="str">
        <f>CONCATENATE(entities[[#This Row],[1]],entities[[#This Row],[2]],entities[[#This Row],[3]],entities[[#This Row],[4]],entities[[#This Row],[5]],entities[[#This Row],[6]])</f>
        <v>13</v>
      </c>
      <c r="S108">
        <f>6-COUNTBLANK(entities[[#This Row],[hidden]:[icon]])</f>
        <v>2</v>
      </c>
      <c r="T108">
        <f>IF(entities[[#This Row],[Num Attributes]]=0,"",
COUNTIFS(entities[Num Attributes],"&gt;0",entities[entity_id],"&lt;="&amp;entities[[#This Row],[entity_id]]))</f>
        <v>61</v>
      </c>
      <c r="U108" t="str">
        <f t="array" ref="U108">IFERROR(INDEX(cards[object_id],SMALL(IF(cards[[1]:[25]]=entities[[#This Row],[entity_id]],ROW(cards[])-7,99^99),1)),"")</f>
        <v>bedroom_lights</v>
      </c>
      <c r="V108" t="str">
        <f>IF(entities[[#This Row],[In ''States'' tab?]]&lt;&gt;"ok",  "Not in Home Assistant",
IF(entities[[#This Row],[hidden]]="true",  "Hidden",
IF(entities[[#This Row],[Card]]&lt;&gt;"",
INDEX(cards[name],MATCH(entities[[#This Row],[Card]],cards[object_id],0)),  "Badge / automatic card")))</f>
        <v>Hidden</v>
      </c>
      <c r="W108" t="str">
        <f>IF(entities[[#This Row],[Card]]&lt;&gt;"","group."&amp;entities[[#This Row],[Card]],"")</f>
        <v>group.bedroom_lights</v>
      </c>
      <c r="AD108"/>
    </row>
    <row r="109" spans="2:30" x14ac:dyDescent="0.25">
      <c r="B109" t="s">
        <v>193</v>
      </c>
      <c r="C109" t="s">
        <v>195</v>
      </c>
      <c r="D109" s="3" t="s">
        <v>243</v>
      </c>
      <c r="F109" s="3" t="s">
        <v>288</v>
      </c>
      <c r="J109" s="4" t="str">
        <f>IF(COUNTIF(Table4[Entity],entities[[#This Row],[entity_id]]),"ok","missing from States tab")</f>
        <v>ok</v>
      </c>
      <c r="K109" t="str">
        <f>entities[[#This Row],[domain]]&amp;"."&amp;entities[[#This Row],[object_id]]</f>
        <v>light.lux_lamp_1</v>
      </c>
      <c r="L109" s="4">
        <f>IF(entities[[#This Row],[hidden]]&lt;&gt;"",1,"")</f>
        <v>1</v>
      </c>
      <c r="M109" s="4" t="str">
        <f>IF(entities[[#This Row],[friendly_name]]&lt;&gt;"",2,"")</f>
        <v/>
      </c>
      <c r="N109" s="4">
        <f>IF(entities[[#This Row],[emulated_hue:]]&lt;&gt;"",3,"")</f>
        <v>3</v>
      </c>
      <c r="O109" s="4" t="str">
        <f>IF(entities[[#This Row],[emulated_hue_name: ]]&lt;&gt;"",4,"")</f>
        <v/>
      </c>
      <c r="P109" s="4" t="str">
        <f>IF(entities[[#This Row],[entity_picture]]&lt;&gt;"",5,"")</f>
        <v/>
      </c>
      <c r="Q109" s="4" t="str">
        <f>IF(entities[[#This Row],[icon]]&lt;&gt;"",6,"")</f>
        <v/>
      </c>
      <c r="R109" s="4" t="str">
        <f>CONCATENATE(entities[[#This Row],[1]],entities[[#This Row],[2]],entities[[#This Row],[3]],entities[[#This Row],[4]],entities[[#This Row],[5]],entities[[#This Row],[6]])</f>
        <v>13</v>
      </c>
      <c r="S109">
        <f>6-COUNTBLANK(entities[[#This Row],[hidden]:[icon]])</f>
        <v>2</v>
      </c>
      <c r="T109">
        <f>IF(entities[[#This Row],[Num Attributes]]=0,"",
COUNTIFS(entities[Num Attributes],"&gt;0",entities[entity_id],"&lt;="&amp;entities[[#This Row],[entity_id]]))</f>
        <v>62</v>
      </c>
      <c r="U109" t="str">
        <f t="array" ref="U109">IFERROR(INDEX(cards[object_id],SMALL(IF(cards[[1]:[25]]=entities[[#This Row],[entity_id]],ROW(cards[])-7,99^99),1)),"")</f>
        <v>bedroom_lights</v>
      </c>
      <c r="V109" t="str">
        <f>IF(entities[[#This Row],[In ''States'' tab?]]&lt;&gt;"ok",  "Not in Home Assistant",
IF(entities[[#This Row],[hidden]]="true",  "Hidden",
IF(entities[[#This Row],[Card]]&lt;&gt;"",
INDEX(cards[name],MATCH(entities[[#This Row],[Card]],cards[object_id],0)),  "Badge / automatic card")))</f>
        <v>Hidden</v>
      </c>
      <c r="W109" t="str">
        <f>IF(entities[[#This Row],[Card]]&lt;&gt;"","group."&amp;entities[[#This Row],[Card]],"")</f>
        <v>group.bedroom_lights</v>
      </c>
      <c r="AD109"/>
    </row>
    <row r="110" spans="2:30" x14ac:dyDescent="0.25">
      <c r="B110" t="s">
        <v>657</v>
      </c>
      <c r="C110" t="s">
        <v>715</v>
      </c>
      <c r="J110" s="4" t="str">
        <f>IF(COUNTIF(Table4[Entity],entities[[#This Row],[entity_id]]),"ok","missing from States tab")</f>
        <v>missing from States tab</v>
      </c>
      <c r="K110" s="4" t="str">
        <f>entities[[#This Row],[domain]]&amp;"."&amp;entities[[#This Row],[object_id]]</f>
        <v>media_player.galaxy_s7</v>
      </c>
      <c r="L110" s="4" t="str">
        <f>IF(entities[[#This Row],[hidden]]&lt;&gt;"",1,"")</f>
        <v/>
      </c>
      <c r="M110" s="4" t="str">
        <f>IF(entities[[#This Row],[friendly_name]]&lt;&gt;"",2,"")</f>
        <v/>
      </c>
      <c r="N110" s="4" t="str">
        <f>IF(entities[[#This Row],[emulated_hue:]]&lt;&gt;"",3,"")</f>
        <v/>
      </c>
      <c r="O110" s="4" t="str">
        <f>IF(entities[[#This Row],[emulated_hue_name: ]]&lt;&gt;"",4,"")</f>
        <v/>
      </c>
      <c r="P110" s="4" t="str">
        <f>IF(entities[[#This Row],[entity_picture]]&lt;&gt;"",5,"")</f>
        <v/>
      </c>
      <c r="Q110" s="4" t="str">
        <f>IF(entities[[#This Row],[icon]]&lt;&gt;"",6,"")</f>
        <v/>
      </c>
      <c r="R110" s="4" t="str">
        <f>CONCATENATE(entities[[#This Row],[1]],entities[[#This Row],[2]],entities[[#This Row],[3]],entities[[#This Row],[4]],entities[[#This Row],[5]],entities[[#This Row],[6]])</f>
        <v/>
      </c>
      <c r="S110" s="4">
        <f>6-COUNTBLANK(entities[[#This Row],[hidden]:[icon]])</f>
        <v>0</v>
      </c>
      <c r="T110" s="4" t="str">
        <f>IF(entities[[#This Row],[Num Attributes]]=0,"",
COUNTIFS(entities[Num Attributes],"&gt;0",entities[entity_id],"&lt;="&amp;entities[[#This Row],[entity_id]]))</f>
        <v/>
      </c>
      <c r="U110" s="4" t="str">
        <f t="array" ref="U110">IFERROR(INDEX(cards[object_id],SMALL(IF(cards[[1]:[25]]=entities[[#This Row],[entity_id]],ROW(cards[])-7,99^99),1)),"")</f>
        <v/>
      </c>
      <c r="V110" s="4" t="str">
        <f>IF(entities[[#This Row],[In ''States'' tab?]]&lt;&gt;"ok",  "Not in Home Assistant",
IF(entities[[#This Row],[hidden]]="true",  "Hidden",
IF(entities[[#This Row],[Card]]&lt;&gt;"",
INDEX(cards[name],MATCH(entities[[#This Row],[Card]],cards[object_id],0)),  "Badge / automatic card")))</f>
        <v>Not in Home Assistant</v>
      </c>
      <c r="W110" s="4" t="str">
        <f>IF(entities[[#This Row],[Card]]&lt;&gt;"","group."&amp;entities[[#This Row],[Card]],"")</f>
        <v/>
      </c>
      <c r="AD110"/>
    </row>
    <row r="111" spans="2:30" x14ac:dyDescent="0.25">
      <c r="B111" t="s">
        <v>657</v>
      </c>
      <c r="C111" t="s">
        <v>674</v>
      </c>
      <c r="J111" s="4" t="str">
        <f>IF(COUNTIF(Table4[Entity],entities[[#This Row],[entity_id]]),"ok","missing from States tab")</f>
        <v>ok</v>
      </c>
      <c r="K111" s="4" t="str">
        <f>entities[[#This Row],[domain]]&amp;"."&amp;entities[[#This Row],[object_id]]</f>
        <v>media_player.living_room</v>
      </c>
      <c r="L111" s="4" t="str">
        <f>IF(entities[[#This Row],[hidden]]&lt;&gt;"",1,"")</f>
        <v/>
      </c>
      <c r="M111" s="4" t="str">
        <f>IF(entities[[#This Row],[friendly_name]]&lt;&gt;"",2,"")</f>
        <v/>
      </c>
      <c r="N111" s="4" t="str">
        <f>IF(entities[[#This Row],[emulated_hue:]]&lt;&gt;"",3,"")</f>
        <v/>
      </c>
      <c r="O111" s="4" t="str">
        <f>IF(entities[[#This Row],[emulated_hue_name: ]]&lt;&gt;"",4,"")</f>
        <v/>
      </c>
      <c r="P111" s="4" t="str">
        <f>IF(entities[[#This Row],[entity_picture]]&lt;&gt;"",5,"")</f>
        <v/>
      </c>
      <c r="Q111" s="4" t="str">
        <f>IF(entities[[#This Row],[icon]]&lt;&gt;"",6,"")</f>
        <v/>
      </c>
      <c r="R111" s="4" t="str">
        <f>CONCATENATE(entities[[#This Row],[1]],entities[[#This Row],[2]],entities[[#This Row],[3]],entities[[#This Row],[4]],entities[[#This Row],[5]],entities[[#This Row],[6]])</f>
        <v/>
      </c>
      <c r="S111" s="4">
        <f>6-COUNTBLANK(entities[[#This Row],[hidden]:[icon]])</f>
        <v>0</v>
      </c>
      <c r="T111" s="4" t="str">
        <f>IF(entities[[#This Row],[Num Attributes]]=0,"",
COUNTIFS(entities[Num Attributes],"&gt;0",entities[entity_id],"&lt;="&amp;entities[[#This Row],[entity_id]]))</f>
        <v/>
      </c>
      <c r="U111" s="4" t="str">
        <f t="array" ref="U111">IFERROR(INDEX(cards[object_id],SMALL(IF(cards[[1]:[25]]=entities[[#This Row],[entity_id]],ROW(cards[])-7,99^99),1)),"")</f>
        <v/>
      </c>
      <c r="V111" s="4" t="str">
        <f>IF(entities[[#This Row],[In ''States'' tab?]]&lt;&gt;"ok",  "Not in Home Assistant",
IF(entities[[#This Row],[hidden]]="true",  "Hidden",
IF(entities[[#This Row],[Card]]&lt;&gt;"",
INDEX(cards[name],MATCH(entities[[#This Row],[Card]],cards[object_id],0)),  "Badge / automatic card")))</f>
        <v>Badge / automatic card</v>
      </c>
      <c r="W111" s="4" t="str">
        <f>IF(entities[[#This Row],[Card]]&lt;&gt;"","group."&amp;entities[[#This Row],[Card]],"")</f>
        <v/>
      </c>
      <c r="AD111"/>
    </row>
    <row r="112" spans="2:30" x14ac:dyDescent="0.25">
      <c r="B112" t="s">
        <v>657</v>
      </c>
      <c r="C112" t="s">
        <v>680</v>
      </c>
      <c r="E112" t="s">
        <v>291</v>
      </c>
      <c r="J112" s="4" t="str">
        <f>IF(COUNTIF(Table4[Entity],entities[[#This Row],[entity_id]]),"ok","missing from States tab")</f>
        <v>ok</v>
      </c>
      <c r="K112" s="4" t="str">
        <f>entities[[#This Row],[domain]]&amp;"."&amp;entities[[#This Row],[object_id]]</f>
        <v>media_player.living_room_tv</v>
      </c>
      <c r="L112" s="4" t="str">
        <f>IF(entities[[#This Row],[hidden]]&lt;&gt;"",1,"")</f>
        <v/>
      </c>
      <c r="M112" s="4">
        <f>IF(entities[[#This Row],[friendly_name]]&lt;&gt;"",2,"")</f>
        <v>2</v>
      </c>
      <c r="N112" s="4" t="str">
        <f>IF(entities[[#This Row],[emulated_hue:]]&lt;&gt;"",3,"")</f>
        <v/>
      </c>
      <c r="O112" s="4" t="str">
        <f>IF(entities[[#This Row],[emulated_hue_name: ]]&lt;&gt;"",4,"")</f>
        <v/>
      </c>
      <c r="P112" s="4" t="str">
        <f>IF(entities[[#This Row],[entity_picture]]&lt;&gt;"",5,"")</f>
        <v/>
      </c>
      <c r="Q112" s="4" t="str">
        <f>IF(entities[[#This Row],[icon]]&lt;&gt;"",6,"")</f>
        <v/>
      </c>
      <c r="R112" s="4" t="str">
        <f>CONCATENATE(entities[[#This Row],[1]],entities[[#This Row],[2]],entities[[#This Row],[3]],entities[[#This Row],[4]],entities[[#This Row],[5]],entities[[#This Row],[6]])</f>
        <v>2</v>
      </c>
      <c r="S112" s="4">
        <f>6-COUNTBLANK(entities[[#This Row],[hidden]:[icon]])</f>
        <v>1</v>
      </c>
      <c r="T112" s="4">
        <f>IF(entities[[#This Row],[Num Attributes]]=0,"",
COUNTIFS(entities[Num Attributes],"&gt;0",entities[entity_id],"&lt;="&amp;entities[[#This Row],[entity_id]]))</f>
        <v>63</v>
      </c>
      <c r="U112" s="4" t="str">
        <f t="array" ref="U112">IFERROR(INDEX(cards[object_id],SMALL(IF(cards[[1]:[25]]=entities[[#This Row],[entity_id]],ROW(cards[])-7,99^99),1)),"")</f>
        <v>default_view</v>
      </c>
      <c r="V112" s="4">
        <f>IF(entities[[#This Row],[In ''States'' tab?]]&lt;&gt;"ok",  "Not in Home Assistant",
IF(entities[[#This Row],[hidden]]="true",  "Hidden",
IF(entities[[#This Row],[Card]]&lt;&gt;"",
INDEX(cards[name],MATCH(entities[[#This Row],[Card]],cards[object_id],0)),  "Badge / automatic card")))</f>
        <v>0</v>
      </c>
      <c r="W112" s="4" t="str">
        <f>IF(entities[[#This Row],[Card]]&lt;&gt;"","group."&amp;entities[[#This Row],[Card]],"")</f>
        <v>group.default_view</v>
      </c>
      <c r="AD112"/>
    </row>
    <row r="113" spans="2:30" x14ac:dyDescent="0.25">
      <c r="B113" t="s">
        <v>661</v>
      </c>
      <c r="C113" t="s">
        <v>662</v>
      </c>
      <c r="J113" s="4" t="str">
        <f>IF(COUNTIF(Table4[Entity],entities[[#This Row],[entity_id]]),"ok","missing from States tab")</f>
        <v>ok</v>
      </c>
      <c r="K113" s="4" t="str">
        <f>entities[[#This Row],[domain]]&amp;"."&amp;entities[[#This Row],[object_id]]</f>
        <v>remote.tv</v>
      </c>
      <c r="L113" s="4" t="str">
        <f>IF(entities[[#This Row],[hidden]]&lt;&gt;"",1,"")</f>
        <v/>
      </c>
      <c r="M113" s="4" t="str">
        <f>IF(entities[[#This Row],[friendly_name]]&lt;&gt;"",2,"")</f>
        <v/>
      </c>
      <c r="N113" s="4" t="str">
        <f>IF(entities[[#This Row],[emulated_hue:]]&lt;&gt;"",3,"")</f>
        <v/>
      </c>
      <c r="O113" s="4" t="str">
        <f>IF(entities[[#This Row],[emulated_hue_name: ]]&lt;&gt;"",4,"")</f>
        <v/>
      </c>
      <c r="P113" s="4" t="str">
        <f>IF(entities[[#This Row],[entity_picture]]&lt;&gt;"",5,"")</f>
        <v/>
      </c>
      <c r="Q113" s="4" t="str">
        <f>IF(entities[[#This Row],[icon]]&lt;&gt;"",6,"")</f>
        <v/>
      </c>
      <c r="R113" s="4" t="str">
        <f>CONCATENATE(entities[[#This Row],[1]],entities[[#This Row],[2]],entities[[#This Row],[3]],entities[[#This Row],[4]],entities[[#This Row],[5]],entities[[#This Row],[6]])</f>
        <v/>
      </c>
      <c r="S113" s="4">
        <f>6-COUNTBLANK(entities[[#This Row],[hidden]:[icon]])</f>
        <v>0</v>
      </c>
      <c r="T113" s="4" t="str">
        <f>IF(entities[[#This Row],[Num Attributes]]=0,"",
COUNTIFS(entities[Num Attributes],"&gt;0",entities[entity_id],"&lt;="&amp;entities[[#This Row],[entity_id]]))</f>
        <v/>
      </c>
      <c r="U113" s="4" t="str">
        <f t="array" ref="U113">IFERROR(INDEX(cards[object_id],SMALL(IF(cards[[1]:[25]]=entities[[#This Row],[entity_id]],ROW(cards[])-7,99^99),1)),"")</f>
        <v/>
      </c>
      <c r="V113" s="4" t="str">
        <f>IF(entities[[#This Row],[In ''States'' tab?]]&lt;&gt;"ok",  "Not in Home Assistant",
IF(entities[[#This Row],[hidden]]="true",  "Hidden",
IF(entities[[#This Row],[Card]]&lt;&gt;"",
INDEX(cards[name],MATCH(entities[[#This Row],[Card]],cards[object_id],0)),  "Badge / automatic card")))</f>
        <v>Badge / automatic card</v>
      </c>
      <c r="W113" s="4" t="str">
        <f>IF(entities[[#This Row],[Card]]&lt;&gt;"","group."&amp;entities[[#This Row],[Card]],"")</f>
        <v/>
      </c>
      <c r="AD113"/>
    </row>
    <row r="114" spans="2:30" x14ac:dyDescent="0.25">
      <c r="B114" t="s">
        <v>196</v>
      </c>
      <c r="C114" t="s">
        <v>197</v>
      </c>
      <c r="D114" s="3" t="s">
        <v>288</v>
      </c>
      <c r="E114" t="s">
        <v>296</v>
      </c>
      <c r="F114" s="3" t="s">
        <v>243</v>
      </c>
      <c r="I114" t="s">
        <v>314</v>
      </c>
      <c r="J114" s="4" t="str">
        <f>IF(COUNTIF(Table4[Entity],entities[[#This Row],[entity_id]]),"ok","missing from States tab")</f>
        <v>ok</v>
      </c>
      <c r="K114" t="str">
        <f>entities[[#This Row],[domain]]&amp;"."&amp;entities[[#This Row],[object_id]]</f>
        <v>script.all_off</v>
      </c>
      <c r="L114" s="4">
        <f>IF(entities[[#This Row],[hidden]]&lt;&gt;"",1,"")</f>
        <v>1</v>
      </c>
      <c r="M114" s="4">
        <f>IF(entities[[#This Row],[friendly_name]]&lt;&gt;"",2,"")</f>
        <v>2</v>
      </c>
      <c r="N114" s="4">
        <f>IF(entities[[#This Row],[emulated_hue:]]&lt;&gt;"",3,"")</f>
        <v>3</v>
      </c>
      <c r="O114" s="4" t="str">
        <f>IF(entities[[#This Row],[emulated_hue_name: ]]&lt;&gt;"",4,"")</f>
        <v/>
      </c>
      <c r="P114" s="4" t="str">
        <f>IF(entities[[#This Row],[entity_picture]]&lt;&gt;"",5,"")</f>
        <v/>
      </c>
      <c r="Q114" s="4">
        <f>IF(entities[[#This Row],[icon]]&lt;&gt;"",6,"")</f>
        <v>6</v>
      </c>
      <c r="R114" s="4" t="str">
        <f>CONCATENATE(entities[[#This Row],[1]],entities[[#This Row],[2]],entities[[#This Row],[3]],entities[[#This Row],[4]],entities[[#This Row],[5]],entities[[#This Row],[6]])</f>
        <v>1236</v>
      </c>
      <c r="S114">
        <f>6-COUNTBLANK(entities[[#This Row],[hidden]:[icon]])</f>
        <v>4</v>
      </c>
      <c r="T114">
        <f>IF(entities[[#This Row],[Num Attributes]]=0,"",
COUNTIFS(entities[Num Attributes],"&gt;0",entities[entity_id],"&lt;="&amp;entities[[#This Row],[entity_id]]))</f>
        <v>64</v>
      </c>
      <c r="U114" t="str">
        <f t="array" ref="U114">IFERROR(INDEX(cards[object_id],SMALL(IF(cards[[1]:[25]]=entities[[#This Row],[entity_id]],ROW(cards[])-7,99^99),1)),"")</f>
        <v>bedroom</v>
      </c>
      <c r="V114" t="str">
        <f>IF(entities[[#This Row],[In ''States'' tab?]]&lt;&gt;"ok",  "Not in Home Assistant",
IF(entities[[#This Row],[hidden]]="true",  "Hidden",
IF(entities[[#This Row],[Card]]&lt;&gt;"",
INDEX(cards[name],MATCH(entities[[#This Row],[Card]],cards[object_id],0)),  "Badge / automatic card")))</f>
        <v>Bedroom</v>
      </c>
      <c r="W114" t="str">
        <f>IF(entities[[#This Row],[Card]]&lt;&gt;"","group."&amp;entities[[#This Row],[Card]],"")</f>
        <v>group.bedroom</v>
      </c>
      <c r="AD114"/>
    </row>
    <row r="115" spans="2:30" x14ac:dyDescent="0.25">
      <c r="B115" t="s">
        <v>196</v>
      </c>
      <c r="C115" t="s">
        <v>198</v>
      </c>
      <c r="D115" s="3" t="s">
        <v>288</v>
      </c>
      <c r="E115" t="s">
        <v>292</v>
      </c>
      <c r="F115" s="3" t="s">
        <v>243</v>
      </c>
      <c r="I115" t="s">
        <v>315</v>
      </c>
      <c r="J115" s="4" t="str">
        <f>IF(COUNTIF(Table4[Entity],entities[[#This Row],[entity_id]]),"ok","missing from States tab")</f>
        <v>ok</v>
      </c>
      <c r="K115" t="str">
        <f>entities[[#This Row],[domain]]&amp;"."&amp;entities[[#This Row],[object_id]]</f>
        <v>script.bright</v>
      </c>
      <c r="L115" s="4">
        <f>IF(entities[[#This Row],[hidden]]&lt;&gt;"",1,"")</f>
        <v>1</v>
      </c>
      <c r="M115" s="4">
        <f>IF(entities[[#This Row],[friendly_name]]&lt;&gt;"",2,"")</f>
        <v>2</v>
      </c>
      <c r="N115" s="4">
        <f>IF(entities[[#This Row],[emulated_hue:]]&lt;&gt;"",3,"")</f>
        <v>3</v>
      </c>
      <c r="O115" s="4" t="str">
        <f>IF(entities[[#This Row],[emulated_hue_name: ]]&lt;&gt;"",4,"")</f>
        <v/>
      </c>
      <c r="P115" s="4" t="str">
        <f>IF(entities[[#This Row],[entity_picture]]&lt;&gt;"",5,"")</f>
        <v/>
      </c>
      <c r="Q115" s="4">
        <f>IF(entities[[#This Row],[icon]]&lt;&gt;"",6,"")</f>
        <v>6</v>
      </c>
      <c r="R115" s="4" t="str">
        <f>CONCATENATE(entities[[#This Row],[1]],entities[[#This Row],[2]],entities[[#This Row],[3]],entities[[#This Row],[4]],entities[[#This Row],[5]],entities[[#This Row],[6]])</f>
        <v>1236</v>
      </c>
      <c r="S115">
        <f>6-COUNTBLANK(entities[[#This Row],[hidden]:[icon]])</f>
        <v>4</v>
      </c>
      <c r="T115">
        <f>IF(entities[[#This Row],[Num Attributes]]=0,"",
COUNTIFS(entities[Num Attributes],"&gt;0",entities[entity_id],"&lt;="&amp;entities[[#This Row],[entity_id]]))</f>
        <v>65</v>
      </c>
      <c r="U115" t="str">
        <f t="array" ref="U115">IFERROR(INDEX(cards[object_id],SMALL(IF(cards[[1]:[25]]=entities[[#This Row],[entity_id]],ROW(cards[])-7,99^99),1)),"")</f>
        <v>bedroom</v>
      </c>
      <c r="V115" t="str">
        <f>IF(entities[[#This Row],[In ''States'' tab?]]&lt;&gt;"ok",  "Not in Home Assistant",
IF(entities[[#This Row],[hidden]]="true",  "Hidden",
IF(entities[[#This Row],[Card]]&lt;&gt;"",
INDEX(cards[name],MATCH(entities[[#This Row],[Card]],cards[object_id],0)),  "Badge / automatic card")))</f>
        <v>Bedroom</v>
      </c>
      <c r="W115" t="str">
        <f>IF(entities[[#This Row],[Card]]&lt;&gt;"","group."&amp;entities[[#This Row],[Card]],"")</f>
        <v>group.bedroom</v>
      </c>
      <c r="AD115"/>
    </row>
    <row r="116" spans="2:30" x14ac:dyDescent="0.25">
      <c r="B116" t="s">
        <v>196</v>
      </c>
      <c r="C116" t="s">
        <v>199</v>
      </c>
      <c r="D116" s="3" t="s">
        <v>288</v>
      </c>
      <c r="E116" t="s">
        <v>294</v>
      </c>
      <c r="F116" s="3" t="s">
        <v>243</v>
      </c>
      <c r="I116" t="s">
        <v>316</v>
      </c>
      <c r="J116" s="4" t="str">
        <f>IF(COUNTIF(Table4[Entity],entities[[#This Row],[entity_id]]),"ok","missing from States tab")</f>
        <v>ok</v>
      </c>
      <c r="K116" t="str">
        <f>entities[[#This Row],[domain]]&amp;"."&amp;entities[[#This Row],[object_id]]</f>
        <v>script.dusk</v>
      </c>
      <c r="L116" s="4">
        <f>IF(entities[[#This Row],[hidden]]&lt;&gt;"",1,"")</f>
        <v>1</v>
      </c>
      <c r="M116" s="4">
        <f>IF(entities[[#This Row],[friendly_name]]&lt;&gt;"",2,"")</f>
        <v>2</v>
      </c>
      <c r="N116" s="4">
        <f>IF(entities[[#This Row],[emulated_hue:]]&lt;&gt;"",3,"")</f>
        <v>3</v>
      </c>
      <c r="O116" s="4" t="str">
        <f>IF(entities[[#This Row],[emulated_hue_name: ]]&lt;&gt;"",4,"")</f>
        <v/>
      </c>
      <c r="P116" s="4" t="str">
        <f>IF(entities[[#This Row],[entity_picture]]&lt;&gt;"",5,"")</f>
        <v/>
      </c>
      <c r="Q116" s="4">
        <f>IF(entities[[#This Row],[icon]]&lt;&gt;"",6,"")</f>
        <v>6</v>
      </c>
      <c r="R116" s="4" t="str">
        <f>CONCATENATE(entities[[#This Row],[1]],entities[[#This Row],[2]],entities[[#This Row],[3]],entities[[#This Row],[4]],entities[[#This Row],[5]],entities[[#This Row],[6]])</f>
        <v>1236</v>
      </c>
      <c r="S116">
        <f>6-COUNTBLANK(entities[[#This Row],[hidden]:[icon]])</f>
        <v>4</v>
      </c>
      <c r="T116">
        <f>IF(entities[[#This Row],[Num Attributes]]=0,"",
COUNTIFS(entities[Num Attributes],"&gt;0",entities[entity_id],"&lt;="&amp;entities[[#This Row],[entity_id]]))</f>
        <v>66</v>
      </c>
      <c r="U116" t="str">
        <f t="array" ref="U116">IFERROR(INDEX(cards[object_id],SMALL(IF(cards[[1]:[25]]=entities[[#This Row],[entity_id]],ROW(cards[])-7,99^99),1)),"")</f>
        <v>bedroom</v>
      </c>
      <c r="V116" t="str">
        <f>IF(entities[[#This Row],[In ''States'' tab?]]&lt;&gt;"ok",  "Not in Home Assistant",
IF(entities[[#This Row],[hidden]]="true",  "Hidden",
IF(entities[[#This Row],[Card]]&lt;&gt;"",
INDEX(cards[name],MATCH(entities[[#This Row],[Card]],cards[object_id],0)),  "Badge / automatic card")))</f>
        <v>Bedroom</v>
      </c>
      <c r="W116" t="str">
        <f>IF(entities[[#This Row],[Card]]&lt;&gt;"","group."&amp;entities[[#This Row],[Card]],"")</f>
        <v>group.bedroom</v>
      </c>
      <c r="AD116"/>
    </row>
    <row r="117" spans="2:30" x14ac:dyDescent="0.25">
      <c r="B117" t="s">
        <v>196</v>
      </c>
      <c r="C117" t="s">
        <v>200</v>
      </c>
      <c r="D117" s="3" t="s">
        <v>243</v>
      </c>
      <c r="I117" t="s">
        <v>11</v>
      </c>
      <c r="J117" s="4" t="str">
        <f>IF(COUNTIF(Table4[Entity],entities[[#This Row],[entity_id]]),"ok","missing from States tab")</f>
        <v>ok</v>
      </c>
      <c r="K117" t="str">
        <f>entities[[#This Row],[domain]]&amp;"."&amp;entities[[#This Row],[object_id]]</f>
        <v>script.full_bright</v>
      </c>
      <c r="L117" s="4">
        <f>IF(entities[[#This Row],[hidden]]&lt;&gt;"",1,"")</f>
        <v>1</v>
      </c>
      <c r="M117" s="4" t="str">
        <f>IF(entities[[#This Row],[friendly_name]]&lt;&gt;"",2,"")</f>
        <v/>
      </c>
      <c r="N117" s="4" t="str">
        <f>IF(entities[[#This Row],[emulated_hue:]]&lt;&gt;"",3,"")</f>
        <v/>
      </c>
      <c r="O117" s="4" t="str">
        <f>IF(entities[[#This Row],[emulated_hue_name: ]]&lt;&gt;"",4,"")</f>
        <v/>
      </c>
      <c r="P117" s="4" t="str">
        <f>IF(entities[[#This Row],[entity_picture]]&lt;&gt;"",5,"")</f>
        <v/>
      </c>
      <c r="Q117" s="4" t="str">
        <f>IF(entities[[#This Row],[icon]]&lt;&gt;"",6,"")</f>
        <v/>
      </c>
      <c r="R117" s="4" t="str">
        <f>CONCATENATE(entities[[#This Row],[1]],entities[[#This Row],[2]],entities[[#This Row],[3]],entities[[#This Row],[4]],entities[[#This Row],[5]],entities[[#This Row],[6]])</f>
        <v>1</v>
      </c>
      <c r="S117">
        <f>6-COUNTBLANK(entities[[#This Row],[hidden]:[icon]])</f>
        <v>1</v>
      </c>
      <c r="T117">
        <f>IF(entities[[#This Row],[Num Attributes]]=0,"",
COUNTIFS(entities[Num Attributes],"&gt;0",entities[entity_id],"&lt;="&amp;entities[[#This Row],[entity_id]]))</f>
        <v>67</v>
      </c>
      <c r="U117" t="str">
        <f t="array" ref="U117">IFERROR(INDEX(cards[object_id],SMALL(IF(cards[[1]:[25]]=entities[[#This Row],[entity_id]],ROW(cards[])-7,99^99),1)),"")</f>
        <v/>
      </c>
      <c r="V117" t="str">
        <f>IF(entities[[#This Row],[In ''States'' tab?]]&lt;&gt;"ok",  "Not in Home Assistant",
IF(entities[[#This Row],[hidden]]="true",  "Hidden",
IF(entities[[#This Row],[Card]]&lt;&gt;"",
INDEX(cards[name],MATCH(entities[[#This Row],[Card]],cards[object_id],0)),  "Badge / automatic card")))</f>
        <v>Hidden</v>
      </c>
      <c r="W117" t="str">
        <f>IF(entities[[#This Row],[Card]]&lt;&gt;"","group."&amp;entities[[#This Row],[Card]],"")</f>
        <v/>
      </c>
      <c r="AD117"/>
    </row>
    <row r="118" spans="2:30" x14ac:dyDescent="0.25">
      <c r="B118" t="s">
        <v>196</v>
      </c>
      <c r="C118" t="s">
        <v>644</v>
      </c>
      <c r="E118" t="s">
        <v>645</v>
      </c>
      <c r="F118" s="3" t="s">
        <v>243</v>
      </c>
      <c r="I118" t="s">
        <v>646</v>
      </c>
      <c r="J118" s="4" t="str">
        <f>IF(COUNTIF(Table4[Entity],entities[[#This Row],[entity_id]]),"ok","missing from States tab")</f>
        <v>ok</v>
      </c>
      <c r="K118" s="4" t="str">
        <f>entities[[#This Row],[domain]]&amp;"."&amp;entities[[#This Row],[object_id]]</f>
        <v>script.good_night</v>
      </c>
      <c r="L118" s="4" t="str">
        <f>IF(entities[[#This Row],[hidden]]&lt;&gt;"",1,"")</f>
        <v/>
      </c>
      <c r="M118" s="4">
        <f>IF(entities[[#This Row],[friendly_name]]&lt;&gt;"",2,"")</f>
        <v>2</v>
      </c>
      <c r="N118" s="4">
        <f>IF(entities[[#This Row],[emulated_hue:]]&lt;&gt;"",3,"")</f>
        <v>3</v>
      </c>
      <c r="O118" s="4" t="str">
        <f>IF(entities[[#This Row],[emulated_hue_name: ]]&lt;&gt;"",4,"")</f>
        <v/>
      </c>
      <c r="P118" s="4" t="str">
        <f>IF(entities[[#This Row],[entity_picture]]&lt;&gt;"",5,"")</f>
        <v/>
      </c>
      <c r="Q118" s="4">
        <f>IF(entities[[#This Row],[icon]]&lt;&gt;"",6,"")</f>
        <v>6</v>
      </c>
      <c r="R118" s="4" t="str">
        <f>CONCATENATE(entities[[#This Row],[1]],entities[[#This Row],[2]],entities[[#This Row],[3]],entities[[#This Row],[4]],entities[[#This Row],[5]],entities[[#This Row],[6]])</f>
        <v>236</v>
      </c>
      <c r="S118" s="4">
        <f>6-COUNTBLANK(entities[[#This Row],[hidden]:[icon]])</f>
        <v>3</v>
      </c>
      <c r="T118" s="4">
        <f>IF(entities[[#This Row],[Num Attributes]]=0,"",
COUNTIFS(entities[Num Attributes],"&gt;0",entities[entity_id],"&lt;="&amp;entities[[#This Row],[entity_id]]))</f>
        <v>68</v>
      </c>
      <c r="U118" s="4" t="str">
        <f t="array" ref="U118">IFERROR(INDEX(cards[object_id],SMALL(IF(cards[[1]:[25]]=entities[[#This Row],[entity_id]],ROW(cards[])-7,99^99),1)),"")</f>
        <v>bedroom</v>
      </c>
      <c r="V118" s="4" t="str">
        <f>IF(entities[[#This Row],[In ''States'' tab?]]&lt;&gt;"ok",  "Not in Home Assistant",
IF(entities[[#This Row],[hidden]]="true",  "Hidden",
IF(entities[[#This Row],[Card]]&lt;&gt;"",
INDEX(cards[name],MATCH(entities[[#This Row],[Card]],cards[object_id],0)),  "Badge / automatic card")))</f>
        <v>Bedroom</v>
      </c>
      <c r="W118" s="4" t="str">
        <f>IF(entities[[#This Row],[Card]]&lt;&gt;"","group."&amp;entities[[#This Row],[Card]],"")</f>
        <v>group.bedroom</v>
      </c>
      <c r="AD118"/>
    </row>
    <row r="119" spans="2:30" x14ac:dyDescent="0.25">
      <c r="B119" t="s">
        <v>196</v>
      </c>
      <c r="C119" t="s">
        <v>201</v>
      </c>
      <c r="D119" s="3" t="s">
        <v>243</v>
      </c>
      <c r="I119" t="s">
        <v>11</v>
      </c>
      <c r="J119" s="4" t="str">
        <f>IF(COUNTIF(Table4[Entity],entities[[#This Row],[entity_id]]),"ok","missing from States tab")</f>
        <v>ok</v>
      </c>
      <c r="K119" t="str">
        <f>entities[[#This Row],[domain]]&amp;"."&amp;entities[[#This Row],[object_id]]</f>
        <v>script.half_bright</v>
      </c>
      <c r="L119" s="4">
        <f>IF(entities[[#This Row],[hidden]]&lt;&gt;"",1,"")</f>
        <v>1</v>
      </c>
      <c r="M119" s="4" t="str">
        <f>IF(entities[[#This Row],[friendly_name]]&lt;&gt;"",2,"")</f>
        <v/>
      </c>
      <c r="N119" s="4" t="str">
        <f>IF(entities[[#This Row],[emulated_hue:]]&lt;&gt;"",3,"")</f>
        <v/>
      </c>
      <c r="O119" s="4" t="str">
        <f>IF(entities[[#This Row],[emulated_hue_name: ]]&lt;&gt;"",4,"")</f>
        <v/>
      </c>
      <c r="P119" s="4" t="str">
        <f>IF(entities[[#This Row],[entity_picture]]&lt;&gt;"",5,"")</f>
        <v/>
      </c>
      <c r="Q119" s="4" t="str">
        <f>IF(entities[[#This Row],[icon]]&lt;&gt;"",6,"")</f>
        <v/>
      </c>
      <c r="R119" s="4" t="str">
        <f>CONCATENATE(entities[[#This Row],[1]],entities[[#This Row],[2]],entities[[#This Row],[3]],entities[[#This Row],[4]],entities[[#This Row],[5]],entities[[#This Row],[6]])</f>
        <v>1</v>
      </c>
      <c r="S119">
        <f>6-COUNTBLANK(entities[[#This Row],[hidden]:[icon]])</f>
        <v>1</v>
      </c>
      <c r="T119">
        <f>IF(entities[[#This Row],[Num Attributes]]=0,"",
COUNTIFS(entities[Num Attributes],"&gt;0",entities[entity_id],"&lt;="&amp;entities[[#This Row],[entity_id]]))</f>
        <v>69</v>
      </c>
      <c r="U119" t="str">
        <f t="array" ref="U119">IFERROR(INDEX(cards[object_id],SMALL(IF(cards[[1]:[25]]=entities[[#This Row],[entity_id]],ROW(cards[])-7,99^99),1)),"")</f>
        <v/>
      </c>
      <c r="V119" t="str">
        <f>IF(entities[[#This Row],[In ''States'' tab?]]&lt;&gt;"ok",  "Not in Home Assistant",
IF(entities[[#This Row],[hidden]]="true",  "Hidden",
IF(entities[[#This Row],[Card]]&lt;&gt;"",
INDEX(cards[name],MATCH(entities[[#This Row],[Card]],cards[object_id],0)),  "Badge / automatic card")))</f>
        <v>Hidden</v>
      </c>
      <c r="W119" t="str">
        <f>IF(entities[[#This Row],[Card]]&lt;&gt;"","group."&amp;entities[[#This Row],[Card]],"")</f>
        <v/>
      </c>
      <c r="AD119"/>
    </row>
    <row r="120" spans="2:30" x14ac:dyDescent="0.25">
      <c r="B120" t="s">
        <v>196</v>
      </c>
      <c r="C120" t="s">
        <v>699</v>
      </c>
      <c r="D120" s="3" t="s">
        <v>243</v>
      </c>
      <c r="I120" t="s">
        <v>11</v>
      </c>
      <c r="J120" s="4" t="str">
        <f>IF(COUNTIF(Table4[Entity],entities[[#This Row],[entity_id]]),"ok","missing from States tab")</f>
        <v>ok</v>
      </c>
      <c r="K120" t="str">
        <f>entities[[#This Row],[domain]]&amp;"."&amp;entities[[#This Row],[object_id]]</f>
        <v>script.living_room_vol_to_4</v>
      </c>
      <c r="L120" s="4">
        <f>IF(entities[[#This Row],[hidden]]&lt;&gt;"",1,"")</f>
        <v>1</v>
      </c>
      <c r="M120" s="4" t="str">
        <f>IF(entities[[#This Row],[friendly_name]]&lt;&gt;"",2,"")</f>
        <v/>
      </c>
      <c r="N120" s="4" t="str">
        <f>IF(entities[[#This Row],[emulated_hue:]]&lt;&gt;"",3,"")</f>
        <v/>
      </c>
      <c r="O120" s="4" t="str">
        <f>IF(entities[[#This Row],[emulated_hue_name: ]]&lt;&gt;"",4,"")</f>
        <v/>
      </c>
      <c r="P120" s="4" t="str">
        <f>IF(entities[[#This Row],[entity_picture]]&lt;&gt;"",5,"")</f>
        <v/>
      </c>
      <c r="Q120" s="4" t="str">
        <f>IF(entities[[#This Row],[icon]]&lt;&gt;"",6,"")</f>
        <v/>
      </c>
      <c r="R120" s="4" t="str">
        <f>CONCATENATE(entities[[#This Row],[1]],entities[[#This Row],[2]],entities[[#This Row],[3]],entities[[#This Row],[4]],entities[[#This Row],[5]],entities[[#This Row],[6]])</f>
        <v>1</v>
      </c>
      <c r="S120">
        <f>6-COUNTBLANK(entities[[#This Row],[hidden]:[icon]])</f>
        <v>1</v>
      </c>
      <c r="T120">
        <f>IF(entities[[#This Row],[Num Attributes]]=0,"",
COUNTIFS(entities[Num Attributes],"&gt;0",entities[entity_id],"&lt;="&amp;entities[[#This Row],[entity_id]]))</f>
        <v>70</v>
      </c>
      <c r="U120" t="str">
        <f t="array" ref="U120">IFERROR(INDEX(cards[object_id],SMALL(IF(cards[[1]:[25]]=entities[[#This Row],[entity_id]],ROW(cards[])-7,99^99),1)),"")</f>
        <v/>
      </c>
      <c r="V120" t="str">
        <f>IF(entities[[#This Row],[In ''States'' tab?]]&lt;&gt;"ok",  "Not in Home Assistant",
IF(entities[[#This Row],[hidden]]="true",  "Hidden",
IF(entities[[#This Row],[Card]]&lt;&gt;"",
INDEX(cards[name],MATCH(entities[[#This Row],[Card]],cards[object_id],0)),  "Badge / automatic card")))</f>
        <v>Hidden</v>
      </c>
      <c r="W120" t="str">
        <f>IF(entities[[#This Row],[Card]]&lt;&gt;"","group."&amp;entities[[#This Row],[Card]],"")</f>
        <v/>
      </c>
      <c r="AD120"/>
    </row>
    <row r="121" spans="2:30" x14ac:dyDescent="0.25">
      <c r="B121" t="s">
        <v>196</v>
      </c>
      <c r="C121" t="s">
        <v>202</v>
      </c>
      <c r="D121" s="3" t="s">
        <v>288</v>
      </c>
      <c r="E121" t="s">
        <v>295</v>
      </c>
      <c r="F121" s="3" t="s">
        <v>243</v>
      </c>
      <c r="I121" t="s">
        <v>317</v>
      </c>
      <c r="J121" s="4" t="str">
        <f>IF(COUNTIF(Table4[Entity],entities[[#This Row],[entity_id]]),"ok","missing from States tab")</f>
        <v>ok</v>
      </c>
      <c r="K121" t="str">
        <f>entities[[#This Row],[domain]]&amp;"."&amp;entities[[#This Row],[object_id]]</f>
        <v>script.reading</v>
      </c>
      <c r="L121" s="4">
        <f>IF(entities[[#This Row],[hidden]]&lt;&gt;"",1,"")</f>
        <v>1</v>
      </c>
      <c r="M121" s="4">
        <f>IF(entities[[#This Row],[friendly_name]]&lt;&gt;"",2,"")</f>
        <v>2</v>
      </c>
      <c r="N121" s="4">
        <f>IF(entities[[#This Row],[emulated_hue:]]&lt;&gt;"",3,"")</f>
        <v>3</v>
      </c>
      <c r="O121" s="4" t="str">
        <f>IF(entities[[#This Row],[emulated_hue_name: ]]&lt;&gt;"",4,"")</f>
        <v/>
      </c>
      <c r="P121" s="4" t="str">
        <f>IF(entities[[#This Row],[entity_picture]]&lt;&gt;"",5,"")</f>
        <v/>
      </c>
      <c r="Q121" s="4">
        <f>IF(entities[[#This Row],[icon]]&lt;&gt;"",6,"")</f>
        <v>6</v>
      </c>
      <c r="R121" s="4" t="str">
        <f>CONCATENATE(entities[[#This Row],[1]],entities[[#This Row],[2]],entities[[#This Row],[3]],entities[[#This Row],[4]],entities[[#This Row],[5]],entities[[#This Row],[6]])</f>
        <v>1236</v>
      </c>
      <c r="S121">
        <f>6-COUNTBLANK(entities[[#This Row],[hidden]:[icon]])</f>
        <v>4</v>
      </c>
      <c r="T121">
        <f>IF(entities[[#This Row],[Num Attributes]]=0,"",
COUNTIFS(entities[Num Attributes],"&gt;0",entities[entity_id],"&lt;="&amp;entities[[#This Row],[entity_id]]))</f>
        <v>71</v>
      </c>
      <c r="U121" t="str">
        <f t="array" ref="U121">IFERROR(INDEX(cards[object_id],SMALL(IF(cards[[1]:[25]]=entities[[#This Row],[entity_id]],ROW(cards[])-7,99^99),1)),"")</f>
        <v>bedroom</v>
      </c>
      <c r="V121" t="str">
        <f>IF(entities[[#This Row],[In ''States'' tab?]]&lt;&gt;"ok",  "Not in Home Assistant",
IF(entities[[#This Row],[hidden]]="true",  "Hidden",
IF(entities[[#This Row],[Card]]&lt;&gt;"",
INDEX(cards[name],MATCH(entities[[#This Row],[Card]],cards[object_id],0)),  "Badge / automatic card")))</f>
        <v>Bedroom</v>
      </c>
      <c r="W121" t="str">
        <f>IF(entities[[#This Row],[Card]]&lt;&gt;"","group."&amp;entities[[#This Row],[Card]],"")</f>
        <v>group.bedroom</v>
      </c>
      <c r="Z121" s="10"/>
      <c r="AD121"/>
    </row>
    <row r="122" spans="2:30" x14ac:dyDescent="0.25">
      <c r="B122" t="s">
        <v>196</v>
      </c>
      <c r="C122" t="s">
        <v>203</v>
      </c>
      <c r="D122" s="3" t="s">
        <v>288</v>
      </c>
      <c r="E122" t="s">
        <v>293</v>
      </c>
      <c r="F122" s="3" t="s">
        <v>243</v>
      </c>
      <c r="I122" t="s">
        <v>318</v>
      </c>
      <c r="J122" s="4" t="str">
        <f>IF(COUNTIF(Table4[Entity],entities[[#This Row],[entity_id]]),"ok","missing from States tab")</f>
        <v>ok</v>
      </c>
      <c r="K122" t="str">
        <f>entities[[#This Row],[domain]]&amp;"."&amp;entities[[#This Row],[object_id]]</f>
        <v>script.twilight</v>
      </c>
      <c r="L122" s="4">
        <f>IF(entities[[#This Row],[hidden]]&lt;&gt;"",1,"")</f>
        <v>1</v>
      </c>
      <c r="M122" s="4">
        <f>IF(entities[[#This Row],[friendly_name]]&lt;&gt;"",2,"")</f>
        <v>2</v>
      </c>
      <c r="N122" s="4">
        <f>IF(entities[[#This Row],[emulated_hue:]]&lt;&gt;"",3,"")</f>
        <v>3</v>
      </c>
      <c r="O122" s="4" t="str">
        <f>IF(entities[[#This Row],[emulated_hue_name: ]]&lt;&gt;"",4,"")</f>
        <v/>
      </c>
      <c r="P122" s="4" t="str">
        <f>IF(entities[[#This Row],[entity_picture]]&lt;&gt;"",5,"")</f>
        <v/>
      </c>
      <c r="Q122" s="4">
        <f>IF(entities[[#This Row],[icon]]&lt;&gt;"",6,"")</f>
        <v>6</v>
      </c>
      <c r="R122" s="4" t="str">
        <f>CONCATENATE(entities[[#This Row],[1]],entities[[#This Row],[2]],entities[[#This Row],[3]],entities[[#This Row],[4]],entities[[#This Row],[5]],entities[[#This Row],[6]])</f>
        <v>1236</v>
      </c>
      <c r="S122">
        <f>6-COUNTBLANK(entities[[#This Row],[hidden]:[icon]])</f>
        <v>4</v>
      </c>
      <c r="T122">
        <f>IF(entities[[#This Row],[Num Attributes]]=0,"",
COUNTIFS(entities[Num Attributes],"&gt;0",entities[entity_id],"&lt;="&amp;entities[[#This Row],[entity_id]]))</f>
        <v>72</v>
      </c>
      <c r="U122" t="str">
        <f t="array" ref="U122">IFERROR(INDEX(cards[object_id],SMALL(IF(cards[[1]:[25]]=entities[[#This Row],[entity_id]],ROW(cards[])-7,99^99),1)),"")</f>
        <v>bedroom</v>
      </c>
      <c r="V122" t="str">
        <f>IF(entities[[#This Row],[In ''States'' tab?]]&lt;&gt;"ok",  "Not in Home Assistant",
IF(entities[[#This Row],[hidden]]="true",  "Hidden",
IF(entities[[#This Row],[Card]]&lt;&gt;"",
INDEX(cards[name],MATCH(entities[[#This Row],[Card]],cards[object_id],0)),  "Badge / automatic card")))</f>
        <v>Bedroom</v>
      </c>
      <c r="W122" t="str">
        <f>IF(entities[[#This Row],[Card]]&lt;&gt;"","group."&amp;entities[[#This Row],[Card]],"")</f>
        <v>group.bedroom</v>
      </c>
      <c r="Z122" s="10"/>
      <c r="AD122"/>
    </row>
    <row r="123" spans="2:30" x14ac:dyDescent="0.25">
      <c r="B123" t="s">
        <v>196</v>
      </c>
      <c r="C123" t="s">
        <v>719</v>
      </c>
      <c r="D123" s="3" t="s">
        <v>243</v>
      </c>
      <c r="J123" s="4" t="str">
        <f>IF(COUNTIF(Table4[Entity],entities[[#This Row],[entity_id]]),"ok","missing from States tab")</f>
        <v>ok</v>
      </c>
      <c r="K123" s="4" t="str">
        <f>entities[[#This Row],[domain]]&amp;"."&amp;entities[[#This Row],[object_id]]</f>
        <v>script.vacation_lights</v>
      </c>
      <c r="L123" s="4">
        <f>IF(entities[[#This Row],[hidden]]&lt;&gt;"",1,"")</f>
        <v>1</v>
      </c>
      <c r="M123" s="4" t="str">
        <f>IF(entities[[#This Row],[friendly_name]]&lt;&gt;"",2,"")</f>
        <v/>
      </c>
      <c r="N123" s="4" t="str">
        <f>IF(entities[[#This Row],[emulated_hue:]]&lt;&gt;"",3,"")</f>
        <v/>
      </c>
      <c r="O123" s="4" t="str">
        <f>IF(entities[[#This Row],[emulated_hue_name: ]]&lt;&gt;"",4,"")</f>
        <v/>
      </c>
      <c r="P123" s="4" t="str">
        <f>IF(entities[[#This Row],[entity_picture]]&lt;&gt;"",5,"")</f>
        <v/>
      </c>
      <c r="Q123" s="4" t="str">
        <f>IF(entities[[#This Row],[icon]]&lt;&gt;"",6,"")</f>
        <v/>
      </c>
      <c r="R123" s="4" t="str">
        <f>CONCATENATE(entities[[#This Row],[1]],entities[[#This Row],[2]],entities[[#This Row],[3]],entities[[#This Row],[4]],entities[[#This Row],[5]],entities[[#This Row],[6]])</f>
        <v>1</v>
      </c>
      <c r="S123" s="4">
        <f>6-COUNTBLANK(entities[[#This Row],[hidden]:[icon]])</f>
        <v>1</v>
      </c>
      <c r="T123" s="4">
        <f>IF(entities[[#This Row],[Num Attributes]]=0,"",
COUNTIFS(entities[Num Attributes],"&gt;0",entities[entity_id],"&lt;="&amp;entities[[#This Row],[entity_id]]))</f>
        <v>73</v>
      </c>
      <c r="U123" s="4" t="str">
        <f t="array" ref="U123">IFERROR(INDEX(cards[object_id],SMALL(IF(cards[[1]:[25]]=entities[[#This Row],[entity_id]],ROW(cards[])-7,99^99),1)),"")</f>
        <v/>
      </c>
      <c r="V123" s="4" t="str">
        <f>IF(entities[[#This Row],[In ''States'' tab?]]&lt;&gt;"ok",  "Not in Home Assistant",
IF(entities[[#This Row],[hidden]]="true",  "Hidden",
IF(entities[[#This Row],[Card]]&lt;&gt;"",
INDEX(cards[name],MATCH(entities[[#This Row],[Card]],cards[object_id],0)),  "Badge / automatic card")))</f>
        <v>Hidden</v>
      </c>
      <c r="W123" s="4" t="str">
        <f>IF(entities[[#This Row],[Card]]&lt;&gt;"","group."&amp;entities[[#This Row],[Card]],"")</f>
        <v/>
      </c>
      <c r="Z123" s="10"/>
      <c r="AD123"/>
    </row>
    <row r="124" spans="2:30" x14ac:dyDescent="0.25">
      <c r="B124" t="s">
        <v>196</v>
      </c>
      <c r="C124" t="s">
        <v>204</v>
      </c>
      <c r="D124" s="3" t="s">
        <v>243</v>
      </c>
      <c r="I124" t="s">
        <v>11</v>
      </c>
      <c r="J124" s="4" t="str">
        <f>IF(COUNTIF(Table4[Entity],entities[[#This Row],[entity_id]]),"ok","missing from States tab")</f>
        <v>ok</v>
      </c>
      <c r="K124" t="str">
        <f>entities[[#This Row],[domain]]&amp;"."&amp;entities[[#This Row],[object_id]]</f>
        <v>script.wake_up</v>
      </c>
      <c r="L124" s="4">
        <f>IF(entities[[#This Row],[hidden]]&lt;&gt;"",1,"")</f>
        <v>1</v>
      </c>
      <c r="M124" s="4" t="str">
        <f>IF(entities[[#This Row],[friendly_name]]&lt;&gt;"",2,"")</f>
        <v/>
      </c>
      <c r="N124" s="4" t="str">
        <f>IF(entities[[#This Row],[emulated_hue:]]&lt;&gt;"",3,"")</f>
        <v/>
      </c>
      <c r="O124" s="4" t="str">
        <f>IF(entities[[#This Row],[emulated_hue_name: ]]&lt;&gt;"",4,"")</f>
        <v/>
      </c>
      <c r="P124" s="4" t="str">
        <f>IF(entities[[#This Row],[entity_picture]]&lt;&gt;"",5,"")</f>
        <v/>
      </c>
      <c r="Q124" s="4" t="str">
        <f>IF(entities[[#This Row],[icon]]&lt;&gt;"",6,"")</f>
        <v/>
      </c>
      <c r="R124" s="4" t="str">
        <f>CONCATENATE(entities[[#This Row],[1]],entities[[#This Row],[2]],entities[[#This Row],[3]],entities[[#This Row],[4]],entities[[#This Row],[5]],entities[[#This Row],[6]])</f>
        <v>1</v>
      </c>
      <c r="S124">
        <f>6-COUNTBLANK(entities[[#This Row],[hidden]:[icon]])</f>
        <v>1</v>
      </c>
      <c r="T124">
        <f>IF(entities[[#This Row],[Num Attributes]]=0,"",
COUNTIFS(entities[Num Attributes],"&gt;0",entities[entity_id],"&lt;="&amp;entities[[#This Row],[entity_id]]))</f>
        <v>74</v>
      </c>
      <c r="U124" t="str">
        <f t="array" ref="U124">IFERROR(INDEX(cards[object_id],SMALL(IF(cards[[1]:[25]]=entities[[#This Row],[entity_id]],ROW(cards[])-7,99^99),1)),"")</f>
        <v/>
      </c>
      <c r="V124" t="str">
        <f>IF(entities[[#This Row],[In ''States'' tab?]]&lt;&gt;"ok",  "Not in Home Assistant",
IF(entities[[#This Row],[hidden]]="true",  "Hidden",
IF(entities[[#This Row],[Card]]&lt;&gt;"",
INDEX(cards[name],MATCH(entities[[#This Row],[Card]],cards[object_id],0)),  "Badge / automatic card")))</f>
        <v>Hidden</v>
      </c>
      <c r="W124" t="str">
        <f>IF(entities[[#This Row],[Card]]&lt;&gt;"","group."&amp;entities[[#This Row],[Card]],"")</f>
        <v/>
      </c>
      <c r="Z124" s="10"/>
      <c r="AD124"/>
    </row>
    <row r="125" spans="2:30" x14ac:dyDescent="0.25">
      <c r="B125" t="s">
        <v>205</v>
      </c>
      <c r="C125" t="s">
        <v>191</v>
      </c>
      <c r="D125" s="3" t="s">
        <v>243</v>
      </c>
      <c r="J125" s="4" t="str">
        <f>IF(COUNTIF(Table4[Entity],entities[[#This Row],[entity_id]]),"ok","missing from States tab")</f>
        <v>ok</v>
      </c>
      <c r="K125" t="str">
        <f>entities[[#This Row],[domain]]&amp;"."&amp;entities[[#This Row],[object_id]]</f>
        <v>sensor.alarm_clock_hour</v>
      </c>
      <c r="L125" s="4">
        <f>IF(entities[[#This Row],[hidden]]&lt;&gt;"",1,"")</f>
        <v>1</v>
      </c>
      <c r="M125" s="4" t="str">
        <f>IF(entities[[#This Row],[friendly_name]]&lt;&gt;"",2,"")</f>
        <v/>
      </c>
      <c r="N125" s="4" t="str">
        <f>IF(entities[[#This Row],[emulated_hue:]]&lt;&gt;"",3,"")</f>
        <v/>
      </c>
      <c r="O125" s="4" t="str">
        <f>IF(entities[[#This Row],[emulated_hue_name: ]]&lt;&gt;"",4,"")</f>
        <v/>
      </c>
      <c r="P125" s="4" t="str">
        <f>IF(entities[[#This Row],[entity_picture]]&lt;&gt;"",5,"")</f>
        <v/>
      </c>
      <c r="Q125" s="4" t="str">
        <f>IF(entities[[#This Row],[icon]]&lt;&gt;"",6,"")</f>
        <v/>
      </c>
      <c r="R125" s="4" t="str">
        <f>CONCATENATE(entities[[#This Row],[1]],entities[[#This Row],[2]],entities[[#This Row],[3]],entities[[#This Row],[4]],entities[[#This Row],[5]],entities[[#This Row],[6]])</f>
        <v>1</v>
      </c>
      <c r="S125">
        <f>6-COUNTBLANK(entities[[#This Row],[hidden]:[icon]])</f>
        <v>1</v>
      </c>
      <c r="T125">
        <f>IF(entities[[#This Row],[Num Attributes]]=0,"",
COUNTIFS(entities[Num Attributes],"&gt;0",entities[entity_id],"&lt;="&amp;entities[[#This Row],[entity_id]]))</f>
        <v>75</v>
      </c>
      <c r="U125" t="str">
        <f t="array" ref="U125">IFERROR(INDEX(cards[object_id],SMALL(IF(cards[[1]:[25]]=entities[[#This Row],[entity_id]],ROW(cards[])-7,99^99),1)),"")</f>
        <v/>
      </c>
      <c r="V125" t="str">
        <f>IF(entities[[#This Row],[In ''States'' tab?]]&lt;&gt;"ok",  "Not in Home Assistant",
IF(entities[[#This Row],[hidden]]="true",  "Hidden",
IF(entities[[#This Row],[Card]]&lt;&gt;"",
INDEX(cards[name],MATCH(entities[[#This Row],[Card]],cards[object_id],0)),  "Badge / automatic card")))</f>
        <v>Hidden</v>
      </c>
      <c r="W125" t="str">
        <f>IF(entities[[#This Row],[Card]]&lt;&gt;"","group."&amp;entities[[#This Row],[Card]],"")</f>
        <v/>
      </c>
      <c r="Z125" s="10"/>
      <c r="AD125"/>
    </row>
    <row r="126" spans="2:30" x14ac:dyDescent="0.25">
      <c r="B126" t="s">
        <v>205</v>
      </c>
      <c r="C126" t="s">
        <v>192</v>
      </c>
      <c r="D126" s="3" t="s">
        <v>243</v>
      </c>
      <c r="J126" s="4" t="str">
        <f>IF(COUNTIF(Table4[Entity],entities[[#This Row],[entity_id]]),"ok","missing from States tab")</f>
        <v>ok</v>
      </c>
      <c r="K126" t="str">
        <f>entities[[#This Row],[domain]]&amp;"."&amp;entities[[#This Row],[object_id]]</f>
        <v>sensor.alarm_clock_minute</v>
      </c>
      <c r="L126" s="4">
        <f>IF(entities[[#This Row],[hidden]]&lt;&gt;"",1,"")</f>
        <v>1</v>
      </c>
      <c r="M126" s="4" t="str">
        <f>IF(entities[[#This Row],[friendly_name]]&lt;&gt;"",2,"")</f>
        <v/>
      </c>
      <c r="N126" s="4" t="str">
        <f>IF(entities[[#This Row],[emulated_hue:]]&lt;&gt;"",3,"")</f>
        <v/>
      </c>
      <c r="O126" s="4" t="str">
        <f>IF(entities[[#This Row],[emulated_hue_name: ]]&lt;&gt;"",4,"")</f>
        <v/>
      </c>
      <c r="P126" s="4" t="str">
        <f>IF(entities[[#This Row],[entity_picture]]&lt;&gt;"",5,"")</f>
        <v/>
      </c>
      <c r="Q126" s="4" t="str">
        <f>IF(entities[[#This Row],[icon]]&lt;&gt;"",6,"")</f>
        <v/>
      </c>
      <c r="R126" s="4" t="str">
        <f>CONCATENATE(entities[[#This Row],[1]],entities[[#This Row],[2]],entities[[#This Row],[3]],entities[[#This Row],[4]],entities[[#This Row],[5]],entities[[#This Row],[6]])</f>
        <v>1</v>
      </c>
      <c r="S126">
        <f>6-COUNTBLANK(entities[[#This Row],[hidden]:[icon]])</f>
        <v>1</v>
      </c>
      <c r="T126">
        <f>IF(entities[[#This Row],[Num Attributes]]=0,"",
COUNTIFS(entities[Num Attributes],"&gt;0",entities[entity_id],"&lt;="&amp;entities[[#This Row],[entity_id]]))</f>
        <v>76</v>
      </c>
      <c r="U126" t="str">
        <f t="array" ref="U126">IFERROR(INDEX(cards[object_id],SMALL(IF(cards[[1]:[25]]=entities[[#This Row],[entity_id]],ROW(cards[])-7,99^99),1)),"")</f>
        <v/>
      </c>
      <c r="V126" t="str">
        <f>IF(entities[[#This Row],[In ''States'' tab?]]&lt;&gt;"ok",  "Not in Home Assistant",
IF(entities[[#This Row],[hidden]]="true",  "Hidden",
IF(entities[[#This Row],[Card]]&lt;&gt;"",
INDEX(cards[name],MATCH(entities[[#This Row],[Card]],cards[object_id],0)),  "Badge / automatic card")))</f>
        <v>Hidden</v>
      </c>
      <c r="W126" t="str">
        <f>IF(entities[[#This Row],[Card]]&lt;&gt;"","group."&amp;entities[[#This Row],[Card]],"")</f>
        <v/>
      </c>
      <c r="Z126" s="10"/>
      <c r="AD126"/>
    </row>
    <row r="127" spans="2:30" x14ac:dyDescent="0.25">
      <c r="B127" t="s">
        <v>205</v>
      </c>
      <c r="C127" t="s">
        <v>206</v>
      </c>
      <c r="E127" t="s">
        <v>278</v>
      </c>
      <c r="J127" s="4" t="str">
        <f>IF(COUNTIF(Table4[Entity],entities[[#This Row],[entity_id]]),"ok","missing from States tab")</f>
        <v>ok</v>
      </c>
      <c r="K127" t="str">
        <f>entities[[#This Row],[domain]]&amp;"."&amp;entities[[#This Row],[object_id]]</f>
        <v>sensor.alarm_clock_time</v>
      </c>
      <c r="L127" s="4" t="str">
        <f>IF(entities[[#This Row],[hidden]]&lt;&gt;"",1,"")</f>
        <v/>
      </c>
      <c r="M127" s="4">
        <f>IF(entities[[#This Row],[friendly_name]]&lt;&gt;"",2,"")</f>
        <v>2</v>
      </c>
      <c r="N127" s="4" t="str">
        <f>IF(entities[[#This Row],[emulated_hue:]]&lt;&gt;"",3,"")</f>
        <v/>
      </c>
      <c r="O127" s="4" t="str">
        <f>IF(entities[[#This Row],[emulated_hue_name: ]]&lt;&gt;"",4,"")</f>
        <v/>
      </c>
      <c r="P127" s="4" t="str">
        <f>IF(entities[[#This Row],[entity_picture]]&lt;&gt;"",5,"")</f>
        <v/>
      </c>
      <c r="Q127" s="4" t="str">
        <f>IF(entities[[#This Row],[icon]]&lt;&gt;"",6,"")</f>
        <v/>
      </c>
      <c r="R127" s="4" t="str">
        <f>CONCATENATE(entities[[#This Row],[1]],entities[[#This Row],[2]],entities[[#This Row],[3]],entities[[#This Row],[4]],entities[[#This Row],[5]],entities[[#This Row],[6]])</f>
        <v>2</v>
      </c>
      <c r="S127">
        <f>6-COUNTBLANK(entities[[#This Row],[hidden]:[icon]])</f>
        <v>1</v>
      </c>
      <c r="T127">
        <f>IF(entities[[#This Row],[Num Attributes]]=0,"",
COUNTIFS(entities[Num Attributes],"&gt;0",entities[entity_id],"&lt;="&amp;entities[[#This Row],[entity_id]]))</f>
        <v>77</v>
      </c>
      <c r="U127" t="str">
        <f t="array" ref="U127">IFERROR(INDEX(cards[object_id],SMALL(IF(cards[[1]:[25]]=entities[[#This Row],[entity_id]],ROW(cards[])-7,99^99),1)),"")</f>
        <v>alarm_clock</v>
      </c>
      <c r="V127" t="str">
        <f>IF(entities[[#This Row],[In ''States'' tab?]]&lt;&gt;"ok",  "Not in Home Assistant",
IF(entities[[#This Row],[hidden]]="true",  "Hidden",
IF(entities[[#This Row],[Card]]&lt;&gt;"",
INDEX(cards[name],MATCH(entities[[#This Row],[Card]],cards[object_id],0)),  "Badge / automatic card")))</f>
        <v>Alarm Clock</v>
      </c>
      <c r="W127" t="str">
        <f>IF(entities[[#This Row],[Card]]&lt;&gt;"","group."&amp;entities[[#This Row],[Card]],"")</f>
        <v>group.alarm_clock</v>
      </c>
      <c r="Z127" s="10"/>
      <c r="AD127"/>
    </row>
    <row r="128" spans="2:30" x14ac:dyDescent="0.25">
      <c r="B128" t="s">
        <v>205</v>
      </c>
      <c r="C128" t="s">
        <v>207</v>
      </c>
      <c r="D128" s="3" t="s">
        <v>243</v>
      </c>
      <c r="J128" s="4" t="str">
        <f>IF(COUNTIF(Table4[Entity],entities[[#This Row],[entity_id]]),"ok","missing from States tab")</f>
        <v>ok</v>
      </c>
      <c r="K128" t="str">
        <f>entities[[#This Row],[domain]]&amp;"."&amp;entities[[#This Row],[object_id]]</f>
        <v>sensor.alarm_clock_time_long</v>
      </c>
      <c r="L128" s="4">
        <f>IF(entities[[#This Row],[hidden]]&lt;&gt;"",1,"")</f>
        <v>1</v>
      </c>
      <c r="M128" s="4" t="str">
        <f>IF(entities[[#This Row],[friendly_name]]&lt;&gt;"",2,"")</f>
        <v/>
      </c>
      <c r="N128" s="4" t="str">
        <f>IF(entities[[#This Row],[emulated_hue:]]&lt;&gt;"",3,"")</f>
        <v/>
      </c>
      <c r="O128" s="4" t="str">
        <f>IF(entities[[#This Row],[emulated_hue_name: ]]&lt;&gt;"",4,"")</f>
        <v/>
      </c>
      <c r="P128" s="4" t="str">
        <f>IF(entities[[#This Row],[entity_picture]]&lt;&gt;"",5,"")</f>
        <v/>
      </c>
      <c r="Q128" s="4" t="str">
        <f>IF(entities[[#This Row],[icon]]&lt;&gt;"",6,"")</f>
        <v/>
      </c>
      <c r="R128" s="4" t="str">
        <f>CONCATENATE(entities[[#This Row],[1]],entities[[#This Row],[2]],entities[[#This Row],[3]],entities[[#This Row],[4]],entities[[#This Row],[5]],entities[[#This Row],[6]])</f>
        <v>1</v>
      </c>
      <c r="S128">
        <f>6-COUNTBLANK(entities[[#This Row],[hidden]:[icon]])</f>
        <v>1</v>
      </c>
      <c r="T128">
        <f>IF(entities[[#This Row],[Num Attributes]]=0,"",
COUNTIFS(entities[Num Attributes],"&gt;0",entities[entity_id],"&lt;="&amp;entities[[#This Row],[entity_id]]))</f>
        <v>78</v>
      </c>
      <c r="U128" t="str">
        <f t="array" ref="U128">IFERROR(INDEX(cards[object_id],SMALL(IF(cards[[1]:[25]]=entities[[#This Row],[entity_id]],ROW(cards[])-7,99^99),1)),"")</f>
        <v/>
      </c>
      <c r="V128" t="str">
        <f>IF(entities[[#This Row],[In ''States'' tab?]]&lt;&gt;"ok",  "Not in Home Assistant",
IF(entities[[#This Row],[hidden]]="true",  "Hidden",
IF(entities[[#This Row],[Card]]&lt;&gt;"",
INDEX(cards[name],MATCH(entities[[#This Row],[Card]],cards[object_id],0)),  "Badge / automatic card")))</f>
        <v>Hidden</v>
      </c>
      <c r="W128" t="str">
        <f>IF(entities[[#This Row],[Card]]&lt;&gt;"","group."&amp;entities[[#This Row],[Card]],"")</f>
        <v/>
      </c>
      <c r="Z128" s="10"/>
      <c r="AD128"/>
    </row>
    <row r="129" spans="2:30" x14ac:dyDescent="0.25">
      <c r="B129" t="s">
        <v>205</v>
      </c>
      <c r="C129" t="s">
        <v>208</v>
      </c>
      <c r="J129" s="4" t="str">
        <f>IF(COUNTIF(Table4[Entity],entities[[#This Row],[entity_id]]),"ok","missing from States tab")</f>
        <v>ok</v>
      </c>
      <c r="K129" t="str">
        <f>entities[[#This Row],[domain]]&amp;"."&amp;entities[[#This Row],[object_id]]</f>
        <v>sensor.batt_multi_sensor</v>
      </c>
      <c r="L129" s="4" t="str">
        <f>IF(entities[[#This Row],[hidden]]&lt;&gt;"",1,"")</f>
        <v/>
      </c>
      <c r="M129" s="4" t="str">
        <f>IF(entities[[#This Row],[friendly_name]]&lt;&gt;"",2,"")</f>
        <v/>
      </c>
      <c r="N129" s="4" t="str">
        <f>IF(entities[[#This Row],[emulated_hue:]]&lt;&gt;"",3,"")</f>
        <v/>
      </c>
      <c r="O129" s="4" t="str">
        <f>IF(entities[[#This Row],[emulated_hue_name: ]]&lt;&gt;"",4,"")</f>
        <v/>
      </c>
      <c r="P129" s="4" t="str">
        <f>IF(entities[[#This Row],[entity_picture]]&lt;&gt;"",5,"")</f>
        <v/>
      </c>
      <c r="Q129" s="4" t="str">
        <f>IF(entities[[#This Row],[icon]]&lt;&gt;"",6,"")</f>
        <v/>
      </c>
      <c r="R129" s="4" t="str">
        <f>CONCATENATE(entities[[#This Row],[1]],entities[[#This Row],[2]],entities[[#This Row],[3]],entities[[#This Row],[4]],entities[[#This Row],[5]],entities[[#This Row],[6]])</f>
        <v/>
      </c>
      <c r="S129">
        <f>6-COUNTBLANK(entities[[#This Row],[hidden]:[icon]])</f>
        <v>0</v>
      </c>
      <c r="T129" t="str">
        <f>IF(entities[[#This Row],[Num Attributes]]=0,"",
COUNTIFS(entities[Num Attributes],"&gt;0",entities[entity_id],"&lt;="&amp;entities[[#This Row],[entity_id]]))</f>
        <v/>
      </c>
      <c r="U129" t="str">
        <f t="array" ref="U129">IFERROR(INDEX(cards[object_id],SMALL(IF(cards[[1]:[25]]=entities[[#This Row],[entity_id]],ROW(cards[])-7,99^99),1)),"")</f>
        <v>environment_living_room</v>
      </c>
      <c r="V129" t="str">
        <f>IF(entities[[#This Row],[In ''States'' tab?]]&lt;&gt;"ok",  "Not in Home Assistant",
IF(entities[[#This Row],[hidden]]="true",  "Hidden",
IF(entities[[#This Row],[Card]]&lt;&gt;"",
INDEX(cards[name],MATCH(entities[[#This Row],[Card]],cards[object_id],0)),  "Badge / automatic card")))</f>
        <v>Environment || Living Room</v>
      </c>
      <c r="W129" t="str">
        <f>IF(entities[[#This Row],[Card]]&lt;&gt;"","group."&amp;entities[[#This Row],[Card]],"")</f>
        <v>group.environment_living_room</v>
      </c>
      <c r="Z129" s="10"/>
      <c r="AD129"/>
    </row>
    <row r="130" spans="2:30" x14ac:dyDescent="0.25">
      <c r="B130" t="s">
        <v>205</v>
      </c>
      <c r="C130" t="s">
        <v>209</v>
      </c>
      <c r="J130" s="4" t="str">
        <f>IF(COUNTIF(Table4[Entity],entities[[#This Row],[entity_id]]),"ok","missing from States tab")</f>
        <v>ok</v>
      </c>
      <c r="K130" t="str">
        <f>entities[[#This Row],[domain]]&amp;"."&amp;entities[[#This Row],[object_id]]</f>
        <v>sensor.cpu_temp</v>
      </c>
      <c r="L130" s="4" t="str">
        <f>IF(entities[[#This Row],[hidden]]&lt;&gt;"",1,"")</f>
        <v/>
      </c>
      <c r="M130" s="4" t="str">
        <f>IF(entities[[#This Row],[friendly_name]]&lt;&gt;"",2,"")</f>
        <v/>
      </c>
      <c r="N130" s="4" t="str">
        <f>IF(entities[[#This Row],[emulated_hue:]]&lt;&gt;"",3,"")</f>
        <v/>
      </c>
      <c r="O130" s="4" t="str">
        <f>IF(entities[[#This Row],[emulated_hue_name: ]]&lt;&gt;"",4,"")</f>
        <v/>
      </c>
      <c r="P130" s="4" t="str">
        <f>IF(entities[[#This Row],[entity_picture]]&lt;&gt;"",5,"")</f>
        <v/>
      </c>
      <c r="Q130" s="4" t="str">
        <f>IF(entities[[#This Row],[icon]]&lt;&gt;"",6,"")</f>
        <v/>
      </c>
      <c r="R130" s="4" t="str">
        <f>CONCATENATE(entities[[#This Row],[1]],entities[[#This Row],[2]],entities[[#This Row],[3]],entities[[#This Row],[4]],entities[[#This Row],[5]],entities[[#This Row],[6]])</f>
        <v/>
      </c>
      <c r="S130">
        <f>6-COUNTBLANK(entities[[#This Row],[hidden]:[icon]])</f>
        <v>0</v>
      </c>
      <c r="T130" t="str">
        <f>IF(entities[[#This Row],[Num Attributes]]=0,"",
COUNTIFS(entities[Num Attributes],"&gt;0",entities[entity_id],"&lt;="&amp;entities[[#This Row],[entity_id]]))</f>
        <v/>
      </c>
      <c r="U130" t="str">
        <f t="array" ref="U130">IFERROR(INDEX(cards[object_id],SMALL(IF(cards[[1]:[25]]=entities[[#This Row],[entity_id]],ROW(cards[])-7,99^99),1)),"")</f>
        <v>host_device</v>
      </c>
      <c r="V130" t="str">
        <f>IF(entities[[#This Row],[In ''States'' tab?]]&lt;&gt;"ok",  "Not in Home Assistant",
IF(entities[[#This Row],[hidden]]="true",  "Hidden",
IF(entities[[#This Row],[Card]]&lt;&gt;"",
INDEX(cards[name],MATCH(entities[[#This Row],[Card]],cards[object_id],0)),  "Badge / automatic card")))</f>
        <v>HA Host</v>
      </c>
      <c r="W130" t="str">
        <f>IF(entities[[#This Row],[Card]]&lt;&gt;"","group."&amp;entities[[#This Row],[Card]],"")</f>
        <v>group.host_device</v>
      </c>
      <c r="Z130" s="10"/>
      <c r="AD130"/>
    </row>
    <row r="131" spans="2:30" x14ac:dyDescent="0.25">
      <c r="B131" t="s">
        <v>205</v>
      </c>
      <c r="C131" t="s">
        <v>210</v>
      </c>
      <c r="J131" s="4" t="str">
        <f>IF(COUNTIF(Table4[Entity],entities[[#This Row],[entity_id]]),"ok","missing from States tab")</f>
        <v>ok</v>
      </c>
      <c r="K131" t="str">
        <f>entities[[#This Row],[domain]]&amp;"."&amp;entities[[#This Row],[object_id]]</f>
        <v>sensor.cpu_use</v>
      </c>
      <c r="L131" s="4" t="str">
        <f>IF(entities[[#This Row],[hidden]]&lt;&gt;"",1,"")</f>
        <v/>
      </c>
      <c r="M131" s="4" t="str">
        <f>IF(entities[[#This Row],[friendly_name]]&lt;&gt;"",2,"")</f>
        <v/>
      </c>
      <c r="N131" s="4" t="str">
        <f>IF(entities[[#This Row],[emulated_hue:]]&lt;&gt;"",3,"")</f>
        <v/>
      </c>
      <c r="O131" s="4" t="str">
        <f>IF(entities[[#This Row],[emulated_hue_name: ]]&lt;&gt;"",4,"")</f>
        <v/>
      </c>
      <c r="P131" s="4" t="str">
        <f>IF(entities[[#This Row],[entity_picture]]&lt;&gt;"",5,"")</f>
        <v/>
      </c>
      <c r="Q131" s="4" t="str">
        <f>IF(entities[[#This Row],[icon]]&lt;&gt;"",6,"")</f>
        <v/>
      </c>
      <c r="R131" s="4" t="str">
        <f>CONCATENATE(entities[[#This Row],[1]],entities[[#This Row],[2]],entities[[#This Row],[3]],entities[[#This Row],[4]],entities[[#This Row],[5]],entities[[#This Row],[6]])</f>
        <v/>
      </c>
      <c r="S131">
        <f>6-COUNTBLANK(entities[[#This Row],[hidden]:[icon]])</f>
        <v>0</v>
      </c>
      <c r="T131" t="str">
        <f>IF(entities[[#This Row],[Num Attributes]]=0,"",
COUNTIFS(entities[Num Attributes],"&gt;0",entities[entity_id],"&lt;="&amp;entities[[#This Row],[entity_id]]))</f>
        <v/>
      </c>
      <c r="U131" t="str">
        <f t="array" ref="U131">IFERROR(INDEX(cards[object_id],SMALL(IF(cards[[1]:[25]]=entities[[#This Row],[entity_id]],ROW(cards[])-7,99^99),1)),"")</f>
        <v>host_device</v>
      </c>
      <c r="V131" t="str">
        <f>IF(entities[[#This Row],[In ''States'' tab?]]&lt;&gt;"ok",  "Not in Home Assistant",
IF(entities[[#This Row],[hidden]]="true",  "Hidden",
IF(entities[[#This Row],[Card]]&lt;&gt;"",
INDEX(cards[name],MATCH(entities[[#This Row],[Card]],cards[object_id],0)),  "Badge / automatic card")))</f>
        <v>HA Host</v>
      </c>
      <c r="W131" t="str">
        <f>IF(entities[[#This Row],[Card]]&lt;&gt;"","group."&amp;entities[[#This Row],[Card]],"")</f>
        <v>group.host_device</v>
      </c>
      <c r="Z131" s="10"/>
      <c r="AD131"/>
    </row>
    <row r="132" spans="2:30" x14ac:dyDescent="0.25">
      <c r="B132" t="s">
        <v>205</v>
      </c>
      <c r="C132" t="s">
        <v>211</v>
      </c>
      <c r="E132" t="s">
        <v>273</v>
      </c>
      <c r="J132" s="4" t="str">
        <f>IF(COUNTIF(Table4[Entity],entities[[#This Row],[entity_id]]),"ok","missing from States tab")</f>
        <v>ok</v>
      </c>
      <c r="K132" t="str">
        <f>entities[[#This Row],[domain]]&amp;"."&amp;entities[[#This Row],[object_id]]</f>
        <v>sensor.dark_sky_apparent_temperature</v>
      </c>
      <c r="L132" s="4" t="str">
        <f>IF(entities[[#This Row],[hidden]]&lt;&gt;"",1,"")</f>
        <v/>
      </c>
      <c r="M132" s="4">
        <f>IF(entities[[#This Row],[friendly_name]]&lt;&gt;"",2,"")</f>
        <v>2</v>
      </c>
      <c r="N132" s="4" t="str">
        <f>IF(entities[[#This Row],[emulated_hue:]]&lt;&gt;"",3,"")</f>
        <v/>
      </c>
      <c r="O132" s="4" t="str">
        <f>IF(entities[[#This Row],[emulated_hue_name: ]]&lt;&gt;"",4,"")</f>
        <v/>
      </c>
      <c r="P132" s="4" t="str">
        <f>IF(entities[[#This Row],[entity_picture]]&lt;&gt;"",5,"")</f>
        <v/>
      </c>
      <c r="Q132" s="4" t="str">
        <f>IF(entities[[#This Row],[icon]]&lt;&gt;"",6,"")</f>
        <v/>
      </c>
      <c r="R132" s="4" t="str">
        <f>CONCATENATE(entities[[#This Row],[1]],entities[[#This Row],[2]],entities[[#This Row],[3]],entities[[#This Row],[4]],entities[[#This Row],[5]],entities[[#This Row],[6]])</f>
        <v>2</v>
      </c>
      <c r="S132">
        <f>6-COUNTBLANK(entities[[#This Row],[hidden]:[icon]])</f>
        <v>1</v>
      </c>
      <c r="T132">
        <f>IF(entities[[#This Row],[Num Attributes]]=0,"",
COUNTIFS(entities[Num Attributes],"&gt;0",entities[entity_id],"&lt;="&amp;entities[[#This Row],[entity_id]]))</f>
        <v>79</v>
      </c>
      <c r="U132" t="str">
        <f t="array" ref="U132">IFERROR(INDEX(cards[object_id],SMALL(IF(cards[[1]:[25]]=entities[[#This Row],[entity_id]],ROW(cards[])-7,99^99),1)),"")</f>
        <v>environment</v>
      </c>
      <c r="V132" t="str">
        <f>IF(entities[[#This Row],[In ''States'' tab?]]&lt;&gt;"ok",  "Not in Home Assistant",
IF(entities[[#This Row],[hidden]]="true",  "Hidden",
IF(entities[[#This Row],[Card]]&lt;&gt;"",
INDEX(cards[name],MATCH(entities[[#This Row],[Card]],cards[object_id],0)),  "Badge / automatic card")))</f>
        <v>Environment || Forecast</v>
      </c>
      <c r="W132" t="str">
        <f>IF(entities[[#This Row],[Card]]&lt;&gt;"","group."&amp;entities[[#This Row],[Card]],"")</f>
        <v>group.environment</v>
      </c>
      <c r="Z132" s="10"/>
      <c r="AD132"/>
    </row>
    <row r="133" spans="2:30" x14ac:dyDescent="0.25">
      <c r="B133" t="s">
        <v>205</v>
      </c>
      <c r="C133" t="s">
        <v>212</v>
      </c>
      <c r="J133" s="4" t="str">
        <f>IF(COUNTIF(Table4[Entity],entities[[#This Row],[entity_id]]),"ok","missing from States tab")</f>
        <v>ok</v>
      </c>
      <c r="K133" t="str">
        <f>entities[[#This Row],[domain]]&amp;"."&amp;entities[[#This Row],[object_id]]</f>
        <v>sensor.dark_sky_cloud_coverage</v>
      </c>
      <c r="L133" s="4" t="str">
        <f>IF(entities[[#This Row],[hidden]]&lt;&gt;"",1,"")</f>
        <v/>
      </c>
      <c r="M133" s="4" t="str">
        <f>IF(entities[[#This Row],[friendly_name]]&lt;&gt;"",2,"")</f>
        <v/>
      </c>
      <c r="N133" s="4" t="str">
        <f>IF(entities[[#This Row],[emulated_hue:]]&lt;&gt;"",3,"")</f>
        <v/>
      </c>
      <c r="O133" s="4" t="str">
        <f>IF(entities[[#This Row],[emulated_hue_name: ]]&lt;&gt;"",4,"")</f>
        <v/>
      </c>
      <c r="P133" s="4" t="str">
        <f>IF(entities[[#This Row],[entity_picture]]&lt;&gt;"",5,"")</f>
        <v/>
      </c>
      <c r="Q133" s="4" t="str">
        <f>IF(entities[[#This Row],[icon]]&lt;&gt;"",6,"")</f>
        <v/>
      </c>
      <c r="R133" s="4" t="str">
        <f>CONCATENATE(entities[[#This Row],[1]],entities[[#This Row],[2]],entities[[#This Row],[3]],entities[[#This Row],[4]],entities[[#This Row],[5]],entities[[#This Row],[6]])</f>
        <v/>
      </c>
      <c r="S133">
        <f>6-COUNTBLANK(entities[[#This Row],[hidden]:[icon]])</f>
        <v>0</v>
      </c>
      <c r="T133" t="str">
        <f>IF(entities[[#This Row],[Num Attributes]]=0,"",
COUNTIFS(entities[Num Attributes],"&gt;0",entities[entity_id],"&lt;="&amp;entities[[#This Row],[entity_id]]))</f>
        <v/>
      </c>
      <c r="U133" t="str">
        <f t="array" ref="U133">IFERROR(INDEX(cards[object_id],SMALL(IF(cards[[1]:[25]]=entities[[#This Row],[entity_id]],ROW(cards[])-7,99^99),1)),"")</f>
        <v>environment_detail</v>
      </c>
      <c r="V133" t="str">
        <f>IF(entities[[#This Row],[In ''States'' tab?]]&lt;&gt;"ok",  "Not in Home Assistant",
IF(entities[[#This Row],[hidden]]="true",  "Hidden",
IF(entities[[#This Row],[Card]]&lt;&gt;"",
INDEX(cards[name],MATCH(entities[[#This Row],[Card]],cards[object_id],0)),  "Badge / automatic card")))</f>
        <v>Environment Detail</v>
      </c>
      <c r="W133" t="str">
        <f>IF(entities[[#This Row],[Card]]&lt;&gt;"","group."&amp;entities[[#This Row],[Card]],"")</f>
        <v>group.environment_detail</v>
      </c>
      <c r="Z133" s="10"/>
      <c r="AD133"/>
    </row>
    <row r="134" spans="2:30" x14ac:dyDescent="0.25">
      <c r="B134" t="s">
        <v>205</v>
      </c>
      <c r="C134" t="s">
        <v>213</v>
      </c>
      <c r="J134" s="4" t="str">
        <f>IF(COUNTIF(Table4[Entity],entities[[#This Row],[entity_id]]),"ok","missing from States tab")</f>
        <v>ok</v>
      </c>
      <c r="K134" t="str">
        <f>entities[[#This Row],[domain]]&amp;"."&amp;entities[[#This Row],[object_id]]</f>
        <v>sensor.dark_sky_daily_high_apparent_temperature</v>
      </c>
      <c r="L134" s="4" t="str">
        <f>IF(entities[[#This Row],[hidden]]&lt;&gt;"",1,"")</f>
        <v/>
      </c>
      <c r="M134" s="4" t="str">
        <f>IF(entities[[#This Row],[friendly_name]]&lt;&gt;"",2,"")</f>
        <v/>
      </c>
      <c r="N134" s="4" t="str">
        <f>IF(entities[[#This Row],[emulated_hue:]]&lt;&gt;"",3,"")</f>
        <v/>
      </c>
      <c r="O134" s="4" t="str">
        <f>IF(entities[[#This Row],[emulated_hue_name: ]]&lt;&gt;"",4,"")</f>
        <v/>
      </c>
      <c r="P134" s="4" t="str">
        <f>IF(entities[[#This Row],[entity_picture]]&lt;&gt;"",5,"")</f>
        <v/>
      </c>
      <c r="Q134" s="4" t="str">
        <f>IF(entities[[#This Row],[icon]]&lt;&gt;"",6,"")</f>
        <v/>
      </c>
      <c r="R134" s="4" t="str">
        <f>CONCATENATE(entities[[#This Row],[1]],entities[[#This Row],[2]],entities[[#This Row],[3]],entities[[#This Row],[4]],entities[[#This Row],[5]],entities[[#This Row],[6]])</f>
        <v/>
      </c>
      <c r="S134">
        <f>6-COUNTBLANK(entities[[#This Row],[hidden]:[icon]])</f>
        <v>0</v>
      </c>
      <c r="T134" t="str">
        <f>IF(entities[[#This Row],[Num Attributes]]=0,"",
COUNTIFS(entities[Num Attributes],"&gt;0",entities[entity_id],"&lt;="&amp;entities[[#This Row],[entity_id]]))</f>
        <v/>
      </c>
      <c r="U134" t="str">
        <f t="array" ref="U134">IFERROR(INDEX(cards[object_id],SMALL(IF(cards[[1]:[25]]=entities[[#This Row],[entity_id]],ROW(cards[])-7,99^99),1)),"")</f>
        <v>environment_detail</v>
      </c>
      <c r="V134" t="str">
        <f>IF(entities[[#This Row],[In ''States'' tab?]]&lt;&gt;"ok",  "Not in Home Assistant",
IF(entities[[#This Row],[hidden]]="true",  "Hidden",
IF(entities[[#This Row],[Card]]&lt;&gt;"",
INDEX(cards[name],MATCH(entities[[#This Row],[Card]],cards[object_id],0)),  "Badge / automatic card")))</f>
        <v>Environment Detail</v>
      </c>
      <c r="W134" t="str">
        <f>IF(entities[[#This Row],[Card]]&lt;&gt;"","group."&amp;entities[[#This Row],[Card]],"")</f>
        <v>group.environment_detail</v>
      </c>
      <c r="Z134" s="10"/>
      <c r="AD134"/>
    </row>
    <row r="135" spans="2:30" x14ac:dyDescent="0.25">
      <c r="B135" t="s">
        <v>205</v>
      </c>
      <c r="C135" t="s">
        <v>214</v>
      </c>
      <c r="J135" s="4" t="str">
        <f>IF(COUNTIF(Table4[Entity],entities[[#This Row],[entity_id]]),"ok","missing from States tab")</f>
        <v>ok</v>
      </c>
      <c r="K135" t="str">
        <f>entities[[#This Row],[domain]]&amp;"."&amp;entities[[#This Row],[object_id]]</f>
        <v>sensor.dark_sky_daily_high_temperature</v>
      </c>
      <c r="L135" s="4" t="str">
        <f>IF(entities[[#This Row],[hidden]]&lt;&gt;"",1,"")</f>
        <v/>
      </c>
      <c r="M135" s="4" t="str">
        <f>IF(entities[[#This Row],[friendly_name]]&lt;&gt;"",2,"")</f>
        <v/>
      </c>
      <c r="N135" s="4" t="str">
        <f>IF(entities[[#This Row],[emulated_hue:]]&lt;&gt;"",3,"")</f>
        <v/>
      </c>
      <c r="O135" s="4" t="str">
        <f>IF(entities[[#This Row],[emulated_hue_name: ]]&lt;&gt;"",4,"")</f>
        <v/>
      </c>
      <c r="P135" s="4" t="str">
        <f>IF(entities[[#This Row],[entity_picture]]&lt;&gt;"",5,"")</f>
        <v/>
      </c>
      <c r="Q135" s="4" t="str">
        <f>IF(entities[[#This Row],[icon]]&lt;&gt;"",6,"")</f>
        <v/>
      </c>
      <c r="R135" s="4" t="str">
        <f>CONCATENATE(entities[[#This Row],[1]],entities[[#This Row],[2]],entities[[#This Row],[3]],entities[[#This Row],[4]],entities[[#This Row],[5]],entities[[#This Row],[6]])</f>
        <v/>
      </c>
      <c r="S135">
        <f>6-COUNTBLANK(entities[[#This Row],[hidden]:[icon]])</f>
        <v>0</v>
      </c>
      <c r="T135" t="str">
        <f>IF(entities[[#This Row],[Num Attributes]]=0,"",
COUNTIFS(entities[Num Attributes],"&gt;0",entities[entity_id],"&lt;="&amp;entities[[#This Row],[entity_id]]))</f>
        <v/>
      </c>
      <c r="U135" t="str">
        <f t="array" ref="U135">IFERROR(INDEX(cards[object_id],SMALL(IF(cards[[1]:[25]]=entities[[#This Row],[entity_id]],ROW(cards[])-7,99^99),1)),"")</f>
        <v>environment_detail</v>
      </c>
      <c r="V135" t="str">
        <f>IF(entities[[#This Row],[In ''States'' tab?]]&lt;&gt;"ok",  "Not in Home Assistant",
IF(entities[[#This Row],[hidden]]="true",  "Hidden",
IF(entities[[#This Row],[Card]]&lt;&gt;"",
INDEX(cards[name],MATCH(entities[[#This Row],[Card]],cards[object_id],0)),  "Badge / automatic card")))</f>
        <v>Environment Detail</v>
      </c>
      <c r="W135" t="str">
        <f>IF(entities[[#This Row],[Card]]&lt;&gt;"","group."&amp;entities[[#This Row],[Card]],"")</f>
        <v>group.environment_detail</v>
      </c>
      <c r="Z135" s="10"/>
      <c r="AD135"/>
    </row>
    <row r="136" spans="2:30" x14ac:dyDescent="0.25">
      <c r="B136" t="s">
        <v>205</v>
      </c>
      <c r="C136" t="s">
        <v>215</v>
      </c>
      <c r="J136" s="4" t="str">
        <f>IF(COUNTIF(Table4[Entity],entities[[#This Row],[entity_id]]),"ok","missing from States tab")</f>
        <v>ok</v>
      </c>
      <c r="K136" t="str">
        <f>entities[[#This Row],[domain]]&amp;"."&amp;entities[[#This Row],[object_id]]</f>
        <v>sensor.dark_sky_daily_low_apparent_temperature</v>
      </c>
      <c r="L136" s="4" t="str">
        <f>IF(entities[[#This Row],[hidden]]&lt;&gt;"",1,"")</f>
        <v/>
      </c>
      <c r="M136" s="4" t="str">
        <f>IF(entities[[#This Row],[friendly_name]]&lt;&gt;"",2,"")</f>
        <v/>
      </c>
      <c r="N136" s="4" t="str">
        <f>IF(entities[[#This Row],[emulated_hue:]]&lt;&gt;"",3,"")</f>
        <v/>
      </c>
      <c r="O136" s="4" t="str">
        <f>IF(entities[[#This Row],[emulated_hue_name: ]]&lt;&gt;"",4,"")</f>
        <v/>
      </c>
      <c r="P136" s="4" t="str">
        <f>IF(entities[[#This Row],[entity_picture]]&lt;&gt;"",5,"")</f>
        <v/>
      </c>
      <c r="Q136" s="4" t="str">
        <f>IF(entities[[#This Row],[icon]]&lt;&gt;"",6,"")</f>
        <v/>
      </c>
      <c r="R136" s="4" t="str">
        <f>CONCATENATE(entities[[#This Row],[1]],entities[[#This Row],[2]],entities[[#This Row],[3]],entities[[#This Row],[4]],entities[[#This Row],[5]],entities[[#This Row],[6]])</f>
        <v/>
      </c>
      <c r="S136">
        <f>6-COUNTBLANK(entities[[#This Row],[hidden]:[icon]])</f>
        <v>0</v>
      </c>
      <c r="T136" t="str">
        <f>IF(entities[[#This Row],[Num Attributes]]=0,"",
COUNTIFS(entities[Num Attributes],"&gt;0",entities[entity_id],"&lt;="&amp;entities[[#This Row],[entity_id]]))</f>
        <v/>
      </c>
      <c r="U136" t="str">
        <f t="array" ref="U136">IFERROR(INDEX(cards[object_id],SMALL(IF(cards[[1]:[25]]=entities[[#This Row],[entity_id]],ROW(cards[])-7,99^99),1)),"")</f>
        <v>environment_detail</v>
      </c>
      <c r="V136" t="str">
        <f>IF(entities[[#This Row],[In ''States'' tab?]]&lt;&gt;"ok",  "Not in Home Assistant",
IF(entities[[#This Row],[hidden]]="true",  "Hidden",
IF(entities[[#This Row],[Card]]&lt;&gt;"",
INDEX(cards[name],MATCH(entities[[#This Row],[Card]],cards[object_id],0)),  "Badge / automatic card")))</f>
        <v>Environment Detail</v>
      </c>
      <c r="W136" t="str">
        <f>IF(entities[[#This Row],[Card]]&lt;&gt;"","group."&amp;entities[[#This Row],[Card]],"")</f>
        <v>group.environment_detail</v>
      </c>
      <c r="Z136" s="10"/>
      <c r="AD136"/>
    </row>
    <row r="137" spans="2:30" x14ac:dyDescent="0.25">
      <c r="B137" t="s">
        <v>205</v>
      </c>
      <c r="C137" t="s">
        <v>216</v>
      </c>
      <c r="J137" s="4" t="str">
        <f>IF(COUNTIF(Table4[Entity],entities[[#This Row],[entity_id]]),"ok","missing from States tab")</f>
        <v>ok</v>
      </c>
      <c r="K137" t="str">
        <f>entities[[#This Row],[domain]]&amp;"."&amp;entities[[#This Row],[object_id]]</f>
        <v>sensor.dark_sky_daily_low_temperature</v>
      </c>
      <c r="L137" s="4" t="str">
        <f>IF(entities[[#This Row],[hidden]]&lt;&gt;"",1,"")</f>
        <v/>
      </c>
      <c r="M137" s="4" t="str">
        <f>IF(entities[[#This Row],[friendly_name]]&lt;&gt;"",2,"")</f>
        <v/>
      </c>
      <c r="N137" s="4" t="str">
        <f>IF(entities[[#This Row],[emulated_hue:]]&lt;&gt;"",3,"")</f>
        <v/>
      </c>
      <c r="O137" s="4" t="str">
        <f>IF(entities[[#This Row],[emulated_hue_name: ]]&lt;&gt;"",4,"")</f>
        <v/>
      </c>
      <c r="P137" s="4" t="str">
        <f>IF(entities[[#This Row],[entity_picture]]&lt;&gt;"",5,"")</f>
        <v/>
      </c>
      <c r="Q137" s="4" t="str">
        <f>IF(entities[[#This Row],[icon]]&lt;&gt;"",6,"")</f>
        <v/>
      </c>
      <c r="R137" s="4" t="str">
        <f>CONCATENATE(entities[[#This Row],[1]],entities[[#This Row],[2]],entities[[#This Row],[3]],entities[[#This Row],[4]],entities[[#This Row],[5]],entities[[#This Row],[6]])</f>
        <v/>
      </c>
      <c r="S137">
        <f>6-COUNTBLANK(entities[[#This Row],[hidden]:[icon]])</f>
        <v>0</v>
      </c>
      <c r="T137" t="str">
        <f>IF(entities[[#This Row],[Num Attributes]]=0,"",
COUNTIFS(entities[Num Attributes],"&gt;0",entities[entity_id],"&lt;="&amp;entities[[#This Row],[entity_id]]))</f>
        <v/>
      </c>
      <c r="U137" t="str">
        <f t="array" ref="U137">IFERROR(INDEX(cards[object_id],SMALL(IF(cards[[1]:[25]]=entities[[#This Row],[entity_id]],ROW(cards[])-7,99^99),1)),"")</f>
        <v>environment_detail</v>
      </c>
      <c r="V137" t="str">
        <f>IF(entities[[#This Row],[In ''States'' tab?]]&lt;&gt;"ok",  "Not in Home Assistant",
IF(entities[[#This Row],[hidden]]="true",  "Hidden",
IF(entities[[#This Row],[Card]]&lt;&gt;"",
INDEX(cards[name],MATCH(entities[[#This Row],[Card]],cards[object_id],0)),  "Badge / automatic card")))</f>
        <v>Environment Detail</v>
      </c>
      <c r="W137" t="str">
        <f>IF(entities[[#This Row],[Card]]&lt;&gt;"","group."&amp;entities[[#This Row],[Card]],"")</f>
        <v>group.environment_detail</v>
      </c>
      <c r="Z137" s="10"/>
      <c r="AD137"/>
    </row>
    <row r="138" spans="2:30" x14ac:dyDescent="0.25">
      <c r="B138" t="s">
        <v>205</v>
      </c>
      <c r="C138" t="s">
        <v>217</v>
      </c>
      <c r="J138" s="4" t="str">
        <f>IF(COUNTIF(Table4[Entity],entities[[#This Row],[entity_id]]),"ok","missing from States tab")</f>
        <v>ok</v>
      </c>
      <c r="K138" t="str">
        <f>entities[[#This Row],[domain]]&amp;"."&amp;entities[[#This Row],[object_id]]</f>
        <v>sensor.dark_sky_daily_max_precip_intensity</v>
      </c>
      <c r="L138" s="4" t="str">
        <f>IF(entities[[#This Row],[hidden]]&lt;&gt;"",1,"")</f>
        <v/>
      </c>
      <c r="M138" s="4" t="str">
        <f>IF(entities[[#This Row],[friendly_name]]&lt;&gt;"",2,"")</f>
        <v/>
      </c>
      <c r="N138" s="4" t="str">
        <f>IF(entities[[#This Row],[emulated_hue:]]&lt;&gt;"",3,"")</f>
        <v/>
      </c>
      <c r="O138" s="4" t="str">
        <f>IF(entities[[#This Row],[emulated_hue_name: ]]&lt;&gt;"",4,"")</f>
        <v/>
      </c>
      <c r="P138" s="4" t="str">
        <f>IF(entities[[#This Row],[entity_picture]]&lt;&gt;"",5,"")</f>
        <v/>
      </c>
      <c r="Q138" s="4" t="str">
        <f>IF(entities[[#This Row],[icon]]&lt;&gt;"",6,"")</f>
        <v/>
      </c>
      <c r="R138" s="4" t="str">
        <f>CONCATENATE(entities[[#This Row],[1]],entities[[#This Row],[2]],entities[[#This Row],[3]],entities[[#This Row],[4]],entities[[#This Row],[5]],entities[[#This Row],[6]])</f>
        <v/>
      </c>
      <c r="S138">
        <f>6-COUNTBLANK(entities[[#This Row],[hidden]:[icon]])</f>
        <v>0</v>
      </c>
      <c r="T138" t="str">
        <f>IF(entities[[#This Row],[Num Attributes]]=0,"",
COUNTIFS(entities[Num Attributes],"&gt;0",entities[entity_id],"&lt;="&amp;entities[[#This Row],[entity_id]]))</f>
        <v/>
      </c>
      <c r="U138" t="str">
        <f t="array" ref="U138">IFERROR(INDEX(cards[object_id],SMALL(IF(cards[[1]:[25]]=entities[[#This Row],[entity_id]],ROW(cards[])-7,99^99),1)),"")</f>
        <v>environment_detail</v>
      </c>
      <c r="V138" t="str">
        <f>IF(entities[[#This Row],[In ''States'' tab?]]&lt;&gt;"ok",  "Not in Home Assistant",
IF(entities[[#This Row],[hidden]]="true",  "Hidden",
IF(entities[[#This Row],[Card]]&lt;&gt;"",
INDEX(cards[name],MATCH(entities[[#This Row],[Card]],cards[object_id],0)),  "Badge / automatic card")))</f>
        <v>Environment Detail</v>
      </c>
      <c r="W138" t="str">
        <f>IF(entities[[#This Row],[Card]]&lt;&gt;"","group."&amp;entities[[#This Row],[Card]],"")</f>
        <v>group.environment_detail</v>
      </c>
      <c r="Z138" s="10"/>
      <c r="AD138"/>
    </row>
    <row r="139" spans="2:30" x14ac:dyDescent="0.25">
      <c r="B139" t="s">
        <v>205</v>
      </c>
      <c r="C139" t="s">
        <v>218</v>
      </c>
      <c r="E139" t="s">
        <v>276</v>
      </c>
      <c r="J139" s="4" t="str">
        <f>IF(COUNTIF(Table4[Entity],entities[[#This Row],[entity_id]]),"ok","missing from States tab")</f>
        <v>ok</v>
      </c>
      <c r="K139" t="str">
        <f>entities[[#This Row],[domain]]&amp;"."&amp;entities[[#This Row],[object_id]]</f>
        <v>sensor.dark_sky_daily_summary</v>
      </c>
      <c r="L139" s="4" t="str">
        <f>IF(entities[[#This Row],[hidden]]&lt;&gt;"",1,"")</f>
        <v/>
      </c>
      <c r="M139" s="4">
        <f>IF(entities[[#This Row],[friendly_name]]&lt;&gt;"",2,"")</f>
        <v>2</v>
      </c>
      <c r="N139" s="4" t="str">
        <f>IF(entities[[#This Row],[emulated_hue:]]&lt;&gt;"",3,"")</f>
        <v/>
      </c>
      <c r="O139" s="4" t="str">
        <f>IF(entities[[#This Row],[emulated_hue_name: ]]&lt;&gt;"",4,"")</f>
        <v/>
      </c>
      <c r="P139" s="4" t="str">
        <f>IF(entities[[#This Row],[entity_picture]]&lt;&gt;"",5,"")</f>
        <v/>
      </c>
      <c r="Q139" s="4" t="str">
        <f>IF(entities[[#This Row],[icon]]&lt;&gt;"",6,"")</f>
        <v/>
      </c>
      <c r="R139" s="4" t="str">
        <f>CONCATENATE(entities[[#This Row],[1]],entities[[#This Row],[2]],entities[[#This Row],[3]],entities[[#This Row],[4]],entities[[#This Row],[5]],entities[[#This Row],[6]])</f>
        <v>2</v>
      </c>
      <c r="S139">
        <f>6-COUNTBLANK(entities[[#This Row],[hidden]:[icon]])</f>
        <v>1</v>
      </c>
      <c r="T139">
        <f>IF(entities[[#This Row],[Num Attributes]]=0,"",
COUNTIFS(entities[Num Attributes],"&gt;0",entities[entity_id],"&lt;="&amp;entities[[#This Row],[entity_id]]))</f>
        <v>80</v>
      </c>
      <c r="U139" t="str">
        <f t="array" ref="U139">IFERROR(INDEX(cards[object_id],SMALL(IF(cards[[1]:[25]]=entities[[#This Row],[entity_id]],ROW(cards[])-7,99^99),1)),"")</f>
        <v>environment</v>
      </c>
      <c r="V139" t="str">
        <f>IF(entities[[#This Row],[In ''States'' tab?]]&lt;&gt;"ok",  "Not in Home Assistant",
IF(entities[[#This Row],[hidden]]="true",  "Hidden",
IF(entities[[#This Row],[Card]]&lt;&gt;"",
INDEX(cards[name],MATCH(entities[[#This Row],[Card]],cards[object_id],0)),  "Badge / automatic card")))</f>
        <v>Environment || Forecast</v>
      </c>
      <c r="W139" t="str">
        <f>IF(entities[[#This Row],[Card]]&lt;&gt;"","group."&amp;entities[[#This Row],[Card]],"")</f>
        <v>group.environment</v>
      </c>
      <c r="Z139" s="10"/>
      <c r="AD139"/>
    </row>
    <row r="140" spans="2:30" x14ac:dyDescent="0.25">
      <c r="B140" t="s">
        <v>205</v>
      </c>
      <c r="C140" t="s">
        <v>219</v>
      </c>
      <c r="E140" t="s">
        <v>275</v>
      </c>
      <c r="J140" s="4" t="str">
        <f>IF(COUNTIF(Table4[Entity],entities[[#This Row],[entity_id]]),"ok","missing from States tab")</f>
        <v>ok</v>
      </c>
      <c r="K140" t="str">
        <f>entities[[#This Row],[domain]]&amp;"."&amp;entities[[#This Row],[object_id]]</f>
        <v>sensor.dark_sky_hourly_summary</v>
      </c>
      <c r="L140" s="4" t="str">
        <f>IF(entities[[#This Row],[hidden]]&lt;&gt;"",1,"")</f>
        <v/>
      </c>
      <c r="M140" s="4">
        <f>IF(entities[[#This Row],[friendly_name]]&lt;&gt;"",2,"")</f>
        <v>2</v>
      </c>
      <c r="N140" s="4" t="str">
        <f>IF(entities[[#This Row],[emulated_hue:]]&lt;&gt;"",3,"")</f>
        <v/>
      </c>
      <c r="O140" s="4" t="str">
        <f>IF(entities[[#This Row],[emulated_hue_name: ]]&lt;&gt;"",4,"")</f>
        <v/>
      </c>
      <c r="P140" s="4" t="str">
        <f>IF(entities[[#This Row],[entity_picture]]&lt;&gt;"",5,"")</f>
        <v/>
      </c>
      <c r="Q140" s="4" t="str">
        <f>IF(entities[[#This Row],[icon]]&lt;&gt;"",6,"")</f>
        <v/>
      </c>
      <c r="R140" s="4" t="str">
        <f>CONCATENATE(entities[[#This Row],[1]],entities[[#This Row],[2]],entities[[#This Row],[3]],entities[[#This Row],[4]],entities[[#This Row],[5]],entities[[#This Row],[6]])</f>
        <v>2</v>
      </c>
      <c r="S140">
        <f>6-COUNTBLANK(entities[[#This Row],[hidden]:[icon]])</f>
        <v>1</v>
      </c>
      <c r="T140">
        <f>IF(entities[[#This Row],[Num Attributes]]=0,"",
COUNTIFS(entities[Num Attributes],"&gt;0",entities[entity_id],"&lt;="&amp;entities[[#This Row],[entity_id]]))</f>
        <v>81</v>
      </c>
      <c r="U140" t="str">
        <f t="array" ref="U140">IFERROR(INDEX(cards[object_id],SMALL(IF(cards[[1]:[25]]=entities[[#This Row],[entity_id]],ROW(cards[])-7,99^99),1)),"")</f>
        <v>environment</v>
      </c>
      <c r="V140" t="str">
        <f>IF(entities[[#This Row],[In ''States'' tab?]]&lt;&gt;"ok",  "Not in Home Assistant",
IF(entities[[#This Row],[hidden]]="true",  "Hidden",
IF(entities[[#This Row],[Card]]&lt;&gt;"",
INDEX(cards[name],MATCH(entities[[#This Row],[Card]],cards[object_id],0)),  "Badge / automatic card")))</f>
        <v>Environment || Forecast</v>
      </c>
      <c r="W140" t="str">
        <f>IF(entities[[#This Row],[Card]]&lt;&gt;"","group."&amp;entities[[#This Row],[Card]],"")</f>
        <v>group.environment</v>
      </c>
      <c r="Z140" s="10"/>
      <c r="AD140"/>
    </row>
    <row r="141" spans="2:30" x14ac:dyDescent="0.25">
      <c r="B141" t="s">
        <v>205</v>
      </c>
      <c r="C141" t="s">
        <v>220</v>
      </c>
      <c r="J141" s="4" t="str">
        <f>IF(COUNTIF(Table4[Entity],entities[[#This Row],[entity_id]]),"ok","missing from States tab")</f>
        <v>ok</v>
      </c>
      <c r="K141" t="str">
        <f>entities[[#This Row],[domain]]&amp;"."&amp;entities[[#This Row],[object_id]]</f>
        <v>sensor.dark_sky_humidity</v>
      </c>
      <c r="L141" s="4" t="str">
        <f>IF(entities[[#This Row],[hidden]]&lt;&gt;"",1,"")</f>
        <v/>
      </c>
      <c r="M141" s="4" t="str">
        <f>IF(entities[[#This Row],[friendly_name]]&lt;&gt;"",2,"")</f>
        <v/>
      </c>
      <c r="N141" s="4" t="str">
        <f>IF(entities[[#This Row],[emulated_hue:]]&lt;&gt;"",3,"")</f>
        <v/>
      </c>
      <c r="O141" s="4" t="str">
        <f>IF(entities[[#This Row],[emulated_hue_name: ]]&lt;&gt;"",4,"")</f>
        <v/>
      </c>
      <c r="P141" s="4" t="str">
        <f>IF(entities[[#This Row],[entity_picture]]&lt;&gt;"",5,"")</f>
        <v/>
      </c>
      <c r="Q141" s="4" t="str">
        <f>IF(entities[[#This Row],[icon]]&lt;&gt;"",6,"")</f>
        <v/>
      </c>
      <c r="R141" s="4" t="str">
        <f>CONCATENATE(entities[[#This Row],[1]],entities[[#This Row],[2]],entities[[#This Row],[3]],entities[[#This Row],[4]],entities[[#This Row],[5]],entities[[#This Row],[6]])</f>
        <v/>
      </c>
      <c r="S141">
        <f>6-COUNTBLANK(entities[[#This Row],[hidden]:[icon]])</f>
        <v>0</v>
      </c>
      <c r="T141" t="str">
        <f>IF(entities[[#This Row],[Num Attributes]]=0,"",
COUNTIFS(entities[Num Attributes],"&gt;0",entities[entity_id],"&lt;="&amp;entities[[#This Row],[entity_id]]))</f>
        <v/>
      </c>
      <c r="U141" t="str">
        <f t="array" ref="U141">IFERROR(INDEX(cards[object_id],SMALL(IF(cards[[1]:[25]]=entities[[#This Row],[entity_id]],ROW(cards[])-7,99^99),1)),"")</f>
        <v>environment_detail</v>
      </c>
      <c r="V141" t="str">
        <f>IF(entities[[#This Row],[In ''States'' tab?]]&lt;&gt;"ok",  "Not in Home Assistant",
IF(entities[[#This Row],[hidden]]="true",  "Hidden",
IF(entities[[#This Row],[Card]]&lt;&gt;"",
INDEX(cards[name],MATCH(entities[[#This Row],[Card]],cards[object_id],0)),  "Badge / automatic card")))</f>
        <v>Environment Detail</v>
      </c>
      <c r="W141" t="str">
        <f>IF(entities[[#This Row],[Card]]&lt;&gt;"","group."&amp;entities[[#This Row],[Card]],"")</f>
        <v>group.environment_detail</v>
      </c>
      <c r="Z141" s="10"/>
      <c r="AD141"/>
    </row>
    <row r="142" spans="2:30" x14ac:dyDescent="0.25">
      <c r="B142" t="s">
        <v>205</v>
      </c>
      <c r="C142" t="s">
        <v>221</v>
      </c>
      <c r="E142" t="s">
        <v>274</v>
      </c>
      <c r="J142" s="4" t="str">
        <f>IF(COUNTIF(Table4[Entity],entities[[#This Row],[entity_id]]),"ok","missing from States tab")</f>
        <v>ok</v>
      </c>
      <c r="K142" t="str">
        <f>entities[[#This Row],[domain]]&amp;"."&amp;entities[[#This Row],[object_id]]</f>
        <v>sensor.dark_sky_minutely_summary</v>
      </c>
      <c r="L142" s="4" t="str">
        <f>IF(entities[[#This Row],[hidden]]&lt;&gt;"",1,"")</f>
        <v/>
      </c>
      <c r="M142" s="4">
        <f>IF(entities[[#This Row],[friendly_name]]&lt;&gt;"",2,"")</f>
        <v>2</v>
      </c>
      <c r="N142" s="4" t="str">
        <f>IF(entities[[#This Row],[emulated_hue:]]&lt;&gt;"",3,"")</f>
        <v/>
      </c>
      <c r="O142" s="4" t="str">
        <f>IF(entities[[#This Row],[emulated_hue_name: ]]&lt;&gt;"",4,"")</f>
        <v/>
      </c>
      <c r="P142" s="4" t="str">
        <f>IF(entities[[#This Row],[entity_picture]]&lt;&gt;"",5,"")</f>
        <v/>
      </c>
      <c r="Q142" s="4" t="str">
        <f>IF(entities[[#This Row],[icon]]&lt;&gt;"",6,"")</f>
        <v/>
      </c>
      <c r="R142" s="4" t="str">
        <f>CONCATENATE(entities[[#This Row],[1]],entities[[#This Row],[2]],entities[[#This Row],[3]],entities[[#This Row],[4]],entities[[#This Row],[5]],entities[[#This Row],[6]])</f>
        <v>2</v>
      </c>
      <c r="S142">
        <f>6-COUNTBLANK(entities[[#This Row],[hidden]:[icon]])</f>
        <v>1</v>
      </c>
      <c r="T142">
        <f>IF(entities[[#This Row],[Num Attributes]]=0,"",
COUNTIFS(entities[Num Attributes],"&gt;0",entities[entity_id],"&lt;="&amp;entities[[#This Row],[entity_id]]))</f>
        <v>82</v>
      </c>
      <c r="U142" t="str">
        <f t="array" ref="U142">IFERROR(INDEX(cards[object_id],SMALL(IF(cards[[1]:[25]]=entities[[#This Row],[entity_id]],ROW(cards[])-7,99^99),1)),"")</f>
        <v>environment</v>
      </c>
      <c r="V142" t="str">
        <f>IF(entities[[#This Row],[In ''States'' tab?]]&lt;&gt;"ok",  "Not in Home Assistant",
IF(entities[[#This Row],[hidden]]="true",  "Hidden",
IF(entities[[#This Row],[Card]]&lt;&gt;"",
INDEX(cards[name],MATCH(entities[[#This Row],[Card]],cards[object_id],0)),  "Badge / automatic card")))</f>
        <v>Environment || Forecast</v>
      </c>
      <c r="W142" t="str">
        <f>IF(entities[[#This Row],[Card]]&lt;&gt;"","group."&amp;entities[[#This Row],[Card]],"")</f>
        <v>group.environment</v>
      </c>
      <c r="Z142" s="10"/>
      <c r="AD142"/>
    </row>
    <row r="143" spans="2:30" x14ac:dyDescent="0.25">
      <c r="B143" t="s">
        <v>205</v>
      </c>
      <c r="C143" t="s">
        <v>222</v>
      </c>
      <c r="J143" s="4" t="str">
        <f>IF(COUNTIF(Table4[Entity],entities[[#This Row],[entity_id]]),"ok","missing from States tab")</f>
        <v>ok</v>
      </c>
      <c r="K143" t="str">
        <f>entities[[#This Row],[domain]]&amp;"."&amp;entities[[#This Row],[object_id]]</f>
        <v>sensor.dark_sky_precip</v>
      </c>
      <c r="L143" s="4" t="str">
        <f>IF(entities[[#This Row],[hidden]]&lt;&gt;"",1,"")</f>
        <v/>
      </c>
      <c r="M143" s="4" t="str">
        <f>IF(entities[[#This Row],[friendly_name]]&lt;&gt;"",2,"")</f>
        <v/>
      </c>
      <c r="N143" s="4" t="str">
        <f>IF(entities[[#This Row],[emulated_hue:]]&lt;&gt;"",3,"")</f>
        <v/>
      </c>
      <c r="O143" s="4" t="str">
        <f>IF(entities[[#This Row],[emulated_hue_name: ]]&lt;&gt;"",4,"")</f>
        <v/>
      </c>
      <c r="P143" s="4" t="str">
        <f>IF(entities[[#This Row],[entity_picture]]&lt;&gt;"",5,"")</f>
        <v/>
      </c>
      <c r="Q143" s="4" t="str">
        <f>IF(entities[[#This Row],[icon]]&lt;&gt;"",6,"")</f>
        <v/>
      </c>
      <c r="R143" s="4" t="str">
        <f>CONCATENATE(entities[[#This Row],[1]],entities[[#This Row],[2]],entities[[#This Row],[3]],entities[[#This Row],[4]],entities[[#This Row],[5]],entities[[#This Row],[6]])</f>
        <v/>
      </c>
      <c r="S143">
        <f>6-COUNTBLANK(entities[[#This Row],[hidden]:[icon]])</f>
        <v>0</v>
      </c>
      <c r="T143" t="str">
        <f>IF(entities[[#This Row],[Num Attributes]]=0,"",
COUNTIFS(entities[Num Attributes],"&gt;0",entities[entity_id],"&lt;="&amp;entities[[#This Row],[entity_id]]))</f>
        <v/>
      </c>
      <c r="U143" t="str">
        <f t="array" ref="U143">IFERROR(INDEX(cards[object_id],SMALL(IF(cards[[1]:[25]]=entities[[#This Row],[entity_id]],ROW(cards[])-7,99^99),1)),"")</f>
        <v>environment_detail</v>
      </c>
      <c r="V143" t="str">
        <f>IF(entities[[#This Row],[In ''States'' tab?]]&lt;&gt;"ok",  "Not in Home Assistant",
IF(entities[[#This Row],[hidden]]="true",  "Hidden",
IF(entities[[#This Row],[Card]]&lt;&gt;"",
INDEX(cards[name],MATCH(entities[[#This Row],[Card]],cards[object_id],0)),  "Badge / automatic card")))</f>
        <v>Environment Detail</v>
      </c>
      <c r="W143" t="str">
        <f>IF(entities[[#This Row],[Card]]&lt;&gt;"","group."&amp;entities[[#This Row],[Card]],"")</f>
        <v>group.environment_detail</v>
      </c>
      <c r="Z143" s="10"/>
      <c r="AD143"/>
    </row>
    <row r="144" spans="2:30" x14ac:dyDescent="0.25">
      <c r="B144" t="s">
        <v>205</v>
      </c>
      <c r="C144" t="s">
        <v>223</v>
      </c>
      <c r="J144" s="4" t="str">
        <f>IF(COUNTIF(Table4[Entity],entities[[#This Row],[entity_id]]),"ok","missing from States tab")</f>
        <v>ok</v>
      </c>
      <c r="K144" t="str">
        <f>entities[[#This Row],[domain]]&amp;"."&amp;entities[[#This Row],[object_id]]</f>
        <v>sensor.dark_sky_precip_intensity</v>
      </c>
      <c r="L144" s="4" t="str">
        <f>IF(entities[[#This Row],[hidden]]&lt;&gt;"",1,"")</f>
        <v/>
      </c>
      <c r="M144" s="4" t="str">
        <f>IF(entities[[#This Row],[friendly_name]]&lt;&gt;"",2,"")</f>
        <v/>
      </c>
      <c r="N144" s="4" t="str">
        <f>IF(entities[[#This Row],[emulated_hue:]]&lt;&gt;"",3,"")</f>
        <v/>
      </c>
      <c r="O144" s="4" t="str">
        <f>IF(entities[[#This Row],[emulated_hue_name: ]]&lt;&gt;"",4,"")</f>
        <v/>
      </c>
      <c r="P144" s="4" t="str">
        <f>IF(entities[[#This Row],[entity_picture]]&lt;&gt;"",5,"")</f>
        <v/>
      </c>
      <c r="Q144" s="4" t="str">
        <f>IF(entities[[#This Row],[icon]]&lt;&gt;"",6,"")</f>
        <v/>
      </c>
      <c r="R144" s="4" t="str">
        <f>CONCATENATE(entities[[#This Row],[1]],entities[[#This Row],[2]],entities[[#This Row],[3]],entities[[#This Row],[4]],entities[[#This Row],[5]],entities[[#This Row],[6]])</f>
        <v/>
      </c>
      <c r="S144">
        <f>6-COUNTBLANK(entities[[#This Row],[hidden]:[icon]])</f>
        <v>0</v>
      </c>
      <c r="T144" t="str">
        <f>IF(entities[[#This Row],[Num Attributes]]=0,"",
COUNTIFS(entities[Num Attributes],"&gt;0",entities[entity_id],"&lt;="&amp;entities[[#This Row],[entity_id]]))</f>
        <v/>
      </c>
      <c r="U144" t="str">
        <f t="array" ref="U144">IFERROR(INDEX(cards[object_id],SMALL(IF(cards[[1]:[25]]=entities[[#This Row],[entity_id]],ROW(cards[])-7,99^99),1)),"")</f>
        <v>environment_detail</v>
      </c>
      <c r="V144" t="str">
        <f>IF(entities[[#This Row],[In ''States'' tab?]]&lt;&gt;"ok",  "Not in Home Assistant",
IF(entities[[#This Row],[hidden]]="true",  "Hidden",
IF(entities[[#This Row],[Card]]&lt;&gt;"",
INDEX(cards[name],MATCH(entities[[#This Row],[Card]],cards[object_id],0)),  "Badge / automatic card")))</f>
        <v>Environment Detail</v>
      </c>
      <c r="W144" t="str">
        <f>IF(entities[[#This Row],[Card]]&lt;&gt;"","group."&amp;entities[[#This Row],[Card]],"")</f>
        <v>group.environment_detail</v>
      </c>
      <c r="Z144" s="10"/>
      <c r="AD144"/>
    </row>
    <row r="145" spans="2:30" x14ac:dyDescent="0.25">
      <c r="B145" t="s">
        <v>205</v>
      </c>
      <c r="C145" t="s">
        <v>224</v>
      </c>
      <c r="E145" t="s">
        <v>277</v>
      </c>
      <c r="J145" s="4" t="str">
        <f>IF(COUNTIF(Table4[Entity],entities[[#This Row],[entity_id]]),"ok","missing from States tab")</f>
        <v>ok</v>
      </c>
      <c r="K145" t="str">
        <f>entities[[#This Row],[domain]]&amp;"."&amp;entities[[#This Row],[object_id]]</f>
        <v>sensor.dark_sky_precip_probability</v>
      </c>
      <c r="L145" s="4" t="str">
        <f>IF(entities[[#This Row],[hidden]]&lt;&gt;"",1,"")</f>
        <v/>
      </c>
      <c r="M145" s="4">
        <f>IF(entities[[#This Row],[friendly_name]]&lt;&gt;"",2,"")</f>
        <v>2</v>
      </c>
      <c r="N145" s="4" t="str">
        <f>IF(entities[[#This Row],[emulated_hue:]]&lt;&gt;"",3,"")</f>
        <v/>
      </c>
      <c r="O145" s="4" t="str">
        <f>IF(entities[[#This Row],[emulated_hue_name: ]]&lt;&gt;"",4,"")</f>
        <v/>
      </c>
      <c r="P145" s="4" t="str">
        <f>IF(entities[[#This Row],[entity_picture]]&lt;&gt;"",5,"")</f>
        <v/>
      </c>
      <c r="Q145" s="4" t="str">
        <f>IF(entities[[#This Row],[icon]]&lt;&gt;"",6,"")</f>
        <v/>
      </c>
      <c r="R145" s="4" t="str">
        <f>CONCATENATE(entities[[#This Row],[1]],entities[[#This Row],[2]],entities[[#This Row],[3]],entities[[#This Row],[4]],entities[[#This Row],[5]],entities[[#This Row],[6]])</f>
        <v>2</v>
      </c>
      <c r="S145">
        <f>6-COUNTBLANK(entities[[#This Row],[hidden]:[icon]])</f>
        <v>1</v>
      </c>
      <c r="T145">
        <f>IF(entities[[#This Row],[Num Attributes]]=0,"",
COUNTIFS(entities[Num Attributes],"&gt;0",entities[entity_id],"&lt;="&amp;entities[[#This Row],[entity_id]]))</f>
        <v>83</v>
      </c>
      <c r="U145" t="str">
        <f t="array" ref="U145">IFERROR(INDEX(cards[object_id],SMALL(IF(cards[[1]:[25]]=entities[[#This Row],[entity_id]],ROW(cards[])-7,99^99),1)),"")</f>
        <v>environment</v>
      </c>
      <c r="V145" t="str">
        <f>IF(entities[[#This Row],[In ''States'' tab?]]&lt;&gt;"ok",  "Not in Home Assistant",
IF(entities[[#This Row],[hidden]]="true",  "Hidden",
IF(entities[[#This Row],[Card]]&lt;&gt;"",
INDEX(cards[name],MATCH(entities[[#This Row],[Card]],cards[object_id],0)),  "Badge / automatic card")))</f>
        <v>Environment || Forecast</v>
      </c>
      <c r="W145" t="str">
        <f>IF(entities[[#This Row],[Card]]&lt;&gt;"","group."&amp;entities[[#This Row],[Card]],"")</f>
        <v>group.environment</v>
      </c>
      <c r="Z145" s="10"/>
      <c r="AD145"/>
    </row>
    <row r="146" spans="2:30" x14ac:dyDescent="0.25">
      <c r="B146" t="s">
        <v>205</v>
      </c>
      <c r="C146" t="s">
        <v>225</v>
      </c>
      <c r="E146" t="s">
        <v>264</v>
      </c>
      <c r="J146" s="4" t="str">
        <f>IF(COUNTIF(Table4[Entity],entities[[#This Row],[entity_id]]),"ok","missing from States tab")</f>
        <v>ok</v>
      </c>
      <c r="K146" t="str">
        <f>entities[[#This Row],[domain]]&amp;"."&amp;entities[[#This Row],[object_id]]</f>
        <v>sensor.dark_sky_temperature</v>
      </c>
      <c r="L146" s="4" t="str">
        <f>IF(entities[[#This Row],[hidden]]&lt;&gt;"",1,"")</f>
        <v/>
      </c>
      <c r="M146" s="4">
        <f>IF(entities[[#This Row],[friendly_name]]&lt;&gt;"",2,"")</f>
        <v>2</v>
      </c>
      <c r="N146" s="4" t="str">
        <f>IF(entities[[#This Row],[emulated_hue:]]&lt;&gt;"",3,"")</f>
        <v/>
      </c>
      <c r="O146" s="4" t="str">
        <f>IF(entities[[#This Row],[emulated_hue_name: ]]&lt;&gt;"",4,"")</f>
        <v/>
      </c>
      <c r="P146" s="4" t="str">
        <f>IF(entities[[#This Row],[entity_picture]]&lt;&gt;"",5,"")</f>
        <v/>
      </c>
      <c r="Q146" s="4" t="str">
        <f>IF(entities[[#This Row],[icon]]&lt;&gt;"",6,"")</f>
        <v/>
      </c>
      <c r="R146" s="4" t="str">
        <f>CONCATENATE(entities[[#This Row],[1]],entities[[#This Row],[2]],entities[[#This Row],[3]],entities[[#This Row],[4]],entities[[#This Row],[5]],entities[[#This Row],[6]])</f>
        <v>2</v>
      </c>
      <c r="S146">
        <f>6-COUNTBLANK(entities[[#This Row],[hidden]:[icon]])</f>
        <v>1</v>
      </c>
      <c r="T146">
        <f>IF(entities[[#This Row],[Num Attributes]]=0,"",
COUNTIFS(entities[Num Attributes],"&gt;0",entities[entity_id],"&lt;="&amp;entities[[#This Row],[entity_id]]))</f>
        <v>84</v>
      </c>
      <c r="U146" t="str">
        <f t="array" ref="U146">IFERROR(INDEX(cards[object_id],SMALL(IF(cards[[1]:[25]]=entities[[#This Row],[entity_id]],ROW(cards[])-7,99^99),1)),"")</f>
        <v>environment_detail</v>
      </c>
      <c r="V146" t="str">
        <f>IF(entities[[#This Row],[In ''States'' tab?]]&lt;&gt;"ok",  "Not in Home Assistant",
IF(entities[[#This Row],[hidden]]="true",  "Hidden",
IF(entities[[#This Row],[Card]]&lt;&gt;"",
INDEX(cards[name],MATCH(entities[[#This Row],[Card]],cards[object_id],0)),  "Badge / automatic card")))</f>
        <v>Environment Detail</v>
      </c>
      <c r="W146" t="str">
        <f>IF(entities[[#This Row],[Card]]&lt;&gt;"","group."&amp;entities[[#This Row],[Card]],"")</f>
        <v>group.environment_detail</v>
      </c>
      <c r="Z146" s="10"/>
      <c r="AD146"/>
    </row>
    <row r="147" spans="2:30" x14ac:dyDescent="0.25">
      <c r="B147" t="s">
        <v>205</v>
      </c>
      <c r="C147" t="s">
        <v>226</v>
      </c>
      <c r="J147" s="4" t="str">
        <f>IF(COUNTIF(Table4[Entity],entities[[#This Row],[entity_id]]),"ok","missing from States tab")</f>
        <v>ok</v>
      </c>
      <c r="K147" t="str">
        <f>entities[[#This Row],[domain]]&amp;"."&amp;entities[[#This Row],[object_id]]</f>
        <v>sensor.dark_sky_visibility</v>
      </c>
      <c r="L147" s="4" t="str">
        <f>IF(entities[[#This Row],[hidden]]&lt;&gt;"",1,"")</f>
        <v/>
      </c>
      <c r="M147" s="4" t="str">
        <f>IF(entities[[#This Row],[friendly_name]]&lt;&gt;"",2,"")</f>
        <v/>
      </c>
      <c r="N147" s="4" t="str">
        <f>IF(entities[[#This Row],[emulated_hue:]]&lt;&gt;"",3,"")</f>
        <v/>
      </c>
      <c r="O147" s="4" t="str">
        <f>IF(entities[[#This Row],[emulated_hue_name: ]]&lt;&gt;"",4,"")</f>
        <v/>
      </c>
      <c r="P147" s="4" t="str">
        <f>IF(entities[[#This Row],[entity_picture]]&lt;&gt;"",5,"")</f>
        <v/>
      </c>
      <c r="Q147" s="4" t="str">
        <f>IF(entities[[#This Row],[icon]]&lt;&gt;"",6,"")</f>
        <v/>
      </c>
      <c r="R147" s="4" t="str">
        <f>CONCATENATE(entities[[#This Row],[1]],entities[[#This Row],[2]],entities[[#This Row],[3]],entities[[#This Row],[4]],entities[[#This Row],[5]],entities[[#This Row],[6]])</f>
        <v/>
      </c>
      <c r="S147">
        <f>6-COUNTBLANK(entities[[#This Row],[hidden]:[icon]])</f>
        <v>0</v>
      </c>
      <c r="T147" t="str">
        <f>IF(entities[[#This Row],[Num Attributes]]=0,"",
COUNTIFS(entities[Num Attributes],"&gt;0",entities[entity_id],"&lt;="&amp;entities[[#This Row],[entity_id]]))</f>
        <v/>
      </c>
      <c r="U147" t="str">
        <f t="array" ref="U147">IFERROR(INDEX(cards[object_id],SMALL(IF(cards[[1]:[25]]=entities[[#This Row],[entity_id]],ROW(cards[])-7,99^99),1)),"")</f>
        <v>environment_detail</v>
      </c>
      <c r="V147" t="str">
        <f>IF(entities[[#This Row],[In ''States'' tab?]]&lt;&gt;"ok",  "Not in Home Assistant",
IF(entities[[#This Row],[hidden]]="true",  "Hidden",
IF(entities[[#This Row],[Card]]&lt;&gt;"",
INDEX(cards[name],MATCH(entities[[#This Row],[Card]],cards[object_id],0)),  "Badge / automatic card")))</f>
        <v>Environment Detail</v>
      </c>
      <c r="W147" t="str">
        <f>IF(entities[[#This Row],[Card]]&lt;&gt;"","group."&amp;entities[[#This Row],[Card]],"")</f>
        <v>group.environment_detail</v>
      </c>
      <c r="Z147" s="10"/>
      <c r="AD147"/>
    </row>
    <row r="148" spans="2:30" x14ac:dyDescent="0.25">
      <c r="B148" t="s">
        <v>205</v>
      </c>
      <c r="C148" t="s">
        <v>227</v>
      </c>
      <c r="D148" s="3" t="s">
        <v>243</v>
      </c>
      <c r="J148" s="4" t="str">
        <f>IF(COUNTIF(Table4[Entity],entities[[#This Row],[entity_id]]),"ok","missing from States tab")</f>
        <v>ok</v>
      </c>
      <c r="K148" t="str">
        <f>entities[[#This Row],[domain]]&amp;"."&amp;entities[[#This Row],[object_id]]</f>
        <v>sensor.date</v>
      </c>
      <c r="L148" s="4">
        <f>IF(entities[[#This Row],[hidden]]&lt;&gt;"",1,"")</f>
        <v>1</v>
      </c>
      <c r="M148" s="4" t="str">
        <f>IF(entities[[#This Row],[friendly_name]]&lt;&gt;"",2,"")</f>
        <v/>
      </c>
      <c r="N148" s="4" t="str">
        <f>IF(entities[[#This Row],[emulated_hue:]]&lt;&gt;"",3,"")</f>
        <v/>
      </c>
      <c r="O148" s="4" t="str">
        <f>IF(entities[[#This Row],[emulated_hue_name: ]]&lt;&gt;"",4,"")</f>
        <v/>
      </c>
      <c r="P148" s="4" t="str">
        <f>IF(entities[[#This Row],[entity_picture]]&lt;&gt;"",5,"")</f>
        <v/>
      </c>
      <c r="Q148" s="4" t="str">
        <f>IF(entities[[#This Row],[icon]]&lt;&gt;"",6,"")</f>
        <v/>
      </c>
      <c r="R148" s="4" t="str">
        <f>CONCATENATE(entities[[#This Row],[1]],entities[[#This Row],[2]],entities[[#This Row],[3]],entities[[#This Row],[4]],entities[[#This Row],[5]],entities[[#This Row],[6]])</f>
        <v>1</v>
      </c>
      <c r="S148">
        <f>6-COUNTBLANK(entities[[#This Row],[hidden]:[icon]])</f>
        <v>1</v>
      </c>
      <c r="T148">
        <f>IF(entities[[#This Row],[Num Attributes]]=0,"",
COUNTIFS(entities[Num Attributes],"&gt;0",entities[entity_id],"&lt;="&amp;entities[[#This Row],[entity_id]]))</f>
        <v>85</v>
      </c>
      <c r="U148" t="str">
        <f t="array" ref="U148">IFERROR(INDEX(cards[object_id],SMALL(IF(cards[[1]:[25]]=entities[[#This Row],[entity_id]],ROW(cards[])-7,99^99),1)),"")</f>
        <v/>
      </c>
      <c r="V148" t="str">
        <f>IF(entities[[#This Row],[In ''States'' tab?]]&lt;&gt;"ok",  "Not in Home Assistant",
IF(entities[[#This Row],[hidden]]="true",  "Hidden",
IF(entities[[#This Row],[Card]]&lt;&gt;"",
INDEX(cards[name],MATCH(entities[[#This Row],[Card]],cards[object_id],0)),  "Badge / automatic card")))</f>
        <v>Hidden</v>
      </c>
      <c r="W148" t="str">
        <f>IF(entities[[#This Row],[Card]]&lt;&gt;"","group."&amp;entities[[#This Row],[Card]],"")</f>
        <v/>
      </c>
      <c r="Z148" s="10"/>
      <c r="AD148"/>
    </row>
    <row r="149" spans="2:30" x14ac:dyDescent="0.25">
      <c r="B149" t="s">
        <v>205</v>
      </c>
      <c r="C149" t="s">
        <v>228</v>
      </c>
      <c r="D149" s="3" t="s">
        <v>243</v>
      </c>
      <c r="J149" s="4" t="str">
        <f>IF(COUNTIF(Table4[Entity],entities[[#This Row],[entity_id]]),"ok","missing from States tab")</f>
        <v>ok</v>
      </c>
      <c r="K149" t="str">
        <f>entities[[#This Row],[domain]]&amp;"."&amp;entities[[#This Row],[object_id]]</f>
        <v>sensor.date_odd</v>
      </c>
      <c r="L149" s="4">
        <f>IF(entities[[#This Row],[hidden]]&lt;&gt;"",1,"")</f>
        <v>1</v>
      </c>
      <c r="M149" s="4" t="str">
        <f>IF(entities[[#This Row],[friendly_name]]&lt;&gt;"",2,"")</f>
        <v/>
      </c>
      <c r="N149" s="4" t="str">
        <f>IF(entities[[#This Row],[emulated_hue:]]&lt;&gt;"",3,"")</f>
        <v/>
      </c>
      <c r="O149" s="4" t="str">
        <f>IF(entities[[#This Row],[emulated_hue_name: ]]&lt;&gt;"",4,"")</f>
        <v/>
      </c>
      <c r="P149" s="4" t="str">
        <f>IF(entities[[#This Row],[entity_picture]]&lt;&gt;"",5,"")</f>
        <v/>
      </c>
      <c r="Q149" s="4" t="str">
        <f>IF(entities[[#This Row],[icon]]&lt;&gt;"",6,"")</f>
        <v/>
      </c>
      <c r="R149" s="4" t="str">
        <f>CONCATENATE(entities[[#This Row],[1]],entities[[#This Row],[2]],entities[[#This Row],[3]],entities[[#This Row],[4]],entities[[#This Row],[5]],entities[[#This Row],[6]])</f>
        <v>1</v>
      </c>
      <c r="S149">
        <f>6-COUNTBLANK(entities[[#This Row],[hidden]:[icon]])</f>
        <v>1</v>
      </c>
      <c r="T149">
        <f>IF(entities[[#This Row],[Num Attributes]]=0,"",
COUNTIFS(entities[Num Attributes],"&gt;0",entities[entity_id],"&lt;="&amp;entities[[#This Row],[entity_id]]))</f>
        <v>86</v>
      </c>
      <c r="U149" t="str">
        <f t="array" ref="U149">IFERROR(INDEX(cards[object_id],SMALL(IF(cards[[1]:[25]]=entities[[#This Row],[entity_id]],ROW(cards[])-7,99^99),1)),"")</f>
        <v/>
      </c>
      <c r="V149" t="str">
        <f>IF(entities[[#This Row],[In ''States'' tab?]]&lt;&gt;"ok",  "Not in Home Assistant",
IF(entities[[#This Row],[hidden]]="true",  "Hidden",
IF(entities[[#This Row],[Card]]&lt;&gt;"",
INDEX(cards[name],MATCH(entities[[#This Row],[Card]],cards[object_id],0)),  "Badge / automatic card")))</f>
        <v>Hidden</v>
      </c>
      <c r="W149" t="str">
        <f>IF(entities[[#This Row],[Card]]&lt;&gt;"","group."&amp;entities[[#This Row],[Card]],"")</f>
        <v/>
      </c>
      <c r="Z149" s="10"/>
      <c r="AD149"/>
    </row>
    <row r="150" spans="2:30" x14ac:dyDescent="0.25">
      <c r="B150" t="s">
        <v>205</v>
      </c>
      <c r="C150" t="s">
        <v>229</v>
      </c>
      <c r="J150" s="4" t="str">
        <f>IF(COUNTIF(Table4[Entity],entities[[#This Row],[entity_id]]),"ok","missing from States tab")</f>
        <v>ok</v>
      </c>
      <c r="K150" t="str">
        <f>entities[[#This Row],[domain]]&amp;"."&amp;entities[[#This Row],[object_id]]</f>
        <v>sensor.disk_use_home</v>
      </c>
      <c r="L150" s="4" t="str">
        <f>IF(entities[[#This Row],[hidden]]&lt;&gt;"",1,"")</f>
        <v/>
      </c>
      <c r="M150" s="4" t="str">
        <f>IF(entities[[#This Row],[friendly_name]]&lt;&gt;"",2,"")</f>
        <v/>
      </c>
      <c r="N150" s="4" t="str">
        <f>IF(entities[[#This Row],[emulated_hue:]]&lt;&gt;"",3,"")</f>
        <v/>
      </c>
      <c r="O150" s="4" t="str">
        <f>IF(entities[[#This Row],[emulated_hue_name: ]]&lt;&gt;"",4,"")</f>
        <v/>
      </c>
      <c r="P150" s="4" t="str">
        <f>IF(entities[[#This Row],[entity_picture]]&lt;&gt;"",5,"")</f>
        <v/>
      </c>
      <c r="Q150" s="4" t="str">
        <f>IF(entities[[#This Row],[icon]]&lt;&gt;"",6,"")</f>
        <v/>
      </c>
      <c r="R150" s="4" t="str">
        <f>CONCATENATE(entities[[#This Row],[1]],entities[[#This Row],[2]],entities[[#This Row],[3]],entities[[#This Row],[4]],entities[[#This Row],[5]],entities[[#This Row],[6]])</f>
        <v/>
      </c>
      <c r="S150">
        <f>6-COUNTBLANK(entities[[#This Row],[hidden]:[icon]])</f>
        <v>0</v>
      </c>
      <c r="T150" t="str">
        <f>IF(entities[[#This Row],[Num Attributes]]=0,"",
COUNTIFS(entities[Num Attributes],"&gt;0",entities[entity_id],"&lt;="&amp;entities[[#This Row],[entity_id]]))</f>
        <v/>
      </c>
      <c r="U150" t="str">
        <f t="array" ref="U150">IFERROR(INDEX(cards[object_id],SMALL(IF(cards[[1]:[25]]=entities[[#This Row],[entity_id]],ROW(cards[])-7,99^99),1)),"")</f>
        <v>host_device</v>
      </c>
      <c r="V150" t="str">
        <f>IF(entities[[#This Row],[In ''States'' tab?]]&lt;&gt;"ok",  "Not in Home Assistant",
IF(entities[[#This Row],[hidden]]="true",  "Hidden",
IF(entities[[#This Row],[Card]]&lt;&gt;"",
INDEX(cards[name],MATCH(entities[[#This Row],[Card]],cards[object_id],0)),  "Badge / automatic card")))</f>
        <v>HA Host</v>
      </c>
      <c r="W150" t="str">
        <f>IF(entities[[#This Row],[Card]]&lt;&gt;"","group."&amp;entities[[#This Row],[Card]],"")</f>
        <v>group.host_device</v>
      </c>
      <c r="Z150" s="10"/>
      <c r="AD150"/>
    </row>
    <row r="151" spans="2:30" x14ac:dyDescent="0.25">
      <c r="B151" t="s">
        <v>205</v>
      </c>
      <c r="C151" t="s">
        <v>675</v>
      </c>
      <c r="E151" t="s">
        <v>268</v>
      </c>
      <c r="I151" t="s">
        <v>267</v>
      </c>
      <c r="J151" s="4" t="str">
        <f>IF(COUNTIF(Table4[Entity],entities[[#This Row],[entity_id]]),"ok","missing from States tab")</f>
        <v>ok</v>
      </c>
      <c r="K151" t="str">
        <f>entities[[#This Row],[domain]]&amp;"."&amp;entities[[#This Row],[object_id]]</f>
        <v>sensor.humidity_sensor_14</v>
      </c>
      <c r="L151" s="4" t="str">
        <f>IF(entities[[#This Row],[hidden]]&lt;&gt;"",1,"")</f>
        <v/>
      </c>
      <c r="M151" s="4">
        <f>IF(entities[[#This Row],[friendly_name]]&lt;&gt;"",2,"")</f>
        <v>2</v>
      </c>
      <c r="N151" s="4" t="str">
        <f>IF(entities[[#This Row],[emulated_hue:]]&lt;&gt;"",3,"")</f>
        <v/>
      </c>
      <c r="O151" s="4" t="str">
        <f>IF(entities[[#This Row],[emulated_hue_name: ]]&lt;&gt;"",4,"")</f>
        <v/>
      </c>
      <c r="P151" s="4" t="str">
        <f>IF(entities[[#This Row],[entity_picture]]&lt;&gt;"",5,"")</f>
        <v/>
      </c>
      <c r="Q151" s="4">
        <f>IF(entities[[#This Row],[icon]]&lt;&gt;"",6,"")</f>
        <v>6</v>
      </c>
      <c r="R151" s="4" t="str">
        <f>CONCATENATE(entities[[#This Row],[1]],entities[[#This Row],[2]],entities[[#This Row],[3]],entities[[#This Row],[4]],entities[[#This Row],[5]],entities[[#This Row],[6]])</f>
        <v>26</v>
      </c>
      <c r="S151">
        <f>6-COUNTBLANK(entities[[#This Row],[hidden]:[icon]])</f>
        <v>2</v>
      </c>
      <c r="T151">
        <f>IF(entities[[#This Row],[Num Attributes]]=0,"",
COUNTIFS(entities[Num Attributes],"&gt;0",entities[entity_id],"&lt;="&amp;entities[[#This Row],[entity_id]]))</f>
        <v>87</v>
      </c>
      <c r="U151" t="str">
        <f t="array" ref="U151">IFERROR(INDEX(cards[object_id],SMALL(IF(cards[[1]:[25]]=entities[[#This Row],[entity_id]],ROW(cards[])-7,99^99),1)),"")</f>
        <v>environment_living_room</v>
      </c>
      <c r="V151" t="str">
        <f>IF(entities[[#This Row],[In ''States'' tab?]]&lt;&gt;"ok",  "Not in Home Assistant",
IF(entities[[#This Row],[hidden]]="true",  "Hidden",
IF(entities[[#This Row],[Card]]&lt;&gt;"",
INDEX(cards[name],MATCH(entities[[#This Row],[Card]],cards[object_id],0)),  "Badge / automatic card")))</f>
        <v>Environment || Living Room</v>
      </c>
      <c r="W151" t="str">
        <f>IF(entities[[#This Row],[Card]]&lt;&gt;"","group."&amp;entities[[#This Row],[Card]],"")</f>
        <v>group.environment_living_room</v>
      </c>
      <c r="Z151" s="10"/>
      <c r="AD151"/>
    </row>
    <row r="152" spans="2:30" x14ac:dyDescent="0.25">
      <c r="B152" t="s">
        <v>205</v>
      </c>
      <c r="C152" t="s">
        <v>230</v>
      </c>
      <c r="J152" s="4" t="str">
        <f>IF(COUNTIF(Table4[Entity],entities[[#This Row],[entity_id]]),"ok","missing from States tab")</f>
        <v>ok</v>
      </c>
      <c r="K152" t="str">
        <f>entities[[#This Row],[domain]]&amp;"."&amp;entities[[#This Row],[object_id]]</f>
        <v>sensor.last_boot</v>
      </c>
      <c r="L152" s="4" t="str">
        <f>IF(entities[[#This Row],[hidden]]&lt;&gt;"",1,"")</f>
        <v/>
      </c>
      <c r="M152" s="4" t="str">
        <f>IF(entities[[#This Row],[friendly_name]]&lt;&gt;"",2,"")</f>
        <v/>
      </c>
      <c r="N152" s="4" t="str">
        <f>IF(entities[[#This Row],[emulated_hue:]]&lt;&gt;"",3,"")</f>
        <v/>
      </c>
      <c r="O152" s="4" t="str">
        <f>IF(entities[[#This Row],[emulated_hue_name: ]]&lt;&gt;"",4,"")</f>
        <v/>
      </c>
      <c r="P152" s="4" t="str">
        <f>IF(entities[[#This Row],[entity_picture]]&lt;&gt;"",5,"")</f>
        <v/>
      </c>
      <c r="Q152" s="4" t="str">
        <f>IF(entities[[#This Row],[icon]]&lt;&gt;"",6,"")</f>
        <v/>
      </c>
      <c r="R152" s="4" t="str">
        <f>CONCATENATE(entities[[#This Row],[1]],entities[[#This Row],[2]],entities[[#This Row],[3]],entities[[#This Row],[4]],entities[[#This Row],[5]],entities[[#This Row],[6]])</f>
        <v/>
      </c>
      <c r="S152">
        <f>6-COUNTBLANK(entities[[#This Row],[hidden]:[icon]])</f>
        <v>0</v>
      </c>
      <c r="T152" t="str">
        <f>IF(entities[[#This Row],[Num Attributes]]=0,"",
COUNTIFS(entities[Num Attributes],"&gt;0",entities[entity_id],"&lt;="&amp;entities[[#This Row],[entity_id]]))</f>
        <v/>
      </c>
      <c r="U152" t="str">
        <f t="array" ref="U152">IFERROR(INDEX(cards[object_id],SMALL(IF(cards[[1]:[25]]=entities[[#This Row],[entity_id]],ROW(cards[])-7,99^99),1)),"")</f>
        <v>host_device</v>
      </c>
      <c r="V152" t="str">
        <f>IF(entities[[#This Row],[In ''States'' tab?]]&lt;&gt;"ok",  "Not in Home Assistant",
IF(entities[[#This Row],[hidden]]="true",  "Hidden",
IF(entities[[#This Row],[Card]]&lt;&gt;"",
INDEX(cards[name],MATCH(entities[[#This Row],[Card]],cards[object_id],0)),  "Badge / automatic card")))</f>
        <v>HA Host</v>
      </c>
      <c r="W152" t="str">
        <f>IF(entities[[#This Row],[Card]]&lt;&gt;"","group."&amp;entities[[#This Row],[Card]],"")</f>
        <v>group.host_device</v>
      </c>
      <c r="Z152" s="10"/>
      <c r="AD152"/>
    </row>
    <row r="153" spans="2:30" x14ac:dyDescent="0.25">
      <c r="B153" t="s">
        <v>205</v>
      </c>
      <c r="C153" t="s">
        <v>676</v>
      </c>
      <c r="E153" t="s">
        <v>265</v>
      </c>
      <c r="I153" t="s">
        <v>266</v>
      </c>
      <c r="J153" s="4" t="str">
        <f>IF(COUNTIF(Table4[Entity],entities[[#This Row],[entity_id]]),"ok","missing from States tab")</f>
        <v>ok</v>
      </c>
      <c r="K153" t="str">
        <f>entities[[#This Row],[domain]]&amp;"."&amp;entities[[#This Row],[object_id]]</f>
        <v>sensor.light_sensor_13</v>
      </c>
      <c r="L153" s="4" t="str">
        <f>IF(entities[[#This Row],[hidden]]&lt;&gt;"",1,"")</f>
        <v/>
      </c>
      <c r="M153" s="4">
        <f>IF(entities[[#This Row],[friendly_name]]&lt;&gt;"",2,"")</f>
        <v>2</v>
      </c>
      <c r="N153" s="4" t="str">
        <f>IF(entities[[#This Row],[emulated_hue:]]&lt;&gt;"",3,"")</f>
        <v/>
      </c>
      <c r="O153" s="4" t="str">
        <f>IF(entities[[#This Row],[emulated_hue_name: ]]&lt;&gt;"",4,"")</f>
        <v/>
      </c>
      <c r="P153" s="4" t="str">
        <f>IF(entities[[#This Row],[entity_picture]]&lt;&gt;"",5,"")</f>
        <v/>
      </c>
      <c r="Q153" s="4">
        <f>IF(entities[[#This Row],[icon]]&lt;&gt;"",6,"")</f>
        <v>6</v>
      </c>
      <c r="R153" s="4" t="str">
        <f>CONCATENATE(entities[[#This Row],[1]],entities[[#This Row],[2]],entities[[#This Row],[3]],entities[[#This Row],[4]],entities[[#This Row],[5]],entities[[#This Row],[6]])</f>
        <v>26</v>
      </c>
      <c r="S153">
        <f>6-COUNTBLANK(entities[[#This Row],[hidden]:[icon]])</f>
        <v>2</v>
      </c>
      <c r="T153">
        <f>IF(entities[[#This Row],[Num Attributes]]=0,"",
COUNTIFS(entities[Num Attributes],"&gt;0",entities[entity_id],"&lt;="&amp;entities[[#This Row],[entity_id]]))</f>
        <v>88</v>
      </c>
      <c r="U153" t="str">
        <f t="array" ref="U153">IFERROR(INDEX(cards[object_id],SMALL(IF(cards[[1]:[25]]=entities[[#This Row],[entity_id]],ROW(cards[])-7,99^99),1)),"")</f>
        <v>environment_living_room</v>
      </c>
      <c r="V153" t="str">
        <f>IF(entities[[#This Row],[In ''States'' tab?]]&lt;&gt;"ok",  "Not in Home Assistant",
IF(entities[[#This Row],[hidden]]="true",  "Hidden",
IF(entities[[#This Row],[Card]]&lt;&gt;"",
INDEX(cards[name],MATCH(entities[[#This Row],[Card]],cards[object_id],0)),  "Badge / automatic card")))</f>
        <v>Environment || Living Room</v>
      </c>
      <c r="W153" t="str">
        <f>IF(entities[[#This Row],[Card]]&lt;&gt;"","group."&amp;entities[[#This Row],[Card]],"")</f>
        <v>group.environment_living_room</v>
      </c>
      <c r="Z153" s="10"/>
      <c r="AD153"/>
    </row>
    <row r="154" spans="2:30" x14ac:dyDescent="0.25">
      <c r="B154" t="s">
        <v>205</v>
      </c>
      <c r="C154" t="s">
        <v>231</v>
      </c>
      <c r="I154" t="s">
        <v>269</v>
      </c>
      <c r="J154" s="4" t="str">
        <f>IF(COUNTIF(Table4[Entity],entities[[#This Row],[entity_id]]),"ok","missing from States tab")</f>
        <v>ok</v>
      </c>
      <c r="K154" t="str">
        <f>entities[[#This Row],[domain]]&amp;"."&amp;entities[[#This Row],[object_id]]</f>
        <v>sensor.ram_free</v>
      </c>
      <c r="L154" s="4" t="str">
        <f>IF(entities[[#This Row],[hidden]]&lt;&gt;"",1,"")</f>
        <v/>
      </c>
      <c r="M154" s="4" t="str">
        <f>IF(entities[[#This Row],[friendly_name]]&lt;&gt;"",2,"")</f>
        <v/>
      </c>
      <c r="N154" s="4" t="str">
        <f>IF(entities[[#This Row],[emulated_hue:]]&lt;&gt;"",3,"")</f>
        <v/>
      </c>
      <c r="O154" s="4" t="str">
        <f>IF(entities[[#This Row],[emulated_hue_name: ]]&lt;&gt;"",4,"")</f>
        <v/>
      </c>
      <c r="P154" s="4" t="str">
        <f>IF(entities[[#This Row],[entity_picture]]&lt;&gt;"",5,"")</f>
        <v/>
      </c>
      <c r="Q154" s="4">
        <f>IF(entities[[#This Row],[icon]]&lt;&gt;"",6,"")</f>
        <v>6</v>
      </c>
      <c r="R154" s="4" t="str">
        <f>CONCATENATE(entities[[#This Row],[1]],entities[[#This Row],[2]],entities[[#This Row],[3]],entities[[#This Row],[4]],entities[[#This Row],[5]],entities[[#This Row],[6]])</f>
        <v>6</v>
      </c>
      <c r="S154">
        <f>6-COUNTBLANK(entities[[#This Row],[hidden]:[icon]])</f>
        <v>1</v>
      </c>
      <c r="T154">
        <f>IF(entities[[#This Row],[Num Attributes]]=0,"",
COUNTIFS(entities[Num Attributes],"&gt;0",entities[entity_id],"&lt;="&amp;entities[[#This Row],[entity_id]]))</f>
        <v>89</v>
      </c>
      <c r="U154" t="str">
        <f t="array" ref="U154">IFERROR(INDEX(cards[object_id],SMALL(IF(cards[[1]:[25]]=entities[[#This Row],[entity_id]],ROW(cards[])-7,99^99),1)),"")</f>
        <v>host_device</v>
      </c>
      <c r="V154" t="str">
        <f>IF(entities[[#This Row],[In ''States'' tab?]]&lt;&gt;"ok",  "Not in Home Assistant",
IF(entities[[#This Row],[hidden]]="true",  "Hidden",
IF(entities[[#This Row],[Card]]&lt;&gt;"",
INDEX(cards[name],MATCH(entities[[#This Row],[Card]],cards[object_id],0)),  "Badge / automatic card")))</f>
        <v>HA Host</v>
      </c>
      <c r="W154" t="str">
        <f>IF(entities[[#This Row],[Card]]&lt;&gt;"","group."&amp;entities[[#This Row],[Card]],"")</f>
        <v>group.host_device</v>
      </c>
      <c r="Z154" s="10"/>
      <c r="AD154"/>
    </row>
    <row r="155" spans="2:30" x14ac:dyDescent="0.25">
      <c r="B155" t="s">
        <v>205</v>
      </c>
      <c r="C155" t="s">
        <v>232</v>
      </c>
      <c r="I155" t="s">
        <v>270</v>
      </c>
      <c r="J155" s="4" t="str">
        <f>IF(COUNTIF(Table4[Entity],entities[[#This Row],[entity_id]]),"ok","missing from States tab")</f>
        <v>ok</v>
      </c>
      <c r="K155" t="str">
        <f>entities[[#This Row],[domain]]&amp;"."&amp;entities[[#This Row],[object_id]]</f>
        <v>sensor.speedtest_download</v>
      </c>
      <c r="L155" s="4" t="str">
        <f>IF(entities[[#This Row],[hidden]]&lt;&gt;"",1,"")</f>
        <v/>
      </c>
      <c r="M155" s="4" t="str">
        <f>IF(entities[[#This Row],[friendly_name]]&lt;&gt;"",2,"")</f>
        <v/>
      </c>
      <c r="N155" s="4" t="str">
        <f>IF(entities[[#This Row],[emulated_hue:]]&lt;&gt;"",3,"")</f>
        <v/>
      </c>
      <c r="O155" s="4" t="str">
        <f>IF(entities[[#This Row],[emulated_hue_name: ]]&lt;&gt;"",4,"")</f>
        <v/>
      </c>
      <c r="P155" s="4" t="str">
        <f>IF(entities[[#This Row],[entity_picture]]&lt;&gt;"",5,"")</f>
        <v/>
      </c>
      <c r="Q155" s="4">
        <f>IF(entities[[#This Row],[icon]]&lt;&gt;"",6,"")</f>
        <v>6</v>
      </c>
      <c r="R155" s="4" t="str">
        <f>CONCATENATE(entities[[#This Row],[1]],entities[[#This Row],[2]],entities[[#This Row],[3]],entities[[#This Row],[4]],entities[[#This Row],[5]],entities[[#This Row],[6]])</f>
        <v>6</v>
      </c>
      <c r="S155">
        <f>6-COUNTBLANK(entities[[#This Row],[hidden]:[icon]])</f>
        <v>1</v>
      </c>
      <c r="T155">
        <f>IF(entities[[#This Row],[Num Attributes]]=0,"",
COUNTIFS(entities[Num Attributes],"&gt;0",entities[entity_id],"&lt;="&amp;entities[[#This Row],[entity_id]]))</f>
        <v>90</v>
      </c>
      <c r="U155" t="str">
        <f t="array" ref="U155">IFERROR(INDEX(cards[object_id],SMALL(IF(cards[[1]:[25]]=entities[[#This Row],[entity_id]],ROW(cards[])-7,99^99),1)),"")</f>
        <v>network</v>
      </c>
      <c r="V155" t="str">
        <f>IF(entities[[#This Row],[In ''States'' tab?]]&lt;&gt;"ok",  "Not in Home Assistant",
IF(entities[[#This Row],[hidden]]="true",  "Hidden",
IF(entities[[#This Row],[Card]]&lt;&gt;"",
INDEX(cards[name],MATCH(entities[[#This Row],[Card]],cards[object_id],0)),  "Badge / automatic card")))</f>
        <v>Network</v>
      </c>
      <c r="W155" t="str">
        <f>IF(entities[[#This Row],[Card]]&lt;&gt;"","group."&amp;entities[[#This Row],[Card]],"")</f>
        <v>group.network</v>
      </c>
      <c r="Z155" s="10"/>
      <c r="AD155"/>
    </row>
    <row r="156" spans="2:30" x14ac:dyDescent="0.25">
      <c r="B156" t="s">
        <v>205</v>
      </c>
      <c r="C156" t="s">
        <v>233</v>
      </c>
      <c r="I156" t="s">
        <v>271</v>
      </c>
      <c r="J156" s="4" t="str">
        <f>IF(COUNTIF(Table4[Entity],entities[[#This Row],[entity_id]]),"ok","missing from States tab")</f>
        <v>ok</v>
      </c>
      <c r="K156" t="str">
        <f>entities[[#This Row],[domain]]&amp;"."&amp;entities[[#This Row],[object_id]]</f>
        <v>sensor.speedtest_ping</v>
      </c>
      <c r="L156" s="4" t="str">
        <f>IF(entities[[#This Row],[hidden]]&lt;&gt;"",1,"")</f>
        <v/>
      </c>
      <c r="M156" s="4" t="str">
        <f>IF(entities[[#This Row],[friendly_name]]&lt;&gt;"",2,"")</f>
        <v/>
      </c>
      <c r="N156" s="4" t="str">
        <f>IF(entities[[#This Row],[emulated_hue:]]&lt;&gt;"",3,"")</f>
        <v/>
      </c>
      <c r="O156" s="4" t="str">
        <f>IF(entities[[#This Row],[emulated_hue_name: ]]&lt;&gt;"",4,"")</f>
        <v/>
      </c>
      <c r="P156" s="4" t="str">
        <f>IF(entities[[#This Row],[entity_picture]]&lt;&gt;"",5,"")</f>
        <v/>
      </c>
      <c r="Q156" s="4">
        <f>IF(entities[[#This Row],[icon]]&lt;&gt;"",6,"")</f>
        <v>6</v>
      </c>
      <c r="R156" s="4" t="str">
        <f>CONCATENATE(entities[[#This Row],[1]],entities[[#This Row],[2]],entities[[#This Row],[3]],entities[[#This Row],[4]],entities[[#This Row],[5]],entities[[#This Row],[6]])</f>
        <v>6</v>
      </c>
      <c r="S156">
        <f>6-COUNTBLANK(entities[[#This Row],[hidden]:[icon]])</f>
        <v>1</v>
      </c>
      <c r="T156">
        <f>IF(entities[[#This Row],[Num Attributes]]=0,"",
COUNTIFS(entities[Num Attributes],"&gt;0",entities[entity_id],"&lt;="&amp;entities[[#This Row],[entity_id]]))</f>
        <v>91</v>
      </c>
      <c r="U156" t="str">
        <f t="array" ref="U156">IFERROR(INDEX(cards[object_id],SMALL(IF(cards[[1]:[25]]=entities[[#This Row],[entity_id]],ROW(cards[])-7,99^99),1)),"")</f>
        <v>network</v>
      </c>
      <c r="V156" t="str">
        <f>IF(entities[[#This Row],[In ''States'' tab?]]&lt;&gt;"ok",  "Not in Home Assistant",
IF(entities[[#This Row],[hidden]]="true",  "Hidden",
IF(entities[[#This Row],[Card]]&lt;&gt;"",
INDEX(cards[name],MATCH(entities[[#This Row],[Card]],cards[object_id],0)),  "Badge / automatic card")))</f>
        <v>Network</v>
      </c>
      <c r="W156" t="str">
        <f>IF(entities[[#This Row],[Card]]&lt;&gt;"","group."&amp;entities[[#This Row],[Card]],"")</f>
        <v>group.network</v>
      </c>
      <c r="Z156" s="10"/>
      <c r="AD156"/>
    </row>
    <row r="157" spans="2:30" x14ac:dyDescent="0.25">
      <c r="B157" t="s">
        <v>205</v>
      </c>
      <c r="C157" t="s">
        <v>234</v>
      </c>
      <c r="I157" t="s">
        <v>272</v>
      </c>
      <c r="J157" s="4" t="str">
        <f>IF(COUNTIF(Table4[Entity],entities[[#This Row],[entity_id]]),"ok","missing from States tab")</f>
        <v>ok</v>
      </c>
      <c r="K157" t="str">
        <f>entities[[#This Row],[domain]]&amp;"."&amp;entities[[#This Row],[object_id]]</f>
        <v>sensor.speedtest_upload</v>
      </c>
      <c r="L157" s="4" t="str">
        <f>IF(entities[[#This Row],[hidden]]&lt;&gt;"",1,"")</f>
        <v/>
      </c>
      <c r="M157" s="4" t="str">
        <f>IF(entities[[#This Row],[friendly_name]]&lt;&gt;"",2,"")</f>
        <v/>
      </c>
      <c r="N157" s="4" t="str">
        <f>IF(entities[[#This Row],[emulated_hue:]]&lt;&gt;"",3,"")</f>
        <v/>
      </c>
      <c r="O157" s="4" t="str">
        <f>IF(entities[[#This Row],[emulated_hue_name: ]]&lt;&gt;"",4,"")</f>
        <v/>
      </c>
      <c r="P157" s="4" t="str">
        <f>IF(entities[[#This Row],[entity_picture]]&lt;&gt;"",5,"")</f>
        <v/>
      </c>
      <c r="Q157" s="4">
        <f>IF(entities[[#This Row],[icon]]&lt;&gt;"",6,"")</f>
        <v>6</v>
      </c>
      <c r="R157" s="4" t="str">
        <f>CONCATENATE(entities[[#This Row],[1]],entities[[#This Row],[2]],entities[[#This Row],[3]],entities[[#This Row],[4]],entities[[#This Row],[5]],entities[[#This Row],[6]])</f>
        <v>6</v>
      </c>
      <c r="S157">
        <f>6-COUNTBLANK(entities[[#This Row],[hidden]:[icon]])</f>
        <v>1</v>
      </c>
      <c r="T157">
        <f>IF(entities[[#This Row],[Num Attributes]]=0,"",
COUNTIFS(entities[Num Attributes],"&gt;0",entities[entity_id],"&lt;="&amp;entities[[#This Row],[entity_id]]))</f>
        <v>92</v>
      </c>
      <c r="U157" t="str">
        <f t="array" ref="U157">IFERROR(INDEX(cards[object_id],SMALL(IF(cards[[1]:[25]]=entities[[#This Row],[entity_id]],ROW(cards[])-7,99^99),1)),"")</f>
        <v>network</v>
      </c>
      <c r="V157" t="str">
        <f>IF(entities[[#This Row],[In ''States'' tab?]]&lt;&gt;"ok",  "Not in Home Assistant",
IF(entities[[#This Row],[hidden]]="true",  "Hidden",
IF(entities[[#This Row],[Card]]&lt;&gt;"",
INDEX(cards[name],MATCH(entities[[#This Row],[Card]],cards[object_id],0)),  "Badge / automatic card")))</f>
        <v>Network</v>
      </c>
      <c r="W157" t="str">
        <f>IF(entities[[#This Row],[Card]]&lt;&gt;"","group."&amp;entities[[#This Row],[Card]],"")</f>
        <v>group.network</v>
      </c>
      <c r="Z157" s="10"/>
      <c r="AD157"/>
    </row>
    <row r="158" spans="2:30" x14ac:dyDescent="0.25">
      <c r="B158" t="s">
        <v>205</v>
      </c>
      <c r="C158" t="s">
        <v>677</v>
      </c>
      <c r="E158" t="s">
        <v>264</v>
      </c>
      <c r="J158" s="4" t="str">
        <f>IF(COUNTIF(Table4[Entity],entities[[#This Row],[entity_id]]),"ok","missing from States tab")</f>
        <v>ok</v>
      </c>
      <c r="K158" t="str">
        <f>entities[[#This Row],[domain]]&amp;"."&amp;entities[[#This Row],[object_id]]</f>
        <v>sensor.temperature_sensor_12</v>
      </c>
      <c r="L158" s="4" t="str">
        <f>IF(entities[[#This Row],[hidden]]&lt;&gt;"",1,"")</f>
        <v/>
      </c>
      <c r="M158" s="4">
        <f>IF(entities[[#This Row],[friendly_name]]&lt;&gt;"",2,"")</f>
        <v>2</v>
      </c>
      <c r="N158" s="4" t="str">
        <f>IF(entities[[#This Row],[emulated_hue:]]&lt;&gt;"",3,"")</f>
        <v/>
      </c>
      <c r="O158" s="4" t="str">
        <f>IF(entities[[#This Row],[emulated_hue_name: ]]&lt;&gt;"",4,"")</f>
        <v/>
      </c>
      <c r="P158" s="4" t="str">
        <f>IF(entities[[#This Row],[entity_picture]]&lt;&gt;"",5,"")</f>
        <v/>
      </c>
      <c r="Q158" s="4" t="str">
        <f>IF(entities[[#This Row],[icon]]&lt;&gt;"",6,"")</f>
        <v/>
      </c>
      <c r="R158" s="4" t="str">
        <f>CONCATENATE(entities[[#This Row],[1]],entities[[#This Row],[2]],entities[[#This Row],[3]],entities[[#This Row],[4]],entities[[#This Row],[5]],entities[[#This Row],[6]])</f>
        <v>2</v>
      </c>
      <c r="S158">
        <f>6-COUNTBLANK(entities[[#This Row],[hidden]:[icon]])</f>
        <v>1</v>
      </c>
      <c r="T158">
        <f>IF(entities[[#This Row],[Num Attributes]]=0,"",
COUNTIFS(entities[Num Attributes],"&gt;0",entities[entity_id],"&lt;="&amp;entities[[#This Row],[entity_id]]))</f>
        <v>93</v>
      </c>
      <c r="U158" t="str">
        <f t="array" ref="U158">IFERROR(INDEX(cards[object_id],SMALL(IF(cards[[1]:[25]]=entities[[#This Row],[entity_id]],ROW(cards[])-7,99^99),1)),"")</f>
        <v>environment_living_room</v>
      </c>
      <c r="V158" t="str">
        <f>IF(entities[[#This Row],[In ''States'' tab?]]&lt;&gt;"ok",  "Not in Home Assistant",
IF(entities[[#This Row],[hidden]]="true",  "Hidden",
IF(entities[[#This Row],[Card]]&lt;&gt;"",
INDEX(cards[name],MATCH(entities[[#This Row],[Card]],cards[object_id],0)),  "Badge / automatic card")))</f>
        <v>Environment || Living Room</v>
      </c>
      <c r="W158" t="str">
        <f>IF(entities[[#This Row],[Card]]&lt;&gt;"","group."&amp;entities[[#This Row],[Card]],"")</f>
        <v>group.environment_living_room</v>
      </c>
      <c r="Z158" s="10"/>
      <c r="AD158"/>
    </row>
    <row r="159" spans="2:30" x14ac:dyDescent="0.25">
      <c r="B159" t="s">
        <v>205</v>
      </c>
      <c r="C159" t="s">
        <v>235</v>
      </c>
      <c r="D159" s="3" t="s">
        <v>243</v>
      </c>
      <c r="J159" s="4" t="str">
        <f>IF(COUNTIF(Table4[Entity],entities[[#This Row],[entity_id]]),"ok","missing from States tab")</f>
        <v>ok</v>
      </c>
      <c r="K159" t="str">
        <f>entities[[#This Row],[domain]]&amp;"."&amp;entities[[#This Row],[object_id]]</f>
        <v>sensor.time</v>
      </c>
      <c r="L159" s="4">
        <f>IF(entities[[#This Row],[hidden]]&lt;&gt;"",1,"")</f>
        <v>1</v>
      </c>
      <c r="M159" s="4" t="str">
        <f>IF(entities[[#This Row],[friendly_name]]&lt;&gt;"",2,"")</f>
        <v/>
      </c>
      <c r="N159" s="4" t="str">
        <f>IF(entities[[#This Row],[emulated_hue:]]&lt;&gt;"",3,"")</f>
        <v/>
      </c>
      <c r="O159" s="4" t="str">
        <f>IF(entities[[#This Row],[emulated_hue_name: ]]&lt;&gt;"",4,"")</f>
        <v/>
      </c>
      <c r="P159" s="4" t="str">
        <f>IF(entities[[#This Row],[entity_picture]]&lt;&gt;"",5,"")</f>
        <v/>
      </c>
      <c r="Q159" s="4" t="str">
        <f>IF(entities[[#This Row],[icon]]&lt;&gt;"",6,"")</f>
        <v/>
      </c>
      <c r="R159" s="4" t="str">
        <f>CONCATENATE(entities[[#This Row],[1]],entities[[#This Row],[2]],entities[[#This Row],[3]],entities[[#This Row],[4]],entities[[#This Row],[5]],entities[[#This Row],[6]])</f>
        <v>1</v>
      </c>
      <c r="S159">
        <f>6-COUNTBLANK(entities[[#This Row],[hidden]:[icon]])</f>
        <v>1</v>
      </c>
      <c r="T159">
        <f>IF(entities[[#This Row],[Num Attributes]]=0,"",
COUNTIFS(entities[Num Attributes],"&gt;0",entities[entity_id],"&lt;="&amp;entities[[#This Row],[entity_id]]))</f>
        <v>94</v>
      </c>
      <c r="U159" t="str">
        <f t="array" ref="U159">IFERROR(INDEX(cards[object_id],SMALL(IF(cards[[1]:[25]]=entities[[#This Row],[entity_id]],ROW(cards[])-7,99^99),1)),"")</f>
        <v/>
      </c>
      <c r="V159" t="str">
        <f>IF(entities[[#This Row],[In ''States'' tab?]]&lt;&gt;"ok",  "Not in Home Assistant",
IF(entities[[#This Row],[hidden]]="true",  "Hidden",
IF(entities[[#This Row],[Card]]&lt;&gt;"",
INDEX(cards[name],MATCH(entities[[#This Row],[Card]],cards[object_id],0)),  "Badge / automatic card")))</f>
        <v>Hidden</v>
      </c>
      <c r="W159" t="str">
        <f>IF(entities[[#This Row],[Card]]&lt;&gt;"","group."&amp;entities[[#This Row],[Card]],"")</f>
        <v/>
      </c>
      <c r="Z159" s="10"/>
      <c r="AD159"/>
    </row>
    <row r="160" spans="2:30" x14ac:dyDescent="0.25">
      <c r="B160" t="s">
        <v>236</v>
      </c>
      <c r="C160" t="s">
        <v>236</v>
      </c>
      <c r="J160" s="4" t="str">
        <f>IF(COUNTIF(Table4[Entity],entities[[#This Row],[entity_id]]),"ok","missing from States tab")</f>
        <v>ok</v>
      </c>
      <c r="K160" t="str">
        <f>entities[[#This Row],[domain]]&amp;"."&amp;entities[[#This Row],[object_id]]</f>
        <v>sun.sun</v>
      </c>
      <c r="L160" s="4" t="str">
        <f>IF(entities[[#This Row],[hidden]]&lt;&gt;"",1,"")</f>
        <v/>
      </c>
      <c r="M160" s="4" t="str">
        <f>IF(entities[[#This Row],[friendly_name]]&lt;&gt;"",2,"")</f>
        <v/>
      </c>
      <c r="N160" s="4" t="str">
        <f>IF(entities[[#This Row],[emulated_hue:]]&lt;&gt;"",3,"")</f>
        <v/>
      </c>
      <c r="O160" s="4" t="str">
        <f>IF(entities[[#This Row],[emulated_hue_name: ]]&lt;&gt;"",4,"")</f>
        <v/>
      </c>
      <c r="P160" s="4" t="str">
        <f>IF(entities[[#This Row],[entity_picture]]&lt;&gt;"",5,"")</f>
        <v/>
      </c>
      <c r="Q160" s="4" t="str">
        <f>IF(entities[[#This Row],[icon]]&lt;&gt;"",6,"")</f>
        <v/>
      </c>
      <c r="R160" s="4" t="str">
        <f>CONCATENATE(entities[[#This Row],[1]],entities[[#This Row],[2]],entities[[#This Row],[3]],entities[[#This Row],[4]],entities[[#This Row],[5]],entities[[#This Row],[6]])</f>
        <v/>
      </c>
      <c r="S160">
        <f>6-COUNTBLANK(entities[[#This Row],[hidden]:[icon]])</f>
        <v>0</v>
      </c>
      <c r="T160" t="str">
        <f>IF(entities[[#This Row],[Num Attributes]]=0,"",
COUNTIFS(entities[Num Attributes],"&gt;0",entities[entity_id],"&lt;="&amp;entities[[#This Row],[entity_id]]))</f>
        <v/>
      </c>
      <c r="U160" t="str">
        <f t="array" ref="U160">IFERROR(INDEX(cards[object_id],SMALL(IF(cards[[1]:[25]]=entities[[#This Row],[entity_id]],ROW(cards[])-7,99^99),1)),"")</f>
        <v>environment_detail</v>
      </c>
      <c r="V160" t="str">
        <f>IF(entities[[#This Row],[In ''States'' tab?]]&lt;&gt;"ok",  "Not in Home Assistant",
IF(entities[[#This Row],[hidden]]="true",  "Hidden",
IF(entities[[#This Row],[Card]]&lt;&gt;"",
INDEX(cards[name],MATCH(entities[[#This Row],[Card]],cards[object_id],0)),  "Badge / automatic card")))</f>
        <v>Environment Detail</v>
      </c>
      <c r="W160" t="str">
        <f>IF(entities[[#This Row],[Card]]&lt;&gt;"","group."&amp;entities[[#This Row],[Card]],"")</f>
        <v>group.environment_detail</v>
      </c>
      <c r="Z160" s="10"/>
      <c r="AD160"/>
    </row>
    <row r="161" spans="2:30" x14ac:dyDescent="0.25">
      <c r="B161" t="s">
        <v>237</v>
      </c>
      <c r="C161" t="s">
        <v>238</v>
      </c>
      <c r="E161" t="s">
        <v>279</v>
      </c>
      <c r="F161" s="3" t="s">
        <v>243</v>
      </c>
      <c r="I161" t="s">
        <v>309</v>
      </c>
      <c r="J161" s="4" t="str">
        <f>IF(COUNTIF(Table4[Entity],entities[[#This Row],[entity_id]]),"ok","missing from States tab")</f>
        <v>ok</v>
      </c>
      <c r="K161" t="str">
        <f>entities[[#This Row],[domain]]&amp;"."&amp;entities[[#This Row],[object_id]]</f>
        <v>switch.amp</v>
      </c>
      <c r="L161" s="4" t="str">
        <f>IF(entities[[#This Row],[hidden]]&lt;&gt;"",1,"")</f>
        <v/>
      </c>
      <c r="M161" s="4">
        <f>IF(entities[[#This Row],[friendly_name]]&lt;&gt;"",2,"")</f>
        <v>2</v>
      </c>
      <c r="N161" s="4">
        <f>IF(entities[[#This Row],[emulated_hue:]]&lt;&gt;"",3,"")</f>
        <v>3</v>
      </c>
      <c r="O161" s="4" t="str">
        <f>IF(entities[[#This Row],[emulated_hue_name: ]]&lt;&gt;"",4,"")</f>
        <v/>
      </c>
      <c r="P161" s="4" t="str">
        <f>IF(entities[[#This Row],[entity_picture]]&lt;&gt;"",5,"")</f>
        <v/>
      </c>
      <c r="Q161" s="4">
        <f>IF(entities[[#This Row],[icon]]&lt;&gt;"",6,"")</f>
        <v>6</v>
      </c>
      <c r="R161" s="4" t="str">
        <f>CONCATENATE(entities[[#This Row],[1]],entities[[#This Row],[2]],entities[[#This Row],[3]],entities[[#This Row],[4]],entities[[#This Row],[5]],entities[[#This Row],[6]])</f>
        <v>236</v>
      </c>
      <c r="S161">
        <f>6-COUNTBLANK(entities[[#This Row],[hidden]:[icon]])</f>
        <v>3</v>
      </c>
      <c r="T161">
        <f>IF(entities[[#This Row],[Num Attributes]]=0,"",
COUNTIFS(entities[Num Attributes],"&gt;0",entities[entity_id],"&lt;="&amp;entities[[#This Row],[entity_id]]))</f>
        <v>95</v>
      </c>
      <c r="U161" t="str">
        <f t="array" ref="U161">IFERROR(INDEX(cards[object_id],SMALL(IF(cards[[1]:[25]]=entities[[#This Row],[entity_id]],ROW(cards[])-7,99^99),1)),"")</f>
        <v>living_room</v>
      </c>
      <c r="V161" t="str">
        <f>IF(entities[[#This Row],[In ''States'' tab?]]&lt;&gt;"ok",  "Not in Home Assistant",
IF(entities[[#This Row],[hidden]]="true",  "Hidden",
IF(entities[[#This Row],[Card]]&lt;&gt;"",
INDEX(cards[name],MATCH(entities[[#This Row],[Card]],cards[object_id],0)),  "Badge / automatic card")))</f>
        <v>Living Room</v>
      </c>
      <c r="W161" t="str">
        <f>IF(entities[[#This Row],[Card]]&lt;&gt;"","group."&amp;entities[[#This Row],[Card]],"")</f>
        <v>group.living_room</v>
      </c>
      <c r="Z161" s="10"/>
      <c r="AD161"/>
    </row>
    <row r="162" spans="2:30" x14ac:dyDescent="0.25">
      <c r="B162" t="s">
        <v>237</v>
      </c>
      <c r="C162" t="s">
        <v>239</v>
      </c>
      <c r="E162" t="s">
        <v>280</v>
      </c>
      <c r="F162" s="3" t="s">
        <v>243</v>
      </c>
      <c r="I162" t="s">
        <v>310</v>
      </c>
      <c r="J162" s="4" t="str">
        <f>IF(COUNTIF(Table4[Entity],entities[[#This Row],[entity_id]]),"ok","missing from States tab")</f>
        <v>ok</v>
      </c>
      <c r="K162" t="str">
        <f>entities[[#This Row],[domain]]&amp;"."&amp;entities[[#This Row],[object_id]]</f>
        <v>switch.bedroom_fan</v>
      </c>
      <c r="L162" s="4" t="str">
        <f>IF(entities[[#This Row],[hidden]]&lt;&gt;"",1,"")</f>
        <v/>
      </c>
      <c r="M162" s="4">
        <f>IF(entities[[#This Row],[friendly_name]]&lt;&gt;"",2,"")</f>
        <v>2</v>
      </c>
      <c r="N162" s="4">
        <f>IF(entities[[#This Row],[emulated_hue:]]&lt;&gt;"",3,"")</f>
        <v>3</v>
      </c>
      <c r="O162" s="4" t="str">
        <f>IF(entities[[#This Row],[emulated_hue_name: ]]&lt;&gt;"",4,"")</f>
        <v/>
      </c>
      <c r="P162" s="4" t="str">
        <f>IF(entities[[#This Row],[entity_picture]]&lt;&gt;"",5,"")</f>
        <v/>
      </c>
      <c r="Q162" s="4">
        <f>IF(entities[[#This Row],[icon]]&lt;&gt;"",6,"")</f>
        <v>6</v>
      </c>
      <c r="R162" s="4" t="str">
        <f>CONCATENATE(entities[[#This Row],[1]],entities[[#This Row],[2]],entities[[#This Row],[3]],entities[[#This Row],[4]],entities[[#This Row],[5]],entities[[#This Row],[6]])</f>
        <v>236</v>
      </c>
      <c r="S162">
        <f>6-COUNTBLANK(entities[[#This Row],[hidden]:[icon]])</f>
        <v>3</v>
      </c>
      <c r="T162">
        <f>IF(entities[[#This Row],[Num Attributes]]=0,"",
COUNTIFS(entities[Num Attributes],"&gt;0",entities[entity_id],"&lt;="&amp;entities[[#This Row],[entity_id]]))</f>
        <v>96</v>
      </c>
      <c r="U162" t="str">
        <f t="array" ref="U162">IFERROR(INDEX(cards[object_id],SMALL(IF(cards[[1]:[25]]=entities[[#This Row],[entity_id]],ROW(cards[])-7,99^99),1)),"")</f>
        <v>bedroom_devices</v>
      </c>
      <c r="V162" t="str">
        <f>IF(entities[[#This Row],[In ''States'' tab?]]&lt;&gt;"ok",  "Not in Home Assistant",
IF(entities[[#This Row],[hidden]]="true",  "Hidden",
IF(entities[[#This Row],[Card]]&lt;&gt;"",
INDEX(cards[name],MATCH(entities[[#This Row],[Card]],cards[object_id],0)),  "Badge / automatic card")))</f>
        <v>Bedroom || Devices</v>
      </c>
      <c r="W162" t="str">
        <f>IF(entities[[#This Row],[Card]]&lt;&gt;"","group."&amp;entities[[#This Row],[Card]],"")</f>
        <v>group.bedroom_devices</v>
      </c>
      <c r="Z162" s="10"/>
      <c r="AD162"/>
    </row>
    <row r="163" spans="2:30" x14ac:dyDescent="0.25">
      <c r="B163" t="s">
        <v>237</v>
      </c>
      <c r="C163" t="s">
        <v>240</v>
      </c>
      <c r="E163" t="s">
        <v>283</v>
      </c>
      <c r="F163" s="3" t="s">
        <v>243</v>
      </c>
      <c r="G163" t="s">
        <v>281</v>
      </c>
      <c r="I163" t="s">
        <v>311</v>
      </c>
      <c r="J163" s="4" t="str">
        <f>IF(COUNTIF(Table4[Entity],entities[[#This Row],[entity_id]]),"ok","missing from States tab")</f>
        <v>ok</v>
      </c>
      <c r="K163" t="str">
        <f>entities[[#This Row],[domain]]&amp;"."&amp;entities[[#This Row],[object_id]]</f>
        <v>switch.bedroom_nightstand</v>
      </c>
      <c r="L163" s="4" t="str">
        <f>IF(entities[[#This Row],[hidden]]&lt;&gt;"",1,"")</f>
        <v/>
      </c>
      <c r="M163" s="4">
        <f>IF(entities[[#This Row],[friendly_name]]&lt;&gt;"",2,"")</f>
        <v>2</v>
      </c>
      <c r="N163" s="4">
        <f>IF(entities[[#This Row],[emulated_hue:]]&lt;&gt;"",3,"")</f>
        <v>3</v>
      </c>
      <c r="O163" s="4">
        <f>IF(entities[[#This Row],[emulated_hue_name: ]]&lt;&gt;"",4,"")</f>
        <v>4</v>
      </c>
      <c r="P163" s="4" t="str">
        <f>IF(entities[[#This Row],[entity_picture]]&lt;&gt;"",5,"")</f>
        <v/>
      </c>
      <c r="Q163" s="4">
        <f>IF(entities[[#This Row],[icon]]&lt;&gt;"",6,"")</f>
        <v>6</v>
      </c>
      <c r="R163" s="4" t="str">
        <f>CONCATENATE(entities[[#This Row],[1]],entities[[#This Row],[2]],entities[[#This Row],[3]],entities[[#This Row],[4]],entities[[#This Row],[5]],entities[[#This Row],[6]])</f>
        <v>2346</v>
      </c>
      <c r="S163">
        <f>6-COUNTBLANK(entities[[#This Row],[hidden]:[icon]])</f>
        <v>4</v>
      </c>
      <c r="T163">
        <f>IF(entities[[#This Row],[Num Attributes]]=0,"",
COUNTIFS(entities[Num Attributes],"&gt;0",entities[entity_id],"&lt;="&amp;entities[[#This Row],[entity_id]]))</f>
        <v>97</v>
      </c>
      <c r="U163" t="str">
        <f t="array" ref="U163">IFERROR(INDEX(cards[object_id],SMALL(IF(cards[[1]:[25]]=entities[[#This Row],[entity_id]],ROW(cards[])-7,99^99),1)),"")</f>
        <v>bedroom_devices</v>
      </c>
      <c r="V163" t="str">
        <f>IF(entities[[#This Row],[In ''States'' tab?]]&lt;&gt;"ok",  "Not in Home Assistant",
IF(entities[[#This Row],[hidden]]="true",  "Hidden",
IF(entities[[#This Row],[Card]]&lt;&gt;"",
INDEX(cards[name],MATCH(entities[[#This Row],[Card]],cards[object_id],0)),  "Badge / automatic card")))</f>
        <v>Bedroom || Devices</v>
      </c>
      <c r="W163" t="str">
        <f>IF(entities[[#This Row],[Card]]&lt;&gt;"","group."&amp;entities[[#This Row],[Card]],"")</f>
        <v>group.bedroom_devices</v>
      </c>
      <c r="Z163" s="10"/>
      <c r="AD163"/>
    </row>
    <row r="164" spans="2:30" x14ac:dyDescent="0.25">
      <c r="B164" t="s">
        <v>237</v>
      </c>
      <c r="C164" t="s">
        <v>681</v>
      </c>
      <c r="E164" t="s">
        <v>282</v>
      </c>
      <c r="I164" t="s">
        <v>312</v>
      </c>
      <c r="J164" s="4" t="str">
        <f>IF(COUNTIF(Table4[Entity],entities[[#This Row],[entity_id]]),"ok","missing from States tab")</f>
        <v>ok</v>
      </c>
      <c r="K164" t="str">
        <f>entities[[#This Row],[domain]]&amp;"."&amp;entities[[#This Row],[object_id]]</f>
        <v>switch.multi_sensor_4</v>
      </c>
      <c r="L164" s="4" t="str">
        <f>IF(entities[[#This Row],[hidden]]&lt;&gt;"",1,"")</f>
        <v/>
      </c>
      <c r="M164" s="4">
        <f>IF(entities[[#This Row],[friendly_name]]&lt;&gt;"",2,"")</f>
        <v>2</v>
      </c>
      <c r="N164" s="4" t="str">
        <f>IF(entities[[#This Row],[emulated_hue:]]&lt;&gt;"",3,"")</f>
        <v/>
      </c>
      <c r="O164" s="4" t="str">
        <f>IF(entities[[#This Row],[emulated_hue_name: ]]&lt;&gt;"",4,"")</f>
        <v/>
      </c>
      <c r="P164" s="4" t="str">
        <f>IF(entities[[#This Row],[entity_picture]]&lt;&gt;"",5,"")</f>
        <v/>
      </c>
      <c r="Q164" s="4">
        <f>IF(entities[[#This Row],[icon]]&lt;&gt;"",6,"")</f>
        <v>6</v>
      </c>
      <c r="R164" s="4" t="str">
        <f>CONCATENATE(entities[[#This Row],[1]],entities[[#This Row],[2]],entities[[#This Row],[3]],entities[[#This Row],[4]],entities[[#This Row],[5]],entities[[#This Row],[6]])</f>
        <v>26</v>
      </c>
      <c r="S164">
        <f>6-COUNTBLANK(entities[[#This Row],[hidden]:[icon]])</f>
        <v>2</v>
      </c>
      <c r="T164">
        <f>IF(entities[[#This Row],[Num Attributes]]=0,"",
COUNTIFS(entities[Num Attributes],"&gt;0",entities[entity_id],"&lt;="&amp;entities[[#This Row],[entity_id]]))</f>
        <v>98</v>
      </c>
      <c r="U164" t="str">
        <f t="array" ref="U164">IFERROR(INDEX(cards[object_id],SMALL(IF(cards[[1]:[25]]=entities[[#This Row],[entity_id]],ROW(cards[])-7,99^99),1)),"")</f>
        <v/>
      </c>
      <c r="V164" t="str">
        <f>IF(entities[[#This Row],[In ''States'' tab?]]&lt;&gt;"ok",  "Not in Home Assistant",
IF(entities[[#This Row],[hidden]]="true",  "Hidden",
IF(entities[[#This Row],[Card]]&lt;&gt;"",
INDEX(cards[name],MATCH(entities[[#This Row],[Card]],cards[object_id],0)),  "Badge / automatic card")))</f>
        <v>Badge / automatic card</v>
      </c>
      <c r="W164" t="str">
        <f>IF(entities[[#This Row],[Card]]&lt;&gt;"","group."&amp;entities[[#This Row],[Card]],"")</f>
        <v/>
      </c>
      <c r="Z164" s="10"/>
      <c r="AD164"/>
    </row>
    <row r="165" spans="2:30" x14ac:dyDescent="0.25">
      <c r="B165" t="s">
        <v>237</v>
      </c>
      <c r="C165" t="s">
        <v>678</v>
      </c>
      <c r="E165" t="s">
        <v>658</v>
      </c>
      <c r="I165" t="s">
        <v>11</v>
      </c>
      <c r="J165" s="4" t="str">
        <f>IF(COUNTIF(Table4[Entity],entities[[#This Row],[entity_id]]),"ok","missing from States tab")</f>
        <v>ok</v>
      </c>
      <c r="K165" t="str">
        <f>entities[[#This Row],[domain]]&amp;"."&amp;entities[[#This Row],[object_id]]</f>
        <v>switch.smart_switch1_3</v>
      </c>
      <c r="L165" s="4" t="str">
        <f>IF(entities[[#This Row],[hidden]]&lt;&gt;"",1,"")</f>
        <v/>
      </c>
      <c r="M165" s="4">
        <f>IF(entities[[#This Row],[friendly_name]]&lt;&gt;"",2,"")</f>
        <v>2</v>
      </c>
      <c r="N165" s="4" t="str">
        <f>IF(entities[[#This Row],[emulated_hue:]]&lt;&gt;"",3,"")</f>
        <v/>
      </c>
      <c r="O165" s="4" t="str">
        <f>IF(entities[[#This Row],[emulated_hue_name: ]]&lt;&gt;"",4,"")</f>
        <v/>
      </c>
      <c r="P165" s="4" t="str">
        <f>IF(entities[[#This Row],[entity_picture]]&lt;&gt;"",5,"")</f>
        <v/>
      </c>
      <c r="Q165" s="4" t="str">
        <f>IF(entities[[#This Row],[icon]]&lt;&gt;"",6,"")</f>
        <v/>
      </c>
      <c r="R165" s="4" t="str">
        <f>CONCATENATE(entities[[#This Row],[1]],entities[[#This Row],[2]],entities[[#This Row],[3]],entities[[#This Row],[4]],entities[[#This Row],[5]],entities[[#This Row],[6]])</f>
        <v>2</v>
      </c>
      <c r="S165">
        <f>6-COUNTBLANK(entities[[#This Row],[hidden]:[icon]])</f>
        <v>1</v>
      </c>
      <c r="T165">
        <f>IF(entities[[#This Row],[Num Attributes]]=0,"",
COUNTIFS(entities[Num Attributes],"&gt;0",entities[entity_id],"&lt;="&amp;entities[[#This Row],[entity_id]]))</f>
        <v>99</v>
      </c>
      <c r="U165" t="str">
        <f t="array" ref="U165">IFERROR(INDEX(cards[object_id],SMALL(IF(cards[[1]:[25]]=entities[[#This Row],[entity_id]],ROW(cards[])-7,99^99),1)),"")</f>
        <v/>
      </c>
      <c r="V165" t="str">
        <f>IF(entities[[#This Row],[In ''States'' tab?]]&lt;&gt;"ok",  "Not in Home Assistant",
IF(entities[[#This Row],[hidden]]="true",  "Hidden",
IF(entities[[#This Row],[Card]]&lt;&gt;"",
INDEX(cards[name],MATCH(entities[[#This Row],[Card]],cards[object_id],0)),  "Badge / automatic card")))</f>
        <v>Badge / automatic card</v>
      </c>
      <c r="W165" t="str">
        <f>IF(entities[[#This Row],[Card]]&lt;&gt;"","group."&amp;entities[[#This Row],[Card]],"")</f>
        <v/>
      </c>
      <c r="Z165" s="10"/>
      <c r="AD165"/>
    </row>
    <row r="166" spans="2:30" x14ac:dyDescent="0.25">
      <c r="B166" t="s">
        <v>237</v>
      </c>
      <c r="C166" t="s">
        <v>679</v>
      </c>
      <c r="E166" t="s">
        <v>285</v>
      </c>
      <c r="I166" t="s">
        <v>11</v>
      </c>
      <c r="J166" s="4" t="str">
        <f>IF(COUNTIF(Table4[Entity],entities[[#This Row],[entity_id]]),"ok","missing from States tab")</f>
        <v>ok</v>
      </c>
      <c r="K166" t="str">
        <f>entities[[#This Row],[domain]]&amp;"."&amp;entities[[#This Row],[object_id]]</f>
        <v>switch.smart_switch2_7</v>
      </c>
      <c r="L166" s="4" t="str">
        <f>IF(entities[[#This Row],[hidden]]&lt;&gt;"",1,"")</f>
        <v/>
      </c>
      <c r="M166" s="4">
        <f>IF(entities[[#This Row],[friendly_name]]&lt;&gt;"",2,"")</f>
        <v>2</v>
      </c>
      <c r="N166" s="4" t="str">
        <f>IF(entities[[#This Row],[emulated_hue:]]&lt;&gt;"",3,"")</f>
        <v/>
      </c>
      <c r="O166" s="4" t="str">
        <f>IF(entities[[#This Row],[emulated_hue_name: ]]&lt;&gt;"",4,"")</f>
        <v/>
      </c>
      <c r="P166" s="4" t="str">
        <f>IF(entities[[#This Row],[entity_picture]]&lt;&gt;"",5,"")</f>
        <v/>
      </c>
      <c r="Q166" s="4" t="str">
        <f>IF(entities[[#This Row],[icon]]&lt;&gt;"",6,"")</f>
        <v/>
      </c>
      <c r="R166" s="4" t="str">
        <f>CONCATENATE(entities[[#This Row],[1]],entities[[#This Row],[2]],entities[[#This Row],[3]],entities[[#This Row],[4]],entities[[#This Row],[5]],entities[[#This Row],[6]])</f>
        <v>2</v>
      </c>
      <c r="S166">
        <f>6-COUNTBLANK(entities[[#This Row],[hidden]:[icon]])</f>
        <v>1</v>
      </c>
      <c r="T166">
        <f>IF(entities[[#This Row],[Num Attributes]]=0,"",
COUNTIFS(entities[Num Attributes],"&gt;0",entities[entity_id],"&lt;="&amp;entities[[#This Row],[entity_id]]))</f>
        <v>100</v>
      </c>
      <c r="U166" t="str">
        <f t="array" ref="U166">IFERROR(INDEX(cards[object_id],SMALL(IF(cards[[1]:[25]]=entities[[#This Row],[entity_id]],ROW(cards[])-7,99^99),1)),"")</f>
        <v/>
      </c>
      <c r="V166" t="str">
        <f>IF(entities[[#This Row],[In ''States'' tab?]]&lt;&gt;"ok",  "Not in Home Assistant",
IF(entities[[#This Row],[hidden]]="true",  "Hidden",
IF(entities[[#This Row],[Card]]&lt;&gt;"",
INDEX(cards[name],MATCH(entities[[#This Row],[Card]],cards[object_id],0)),  "Badge / automatic card")))</f>
        <v>Badge / automatic card</v>
      </c>
      <c r="W166" t="str">
        <f>IF(entities[[#This Row],[Card]]&lt;&gt;"","group."&amp;entities[[#This Row],[Card]],"")</f>
        <v/>
      </c>
      <c r="Z166" s="10"/>
      <c r="AD166"/>
    </row>
    <row r="167" spans="2:30" x14ac:dyDescent="0.25">
      <c r="B167" t="s">
        <v>237</v>
      </c>
      <c r="C167" t="s">
        <v>241</v>
      </c>
      <c r="D167" s="3" t="s">
        <v>243</v>
      </c>
      <c r="I167" t="s">
        <v>11</v>
      </c>
      <c r="J167" s="4" t="str">
        <f>IF(COUNTIF(Table4[Entity],entities[[#This Row],[entity_id]]),"ok","missing from States tab")</f>
        <v>ok</v>
      </c>
      <c r="K167" t="str">
        <f>entities[[#This Row],[domain]]&amp;"."&amp;entities[[#This Row],[object_id]]</f>
        <v>switch.switch4</v>
      </c>
      <c r="L167" s="4">
        <f>IF(entities[[#This Row],[hidden]]&lt;&gt;"",1,"")</f>
        <v>1</v>
      </c>
      <c r="M167" s="4" t="str">
        <f>IF(entities[[#This Row],[friendly_name]]&lt;&gt;"",2,"")</f>
        <v/>
      </c>
      <c r="N167" s="4" t="str">
        <f>IF(entities[[#This Row],[emulated_hue:]]&lt;&gt;"",3,"")</f>
        <v/>
      </c>
      <c r="O167" s="4" t="str">
        <f>IF(entities[[#This Row],[emulated_hue_name: ]]&lt;&gt;"",4,"")</f>
        <v/>
      </c>
      <c r="P167" s="4" t="str">
        <f>IF(entities[[#This Row],[entity_picture]]&lt;&gt;"",5,"")</f>
        <v/>
      </c>
      <c r="Q167" s="4" t="str">
        <f>IF(entities[[#This Row],[icon]]&lt;&gt;"",6,"")</f>
        <v/>
      </c>
      <c r="R167" s="4" t="str">
        <f>CONCATENATE(entities[[#This Row],[1]],entities[[#This Row],[2]],entities[[#This Row],[3]],entities[[#This Row],[4]],entities[[#This Row],[5]],entities[[#This Row],[6]])</f>
        <v>1</v>
      </c>
      <c r="S167">
        <f>6-COUNTBLANK(entities[[#This Row],[hidden]:[icon]])</f>
        <v>1</v>
      </c>
      <c r="T167">
        <f>IF(entities[[#This Row],[Num Attributes]]=0,"",
COUNTIFS(entities[Num Attributes],"&gt;0",entities[entity_id],"&lt;="&amp;entities[[#This Row],[entity_id]]))</f>
        <v>101</v>
      </c>
      <c r="U167" t="str">
        <f t="array" ref="U167">IFERROR(INDEX(cards[object_id],SMALL(IF(cards[[1]:[25]]=entities[[#This Row],[entity_id]],ROW(cards[])-7,99^99),1)),"")</f>
        <v/>
      </c>
      <c r="V167" t="str">
        <f>IF(entities[[#This Row],[In ''States'' tab?]]&lt;&gt;"ok",  "Not in Home Assistant",
IF(entities[[#This Row],[hidden]]="true",  "Hidden",
IF(entities[[#This Row],[Card]]&lt;&gt;"",
INDEX(cards[name],MATCH(entities[[#This Row],[Card]],cards[object_id],0)),  "Badge / automatic card")))</f>
        <v>Hidden</v>
      </c>
      <c r="W167" t="str">
        <f>IF(entities[[#This Row],[Card]]&lt;&gt;"","group."&amp;entities[[#This Row],[Card]],"")</f>
        <v/>
      </c>
      <c r="Z167" s="10"/>
      <c r="AD167"/>
    </row>
    <row r="168" spans="2:30" x14ac:dyDescent="0.25">
      <c r="B168" t="s">
        <v>237</v>
      </c>
      <c r="C168" t="s">
        <v>242</v>
      </c>
      <c r="D168" s="3" t="s">
        <v>243</v>
      </c>
      <c r="I168" t="s">
        <v>11</v>
      </c>
      <c r="J168" s="4" t="str">
        <f>IF(COUNTIF(Table4[Entity],entities[[#This Row],[entity_id]]),"ok","missing from States tab")</f>
        <v>ok</v>
      </c>
      <c r="K168" t="str">
        <f>entities[[#This Row],[domain]]&amp;"."&amp;entities[[#This Row],[object_id]]</f>
        <v>switch.switch5</v>
      </c>
      <c r="L168" s="4">
        <f>IF(entities[[#This Row],[hidden]]&lt;&gt;"",1,"")</f>
        <v>1</v>
      </c>
      <c r="M168" s="4" t="str">
        <f>IF(entities[[#This Row],[friendly_name]]&lt;&gt;"",2,"")</f>
        <v/>
      </c>
      <c r="N168" s="4" t="str">
        <f>IF(entities[[#This Row],[emulated_hue:]]&lt;&gt;"",3,"")</f>
        <v/>
      </c>
      <c r="O168" s="4" t="str">
        <f>IF(entities[[#This Row],[emulated_hue_name: ]]&lt;&gt;"",4,"")</f>
        <v/>
      </c>
      <c r="P168" s="4" t="str">
        <f>IF(entities[[#This Row],[entity_picture]]&lt;&gt;"",5,"")</f>
        <v/>
      </c>
      <c r="Q168" s="4" t="str">
        <f>IF(entities[[#This Row],[icon]]&lt;&gt;"",6,"")</f>
        <v/>
      </c>
      <c r="R168" s="4" t="str">
        <f>CONCATENATE(entities[[#This Row],[1]],entities[[#This Row],[2]],entities[[#This Row],[3]],entities[[#This Row],[4]],entities[[#This Row],[5]],entities[[#This Row],[6]])</f>
        <v>1</v>
      </c>
      <c r="S168">
        <f>6-COUNTBLANK(entities[[#This Row],[hidden]:[icon]])</f>
        <v>1</v>
      </c>
      <c r="T168">
        <f>IF(entities[[#This Row],[Num Attributes]]=0,"",
COUNTIFS(entities[Num Attributes],"&gt;0",entities[entity_id],"&lt;="&amp;entities[[#This Row],[entity_id]]))</f>
        <v>102</v>
      </c>
      <c r="U168" t="str">
        <f t="array" ref="U168">IFERROR(INDEX(cards[object_id],SMALL(IF(cards[[1]:[25]]=entities[[#This Row],[entity_id]],ROW(cards[])-7,99^99),1)),"")</f>
        <v/>
      </c>
      <c r="V168" t="str">
        <f>IF(entities[[#This Row],[In ''States'' tab?]]&lt;&gt;"ok",  "Not in Home Assistant",
IF(entities[[#This Row],[hidden]]="true",  "Hidden",
IF(entities[[#This Row],[Card]]&lt;&gt;"",
INDEX(cards[name],MATCH(entities[[#This Row],[Card]],cards[object_id],0)),  "Badge / automatic card")))</f>
        <v>Hidden</v>
      </c>
      <c r="W168" t="str">
        <f>IF(entities[[#This Row],[Card]]&lt;&gt;"","group."&amp;entities[[#This Row],[Card]],"")</f>
        <v/>
      </c>
      <c r="Z168" s="10"/>
      <c r="AD168"/>
    </row>
    <row r="169" spans="2:30" x14ac:dyDescent="0.25">
      <c r="B169" t="s">
        <v>707</v>
      </c>
      <c r="C169" t="s">
        <v>49</v>
      </c>
      <c r="J169" s="4" t="str">
        <f>IF(COUNTIF(Table4[Entity],entities[[#This Row],[entity_id]]),"ok","missing from States tab")</f>
        <v>ok</v>
      </c>
      <c r="K169" s="4" t="str">
        <f>entities[[#This Row],[domain]]&amp;"."&amp;entities[[#This Row],[object_id]]</f>
        <v>zone.home</v>
      </c>
      <c r="L169" s="4" t="str">
        <f>IF(entities[[#This Row],[hidden]]&lt;&gt;"",1,"")</f>
        <v/>
      </c>
      <c r="M169" s="4" t="str">
        <f>IF(entities[[#This Row],[friendly_name]]&lt;&gt;"",2,"")</f>
        <v/>
      </c>
      <c r="N169" s="4" t="str">
        <f>IF(entities[[#This Row],[emulated_hue:]]&lt;&gt;"",3,"")</f>
        <v/>
      </c>
      <c r="O169" s="4" t="str">
        <f>IF(entities[[#This Row],[emulated_hue_name: ]]&lt;&gt;"",4,"")</f>
        <v/>
      </c>
      <c r="P169" s="4" t="str">
        <f>IF(entities[[#This Row],[entity_picture]]&lt;&gt;"",5,"")</f>
        <v/>
      </c>
      <c r="Q169" s="4" t="str">
        <f>IF(entities[[#This Row],[icon]]&lt;&gt;"",6,"")</f>
        <v/>
      </c>
      <c r="R169" s="4" t="str">
        <f>CONCATENATE(entities[[#This Row],[1]],entities[[#This Row],[2]],entities[[#This Row],[3]],entities[[#This Row],[4]],entities[[#This Row],[5]],entities[[#This Row],[6]])</f>
        <v/>
      </c>
      <c r="S169" s="4">
        <f>6-COUNTBLANK(entities[[#This Row],[hidden]:[icon]])</f>
        <v>0</v>
      </c>
      <c r="T169" s="4" t="str">
        <f>IF(entities[[#This Row],[Num Attributes]]=0,"",
COUNTIFS(entities[Num Attributes],"&gt;0",entities[entity_id],"&lt;="&amp;entities[[#This Row],[entity_id]]))</f>
        <v/>
      </c>
      <c r="U169" s="4" t="str">
        <f t="array" ref="U169">IFERROR(INDEX(cards[object_id],SMALL(IF(cards[[1]:[25]]=entities[[#This Row],[entity_id]],ROW(cards[])-7,99^99),1)),"")</f>
        <v/>
      </c>
      <c r="V169" s="4" t="str">
        <f>IF(entities[[#This Row],[In ''States'' tab?]]&lt;&gt;"ok",  "Not in Home Assistant",
IF(entities[[#This Row],[hidden]]="true",  "Hidden",
IF(entities[[#This Row],[Card]]&lt;&gt;"",
INDEX(cards[name],MATCH(entities[[#This Row],[Card]],cards[object_id],0)),  "Badge / automatic card")))</f>
        <v>Badge / automatic card</v>
      </c>
      <c r="W169" s="4" t="str">
        <f>IF(entities[[#This Row],[Card]]&lt;&gt;"","group."&amp;entities[[#This Row],[Card]],"")</f>
        <v/>
      </c>
      <c r="Z169" s="10"/>
      <c r="AD169"/>
    </row>
  </sheetData>
  <conditionalFormatting sqref="J7:J169">
    <cfRule type="containsText" dxfId="61" priority="3" operator="containsText" text="missing">
      <formula>NOT(ISERROR(SEARCH("missing",J7)))</formula>
    </cfRule>
  </conditionalFormatting>
  <conditionalFormatting sqref="V7:V169">
    <cfRule type="containsText" dxfId="60" priority="2" operator="containsText" text="badge">
      <formula>NOT(ISERROR(SEARCH("badge",V7)))</formula>
    </cfRule>
  </conditionalFormatting>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R36"/>
  <sheetViews>
    <sheetView showGridLines="0" zoomScale="80" zoomScaleNormal="80" workbookViewId="0"/>
  </sheetViews>
  <sheetFormatPr defaultRowHeight="15" outlineLevelCol="1" x14ac:dyDescent="0.25"/>
  <cols>
    <col min="1" max="1" width="2.42578125" customWidth="1"/>
    <col min="2" max="2" width="4.28515625" bestFit="1" customWidth="1"/>
    <col min="3" max="3" width="21.42578125" bestFit="1" customWidth="1"/>
    <col min="4" max="7" width="14.140625" customWidth="1"/>
    <col min="8" max="32" width="5.5703125" customWidth="1"/>
    <col min="33" max="39" width="5.5703125" hidden="1" customWidth="1" outlineLevel="1"/>
    <col min="40" max="40" width="9.140625" hidden="1" customWidth="1" outlineLevel="1"/>
    <col min="41" max="41" width="9.140625" hidden="1" customWidth="1" outlineLevel="1" collapsed="1"/>
    <col min="42" max="66" width="5.5703125" hidden="1" customWidth="1" outlineLevel="1"/>
    <col min="67" max="67" width="12" bestFit="1" customWidth="1" collapsed="1"/>
    <col min="68" max="68" width="19.5703125" bestFit="1" customWidth="1"/>
    <col min="69" max="69" width="13.42578125" customWidth="1"/>
    <col min="70" max="70" width="33" bestFit="1" customWidth="1"/>
    <col min="71" max="71" width="16" customWidth="1"/>
    <col min="75" max="75" width="14.140625" customWidth="1"/>
    <col min="76" max="76" width="36.28515625" bestFit="1" customWidth="1"/>
    <col min="77" max="122" width="14.140625" customWidth="1"/>
    <col min="123" max="123" width="5.5703125" customWidth="1"/>
    <col min="127" max="127" width="4.85546875" customWidth="1"/>
  </cols>
  <sheetData>
    <row r="1" spans="1:70" ht="21" x14ac:dyDescent="0.35">
      <c r="A1" s="1" t="s">
        <v>837</v>
      </c>
    </row>
    <row r="3" spans="1:70" x14ac:dyDescent="0.25">
      <c r="A3" s="12" t="s">
        <v>607</v>
      </c>
    </row>
    <row r="4" spans="1:70" x14ac:dyDescent="0.25">
      <c r="A4" s="12" t="s">
        <v>722</v>
      </c>
    </row>
    <row r="5" spans="1:70" x14ac:dyDescent="0.25">
      <c r="AO5" t="s">
        <v>636</v>
      </c>
      <c r="AP5">
        <v>1</v>
      </c>
      <c r="AQ5">
        <v>2</v>
      </c>
      <c r="AR5">
        <v>3</v>
      </c>
      <c r="AS5">
        <v>4</v>
      </c>
      <c r="AT5">
        <v>5</v>
      </c>
      <c r="AU5">
        <v>6</v>
      </c>
      <c r="AV5">
        <v>7</v>
      </c>
      <c r="AW5">
        <v>8</v>
      </c>
      <c r="AX5">
        <v>9</v>
      </c>
      <c r="AY5">
        <v>10</v>
      </c>
      <c r="AZ5">
        <v>11</v>
      </c>
      <c r="BA5">
        <v>12</v>
      </c>
      <c r="BB5">
        <v>13</v>
      </c>
      <c r="BC5">
        <v>14</v>
      </c>
      <c r="BD5">
        <v>15</v>
      </c>
      <c r="BE5">
        <v>16</v>
      </c>
      <c r="BF5">
        <v>17</v>
      </c>
      <c r="BG5">
        <v>18</v>
      </c>
      <c r="BH5">
        <v>19</v>
      </c>
      <c r="BI5">
        <v>20</v>
      </c>
      <c r="BJ5">
        <v>21</v>
      </c>
      <c r="BK5">
        <v>22</v>
      </c>
      <c r="BL5">
        <v>23</v>
      </c>
      <c r="BM5">
        <v>24</v>
      </c>
      <c r="BN5">
        <v>25</v>
      </c>
    </row>
    <row r="6" spans="1:70" x14ac:dyDescent="0.25">
      <c r="B6" s="19"/>
      <c r="C6" s="37" t="s">
        <v>873</v>
      </c>
      <c r="D6" s="19" t="s">
        <v>872</v>
      </c>
      <c r="E6" s="19"/>
      <c r="F6" s="19"/>
      <c r="G6" s="19"/>
      <c r="H6" s="37" t="s">
        <v>875</v>
      </c>
      <c r="I6" s="19"/>
      <c r="J6" s="19"/>
      <c r="K6" s="19"/>
      <c r="L6" s="19"/>
      <c r="M6" s="19"/>
      <c r="N6" s="19"/>
      <c r="O6" s="19"/>
      <c r="P6" s="19"/>
      <c r="Q6" s="19"/>
      <c r="R6" s="19"/>
      <c r="S6" s="19"/>
      <c r="T6" s="19"/>
      <c r="U6" s="19"/>
      <c r="V6" s="19"/>
      <c r="W6" s="19"/>
      <c r="X6" s="19"/>
      <c r="Y6" s="19"/>
      <c r="Z6" s="19"/>
      <c r="AA6" s="19"/>
      <c r="AB6" s="19"/>
      <c r="AC6" s="19"/>
      <c r="AD6" s="19"/>
      <c r="AE6" s="19"/>
      <c r="AF6" s="19"/>
      <c r="AG6" s="19" t="s">
        <v>721</v>
      </c>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t="s">
        <v>890</v>
      </c>
      <c r="BP6" s="19"/>
      <c r="BQ6" s="19"/>
      <c r="BR6" s="19" t="s">
        <v>893</v>
      </c>
    </row>
    <row r="7" spans="1:70" x14ac:dyDescent="0.25">
      <c r="B7" t="s">
        <v>723</v>
      </c>
      <c r="C7" t="s">
        <v>157</v>
      </c>
      <c r="D7" t="s">
        <v>0</v>
      </c>
      <c r="E7" t="s">
        <v>341</v>
      </c>
      <c r="F7" t="s">
        <v>154</v>
      </c>
      <c r="G7" t="s">
        <v>796</v>
      </c>
      <c r="H7" t="s">
        <v>299</v>
      </c>
      <c r="I7" t="s">
        <v>300</v>
      </c>
      <c r="J7" t="s">
        <v>301</v>
      </c>
      <c r="K7" t="s">
        <v>351</v>
      </c>
      <c r="L7" t="s">
        <v>352</v>
      </c>
      <c r="M7" t="s">
        <v>353</v>
      </c>
      <c r="N7" t="s">
        <v>354</v>
      </c>
      <c r="O7" t="s">
        <v>355</v>
      </c>
      <c r="P7" t="s">
        <v>356</v>
      </c>
      <c r="Q7" t="s">
        <v>357</v>
      </c>
      <c r="R7" t="s">
        <v>358</v>
      </c>
      <c r="S7" t="s">
        <v>359</v>
      </c>
      <c r="T7" t="s">
        <v>360</v>
      </c>
      <c r="U7" t="s">
        <v>361</v>
      </c>
      <c r="V7" t="s">
        <v>362</v>
      </c>
      <c r="W7" t="s">
        <v>363</v>
      </c>
      <c r="X7" t="s">
        <v>364</v>
      </c>
      <c r="Y7" t="s">
        <v>365</v>
      </c>
      <c r="Z7" t="s">
        <v>366</v>
      </c>
      <c r="AA7" t="s">
        <v>367</v>
      </c>
      <c r="AB7" t="s">
        <v>368</v>
      </c>
      <c r="AC7" t="s">
        <v>369</v>
      </c>
      <c r="AD7" t="s">
        <v>370</v>
      </c>
      <c r="AE7" t="s">
        <v>371</v>
      </c>
      <c r="AF7" t="s">
        <v>372</v>
      </c>
      <c r="AG7" s="9" t="s">
        <v>720</v>
      </c>
      <c r="AH7" s="9" t="s">
        <v>808</v>
      </c>
      <c r="AI7" s="9" t="s">
        <v>809</v>
      </c>
      <c r="AJ7" s="9" t="s">
        <v>810</v>
      </c>
      <c r="AK7" s="9" t="s">
        <v>811</v>
      </c>
      <c r="AL7" s="9" t="s">
        <v>798</v>
      </c>
      <c r="AM7" s="9" t="s">
        <v>791</v>
      </c>
      <c r="AN7" s="9" t="s">
        <v>604</v>
      </c>
      <c r="AO7" s="9" t="s">
        <v>377</v>
      </c>
      <c r="AP7" s="9" t="s">
        <v>611</v>
      </c>
      <c r="AQ7" s="9" t="s">
        <v>612</v>
      </c>
      <c r="AR7" s="9" t="s">
        <v>613</v>
      </c>
      <c r="AS7" s="9" t="s">
        <v>614</v>
      </c>
      <c r="AT7" s="9" t="s">
        <v>615</v>
      </c>
      <c r="AU7" s="9" t="s">
        <v>616</v>
      </c>
      <c r="AV7" s="9" t="s">
        <v>617</v>
      </c>
      <c r="AW7" s="9" t="s">
        <v>618</v>
      </c>
      <c r="AX7" s="9" t="s">
        <v>619</v>
      </c>
      <c r="AY7" s="9" t="s">
        <v>620</v>
      </c>
      <c r="AZ7" s="9" t="s">
        <v>621</v>
      </c>
      <c r="BA7" s="9" t="s">
        <v>622</v>
      </c>
      <c r="BB7" s="9" t="s">
        <v>623</v>
      </c>
      <c r="BC7" s="9" t="s">
        <v>624</v>
      </c>
      <c r="BD7" s="9" t="s">
        <v>625</v>
      </c>
      <c r="BE7" s="9" t="s">
        <v>626</v>
      </c>
      <c r="BF7" s="9" t="s">
        <v>627</v>
      </c>
      <c r="BG7" s="9" t="s">
        <v>628</v>
      </c>
      <c r="BH7" s="9" t="s">
        <v>629</v>
      </c>
      <c r="BI7" s="9" t="s">
        <v>630</v>
      </c>
      <c r="BJ7" s="9" t="s">
        <v>631</v>
      </c>
      <c r="BK7" s="9" t="s">
        <v>632</v>
      </c>
      <c r="BL7" s="9" t="s">
        <v>633</v>
      </c>
      <c r="BM7" s="9" t="s">
        <v>634</v>
      </c>
      <c r="BN7" s="9" t="s">
        <v>635</v>
      </c>
      <c r="BO7" s="9" t="s">
        <v>639</v>
      </c>
      <c r="BP7" s="9" t="s">
        <v>888</v>
      </c>
      <c r="BQ7" s="9" t="s">
        <v>889</v>
      </c>
      <c r="BR7" s="18" t="s">
        <v>155</v>
      </c>
    </row>
    <row r="8" spans="1:70" x14ac:dyDescent="0.25">
      <c r="B8">
        <v>1</v>
      </c>
      <c r="C8" t="s">
        <v>573</v>
      </c>
      <c r="D8" t="s">
        <v>785</v>
      </c>
      <c r="H8" t="s">
        <v>19</v>
      </c>
      <c r="I8" t="s">
        <v>21</v>
      </c>
      <c r="AG8">
        <f>ROW(cards[[#This Row],[object_id order]])-ROW(cards[])+1</f>
        <v>1</v>
      </c>
      <c r="AH8">
        <f ca="1">IF(OFFSET(cards[[#This Row],[object_id]],0,1)&lt;&gt;"",1,"")</f>
        <v>1</v>
      </c>
      <c r="AI8" t="str">
        <f ca="1">IF(OFFSET(cards[[#This Row],[object_id]],0,2)&lt;&gt;"",2,"")</f>
        <v/>
      </c>
      <c r="AJ8" t="str">
        <f ca="1">IF(OFFSET(cards[[#This Row],[object_id]],0,3)&lt;&gt;"",3,"")</f>
        <v/>
      </c>
      <c r="AK8" t="str">
        <f ca="1">IF(OFFSET(cards[[#This Row],[object_id]],0,4)&lt;&gt;"",4,"")</f>
        <v/>
      </c>
      <c r="AL8" t="str">
        <f ca="1">CONCATENATE(cards[[#This Row],[A1]],cards[[#This Row],[A2]],cards[[#This Row],[A3]],cards[[#This Row],[A4]])</f>
        <v>1</v>
      </c>
      <c r="AM8">
        <f ca="1">LEN(cards[[#This Row],[Attribute Index]])</f>
        <v>1</v>
      </c>
      <c r="AN8">
        <f>COUNTA(cards[[#This Row],[1]:[25]])</f>
        <v>2</v>
      </c>
      <c r="AO8">
        <f>MATCH(TRUE,INDEX(ISBLANK(cards[[#This Row],[1]:[25]]),0,0),0)</f>
        <v>3</v>
      </c>
      <c r="AP8" t="str">
        <f ca="1">IF(OFFSET(cards[[#This Row],[1]],0,AP$5-1)="","",
  IF(COUNTIF(entities[entity_id],
OFFSET(cards[[#This Row],[1]],0,AP$5-1))&lt;&gt;1,
"missing",
IF(COUNTIF(cards[[#This Row],[1]:[25]],OFFSET(cards[[#This Row],[1]],0,AP$5-1))&gt;1,"duplicate","ok")))</f>
        <v>ok</v>
      </c>
      <c r="AQ8" t="str">
        <f ca="1">IF(OFFSET(cards[[#This Row],[1]],0,AQ$5-1)="","",
  IF(COUNTIF(entities[entity_id],
OFFSET(cards[[#This Row],[1]],0,AQ$5-1))&lt;&gt;1,
"missing",
IF(COUNTIF(cards[[#This Row],[1]:[25]],OFFSET(cards[[#This Row],[1]],0,AQ$5-1))&gt;1,"duplicate","ok")))</f>
        <v>ok</v>
      </c>
      <c r="AR8" t="str">
        <f ca="1">IF(OFFSET(cards[[#This Row],[1]],0,AR$5-1)="","",
  IF(COUNTIF(entities[entity_id],
OFFSET(cards[[#This Row],[1]],0,AR$5-1))&lt;&gt;1,
"missing",
IF(COUNTIF(cards[[#This Row],[1]:[25]],OFFSET(cards[[#This Row],[1]],0,AR$5-1))&gt;1,"duplicate","ok")))</f>
        <v/>
      </c>
      <c r="AS8" t="str">
        <f ca="1">IF(OFFSET(cards[[#This Row],[1]],0,AS$5-1)="","",
  IF(COUNTIF(entities[entity_id],
OFFSET(cards[[#This Row],[1]],0,AS$5-1))&lt;&gt;1,
"missing",
IF(COUNTIF(cards[[#This Row],[1]:[25]],OFFSET(cards[[#This Row],[1]],0,AS$5-1))&gt;1,"duplicate","ok")))</f>
        <v/>
      </c>
      <c r="AT8" t="str">
        <f ca="1">IF(OFFSET(cards[[#This Row],[1]],0,AT$5-1)="","",
  IF(COUNTIF(entities[entity_id],
OFFSET(cards[[#This Row],[1]],0,AT$5-1))&lt;&gt;1,
"missing",
IF(COUNTIF(cards[[#This Row],[1]:[25]],OFFSET(cards[[#This Row],[1]],0,AT$5-1))&gt;1,"duplicate","ok")))</f>
        <v/>
      </c>
      <c r="AU8" t="str">
        <f ca="1">IF(OFFSET(cards[[#This Row],[1]],0,AU$5-1)="","",
  IF(COUNTIF(entities[entity_id],
OFFSET(cards[[#This Row],[1]],0,AU$5-1))&lt;&gt;1,
"missing",
IF(COUNTIF(cards[[#This Row],[1]:[25]],OFFSET(cards[[#This Row],[1]],0,AU$5-1))&gt;1,"duplicate","ok")))</f>
        <v/>
      </c>
      <c r="AV8" t="str">
        <f ca="1">IF(OFFSET(cards[[#This Row],[1]],0,AV$5-1)="","",
  IF(COUNTIF(entities[entity_id],
OFFSET(cards[[#This Row],[1]],0,AV$5-1))&lt;&gt;1,
"missing",
IF(COUNTIF(cards[[#This Row],[1]:[25]],OFFSET(cards[[#This Row],[1]],0,AV$5-1))&gt;1,"duplicate","ok")))</f>
        <v/>
      </c>
      <c r="AW8" t="str">
        <f ca="1">IF(OFFSET(cards[[#This Row],[1]],0,AW$5-1)="","",
  IF(COUNTIF(entities[entity_id],
OFFSET(cards[[#This Row],[1]],0,AW$5-1))&lt;&gt;1,
"missing",
IF(COUNTIF(cards[[#This Row],[1]:[25]],OFFSET(cards[[#This Row],[1]],0,AW$5-1))&gt;1,"duplicate","ok")))</f>
        <v/>
      </c>
      <c r="AX8" t="str">
        <f ca="1">IF(OFFSET(cards[[#This Row],[1]],0,AX$5-1)="","",
  IF(COUNTIF(entities[entity_id],
OFFSET(cards[[#This Row],[1]],0,AX$5-1))&lt;&gt;1,
"missing",
IF(COUNTIF(cards[[#This Row],[1]:[25]],OFFSET(cards[[#This Row],[1]],0,AX$5-1))&gt;1,"duplicate","ok")))</f>
        <v/>
      </c>
      <c r="AY8" t="str">
        <f ca="1">IF(OFFSET(cards[[#This Row],[1]],0,AY$5-1)="","",
  IF(COUNTIF(entities[entity_id],
OFFSET(cards[[#This Row],[1]],0,AY$5-1))&lt;&gt;1,
"missing",
IF(COUNTIF(cards[[#This Row],[1]:[25]],OFFSET(cards[[#This Row],[1]],0,AY$5-1))&gt;1,"duplicate","ok")))</f>
        <v/>
      </c>
      <c r="AZ8" t="str">
        <f ca="1">IF(OFFSET(cards[[#This Row],[1]],0,AZ$5-1)="","",
  IF(COUNTIF(entities[entity_id],
OFFSET(cards[[#This Row],[1]],0,AZ$5-1))&lt;&gt;1,
"missing",
IF(COUNTIF(cards[[#This Row],[1]:[25]],OFFSET(cards[[#This Row],[1]],0,AZ$5-1))&gt;1,"duplicate","ok")))</f>
        <v/>
      </c>
      <c r="BA8" t="str">
        <f ca="1">IF(OFFSET(cards[[#This Row],[1]],0,BA$5-1)="","",
  IF(COUNTIF(entities[entity_id],
OFFSET(cards[[#This Row],[1]],0,BA$5-1))&lt;&gt;1,
"missing",
IF(COUNTIF(cards[[#This Row],[1]:[25]],OFFSET(cards[[#This Row],[1]],0,BA$5-1))&gt;1,"duplicate","ok")))</f>
        <v/>
      </c>
      <c r="BB8" t="str">
        <f ca="1">IF(OFFSET(cards[[#This Row],[1]],0,BB$5-1)="","",
  IF(COUNTIF(entities[entity_id],
OFFSET(cards[[#This Row],[1]],0,BB$5-1))&lt;&gt;1,
"missing",
IF(COUNTIF(cards[[#This Row],[1]:[25]],OFFSET(cards[[#This Row],[1]],0,BB$5-1))&gt;1,"duplicate","ok")))</f>
        <v/>
      </c>
      <c r="BC8" t="str">
        <f ca="1">IF(OFFSET(cards[[#This Row],[1]],0,BC$5-1)="","",
  IF(COUNTIF(entities[entity_id],
OFFSET(cards[[#This Row],[1]],0,BC$5-1))&lt;&gt;1,
"missing",
IF(COUNTIF(cards[[#This Row],[1]:[25]],OFFSET(cards[[#This Row],[1]],0,BC$5-1))&gt;1,"duplicate","ok")))</f>
        <v/>
      </c>
      <c r="BD8" t="str">
        <f ca="1">IF(OFFSET(cards[[#This Row],[1]],0,BD$5-1)="","",
  IF(COUNTIF(entities[entity_id],
OFFSET(cards[[#This Row],[1]],0,BD$5-1))&lt;&gt;1,
"missing",
IF(COUNTIF(cards[[#This Row],[1]:[25]],OFFSET(cards[[#This Row],[1]],0,BD$5-1))&gt;1,"duplicate","ok")))</f>
        <v/>
      </c>
      <c r="BE8" t="str">
        <f ca="1">IF(OFFSET(cards[[#This Row],[1]],0,BE$5-1)="","",
  IF(COUNTIF(entities[entity_id],
OFFSET(cards[[#This Row],[1]],0,BE$5-1))&lt;&gt;1,
"missing",
IF(COUNTIF(cards[[#This Row],[1]:[25]],OFFSET(cards[[#This Row],[1]],0,BE$5-1))&gt;1,"duplicate","ok")))</f>
        <v/>
      </c>
      <c r="BF8" t="str">
        <f ca="1">IF(OFFSET(cards[[#This Row],[1]],0,BF$5-1)="","",
  IF(COUNTIF(entities[entity_id],
OFFSET(cards[[#This Row],[1]],0,BF$5-1))&lt;&gt;1,
"missing",
IF(COUNTIF(cards[[#This Row],[1]:[25]],OFFSET(cards[[#This Row],[1]],0,BF$5-1))&gt;1,"duplicate","ok")))</f>
        <v/>
      </c>
      <c r="BG8" t="str">
        <f ca="1">IF(OFFSET(cards[[#This Row],[1]],0,BG$5-1)="","",
  IF(COUNTIF(entities[entity_id],
OFFSET(cards[[#This Row],[1]],0,BG$5-1))&lt;&gt;1,
"missing",
IF(COUNTIF(cards[[#This Row],[1]:[25]],OFFSET(cards[[#This Row],[1]],0,BG$5-1))&gt;1,"duplicate","ok")))</f>
        <v/>
      </c>
      <c r="BH8" t="str">
        <f ca="1">IF(OFFSET(cards[[#This Row],[1]],0,BH$5-1)="","",
  IF(COUNTIF(entities[entity_id],
OFFSET(cards[[#This Row],[1]],0,BH$5-1))&lt;&gt;1,
"missing",
IF(COUNTIF(cards[[#This Row],[1]:[25]],OFFSET(cards[[#This Row],[1]],0,BH$5-1))&gt;1,"duplicate","ok")))</f>
        <v/>
      </c>
      <c r="BI8" t="str">
        <f ca="1">IF(OFFSET(cards[[#This Row],[1]],0,BI$5-1)="","",
  IF(COUNTIF(entities[entity_id],
OFFSET(cards[[#This Row],[1]],0,BI$5-1))&lt;&gt;1,
"missing",
IF(COUNTIF(cards[[#This Row],[1]:[25]],OFFSET(cards[[#This Row],[1]],0,BI$5-1))&gt;1,"duplicate","ok")))</f>
        <v/>
      </c>
      <c r="BJ8" t="str">
        <f ca="1">IF(OFFSET(cards[[#This Row],[1]],0,BJ$5-1)="","",
  IF(COUNTIF(entities[entity_id],
OFFSET(cards[[#This Row],[1]],0,BJ$5-1))&lt;&gt;1,
"missing",
IF(COUNTIF(cards[[#This Row],[1]:[25]],OFFSET(cards[[#This Row],[1]],0,BJ$5-1))&gt;1,"duplicate","ok")))</f>
        <v/>
      </c>
      <c r="BK8" t="str">
        <f ca="1">IF(OFFSET(cards[[#This Row],[1]],0,BK$5-1)="","",
  IF(COUNTIF(entities[entity_id],
OFFSET(cards[[#This Row],[1]],0,BK$5-1))&lt;&gt;1,
"missing",
IF(COUNTIF(cards[[#This Row],[1]:[25]],OFFSET(cards[[#This Row],[1]],0,BK$5-1))&gt;1,"duplicate","ok")))</f>
        <v/>
      </c>
      <c r="BL8" t="str">
        <f ca="1">IF(OFFSET(cards[[#This Row],[1]],0,BL$5-1)="","",
  IF(COUNTIF(entities[entity_id],
OFFSET(cards[[#This Row],[1]],0,BL$5-1))&lt;&gt;1,
"missing",
IF(COUNTIF(cards[[#This Row],[1]:[25]],OFFSET(cards[[#This Row],[1]],0,BL$5-1))&gt;1,"duplicate","ok")))</f>
        <v/>
      </c>
      <c r="BM8" t="str">
        <f ca="1">IF(OFFSET(cards[[#This Row],[1]],0,BM$5-1)="","",
  IF(COUNTIF(entities[entity_id],
OFFSET(cards[[#This Row],[1]],0,BM$5-1))&lt;&gt;1,
"missing",
IF(COUNTIF(cards[[#This Row],[1]:[25]],OFFSET(cards[[#This Row],[1]],0,BM$5-1))&gt;1,"duplicate","ok")))</f>
        <v/>
      </c>
      <c r="BN8" t="str">
        <f ca="1">IF(OFFSET(cards[[#This Row],[1]],0,BN$5-1)="","",
  IF(COUNTIF(entities[entity_id],
OFFSET(cards[[#This Row],[1]],0,BN$5-1))&lt;&gt;1,
"missing",
IF(COUNTIF(cards[[#This Row],[1]:[25]],OFFSET(cards[[#This Row],[1]],0,BN$5-1))&gt;1,"duplicate","ok")))</f>
        <v/>
      </c>
      <c r="BO8" t="str">
        <f>IF(cards[[#This Row],[First space]]-cards[[#This Row],[Entities count]]=1,"ok","Check entitiy names")</f>
        <v>ok</v>
      </c>
      <c r="BP8" s="4" t="str">
        <f ca="1">IF(COUNTIF(cards[[#This Row],[C1]:[C25]],"missing")=0,"ok","some entities missing from Entities tab")</f>
        <v>ok</v>
      </c>
      <c r="BQ8" t="str">
        <f ca="1">IF(COUNTIF(cards[[#This Row],[C1]:[C25]],"duplicate")=0,"ok","some duplicates")</f>
        <v>ok</v>
      </c>
      <c r="BR8" t="str">
        <f>"group."&amp;cards[[#This Row],[object_id]]</f>
        <v>group.automation_almclk</v>
      </c>
    </row>
    <row r="9" spans="1:70" x14ac:dyDescent="0.25">
      <c r="B9">
        <v>2</v>
      </c>
      <c r="C9" t="s">
        <v>575</v>
      </c>
      <c r="D9" t="s">
        <v>786</v>
      </c>
      <c r="H9" t="s">
        <v>20</v>
      </c>
      <c r="I9" t="s">
        <v>21</v>
      </c>
      <c r="J9" t="s">
        <v>22</v>
      </c>
      <c r="AG9">
        <f>ROW(cards[[#This Row],[object_id order]])-ROW(cards[])+1</f>
        <v>2</v>
      </c>
      <c r="AH9">
        <f ca="1">IF(OFFSET(cards[[#This Row],[object_id]],0,1)&lt;&gt;"",1,"")</f>
        <v>1</v>
      </c>
      <c r="AI9" t="str">
        <f ca="1">IF(OFFSET(cards[[#This Row],[object_id]],0,2)&lt;&gt;"",2,"")</f>
        <v/>
      </c>
      <c r="AJ9" t="str">
        <f ca="1">IF(OFFSET(cards[[#This Row],[object_id]],0,3)&lt;&gt;"",3,"")</f>
        <v/>
      </c>
      <c r="AK9" t="str">
        <f ca="1">IF(OFFSET(cards[[#This Row],[object_id]],0,4)&lt;&gt;"",4,"")</f>
        <v/>
      </c>
      <c r="AL9" t="str">
        <f ca="1">CONCATENATE(cards[[#This Row],[A1]],cards[[#This Row],[A2]],cards[[#This Row],[A3]],cards[[#This Row],[A4]])</f>
        <v>1</v>
      </c>
      <c r="AM9">
        <f ca="1">LEN(cards[[#This Row],[Attribute Index]])</f>
        <v>1</v>
      </c>
      <c r="AN9" s="4">
        <f>COUNTA(cards[[#This Row],[1]:[25]])</f>
        <v>3</v>
      </c>
      <c r="AO9" s="4">
        <f>MATCH(TRUE,INDEX(ISBLANK(cards[[#This Row],[1]:[25]]),0,0),0)</f>
        <v>4</v>
      </c>
      <c r="AP9" t="str">
        <f ca="1">IF(OFFSET(cards[[#This Row],[1]],0,AP$5-1)="","",
  IF(COUNTIF(entities[entity_id],
OFFSET(cards[[#This Row],[1]],0,AP$5-1))&lt;&gt;1,
"missing",
IF(COUNTIF(cards[[#This Row],[1]:[25]],OFFSET(cards[[#This Row],[1]],0,AP$5-1))&gt;1,"duplicate","ok")))</f>
        <v>ok</v>
      </c>
      <c r="AQ9" t="str">
        <f ca="1">IF(OFFSET(cards[[#This Row],[1]],0,AQ$5-1)="","",
  IF(COUNTIF(entities[entity_id],
OFFSET(cards[[#This Row],[1]],0,AQ$5-1))&lt;&gt;1,
"missing",
IF(COUNTIF(cards[[#This Row],[1]:[25]],OFFSET(cards[[#This Row],[1]],0,AQ$5-1))&gt;1,"duplicate","ok")))</f>
        <v>ok</v>
      </c>
      <c r="AR9" t="str">
        <f ca="1">IF(OFFSET(cards[[#This Row],[1]],0,AR$5-1)="","",
  IF(COUNTIF(entities[entity_id],
OFFSET(cards[[#This Row],[1]],0,AR$5-1))&lt;&gt;1,
"missing",
IF(COUNTIF(cards[[#This Row],[1]:[25]],OFFSET(cards[[#This Row],[1]],0,AR$5-1))&gt;1,"duplicate","ok")))</f>
        <v>ok</v>
      </c>
      <c r="AS9" t="str">
        <f ca="1">IF(OFFSET(cards[[#This Row],[1]],0,AS$5-1)="","",
  IF(COUNTIF(entities[entity_id],
OFFSET(cards[[#This Row],[1]],0,AS$5-1))&lt;&gt;1,
"missing",
IF(COUNTIF(cards[[#This Row],[1]:[25]],OFFSET(cards[[#This Row],[1]],0,AS$5-1))&gt;1,"duplicate","ok")))</f>
        <v/>
      </c>
      <c r="AT9" t="str">
        <f ca="1">IF(OFFSET(cards[[#This Row],[1]],0,AT$5-1)="","",
  IF(COUNTIF(entities[entity_id],
OFFSET(cards[[#This Row],[1]],0,AT$5-1))&lt;&gt;1,
"missing",
IF(COUNTIF(cards[[#This Row],[1]:[25]],OFFSET(cards[[#This Row],[1]],0,AT$5-1))&gt;1,"duplicate","ok")))</f>
        <v/>
      </c>
      <c r="AU9" t="str">
        <f ca="1">IF(OFFSET(cards[[#This Row],[1]],0,AU$5-1)="","",
  IF(COUNTIF(entities[entity_id],
OFFSET(cards[[#This Row],[1]],0,AU$5-1))&lt;&gt;1,
"missing",
IF(COUNTIF(cards[[#This Row],[1]:[25]],OFFSET(cards[[#This Row],[1]],0,AU$5-1))&gt;1,"duplicate","ok")))</f>
        <v/>
      </c>
      <c r="AV9" t="str">
        <f ca="1">IF(OFFSET(cards[[#This Row],[1]],0,AV$5-1)="","",
  IF(COUNTIF(entities[entity_id],
OFFSET(cards[[#This Row],[1]],0,AV$5-1))&lt;&gt;1,
"missing",
IF(COUNTIF(cards[[#This Row],[1]:[25]],OFFSET(cards[[#This Row],[1]],0,AV$5-1))&gt;1,"duplicate","ok")))</f>
        <v/>
      </c>
      <c r="AW9" t="str">
        <f ca="1">IF(OFFSET(cards[[#This Row],[1]],0,AW$5-1)="","",
  IF(COUNTIF(entities[entity_id],
OFFSET(cards[[#This Row],[1]],0,AW$5-1))&lt;&gt;1,
"missing",
IF(COUNTIF(cards[[#This Row],[1]:[25]],OFFSET(cards[[#This Row],[1]],0,AW$5-1))&gt;1,"duplicate","ok")))</f>
        <v/>
      </c>
      <c r="AX9" t="str">
        <f ca="1">IF(OFFSET(cards[[#This Row],[1]],0,AX$5-1)="","",
  IF(COUNTIF(entities[entity_id],
OFFSET(cards[[#This Row],[1]],0,AX$5-1))&lt;&gt;1,
"missing",
IF(COUNTIF(cards[[#This Row],[1]:[25]],OFFSET(cards[[#This Row],[1]],0,AX$5-1))&gt;1,"duplicate","ok")))</f>
        <v/>
      </c>
      <c r="AY9" t="str">
        <f ca="1">IF(OFFSET(cards[[#This Row],[1]],0,AY$5-1)="","",
  IF(COUNTIF(entities[entity_id],
OFFSET(cards[[#This Row],[1]],0,AY$5-1))&lt;&gt;1,
"missing",
IF(COUNTIF(cards[[#This Row],[1]:[25]],OFFSET(cards[[#This Row],[1]],0,AY$5-1))&gt;1,"duplicate","ok")))</f>
        <v/>
      </c>
      <c r="AZ9" t="str">
        <f ca="1">IF(OFFSET(cards[[#This Row],[1]],0,AZ$5-1)="","",
  IF(COUNTIF(entities[entity_id],
OFFSET(cards[[#This Row],[1]],0,AZ$5-1))&lt;&gt;1,
"missing",
IF(COUNTIF(cards[[#This Row],[1]:[25]],OFFSET(cards[[#This Row],[1]],0,AZ$5-1))&gt;1,"duplicate","ok")))</f>
        <v/>
      </c>
      <c r="BA9" t="str">
        <f ca="1">IF(OFFSET(cards[[#This Row],[1]],0,BA$5-1)="","",
  IF(COUNTIF(entities[entity_id],
OFFSET(cards[[#This Row],[1]],0,BA$5-1))&lt;&gt;1,
"missing",
IF(COUNTIF(cards[[#This Row],[1]:[25]],OFFSET(cards[[#This Row],[1]],0,BA$5-1))&gt;1,"duplicate","ok")))</f>
        <v/>
      </c>
      <c r="BB9" t="str">
        <f ca="1">IF(OFFSET(cards[[#This Row],[1]],0,BB$5-1)="","",
  IF(COUNTIF(entities[entity_id],
OFFSET(cards[[#This Row],[1]],0,BB$5-1))&lt;&gt;1,
"missing",
IF(COUNTIF(cards[[#This Row],[1]:[25]],OFFSET(cards[[#This Row],[1]],0,BB$5-1))&gt;1,"duplicate","ok")))</f>
        <v/>
      </c>
      <c r="BC9" t="str">
        <f ca="1">IF(OFFSET(cards[[#This Row],[1]],0,BC$5-1)="","",
  IF(COUNTIF(entities[entity_id],
OFFSET(cards[[#This Row],[1]],0,BC$5-1))&lt;&gt;1,
"missing",
IF(COUNTIF(cards[[#This Row],[1]:[25]],OFFSET(cards[[#This Row],[1]],0,BC$5-1))&gt;1,"duplicate","ok")))</f>
        <v/>
      </c>
      <c r="BD9" t="str">
        <f ca="1">IF(OFFSET(cards[[#This Row],[1]],0,BD$5-1)="","",
  IF(COUNTIF(entities[entity_id],
OFFSET(cards[[#This Row],[1]],0,BD$5-1))&lt;&gt;1,
"missing",
IF(COUNTIF(cards[[#This Row],[1]:[25]],OFFSET(cards[[#This Row],[1]],0,BD$5-1))&gt;1,"duplicate","ok")))</f>
        <v/>
      </c>
      <c r="BE9" t="str">
        <f ca="1">IF(OFFSET(cards[[#This Row],[1]],0,BE$5-1)="","",
  IF(COUNTIF(entities[entity_id],
OFFSET(cards[[#This Row],[1]],0,BE$5-1))&lt;&gt;1,
"missing",
IF(COUNTIF(cards[[#This Row],[1]:[25]],OFFSET(cards[[#This Row],[1]],0,BE$5-1))&gt;1,"duplicate","ok")))</f>
        <v/>
      </c>
      <c r="BF9" t="str">
        <f ca="1">IF(OFFSET(cards[[#This Row],[1]],0,BF$5-1)="","",
  IF(COUNTIF(entities[entity_id],
OFFSET(cards[[#This Row],[1]],0,BF$5-1))&lt;&gt;1,
"missing",
IF(COUNTIF(cards[[#This Row],[1]:[25]],OFFSET(cards[[#This Row],[1]],0,BF$5-1))&gt;1,"duplicate","ok")))</f>
        <v/>
      </c>
      <c r="BG9" t="str">
        <f ca="1">IF(OFFSET(cards[[#This Row],[1]],0,BG$5-1)="","",
  IF(COUNTIF(entities[entity_id],
OFFSET(cards[[#This Row],[1]],0,BG$5-1))&lt;&gt;1,
"missing",
IF(COUNTIF(cards[[#This Row],[1]:[25]],OFFSET(cards[[#This Row],[1]],0,BG$5-1))&gt;1,"duplicate","ok")))</f>
        <v/>
      </c>
      <c r="BH9" t="str">
        <f ca="1">IF(OFFSET(cards[[#This Row],[1]],0,BH$5-1)="","",
  IF(COUNTIF(entities[entity_id],
OFFSET(cards[[#This Row],[1]],0,BH$5-1))&lt;&gt;1,
"missing",
IF(COUNTIF(cards[[#This Row],[1]:[25]],OFFSET(cards[[#This Row],[1]],0,BH$5-1))&gt;1,"duplicate","ok")))</f>
        <v/>
      </c>
      <c r="BI9" t="str">
        <f ca="1">IF(OFFSET(cards[[#This Row],[1]],0,BI$5-1)="","",
  IF(COUNTIF(entities[entity_id],
OFFSET(cards[[#This Row],[1]],0,BI$5-1))&lt;&gt;1,
"missing",
IF(COUNTIF(cards[[#This Row],[1]:[25]],OFFSET(cards[[#This Row],[1]],0,BI$5-1))&gt;1,"duplicate","ok")))</f>
        <v/>
      </c>
      <c r="BJ9" t="str">
        <f ca="1">IF(OFFSET(cards[[#This Row],[1]],0,BJ$5-1)="","",
  IF(COUNTIF(entities[entity_id],
OFFSET(cards[[#This Row],[1]],0,BJ$5-1))&lt;&gt;1,
"missing",
IF(COUNTIF(cards[[#This Row],[1]:[25]],OFFSET(cards[[#This Row],[1]],0,BJ$5-1))&gt;1,"duplicate","ok")))</f>
        <v/>
      </c>
      <c r="BK9" t="str">
        <f ca="1">IF(OFFSET(cards[[#This Row],[1]],0,BK$5-1)="","",
  IF(COUNTIF(entities[entity_id],
OFFSET(cards[[#This Row],[1]],0,BK$5-1))&lt;&gt;1,
"missing",
IF(COUNTIF(cards[[#This Row],[1]:[25]],OFFSET(cards[[#This Row],[1]],0,BK$5-1))&gt;1,"duplicate","ok")))</f>
        <v/>
      </c>
      <c r="BL9" t="str">
        <f ca="1">IF(OFFSET(cards[[#This Row],[1]],0,BL$5-1)="","",
  IF(COUNTIF(entities[entity_id],
OFFSET(cards[[#This Row],[1]],0,BL$5-1))&lt;&gt;1,
"missing",
IF(COUNTIF(cards[[#This Row],[1]:[25]],OFFSET(cards[[#This Row],[1]],0,BL$5-1))&gt;1,"duplicate","ok")))</f>
        <v/>
      </c>
      <c r="BM9" t="str">
        <f ca="1">IF(OFFSET(cards[[#This Row],[1]],0,BM$5-1)="","",
  IF(COUNTIF(entities[entity_id],
OFFSET(cards[[#This Row],[1]],0,BM$5-1))&lt;&gt;1,
"missing",
IF(COUNTIF(cards[[#This Row],[1]:[25]],OFFSET(cards[[#This Row],[1]],0,BM$5-1))&gt;1,"duplicate","ok")))</f>
        <v/>
      </c>
      <c r="BN9" t="str">
        <f ca="1">IF(OFFSET(cards[[#This Row],[1]],0,BN$5-1)="","",
  IF(COUNTIF(entities[entity_id],
OFFSET(cards[[#This Row],[1]],0,BN$5-1))&lt;&gt;1,
"missing",
IF(COUNTIF(cards[[#This Row],[1]:[25]],OFFSET(cards[[#This Row],[1]],0,BN$5-1))&gt;1,"duplicate","ok")))</f>
        <v/>
      </c>
      <c r="BO9" s="4" t="str">
        <f>IF(cards[[#This Row],[First space]]-cards[[#This Row],[Entities count]]=1,"ok","Check entitiy names")</f>
        <v>ok</v>
      </c>
      <c r="BP9" s="4" t="str">
        <f ca="1">IF(COUNTIF(cards[[#This Row],[C1]:[C25]],"missing")=0,"ok","some entities missing from Entities tab")</f>
        <v>ok</v>
      </c>
      <c r="BQ9" s="4" t="str">
        <f ca="1">IF(COUNTIF(cards[[#This Row],[C1]:[C25]],"duplicate")=0,"ok","some duplicates")</f>
        <v>ok</v>
      </c>
      <c r="BR9" t="str">
        <f>"group."&amp;cards[[#This Row],[object_id]]</f>
        <v>group.automation_locaway</v>
      </c>
    </row>
    <row r="10" spans="1:70" x14ac:dyDescent="0.25">
      <c r="B10">
        <v>3</v>
      </c>
      <c r="C10" t="s">
        <v>576</v>
      </c>
      <c r="D10" t="s">
        <v>787</v>
      </c>
      <c r="H10" t="s">
        <v>730</v>
      </c>
      <c r="I10" t="s">
        <v>23</v>
      </c>
      <c r="J10" t="s">
        <v>24</v>
      </c>
      <c r="K10" t="s">
        <v>731</v>
      </c>
      <c r="AG10">
        <f>ROW(cards[[#This Row],[object_id order]])-ROW(cards[])+1</f>
        <v>3</v>
      </c>
      <c r="AH10">
        <f ca="1">IF(OFFSET(cards[[#This Row],[object_id]],0,1)&lt;&gt;"",1,"")</f>
        <v>1</v>
      </c>
      <c r="AI10" t="str">
        <f ca="1">IF(OFFSET(cards[[#This Row],[object_id]],0,2)&lt;&gt;"",2,"")</f>
        <v/>
      </c>
      <c r="AJ10" t="str">
        <f ca="1">IF(OFFSET(cards[[#This Row],[object_id]],0,3)&lt;&gt;"",3,"")</f>
        <v/>
      </c>
      <c r="AK10" t="str">
        <f ca="1">IF(OFFSET(cards[[#This Row],[object_id]],0,4)&lt;&gt;"",4,"")</f>
        <v/>
      </c>
      <c r="AL10" t="str">
        <f ca="1">CONCATENATE(cards[[#This Row],[A1]],cards[[#This Row],[A2]],cards[[#This Row],[A3]],cards[[#This Row],[A4]])</f>
        <v>1</v>
      </c>
      <c r="AM10">
        <f ca="1">LEN(cards[[#This Row],[Attribute Index]])</f>
        <v>1</v>
      </c>
      <c r="AN10" s="4">
        <f>COUNTA(cards[[#This Row],[1]:[25]])</f>
        <v>4</v>
      </c>
      <c r="AO10" s="4">
        <f>MATCH(TRUE,INDEX(ISBLANK(cards[[#This Row],[1]:[25]]),0,0),0)</f>
        <v>5</v>
      </c>
      <c r="AP10" t="str">
        <f ca="1">IF(OFFSET(cards[[#This Row],[1]],0,AP$5-1)="","",
  IF(COUNTIF(entities[entity_id],
OFFSET(cards[[#This Row],[1]],0,AP$5-1))&lt;&gt;1,
"missing",
IF(COUNTIF(cards[[#This Row],[1]:[25]],OFFSET(cards[[#This Row],[1]],0,AP$5-1))&gt;1,"duplicate","ok")))</f>
        <v>ok</v>
      </c>
      <c r="AQ10" t="str">
        <f ca="1">IF(OFFSET(cards[[#This Row],[1]],0,AQ$5-1)="","",
  IF(COUNTIF(entities[entity_id],
OFFSET(cards[[#This Row],[1]],0,AQ$5-1))&lt;&gt;1,
"missing",
IF(COUNTIF(cards[[#This Row],[1]:[25]],OFFSET(cards[[#This Row],[1]],0,AQ$5-1))&gt;1,"duplicate","ok")))</f>
        <v>ok</v>
      </c>
      <c r="AR10" t="str">
        <f ca="1">IF(OFFSET(cards[[#This Row],[1]],0,AR$5-1)="","",
  IF(COUNTIF(entities[entity_id],
OFFSET(cards[[#This Row],[1]],0,AR$5-1))&lt;&gt;1,
"missing",
IF(COUNTIF(cards[[#This Row],[1]:[25]],OFFSET(cards[[#This Row],[1]],0,AR$5-1))&gt;1,"duplicate","ok")))</f>
        <v>ok</v>
      </c>
      <c r="AS10" t="str">
        <f ca="1">IF(OFFSET(cards[[#This Row],[1]],0,AS$5-1)="","",
  IF(COUNTIF(entities[entity_id],
OFFSET(cards[[#This Row],[1]],0,AS$5-1))&lt;&gt;1,
"missing",
IF(COUNTIF(cards[[#This Row],[1]:[25]],OFFSET(cards[[#This Row],[1]],0,AS$5-1))&gt;1,"duplicate","ok")))</f>
        <v>ok</v>
      </c>
      <c r="AT10" t="str">
        <f ca="1">IF(OFFSET(cards[[#This Row],[1]],0,AT$5-1)="","",
  IF(COUNTIF(entities[entity_id],
OFFSET(cards[[#This Row],[1]],0,AT$5-1))&lt;&gt;1,
"missing",
IF(COUNTIF(cards[[#This Row],[1]:[25]],OFFSET(cards[[#This Row],[1]],0,AT$5-1))&gt;1,"duplicate","ok")))</f>
        <v/>
      </c>
      <c r="AU10" t="str">
        <f ca="1">IF(OFFSET(cards[[#This Row],[1]],0,AU$5-1)="","",
  IF(COUNTIF(entities[entity_id],
OFFSET(cards[[#This Row],[1]],0,AU$5-1))&lt;&gt;1,
"missing",
IF(COUNTIF(cards[[#This Row],[1]:[25]],OFFSET(cards[[#This Row],[1]],0,AU$5-1))&gt;1,"duplicate","ok")))</f>
        <v/>
      </c>
      <c r="AV10" t="str">
        <f ca="1">IF(OFFSET(cards[[#This Row],[1]],0,AV$5-1)="","",
  IF(COUNTIF(entities[entity_id],
OFFSET(cards[[#This Row],[1]],0,AV$5-1))&lt;&gt;1,
"missing",
IF(COUNTIF(cards[[#This Row],[1]:[25]],OFFSET(cards[[#This Row],[1]],0,AV$5-1))&gt;1,"duplicate","ok")))</f>
        <v/>
      </c>
      <c r="AW10" t="str">
        <f ca="1">IF(OFFSET(cards[[#This Row],[1]],0,AW$5-1)="","",
  IF(COUNTIF(entities[entity_id],
OFFSET(cards[[#This Row],[1]],0,AW$5-1))&lt;&gt;1,
"missing",
IF(COUNTIF(cards[[#This Row],[1]:[25]],OFFSET(cards[[#This Row],[1]],0,AW$5-1))&gt;1,"duplicate","ok")))</f>
        <v/>
      </c>
      <c r="AX10" t="str">
        <f ca="1">IF(OFFSET(cards[[#This Row],[1]],0,AX$5-1)="","",
  IF(COUNTIF(entities[entity_id],
OFFSET(cards[[#This Row],[1]],0,AX$5-1))&lt;&gt;1,
"missing",
IF(COUNTIF(cards[[#This Row],[1]:[25]],OFFSET(cards[[#This Row],[1]],0,AX$5-1))&gt;1,"duplicate","ok")))</f>
        <v/>
      </c>
      <c r="AY10" t="str">
        <f ca="1">IF(OFFSET(cards[[#This Row],[1]],0,AY$5-1)="","",
  IF(COUNTIF(entities[entity_id],
OFFSET(cards[[#This Row],[1]],0,AY$5-1))&lt;&gt;1,
"missing",
IF(COUNTIF(cards[[#This Row],[1]:[25]],OFFSET(cards[[#This Row],[1]],0,AY$5-1))&gt;1,"duplicate","ok")))</f>
        <v/>
      </c>
      <c r="AZ10" t="str">
        <f ca="1">IF(OFFSET(cards[[#This Row],[1]],0,AZ$5-1)="","",
  IF(COUNTIF(entities[entity_id],
OFFSET(cards[[#This Row],[1]],0,AZ$5-1))&lt;&gt;1,
"missing",
IF(COUNTIF(cards[[#This Row],[1]:[25]],OFFSET(cards[[#This Row],[1]],0,AZ$5-1))&gt;1,"duplicate","ok")))</f>
        <v/>
      </c>
      <c r="BA10" t="str">
        <f ca="1">IF(OFFSET(cards[[#This Row],[1]],0,BA$5-1)="","",
  IF(COUNTIF(entities[entity_id],
OFFSET(cards[[#This Row],[1]],0,BA$5-1))&lt;&gt;1,
"missing",
IF(COUNTIF(cards[[#This Row],[1]:[25]],OFFSET(cards[[#This Row],[1]],0,BA$5-1))&gt;1,"duplicate","ok")))</f>
        <v/>
      </c>
      <c r="BB10" t="str">
        <f ca="1">IF(OFFSET(cards[[#This Row],[1]],0,BB$5-1)="","",
  IF(COUNTIF(entities[entity_id],
OFFSET(cards[[#This Row],[1]],0,BB$5-1))&lt;&gt;1,
"missing",
IF(COUNTIF(cards[[#This Row],[1]:[25]],OFFSET(cards[[#This Row],[1]],0,BB$5-1))&gt;1,"duplicate","ok")))</f>
        <v/>
      </c>
      <c r="BC10" t="str">
        <f ca="1">IF(OFFSET(cards[[#This Row],[1]],0,BC$5-1)="","",
  IF(COUNTIF(entities[entity_id],
OFFSET(cards[[#This Row],[1]],0,BC$5-1))&lt;&gt;1,
"missing",
IF(COUNTIF(cards[[#This Row],[1]:[25]],OFFSET(cards[[#This Row],[1]],0,BC$5-1))&gt;1,"duplicate","ok")))</f>
        <v/>
      </c>
      <c r="BD10" t="str">
        <f ca="1">IF(OFFSET(cards[[#This Row],[1]],0,BD$5-1)="","",
  IF(COUNTIF(entities[entity_id],
OFFSET(cards[[#This Row],[1]],0,BD$5-1))&lt;&gt;1,
"missing",
IF(COUNTIF(cards[[#This Row],[1]:[25]],OFFSET(cards[[#This Row],[1]],0,BD$5-1))&gt;1,"duplicate","ok")))</f>
        <v/>
      </c>
      <c r="BE10" t="str">
        <f ca="1">IF(OFFSET(cards[[#This Row],[1]],0,BE$5-1)="","",
  IF(COUNTIF(entities[entity_id],
OFFSET(cards[[#This Row],[1]],0,BE$5-1))&lt;&gt;1,
"missing",
IF(COUNTIF(cards[[#This Row],[1]:[25]],OFFSET(cards[[#This Row],[1]],0,BE$5-1))&gt;1,"duplicate","ok")))</f>
        <v/>
      </c>
      <c r="BF10" t="str">
        <f ca="1">IF(OFFSET(cards[[#This Row],[1]],0,BF$5-1)="","",
  IF(COUNTIF(entities[entity_id],
OFFSET(cards[[#This Row],[1]],0,BF$5-1))&lt;&gt;1,
"missing",
IF(COUNTIF(cards[[#This Row],[1]:[25]],OFFSET(cards[[#This Row],[1]],0,BF$5-1))&gt;1,"duplicate","ok")))</f>
        <v/>
      </c>
      <c r="BG10" t="str">
        <f ca="1">IF(OFFSET(cards[[#This Row],[1]],0,BG$5-1)="","",
  IF(COUNTIF(entities[entity_id],
OFFSET(cards[[#This Row],[1]],0,BG$5-1))&lt;&gt;1,
"missing",
IF(COUNTIF(cards[[#This Row],[1]:[25]],OFFSET(cards[[#This Row],[1]],0,BG$5-1))&gt;1,"duplicate","ok")))</f>
        <v/>
      </c>
      <c r="BH10" t="str">
        <f ca="1">IF(OFFSET(cards[[#This Row],[1]],0,BH$5-1)="","",
  IF(COUNTIF(entities[entity_id],
OFFSET(cards[[#This Row],[1]],0,BH$5-1))&lt;&gt;1,
"missing",
IF(COUNTIF(cards[[#This Row],[1]:[25]],OFFSET(cards[[#This Row],[1]],0,BH$5-1))&gt;1,"duplicate","ok")))</f>
        <v/>
      </c>
      <c r="BI10" t="str">
        <f ca="1">IF(OFFSET(cards[[#This Row],[1]],0,BI$5-1)="","",
  IF(COUNTIF(entities[entity_id],
OFFSET(cards[[#This Row],[1]],0,BI$5-1))&lt;&gt;1,
"missing",
IF(COUNTIF(cards[[#This Row],[1]:[25]],OFFSET(cards[[#This Row],[1]],0,BI$5-1))&gt;1,"duplicate","ok")))</f>
        <v/>
      </c>
      <c r="BJ10" t="str">
        <f ca="1">IF(OFFSET(cards[[#This Row],[1]],0,BJ$5-1)="","",
  IF(COUNTIF(entities[entity_id],
OFFSET(cards[[#This Row],[1]],0,BJ$5-1))&lt;&gt;1,
"missing",
IF(COUNTIF(cards[[#This Row],[1]:[25]],OFFSET(cards[[#This Row],[1]],0,BJ$5-1))&gt;1,"duplicate","ok")))</f>
        <v/>
      </c>
      <c r="BK10" t="str">
        <f ca="1">IF(OFFSET(cards[[#This Row],[1]],0,BK$5-1)="","",
  IF(COUNTIF(entities[entity_id],
OFFSET(cards[[#This Row],[1]],0,BK$5-1))&lt;&gt;1,
"missing",
IF(COUNTIF(cards[[#This Row],[1]:[25]],OFFSET(cards[[#This Row],[1]],0,BK$5-1))&gt;1,"duplicate","ok")))</f>
        <v/>
      </c>
      <c r="BL10" t="str">
        <f ca="1">IF(OFFSET(cards[[#This Row],[1]],0,BL$5-1)="","",
  IF(COUNTIF(entities[entity_id],
OFFSET(cards[[#This Row],[1]],0,BL$5-1))&lt;&gt;1,
"missing",
IF(COUNTIF(cards[[#This Row],[1]:[25]],OFFSET(cards[[#This Row],[1]],0,BL$5-1))&gt;1,"duplicate","ok")))</f>
        <v/>
      </c>
      <c r="BM10" t="str">
        <f ca="1">IF(OFFSET(cards[[#This Row],[1]],0,BM$5-1)="","",
  IF(COUNTIF(entities[entity_id],
OFFSET(cards[[#This Row],[1]],0,BM$5-1))&lt;&gt;1,
"missing",
IF(COUNTIF(cards[[#This Row],[1]:[25]],OFFSET(cards[[#This Row],[1]],0,BM$5-1))&gt;1,"duplicate","ok")))</f>
        <v/>
      </c>
      <c r="BN10" t="str">
        <f ca="1">IF(OFFSET(cards[[#This Row],[1]],0,BN$5-1)="","",
  IF(COUNTIF(entities[entity_id],
OFFSET(cards[[#This Row],[1]],0,BN$5-1))&lt;&gt;1,
"missing",
IF(COUNTIF(cards[[#This Row],[1]:[25]],OFFSET(cards[[#This Row],[1]],0,BN$5-1))&gt;1,"duplicate","ok")))</f>
        <v/>
      </c>
      <c r="BO10" s="4" t="str">
        <f>IF(cards[[#This Row],[First space]]-cards[[#This Row],[Entities count]]=1,"ok","Check entitiy names")</f>
        <v>ok</v>
      </c>
      <c r="BP10" s="4" t="str">
        <f ca="1">IF(COUNTIF(cards[[#This Row],[C1]:[C25]],"missing")=0,"ok","some entities missing from Entities tab")</f>
        <v>ok</v>
      </c>
      <c r="BQ10" s="4" t="str">
        <f ca="1">IF(COUNTIF(cards[[#This Row],[C1]:[C25]],"duplicate")=0,"ok","some duplicates")</f>
        <v>ok</v>
      </c>
      <c r="BR10" t="str">
        <f>"group."&amp;cards[[#This Row],[object_id]]</f>
        <v>group.automation_not</v>
      </c>
    </row>
    <row r="11" spans="1:70" x14ac:dyDescent="0.25">
      <c r="B11">
        <v>4</v>
      </c>
      <c r="C11" t="s">
        <v>577</v>
      </c>
      <c r="D11" t="s">
        <v>788</v>
      </c>
      <c r="H11" t="s">
        <v>25</v>
      </c>
      <c r="I11" t="s">
        <v>26</v>
      </c>
      <c r="J11" t="s">
        <v>27</v>
      </c>
      <c r="AG11">
        <f>ROW(cards[[#This Row],[object_id order]])-ROW(cards[])+1</f>
        <v>4</v>
      </c>
      <c r="AH11">
        <f ca="1">IF(OFFSET(cards[[#This Row],[object_id]],0,1)&lt;&gt;"",1,"")</f>
        <v>1</v>
      </c>
      <c r="AI11" t="str">
        <f ca="1">IF(OFFSET(cards[[#This Row],[object_id]],0,2)&lt;&gt;"",2,"")</f>
        <v/>
      </c>
      <c r="AJ11" t="str">
        <f ca="1">IF(OFFSET(cards[[#This Row],[object_id]],0,3)&lt;&gt;"",3,"")</f>
        <v/>
      </c>
      <c r="AK11" t="str">
        <f ca="1">IF(OFFSET(cards[[#This Row],[object_id]],0,4)&lt;&gt;"",4,"")</f>
        <v/>
      </c>
      <c r="AL11" t="str">
        <f ca="1">CONCATENATE(cards[[#This Row],[A1]],cards[[#This Row],[A2]],cards[[#This Row],[A3]],cards[[#This Row],[A4]])</f>
        <v>1</v>
      </c>
      <c r="AM11">
        <f ca="1">LEN(cards[[#This Row],[Attribute Index]])</f>
        <v>1</v>
      </c>
      <c r="AN11" s="4">
        <f>COUNTA(cards[[#This Row],[1]:[25]])</f>
        <v>3</v>
      </c>
      <c r="AO11" s="4">
        <f>MATCH(TRUE,INDEX(ISBLANK(cards[[#This Row],[1]:[25]]),0,0),0)</f>
        <v>4</v>
      </c>
      <c r="AP11" t="str">
        <f ca="1">IF(OFFSET(cards[[#This Row],[1]],0,AP$5-1)="","",
  IF(COUNTIF(entities[entity_id],
OFFSET(cards[[#This Row],[1]],0,AP$5-1))&lt;&gt;1,
"missing",
IF(COUNTIF(cards[[#This Row],[1]:[25]],OFFSET(cards[[#This Row],[1]],0,AP$5-1))&gt;1,"duplicate","ok")))</f>
        <v>ok</v>
      </c>
      <c r="AQ11" t="str">
        <f ca="1">IF(OFFSET(cards[[#This Row],[1]],0,AQ$5-1)="","",
  IF(COUNTIF(entities[entity_id],
OFFSET(cards[[#This Row],[1]],0,AQ$5-1))&lt;&gt;1,
"missing",
IF(COUNTIF(cards[[#This Row],[1]:[25]],OFFSET(cards[[#This Row],[1]],0,AQ$5-1))&gt;1,"duplicate","ok")))</f>
        <v>ok</v>
      </c>
      <c r="AR11" t="str">
        <f ca="1">IF(OFFSET(cards[[#This Row],[1]],0,AR$5-1)="","",
  IF(COUNTIF(entities[entity_id],
OFFSET(cards[[#This Row],[1]],0,AR$5-1))&lt;&gt;1,
"missing",
IF(COUNTIF(cards[[#This Row],[1]:[25]],OFFSET(cards[[#This Row],[1]],0,AR$5-1))&gt;1,"duplicate","ok")))</f>
        <v>ok</v>
      </c>
      <c r="AS11" t="str">
        <f ca="1">IF(OFFSET(cards[[#This Row],[1]],0,AS$5-1)="","",
  IF(COUNTIF(entities[entity_id],
OFFSET(cards[[#This Row],[1]],0,AS$5-1))&lt;&gt;1,
"missing",
IF(COUNTIF(cards[[#This Row],[1]:[25]],OFFSET(cards[[#This Row],[1]],0,AS$5-1))&gt;1,"duplicate","ok")))</f>
        <v/>
      </c>
      <c r="AT11" t="str">
        <f ca="1">IF(OFFSET(cards[[#This Row],[1]],0,AT$5-1)="","",
  IF(COUNTIF(entities[entity_id],
OFFSET(cards[[#This Row],[1]],0,AT$5-1))&lt;&gt;1,
"missing",
IF(COUNTIF(cards[[#This Row],[1]:[25]],OFFSET(cards[[#This Row],[1]],0,AT$5-1))&gt;1,"duplicate","ok")))</f>
        <v/>
      </c>
      <c r="AU11" t="str">
        <f ca="1">IF(OFFSET(cards[[#This Row],[1]],0,AU$5-1)="","",
  IF(COUNTIF(entities[entity_id],
OFFSET(cards[[#This Row],[1]],0,AU$5-1))&lt;&gt;1,
"missing",
IF(COUNTIF(cards[[#This Row],[1]:[25]],OFFSET(cards[[#This Row],[1]],0,AU$5-1))&gt;1,"duplicate","ok")))</f>
        <v/>
      </c>
      <c r="AV11" t="str">
        <f ca="1">IF(OFFSET(cards[[#This Row],[1]],0,AV$5-1)="","",
  IF(COUNTIF(entities[entity_id],
OFFSET(cards[[#This Row],[1]],0,AV$5-1))&lt;&gt;1,
"missing",
IF(COUNTIF(cards[[#This Row],[1]:[25]],OFFSET(cards[[#This Row],[1]],0,AV$5-1))&gt;1,"duplicate","ok")))</f>
        <v/>
      </c>
      <c r="AW11" t="str">
        <f ca="1">IF(OFFSET(cards[[#This Row],[1]],0,AW$5-1)="","",
  IF(COUNTIF(entities[entity_id],
OFFSET(cards[[#This Row],[1]],0,AW$5-1))&lt;&gt;1,
"missing",
IF(COUNTIF(cards[[#This Row],[1]:[25]],OFFSET(cards[[#This Row],[1]],0,AW$5-1))&gt;1,"duplicate","ok")))</f>
        <v/>
      </c>
      <c r="AX11" t="str">
        <f ca="1">IF(OFFSET(cards[[#This Row],[1]],0,AX$5-1)="","",
  IF(COUNTIF(entities[entity_id],
OFFSET(cards[[#This Row],[1]],0,AX$5-1))&lt;&gt;1,
"missing",
IF(COUNTIF(cards[[#This Row],[1]:[25]],OFFSET(cards[[#This Row],[1]],0,AX$5-1))&gt;1,"duplicate","ok")))</f>
        <v/>
      </c>
      <c r="AY11" t="str">
        <f ca="1">IF(OFFSET(cards[[#This Row],[1]],0,AY$5-1)="","",
  IF(COUNTIF(entities[entity_id],
OFFSET(cards[[#This Row],[1]],0,AY$5-1))&lt;&gt;1,
"missing",
IF(COUNTIF(cards[[#This Row],[1]:[25]],OFFSET(cards[[#This Row],[1]],0,AY$5-1))&gt;1,"duplicate","ok")))</f>
        <v/>
      </c>
      <c r="AZ11" t="str">
        <f ca="1">IF(OFFSET(cards[[#This Row],[1]],0,AZ$5-1)="","",
  IF(COUNTIF(entities[entity_id],
OFFSET(cards[[#This Row],[1]],0,AZ$5-1))&lt;&gt;1,
"missing",
IF(COUNTIF(cards[[#This Row],[1]:[25]],OFFSET(cards[[#This Row],[1]],0,AZ$5-1))&gt;1,"duplicate","ok")))</f>
        <v/>
      </c>
      <c r="BA11" t="str">
        <f ca="1">IF(OFFSET(cards[[#This Row],[1]],0,BA$5-1)="","",
  IF(COUNTIF(entities[entity_id],
OFFSET(cards[[#This Row],[1]],0,BA$5-1))&lt;&gt;1,
"missing",
IF(COUNTIF(cards[[#This Row],[1]:[25]],OFFSET(cards[[#This Row],[1]],0,BA$5-1))&gt;1,"duplicate","ok")))</f>
        <v/>
      </c>
      <c r="BB11" t="str">
        <f ca="1">IF(OFFSET(cards[[#This Row],[1]],0,BB$5-1)="","",
  IF(COUNTIF(entities[entity_id],
OFFSET(cards[[#This Row],[1]],0,BB$5-1))&lt;&gt;1,
"missing",
IF(COUNTIF(cards[[#This Row],[1]:[25]],OFFSET(cards[[#This Row],[1]],0,BB$5-1))&gt;1,"duplicate","ok")))</f>
        <v/>
      </c>
      <c r="BC11" t="str">
        <f ca="1">IF(OFFSET(cards[[#This Row],[1]],0,BC$5-1)="","",
  IF(COUNTIF(entities[entity_id],
OFFSET(cards[[#This Row],[1]],0,BC$5-1))&lt;&gt;1,
"missing",
IF(COUNTIF(cards[[#This Row],[1]:[25]],OFFSET(cards[[#This Row],[1]],0,BC$5-1))&gt;1,"duplicate","ok")))</f>
        <v/>
      </c>
      <c r="BD11" t="str">
        <f ca="1">IF(OFFSET(cards[[#This Row],[1]],0,BD$5-1)="","",
  IF(COUNTIF(entities[entity_id],
OFFSET(cards[[#This Row],[1]],0,BD$5-1))&lt;&gt;1,
"missing",
IF(COUNTIF(cards[[#This Row],[1]:[25]],OFFSET(cards[[#This Row],[1]],0,BD$5-1))&gt;1,"duplicate","ok")))</f>
        <v/>
      </c>
      <c r="BE11" t="str">
        <f ca="1">IF(OFFSET(cards[[#This Row],[1]],0,BE$5-1)="","",
  IF(COUNTIF(entities[entity_id],
OFFSET(cards[[#This Row],[1]],0,BE$5-1))&lt;&gt;1,
"missing",
IF(COUNTIF(cards[[#This Row],[1]:[25]],OFFSET(cards[[#This Row],[1]],0,BE$5-1))&gt;1,"duplicate","ok")))</f>
        <v/>
      </c>
      <c r="BF11" t="str">
        <f ca="1">IF(OFFSET(cards[[#This Row],[1]],0,BF$5-1)="","",
  IF(COUNTIF(entities[entity_id],
OFFSET(cards[[#This Row],[1]],0,BF$5-1))&lt;&gt;1,
"missing",
IF(COUNTIF(cards[[#This Row],[1]:[25]],OFFSET(cards[[#This Row],[1]],0,BF$5-1))&gt;1,"duplicate","ok")))</f>
        <v/>
      </c>
      <c r="BG11" t="str">
        <f ca="1">IF(OFFSET(cards[[#This Row],[1]],0,BG$5-1)="","",
  IF(COUNTIF(entities[entity_id],
OFFSET(cards[[#This Row],[1]],0,BG$5-1))&lt;&gt;1,
"missing",
IF(COUNTIF(cards[[#This Row],[1]:[25]],OFFSET(cards[[#This Row],[1]],0,BG$5-1))&gt;1,"duplicate","ok")))</f>
        <v/>
      </c>
      <c r="BH11" t="str">
        <f ca="1">IF(OFFSET(cards[[#This Row],[1]],0,BH$5-1)="","",
  IF(COUNTIF(entities[entity_id],
OFFSET(cards[[#This Row],[1]],0,BH$5-1))&lt;&gt;1,
"missing",
IF(COUNTIF(cards[[#This Row],[1]:[25]],OFFSET(cards[[#This Row],[1]],0,BH$5-1))&gt;1,"duplicate","ok")))</f>
        <v/>
      </c>
      <c r="BI11" t="str">
        <f ca="1">IF(OFFSET(cards[[#This Row],[1]],0,BI$5-1)="","",
  IF(COUNTIF(entities[entity_id],
OFFSET(cards[[#This Row],[1]],0,BI$5-1))&lt;&gt;1,
"missing",
IF(COUNTIF(cards[[#This Row],[1]:[25]],OFFSET(cards[[#This Row],[1]],0,BI$5-1))&gt;1,"duplicate","ok")))</f>
        <v/>
      </c>
      <c r="BJ11" t="str">
        <f ca="1">IF(OFFSET(cards[[#This Row],[1]],0,BJ$5-1)="","",
  IF(COUNTIF(entities[entity_id],
OFFSET(cards[[#This Row],[1]],0,BJ$5-1))&lt;&gt;1,
"missing",
IF(COUNTIF(cards[[#This Row],[1]:[25]],OFFSET(cards[[#This Row],[1]],0,BJ$5-1))&gt;1,"duplicate","ok")))</f>
        <v/>
      </c>
      <c r="BK11" t="str">
        <f ca="1">IF(OFFSET(cards[[#This Row],[1]],0,BK$5-1)="","",
  IF(COUNTIF(entities[entity_id],
OFFSET(cards[[#This Row],[1]],0,BK$5-1))&lt;&gt;1,
"missing",
IF(COUNTIF(cards[[#This Row],[1]:[25]],OFFSET(cards[[#This Row],[1]],0,BK$5-1))&gt;1,"duplicate","ok")))</f>
        <v/>
      </c>
      <c r="BL11" t="str">
        <f ca="1">IF(OFFSET(cards[[#This Row],[1]],0,BL$5-1)="","",
  IF(COUNTIF(entities[entity_id],
OFFSET(cards[[#This Row],[1]],0,BL$5-1))&lt;&gt;1,
"missing",
IF(COUNTIF(cards[[#This Row],[1]:[25]],OFFSET(cards[[#This Row],[1]],0,BL$5-1))&gt;1,"duplicate","ok")))</f>
        <v/>
      </c>
      <c r="BM11" t="str">
        <f ca="1">IF(OFFSET(cards[[#This Row],[1]],0,BM$5-1)="","",
  IF(COUNTIF(entities[entity_id],
OFFSET(cards[[#This Row],[1]],0,BM$5-1))&lt;&gt;1,
"missing",
IF(COUNTIF(cards[[#This Row],[1]:[25]],OFFSET(cards[[#This Row],[1]],0,BM$5-1))&gt;1,"duplicate","ok")))</f>
        <v/>
      </c>
      <c r="BN11" t="str">
        <f ca="1">IF(OFFSET(cards[[#This Row],[1]],0,BN$5-1)="","",
  IF(COUNTIF(entities[entity_id],
OFFSET(cards[[#This Row],[1]],0,BN$5-1))&lt;&gt;1,
"missing",
IF(COUNTIF(cards[[#This Row],[1]:[25]],OFFSET(cards[[#This Row],[1]],0,BN$5-1))&gt;1,"duplicate","ok")))</f>
        <v/>
      </c>
      <c r="BO11" s="4" t="str">
        <f>IF(cards[[#This Row],[First space]]-cards[[#This Row],[Entities count]]=1,"ok","Check entitiy names")</f>
        <v>ok</v>
      </c>
      <c r="BP11" s="4" t="str">
        <f ca="1">IF(COUNTIF(cards[[#This Row],[C1]:[C25]],"missing")=0,"ok","some entities missing from Entities tab")</f>
        <v>ok</v>
      </c>
      <c r="BQ11" s="4" t="str">
        <f ca="1">IF(COUNTIF(cards[[#This Row],[C1]:[C25]],"duplicate")=0,"ok","some duplicates")</f>
        <v>ok</v>
      </c>
      <c r="BR11" t="str">
        <f>"group."&amp;cards[[#This Row],[object_id]]</f>
        <v>group.automation_rmbd</v>
      </c>
    </row>
    <row r="12" spans="1:70" x14ac:dyDescent="0.25">
      <c r="B12">
        <v>5</v>
      </c>
      <c r="C12" t="s">
        <v>578</v>
      </c>
      <c r="D12" t="s">
        <v>789</v>
      </c>
      <c r="H12" t="s">
        <v>28</v>
      </c>
      <c r="I12" t="s">
        <v>29</v>
      </c>
      <c r="AG12">
        <f>ROW(cards[[#This Row],[object_id order]])-ROW(cards[])+1</f>
        <v>5</v>
      </c>
      <c r="AH12">
        <f ca="1">IF(OFFSET(cards[[#This Row],[object_id]],0,1)&lt;&gt;"",1,"")</f>
        <v>1</v>
      </c>
      <c r="AI12" t="str">
        <f ca="1">IF(OFFSET(cards[[#This Row],[object_id]],0,2)&lt;&gt;"",2,"")</f>
        <v/>
      </c>
      <c r="AJ12" t="str">
        <f ca="1">IF(OFFSET(cards[[#This Row],[object_id]],0,3)&lt;&gt;"",3,"")</f>
        <v/>
      </c>
      <c r="AK12" t="str">
        <f ca="1">IF(OFFSET(cards[[#This Row],[object_id]],0,4)&lt;&gt;"",4,"")</f>
        <v/>
      </c>
      <c r="AL12" t="str">
        <f ca="1">CONCATENATE(cards[[#This Row],[A1]],cards[[#This Row],[A2]],cards[[#This Row],[A3]],cards[[#This Row],[A4]])</f>
        <v>1</v>
      </c>
      <c r="AM12">
        <f ca="1">LEN(cards[[#This Row],[Attribute Index]])</f>
        <v>1</v>
      </c>
      <c r="AN12" s="4">
        <f>COUNTA(cards[[#This Row],[1]:[25]])</f>
        <v>2</v>
      </c>
      <c r="AO12" s="4">
        <f>MATCH(TRUE,INDEX(ISBLANK(cards[[#This Row],[1]:[25]]),0,0),0)</f>
        <v>3</v>
      </c>
      <c r="AP12" t="str">
        <f ca="1">IF(OFFSET(cards[[#This Row],[1]],0,AP$5-1)="","",
  IF(COUNTIF(entities[entity_id],
OFFSET(cards[[#This Row],[1]],0,AP$5-1))&lt;&gt;1,
"missing",
IF(COUNTIF(cards[[#This Row],[1]:[25]],OFFSET(cards[[#This Row],[1]],0,AP$5-1))&gt;1,"duplicate","ok")))</f>
        <v>ok</v>
      </c>
      <c r="AQ12" t="str">
        <f ca="1">IF(OFFSET(cards[[#This Row],[1]],0,AQ$5-1)="","",
  IF(COUNTIF(entities[entity_id],
OFFSET(cards[[#This Row],[1]],0,AQ$5-1))&lt;&gt;1,
"missing",
IF(COUNTIF(cards[[#This Row],[1]:[25]],OFFSET(cards[[#This Row],[1]],0,AQ$5-1))&gt;1,"duplicate","ok")))</f>
        <v>ok</v>
      </c>
      <c r="AR12" t="str">
        <f ca="1">IF(OFFSET(cards[[#This Row],[1]],0,AR$5-1)="","",
  IF(COUNTIF(entities[entity_id],
OFFSET(cards[[#This Row],[1]],0,AR$5-1))&lt;&gt;1,
"missing",
IF(COUNTIF(cards[[#This Row],[1]:[25]],OFFSET(cards[[#This Row],[1]],0,AR$5-1))&gt;1,"duplicate","ok")))</f>
        <v/>
      </c>
      <c r="AS12" t="str">
        <f ca="1">IF(OFFSET(cards[[#This Row],[1]],0,AS$5-1)="","",
  IF(COUNTIF(entities[entity_id],
OFFSET(cards[[#This Row],[1]],0,AS$5-1))&lt;&gt;1,
"missing",
IF(COUNTIF(cards[[#This Row],[1]:[25]],OFFSET(cards[[#This Row],[1]],0,AS$5-1))&gt;1,"duplicate","ok")))</f>
        <v/>
      </c>
      <c r="AT12" t="str">
        <f ca="1">IF(OFFSET(cards[[#This Row],[1]],0,AT$5-1)="","",
  IF(COUNTIF(entities[entity_id],
OFFSET(cards[[#This Row],[1]],0,AT$5-1))&lt;&gt;1,
"missing",
IF(COUNTIF(cards[[#This Row],[1]:[25]],OFFSET(cards[[#This Row],[1]],0,AT$5-1))&gt;1,"duplicate","ok")))</f>
        <v/>
      </c>
      <c r="AU12" t="str">
        <f ca="1">IF(OFFSET(cards[[#This Row],[1]],0,AU$5-1)="","",
  IF(COUNTIF(entities[entity_id],
OFFSET(cards[[#This Row],[1]],0,AU$5-1))&lt;&gt;1,
"missing",
IF(COUNTIF(cards[[#This Row],[1]:[25]],OFFSET(cards[[#This Row],[1]],0,AU$5-1))&gt;1,"duplicate","ok")))</f>
        <v/>
      </c>
      <c r="AV12" t="str">
        <f ca="1">IF(OFFSET(cards[[#This Row],[1]],0,AV$5-1)="","",
  IF(COUNTIF(entities[entity_id],
OFFSET(cards[[#This Row],[1]],0,AV$5-1))&lt;&gt;1,
"missing",
IF(COUNTIF(cards[[#This Row],[1]:[25]],OFFSET(cards[[#This Row],[1]],0,AV$5-1))&gt;1,"duplicate","ok")))</f>
        <v/>
      </c>
      <c r="AW12" t="str">
        <f ca="1">IF(OFFSET(cards[[#This Row],[1]],0,AW$5-1)="","",
  IF(COUNTIF(entities[entity_id],
OFFSET(cards[[#This Row],[1]],0,AW$5-1))&lt;&gt;1,
"missing",
IF(COUNTIF(cards[[#This Row],[1]:[25]],OFFSET(cards[[#This Row],[1]],0,AW$5-1))&gt;1,"duplicate","ok")))</f>
        <v/>
      </c>
      <c r="AX12" t="str">
        <f ca="1">IF(OFFSET(cards[[#This Row],[1]],0,AX$5-1)="","",
  IF(COUNTIF(entities[entity_id],
OFFSET(cards[[#This Row],[1]],0,AX$5-1))&lt;&gt;1,
"missing",
IF(COUNTIF(cards[[#This Row],[1]:[25]],OFFSET(cards[[#This Row],[1]],0,AX$5-1))&gt;1,"duplicate","ok")))</f>
        <v/>
      </c>
      <c r="AY12" t="str">
        <f ca="1">IF(OFFSET(cards[[#This Row],[1]],0,AY$5-1)="","",
  IF(COUNTIF(entities[entity_id],
OFFSET(cards[[#This Row],[1]],0,AY$5-1))&lt;&gt;1,
"missing",
IF(COUNTIF(cards[[#This Row],[1]:[25]],OFFSET(cards[[#This Row],[1]],0,AY$5-1))&gt;1,"duplicate","ok")))</f>
        <v/>
      </c>
      <c r="AZ12" t="str">
        <f ca="1">IF(OFFSET(cards[[#This Row],[1]],0,AZ$5-1)="","",
  IF(COUNTIF(entities[entity_id],
OFFSET(cards[[#This Row],[1]],0,AZ$5-1))&lt;&gt;1,
"missing",
IF(COUNTIF(cards[[#This Row],[1]:[25]],OFFSET(cards[[#This Row],[1]],0,AZ$5-1))&gt;1,"duplicate","ok")))</f>
        <v/>
      </c>
      <c r="BA12" t="str">
        <f ca="1">IF(OFFSET(cards[[#This Row],[1]],0,BA$5-1)="","",
  IF(COUNTIF(entities[entity_id],
OFFSET(cards[[#This Row],[1]],0,BA$5-1))&lt;&gt;1,
"missing",
IF(COUNTIF(cards[[#This Row],[1]:[25]],OFFSET(cards[[#This Row],[1]],0,BA$5-1))&gt;1,"duplicate","ok")))</f>
        <v/>
      </c>
      <c r="BB12" t="str">
        <f ca="1">IF(OFFSET(cards[[#This Row],[1]],0,BB$5-1)="","",
  IF(COUNTIF(entities[entity_id],
OFFSET(cards[[#This Row],[1]],0,BB$5-1))&lt;&gt;1,
"missing",
IF(COUNTIF(cards[[#This Row],[1]:[25]],OFFSET(cards[[#This Row],[1]],0,BB$5-1))&gt;1,"duplicate","ok")))</f>
        <v/>
      </c>
      <c r="BC12" t="str">
        <f ca="1">IF(OFFSET(cards[[#This Row],[1]],0,BC$5-1)="","",
  IF(COUNTIF(entities[entity_id],
OFFSET(cards[[#This Row],[1]],0,BC$5-1))&lt;&gt;1,
"missing",
IF(COUNTIF(cards[[#This Row],[1]:[25]],OFFSET(cards[[#This Row],[1]],0,BC$5-1))&gt;1,"duplicate","ok")))</f>
        <v/>
      </c>
      <c r="BD12" t="str">
        <f ca="1">IF(OFFSET(cards[[#This Row],[1]],0,BD$5-1)="","",
  IF(COUNTIF(entities[entity_id],
OFFSET(cards[[#This Row],[1]],0,BD$5-1))&lt;&gt;1,
"missing",
IF(COUNTIF(cards[[#This Row],[1]:[25]],OFFSET(cards[[#This Row],[1]],0,BD$5-1))&gt;1,"duplicate","ok")))</f>
        <v/>
      </c>
      <c r="BE12" t="str">
        <f ca="1">IF(OFFSET(cards[[#This Row],[1]],0,BE$5-1)="","",
  IF(COUNTIF(entities[entity_id],
OFFSET(cards[[#This Row],[1]],0,BE$5-1))&lt;&gt;1,
"missing",
IF(COUNTIF(cards[[#This Row],[1]:[25]],OFFSET(cards[[#This Row],[1]],0,BE$5-1))&gt;1,"duplicate","ok")))</f>
        <v/>
      </c>
      <c r="BF12" t="str">
        <f ca="1">IF(OFFSET(cards[[#This Row],[1]],0,BF$5-1)="","",
  IF(COUNTIF(entities[entity_id],
OFFSET(cards[[#This Row],[1]],0,BF$5-1))&lt;&gt;1,
"missing",
IF(COUNTIF(cards[[#This Row],[1]:[25]],OFFSET(cards[[#This Row],[1]],0,BF$5-1))&gt;1,"duplicate","ok")))</f>
        <v/>
      </c>
      <c r="BG12" t="str">
        <f ca="1">IF(OFFSET(cards[[#This Row],[1]],0,BG$5-1)="","",
  IF(COUNTIF(entities[entity_id],
OFFSET(cards[[#This Row],[1]],0,BG$5-1))&lt;&gt;1,
"missing",
IF(COUNTIF(cards[[#This Row],[1]:[25]],OFFSET(cards[[#This Row],[1]],0,BG$5-1))&gt;1,"duplicate","ok")))</f>
        <v/>
      </c>
      <c r="BH12" t="str">
        <f ca="1">IF(OFFSET(cards[[#This Row],[1]],0,BH$5-1)="","",
  IF(COUNTIF(entities[entity_id],
OFFSET(cards[[#This Row],[1]],0,BH$5-1))&lt;&gt;1,
"missing",
IF(COUNTIF(cards[[#This Row],[1]:[25]],OFFSET(cards[[#This Row],[1]],0,BH$5-1))&gt;1,"duplicate","ok")))</f>
        <v/>
      </c>
      <c r="BI12" t="str">
        <f ca="1">IF(OFFSET(cards[[#This Row],[1]],0,BI$5-1)="","",
  IF(COUNTIF(entities[entity_id],
OFFSET(cards[[#This Row],[1]],0,BI$5-1))&lt;&gt;1,
"missing",
IF(COUNTIF(cards[[#This Row],[1]:[25]],OFFSET(cards[[#This Row],[1]],0,BI$5-1))&gt;1,"duplicate","ok")))</f>
        <v/>
      </c>
      <c r="BJ12" t="str">
        <f ca="1">IF(OFFSET(cards[[#This Row],[1]],0,BJ$5-1)="","",
  IF(COUNTIF(entities[entity_id],
OFFSET(cards[[#This Row],[1]],0,BJ$5-1))&lt;&gt;1,
"missing",
IF(COUNTIF(cards[[#This Row],[1]:[25]],OFFSET(cards[[#This Row],[1]],0,BJ$5-1))&gt;1,"duplicate","ok")))</f>
        <v/>
      </c>
      <c r="BK12" t="str">
        <f ca="1">IF(OFFSET(cards[[#This Row],[1]],0,BK$5-1)="","",
  IF(COUNTIF(entities[entity_id],
OFFSET(cards[[#This Row],[1]],0,BK$5-1))&lt;&gt;1,
"missing",
IF(COUNTIF(cards[[#This Row],[1]:[25]],OFFSET(cards[[#This Row],[1]],0,BK$5-1))&gt;1,"duplicate","ok")))</f>
        <v/>
      </c>
      <c r="BL12" t="str">
        <f ca="1">IF(OFFSET(cards[[#This Row],[1]],0,BL$5-1)="","",
  IF(COUNTIF(entities[entity_id],
OFFSET(cards[[#This Row],[1]],0,BL$5-1))&lt;&gt;1,
"missing",
IF(COUNTIF(cards[[#This Row],[1]:[25]],OFFSET(cards[[#This Row],[1]],0,BL$5-1))&gt;1,"duplicate","ok")))</f>
        <v/>
      </c>
      <c r="BM12" t="str">
        <f ca="1">IF(OFFSET(cards[[#This Row],[1]],0,BM$5-1)="","",
  IF(COUNTIF(entities[entity_id],
OFFSET(cards[[#This Row],[1]],0,BM$5-1))&lt;&gt;1,
"missing",
IF(COUNTIF(cards[[#This Row],[1]:[25]],OFFSET(cards[[#This Row],[1]],0,BM$5-1))&gt;1,"duplicate","ok")))</f>
        <v/>
      </c>
      <c r="BN12" t="str">
        <f ca="1">IF(OFFSET(cards[[#This Row],[1]],0,BN$5-1)="","",
  IF(COUNTIF(entities[entity_id],
OFFSET(cards[[#This Row],[1]],0,BN$5-1))&lt;&gt;1,
"missing",
IF(COUNTIF(cards[[#This Row],[1]:[25]],OFFSET(cards[[#This Row],[1]],0,BN$5-1))&gt;1,"duplicate","ok")))</f>
        <v/>
      </c>
      <c r="BO12" s="4" t="str">
        <f>IF(cards[[#This Row],[First space]]-cards[[#This Row],[Entities count]]=1,"ok","Check entitiy names")</f>
        <v>ok</v>
      </c>
      <c r="BP12" s="4" t="str">
        <f ca="1">IF(COUNTIF(cards[[#This Row],[C1]:[C25]],"missing")=0,"ok","some entities missing from Entities tab")</f>
        <v>ok</v>
      </c>
      <c r="BQ12" s="4" t="str">
        <f ca="1">IF(COUNTIF(cards[[#This Row],[C1]:[C25]],"duplicate")=0,"ok","some duplicates")</f>
        <v>ok</v>
      </c>
      <c r="BR12" t="str">
        <f>"group."&amp;cards[[#This Row],[object_id]]</f>
        <v>group.automation_rmlv</v>
      </c>
    </row>
    <row r="13" spans="1:70" x14ac:dyDescent="0.25">
      <c r="B13">
        <v>6</v>
      </c>
      <c r="C13" t="s">
        <v>579</v>
      </c>
      <c r="D13" t="s">
        <v>784</v>
      </c>
      <c r="H13" t="s">
        <v>30</v>
      </c>
      <c r="I13" t="s">
        <v>693</v>
      </c>
      <c r="J13" t="s">
        <v>691</v>
      </c>
      <c r="K13" t="s">
        <v>692</v>
      </c>
      <c r="L13" t="s">
        <v>31</v>
      </c>
      <c r="M13" t="s">
        <v>732</v>
      </c>
      <c r="AG13">
        <f>ROW(cards[[#This Row],[object_id order]])-ROW(cards[])+1</f>
        <v>6</v>
      </c>
      <c r="AH13">
        <f ca="1">IF(OFFSET(cards[[#This Row],[object_id]],0,1)&lt;&gt;"",1,"")</f>
        <v>1</v>
      </c>
      <c r="AI13" t="str">
        <f ca="1">IF(OFFSET(cards[[#This Row],[object_id]],0,2)&lt;&gt;"",2,"")</f>
        <v/>
      </c>
      <c r="AJ13" t="str">
        <f ca="1">IF(OFFSET(cards[[#This Row],[object_id]],0,3)&lt;&gt;"",3,"")</f>
        <v/>
      </c>
      <c r="AK13" t="str">
        <f ca="1">IF(OFFSET(cards[[#This Row],[object_id]],0,4)&lt;&gt;"",4,"")</f>
        <v/>
      </c>
      <c r="AL13" t="str">
        <f ca="1">CONCATENATE(cards[[#This Row],[A1]],cards[[#This Row],[A2]],cards[[#This Row],[A3]],cards[[#This Row],[A4]])</f>
        <v>1</v>
      </c>
      <c r="AM13">
        <f ca="1">LEN(cards[[#This Row],[Attribute Index]])</f>
        <v>1</v>
      </c>
      <c r="AN13" s="4">
        <f>COUNTA(cards[[#This Row],[1]:[25]])</f>
        <v>6</v>
      </c>
      <c r="AO13" s="4">
        <f>MATCH(TRUE,INDEX(ISBLANK(cards[[#This Row],[1]:[25]]),0,0),0)</f>
        <v>7</v>
      </c>
      <c r="AP13" t="str">
        <f ca="1">IF(OFFSET(cards[[#This Row],[1]],0,AP$5-1)="","",
  IF(COUNTIF(entities[entity_id],
OFFSET(cards[[#This Row],[1]],0,AP$5-1))&lt;&gt;1,
"missing",
IF(COUNTIF(cards[[#This Row],[1]:[25]],OFFSET(cards[[#This Row],[1]],0,AP$5-1))&gt;1,"duplicate","ok")))</f>
        <v>ok</v>
      </c>
      <c r="AQ13" t="str">
        <f ca="1">IF(OFFSET(cards[[#This Row],[1]],0,AQ$5-1)="","",
  IF(COUNTIF(entities[entity_id],
OFFSET(cards[[#This Row],[1]],0,AQ$5-1))&lt;&gt;1,
"missing",
IF(COUNTIF(cards[[#This Row],[1]:[25]],OFFSET(cards[[#This Row],[1]],0,AQ$5-1))&gt;1,"duplicate","ok")))</f>
        <v>ok</v>
      </c>
      <c r="AR13" t="str">
        <f ca="1">IF(OFFSET(cards[[#This Row],[1]],0,AR$5-1)="","",
  IF(COUNTIF(entities[entity_id],
OFFSET(cards[[#This Row],[1]],0,AR$5-1))&lt;&gt;1,
"missing",
IF(COUNTIF(cards[[#This Row],[1]:[25]],OFFSET(cards[[#This Row],[1]],0,AR$5-1))&gt;1,"duplicate","ok")))</f>
        <v>ok</v>
      </c>
      <c r="AS13" t="str">
        <f ca="1">IF(OFFSET(cards[[#This Row],[1]],0,AS$5-1)="","",
  IF(COUNTIF(entities[entity_id],
OFFSET(cards[[#This Row],[1]],0,AS$5-1))&lt;&gt;1,
"missing",
IF(COUNTIF(cards[[#This Row],[1]:[25]],OFFSET(cards[[#This Row],[1]],0,AS$5-1))&gt;1,"duplicate","ok")))</f>
        <v>ok</v>
      </c>
      <c r="AT13" t="str">
        <f ca="1">IF(OFFSET(cards[[#This Row],[1]],0,AT$5-1)="","",
  IF(COUNTIF(entities[entity_id],
OFFSET(cards[[#This Row],[1]],0,AT$5-1))&lt;&gt;1,
"missing",
IF(COUNTIF(cards[[#This Row],[1]:[25]],OFFSET(cards[[#This Row],[1]],0,AT$5-1))&gt;1,"duplicate","ok")))</f>
        <v>ok</v>
      </c>
      <c r="AU13" t="str">
        <f ca="1">IF(OFFSET(cards[[#This Row],[1]],0,AU$5-1)="","",
  IF(COUNTIF(entities[entity_id],
OFFSET(cards[[#This Row],[1]],0,AU$5-1))&lt;&gt;1,
"missing",
IF(COUNTIF(cards[[#This Row],[1]:[25]],OFFSET(cards[[#This Row],[1]],0,AU$5-1))&gt;1,"duplicate","ok")))</f>
        <v>ok</v>
      </c>
      <c r="AV13" t="str">
        <f ca="1">IF(OFFSET(cards[[#This Row],[1]],0,AV$5-1)="","",
  IF(COUNTIF(entities[entity_id],
OFFSET(cards[[#This Row],[1]],0,AV$5-1))&lt;&gt;1,
"missing",
IF(COUNTIF(cards[[#This Row],[1]:[25]],OFFSET(cards[[#This Row],[1]],0,AV$5-1))&gt;1,"duplicate","ok")))</f>
        <v/>
      </c>
      <c r="AW13" t="str">
        <f ca="1">IF(OFFSET(cards[[#This Row],[1]],0,AW$5-1)="","",
  IF(COUNTIF(entities[entity_id],
OFFSET(cards[[#This Row],[1]],0,AW$5-1))&lt;&gt;1,
"missing",
IF(COUNTIF(cards[[#This Row],[1]:[25]],OFFSET(cards[[#This Row],[1]],0,AW$5-1))&gt;1,"duplicate","ok")))</f>
        <v/>
      </c>
      <c r="AX13" t="str">
        <f ca="1">IF(OFFSET(cards[[#This Row],[1]],0,AX$5-1)="","",
  IF(COUNTIF(entities[entity_id],
OFFSET(cards[[#This Row],[1]],0,AX$5-1))&lt;&gt;1,
"missing",
IF(COUNTIF(cards[[#This Row],[1]:[25]],OFFSET(cards[[#This Row],[1]],0,AX$5-1))&gt;1,"duplicate","ok")))</f>
        <v/>
      </c>
      <c r="AY13" t="str">
        <f ca="1">IF(OFFSET(cards[[#This Row],[1]],0,AY$5-1)="","",
  IF(COUNTIF(entities[entity_id],
OFFSET(cards[[#This Row],[1]],0,AY$5-1))&lt;&gt;1,
"missing",
IF(COUNTIF(cards[[#This Row],[1]:[25]],OFFSET(cards[[#This Row],[1]],0,AY$5-1))&gt;1,"duplicate","ok")))</f>
        <v/>
      </c>
      <c r="AZ13" t="str">
        <f ca="1">IF(OFFSET(cards[[#This Row],[1]],0,AZ$5-1)="","",
  IF(COUNTIF(entities[entity_id],
OFFSET(cards[[#This Row],[1]],0,AZ$5-1))&lt;&gt;1,
"missing",
IF(COUNTIF(cards[[#This Row],[1]:[25]],OFFSET(cards[[#This Row],[1]],0,AZ$5-1))&gt;1,"duplicate","ok")))</f>
        <v/>
      </c>
      <c r="BA13" t="str">
        <f ca="1">IF(OFFSET(cards[[#This Row],[1]],0,BA$5-1)="","",
  IF(COUNTIF(entities[entity_id],
OFFSET(cards[[#This Row],[1]],0,BA$5-1))&lt;&gt;1,
"missing",
IF(COUNTIF(cards[[#This Row],[1]:[25]],OFFSET(cards[[#This Row],[1]],0,BA$5-1))&gt;1,"duplicate","ok")))</f>
        <v/>
      </c>
      <c r="BB13" t="str">
        <f ca="1">IF(OFFSET(cards[[#This Row],[1]],0,BB$5-1)="","",
  IF(COUNTIF(entities[entity_id],
OFFSET(cards[[#This Row],[1]],0,BB$5-1))&lt;&gt;1,
"missing",
IF(COUNTIF(cards[[#This Row],[1]:[25]],OFFSET(cards[[#This Row],[1]],0,BB$5-1))&gt;1,"duplicate","ok")))</f>
        <v/>
      </c>
      <c r="BC13" t="str">
        <f ca="1">IF(OFFSET(cards[[#This Row],[1]],0,BC$5-1)="","",
  IF(COUNTIF(entities[entity_id],
OFFSET(cards[[#This Row],[1]],0,BC$5-1))&lt;&gt;1,
"missing",
IF(COUNTIF(cards[[#This Row],[1]:[25]],OFFSET(cards[[#This Row],[1]],0,BC$5-1))&gt;1,"duplicate","ok")))</f>
        <v/>
      </c>
      <c r="BD13" t="str">
        <f ca="1">IF(OFFSET(cards[[#This Row],[1]],0,BD$5-1)="","",
  IF(COUNTIF(entities[entity_id],
OFFSET(cards[[#This Row],[1]],0,BD$5-1))&lt;&gt;1,
"missing",
IF(COUNTIF(cards[[#This Row],[1]:[25]],OFFSET(cards[[#This Row],[1]],0,BD$5-1))&gt;1,"duplicate","ok")))</f>
        <v/>
      </c>
      <c r="BE13" t="str">
        <f ca="1">IF(OFFSET(cards[[#This Row],[1]],0,BE$5-1)="","",
  IF(COUNTIF(entities[entity_id],
OFFSET(cards[[#This Row],[1]],0,BE$5-1))&lt;&gt;1,
"missing",
IF(COUNTIF(cards[[#This Row],[1]:[25]],OFFSET(cards[[#This Row],[1]],0,BE$5-1))&gt;1,"duplicate","ok")))</f>
        <v/>
      </c>
      <c r="BF13" t="str">
        <f ca="1">IF(OFFSET(cards[[#This Row],[1]],0,BF$5-1)="","",
  IF(COUNTIF(entities[entity_id],
OFFSET(cards[[#This Row],[1]],0,BF$5-1))&lt;&gt;1,
"missing",
IF(COUNTIF(cards[[#This Row],[1]:[25]],OFFSET(cards[[#This Row],[1]],0,BF$5-1))&gt;1,"duplicate","ok")))</f>
        <v/>
      </c>
      <c r="BG13" t="str">
        <f ca="1">IF(OFFSET(cards[[#This Row],[1]],0,BG$5-1)="","",
  IF(COUNTIF(entities[entity_id],
OFFSET(cards[[#This Row],[1]],0,BG$5-1))&lt;&gt;1,
"missing",
IF(COUNTIF(cards[[#This Row],[1]:[25]],OFFSET(cards[[#This Row],[1]],0,BG$5-1))&gt;1,"duplicate","ok")))</f>
        <v/>
      </c>
      <c r="BH13" t="str">
        <f ca="1">IF(OFFSET(cards[[#This Row],[1]],0,BH$5-1)="","",
  IF(COUNTIF(entities[entity_id],
OFFSET(cards[[#This Row],[1]],0,BH$5-1))&lt;&gt;1,
"missing",
IF(COUNTIF(cards[[#This Row],[1]:[25]],OFFSET(cards[[#This Row],[1]],0,BH$5-1))&gt;1,"duplicate","ok")))</f>
        <v/>
      </c>
      <c r="BI13" t="str">
        <f ca="1">IF(OFFSET(cards[[#This Row],[1]],0,BI$5-1)="","",
  IF(COUNTIF(entities[entity_id],
OFFSET(cards[[#This Row],[1]],0,BI$5-1))&lt;&gt;1,
"missing",
IF(COUNTIF(cards[[#This Row],[1]:[25]],OFFSET(cards[[#This Row],[1]],0,BI$5-1))&gt;1,"duplicate","ok")))</f>
        <v/>
      </c>
      <c r="BJ13" t="str">
        <f ca="1">IF(OFFSET(cards[[#This Row],[1]],0,BJ$5-1)="","",
  IF(COUNTIF(entities[entity_id],
OFFSET(cards[[#This Row],[1]],0,BJ$5-1))&lt;&gt;1,
"missing",
IF(COUNTIF(cards[[#This Row],[1]:[25]],OFFSET(cards[[#This Row],[1]],0,BJ$5-1))&gt;1,"duplicate","ok")))</f>
        <v/>
      </c>
      <c r="BK13" t="str">
        <f ca="1">IF(OFFSET(cards[[#This Row],[1]],0,BK$5-1)="","",
  IF(COUNTIF(entities[entity_id],
OFFSET(cards[[#This Row],[1]],0,BK$5-1))&lt;&gt;1,
"missing",
IF(COUNTIF(cards[[#This Row],[1]:[25]],OFFSET(cards[[#This Row],[1]],0,BK$5-1))&gt;1,"duplicate","ok")))</f>
        <v/>
      </c>
      <c r="BL13" t="str">
        <f ca="1">IF(OFFSET(cards[[#This Row],[1]],0,BL$5-1)="","",
  IF(COUNTIF(entities[entity_id],
OFFSET(cards[[#This Row],[1]],0,BL$5-1))&lt;&gt;1,
"missing",
IF(COUNTIF(cards[[#This Row],[1]:[25]],OFFSET(cards[[#This Row],[1]],0,BL$5-1))&gt;1,"duplicate","ok")))</f>
        <v/>
      </c>
      <c r="BM13" t="str">
        <f ca="1">IF(OFFSET(cards[[#This Row],[1]],0,BM$5-1)="","",
  IF(COUNTIF(entities[entity_id],
OFFSET(cards[[#This Row],[1]],0,BM$5-1))&lt;&gt;1,
"missing",
IF(COUNTIF(cards[[#This Row],[1]:[25]],OFFSET(cards[[#This Row],[1]],0,BM$5-1))&gt;1,"duplicate","ok")))</f>
        <v/>
      </c>
      <c r="BN13" t="str">
        <f ca="1">IF(OFFSET(cards[[#This Row],[1]],0,BN$5-1)="","",
  IF(COUNTIF(entities[entity_id],
OFFSET(cards[[#This Row],[1]],0,BN$5-1))&lt;&gt;1,
"missing",
IF(COUNTIF(cards[[#This Row],[1]:[25]],OFFSET(cards[[#This Row],[1]],0,BN$5-1))&gt;1,"duplicate","ok")))</f>
        <v/>
      </c>
      <c r="BO13" s="4" t="str">
        <f>IF(cards[[#This Row],[First space]]-cards[[#This Row],[Entities count]]=1,"ok","Check entitiy names")</f>
        <v>ok</v>
      </c>
      <c r="BP13" s="4" t="str">
        <f ca="1">IF(COUNTIF(cards[[#This Row],[C1]:[C25]],"missing")=0,"ok","some entities missing from Entities tab")</f>
        <v>ok</v>
      </c>
      <c r="BQ13" s="4" t="str">
        <f ca="1">IF(COUNTIF(cards[[#This Row],[C1]:[C25]],"duplicate")=0,"ok","some duplicates")</f>
        <v>ok</v>
      </c>
      <c r="BR13" t="str">
        <f>"group."&amp;cards[[#This Row],[object_id]]</f>
        <v>group.automation_rmlvtv</v>
      </c>
    </row>
    <row r="14" spans="1:70" x14ac:dyDescent="0.25">
      <c r="B14">
        <v>7</v>
      </c>
      <c r="C14" t="s">
        <v>581</v>
      </c>
      <c r="D14" t="s">
        <v>777</v>
      </c>
      <c r="H14" t="s">
        <v>34</v>
      </c>
      <c r="I14" t="s">
        <v>35</v>
      </c>
      <c r="J14" t="s">
        <v>694</v>
      </c>
      <c r="K14" t="s">
        <v>36</v>
      </c>
      <c r="L14" t="s">
        <v>37</v>
      </c>
      <c r="AG14">
        <f>ROW(cards[[#This Row],[object_id order]])-ROW(cards[])+1</f>
        <v>7</v>
      </c>
      <c r="AH14">
        <f ca="1">IF(OFFSET(cards[[#This Row],[object_id]],0,1)&lt;&gt;"",1,"")</f>
        <v>1</v>
      </c>
      <c r="AI14" t="str">
        <f ca="1">IF(OFFSET(cards[[#This Row],[object_id]],0,2)&lt;&gt;"",2,"")</f>
        <v/>
      </c>
      <c r="AJ14" t="str">
        <f ca="1">IF(OFFSET(cards[[#This Row],[object_id]],0,3)&lt;&gt;"",3,"")</f>
        <v/>
      </c>
      <c r="AK14" t="str">
        <f ca="1">IF(OFFSET(cards[[#This Row],[object_id]],0,4)&lt;&gt;"",4,"")</f>
        <v/>
      </c>
      <c r="AL14" t="str">
        <f ca="1">CONCATENATE(cards[[#This Row],[A1]],cards[[#This Row],[A2]],cards[[#This Row],[A3]],cards[[#This Row],[A4]])</f>
        <v>1</v>
      </c>
      <c r="AM14">
        <f ca="1">LEN(cards[[#This Row],[Attribute Index]])</f>
        <v>1</v>
      </c>
      <c r="AN14" s="4">
        <f>COUNTA(cards[[#This Row],[1]:[25]])</f>
        <v>5</v>
      </c>
      <c r="AO14" s="4">
        <f>MATCH(TRUE,INDEX(ISBLANK(cards[[#This Row],[1]:[25]]),0,0),0)</f>
        <v>6</v>
      </c>
      <c r="AP14" t="str">
        <f ca="1">IF(OFFSET(cards[[#This Row],[1]],0,AP$5-1)="","",
  IF(COUNTIF(entities[entity_id],
OFFSET(cards[[#This Row],[1]],0,AP$5-1))&lt;&gt;1,
"missing",
IF(COUNTIF(cards[[#This Row],[1]:[25]],OFFSET(cards[[#This Row],[1]],0,AP$5-1))&gt;1,"duplicate","ok")))</f>
        <v>ok</v>
      </c>
      <c r="AQ14" t="str">
        <f ca="1">IF(OFFSET(cards[[#This Row],[1]],0,AQ$5-1)="","",
  IF(COUNTIF(entities[entity_id],
OFFSET(cards[[#This Row],[1]],0,AQ$5-1))&lt;&gt;1,
"missing",
IF(COUNTIF(cards[[#This Row],[1]:[25]],OFFSET(cards[[#This Row],[1]],0,AQ$5-1))&gt;1,"duplicate","ok")))</f>
        <v>ok</v>
      </c>
      <c r="AR14" t="str">
        <f ca="1">IF(OFFSET(cards[[#This Row],[1]],0,AR$5-1)="","",
  IF(COUNTIF(entities[entity_id],
OFFSET(cards[[#This Row],[1]],0,AR$5-1))&lt;&gt;1,
"missing",
IF(COUNTIF(cards[[#This Row],[1]:[25]],OFFSET(cards[[#This Row],[1]],0,AR$5-1))&gt;1,"duplicate","ok")))</f>
        <v>ok</v>
      </c>
      <c r="AS14" t="str">
        <f ca="1">IF(OFFSET(cards[[#This Row],[1]],0,AS$5-1)="","",
  IF(COUNTIF(entities[entity_id],
OFFSET(cards[[#This Row],[1]],0,AS$5-1))&lt;&gt;1,
"missing",
IF(COUNTIF(cards[[#This Row],[1]:[25]],OFFSET(cards[[#This Row],[1]],0,AS$5-1))&gt;1,"duplicate","ok")))</f>
        <v>ok</v>
      </c>
      <c r="AT14" t="str">
        <f ca="1">IF(OFFSET(cards[[#This Row],[1]],0,AT$5-1)="","",
  IF(COUNTIF(entities[entity_id],
OFFSET(cards[[#This Row],[1]],0,AT$5-1))&lt;&gt;1,
"missing",
IF(COUNTIF(cards[[#This Row],[1]:[25]],OFFSET(cards[[#This Row],[1]],0,AT$5-1))&gt;1,"duplicate","ok")))</f>
        <v>ok</v>
      </c>
      <c r="AU14" t="str">
        <f ca="1">IF(OFFSET(cards[[#This Row],[1]],0,AU$5-1)="","",
  IF(COUNTIF(entities[entity_id],
OFFSET(cards[[#This Row],[1]],0,AU$5-1))&lt;&gt;1,
"missing",
IF(COUNTIF(cards[[#This Row],[1]:[25]],OFFSET(cards[[#This Row],[1]],0,AU$5-1))&gt;1,"duplicate","ok")))</f>
        <v/>
      </c>
      <c r="AV14" t="str">
        <f ca="1">IF(OFFSET(cards[[#This Row],[1]],0,AV$5-1)="","",
  IF(COUNTIF(entities[entity_id],
OFFSET(cards[[#This Row],[1]],0,AV$5-1))&lt;&gt;1,
"missing",
IF(COUNTIF(cards[[#This Row],[1]:[25]],OFFSET(cards[[#This Row],[1]],0,AV$5-1))&gt;1,"duplicate","ok")))</f>
        <v/>
      </c>
      <c r="AW14" t="str">
        <f ca="1">IF(OFFSET(cards[[#This Row],[1]],0,AW$5-1)="","",
  IF(COUNTIF(entities[entity_id],
OFFSET(cards[[#This Row],[1]],0,AW$5-1))&lt;&gt;1,
"missing",
IF(COUNTIF(cards[[#This Row],[1]:[25]],OFFSET(cards[[#This Row],[1]],0,AW$5-1))&gt;1,"duplicate","ok")))</f>
        <v/>
      </c>
      <c r="AX14" t="str">
        <f ca="1">IF(OFFSET(cards[[#This Row],[1]],0,AX$5-1)="","",
  IF(COUNTIF(entities[entity_id],
OFFSET(cards[[#This Row],[1]],0,AX$5-1))&lt;&gt;1,
"missing",
IF(COUNTIF(cards[[#This Row],[1]:[25]],OFFSET(cards[[#This Row],[1]],0,AX$5-1))&gt;1,"duplicate","ok")))</f>
        <v/>
      </c>
      <c r="AY14" t="str">
        <f ca="1">IF(OFFSET(cards[[#This Row],[1]],0,AY$5-1)="","",
  IF(COUNTIF(entities[entity_id],
OFFSET(cards[[#This Row],[1]],0,AY$5-1))&lt;&gt;1,
"missing",
IF(COUNTIF(cards[[#This Row],[1]:[25]],OFFSET(cards[[#This Row],[1]],0,AY$5-1))&gt;1,"duplicate","ok")))</f>
        <v/>
      </c>
      <c r="AZ14" t="str">
        <f ca="1">IF(OFFSET(cards[[#This Row],[1]],0,AZ$5-1)="","",
  IF(COUNTIF(entities[entity_id],
OFFSET(cards[[#This Row],[1]],0,AZ$5-1))&lt;&gt;1,
"missing",
IF(COUNTIF(cards[[#This Row],[1]:[25]],OFFSET(cards[[#This Row],[1]],0,AZ$5-1))&gt;1,"duplicate","ok")))</f>
        <v/>
      </c>
      <c r="BA14" t="str">
        <f ca="1">IF(OFFSET(cards[[#This Row],[1]],0,BA$5-1)="","",
  IF(COUNTIF(entities[entity_id],
OFFSET(cards[[#This Row],[1]],0,BA$5-1))&lt;&gt;1,
"missing",
IF(COUNTIF(cards[[#This Row],[1]:[25]],OFFSET(cards[[#This Row],[1]],0,BA$5-1))&gt;1,"duplicate","ok")))</f>
        <v/>
      </c>
      <c r="BB14" t="str">
        <f ca="1">IF(OFFSET(cards[[#This Row],[1]],0,BB$5-1)="","",
  IF(COUNTIF(entities[entity_id],
OFFSET(cards[[#This Row],[1]],0,BB$5-1))&lt;&gt;1,
"missing",
IF(COUNTIF(cards[[#This Row],[1]:[25]],OFFSET(cards[[#This Row],[1]],0,BB$5-1))&gt;1,"duplicate","ok")))</f>
        <v/>
      </c>
      <c r="BC14" t="str">
        <f ca="1">IF(OFFSET(cards[[#This Row],[1]],0,BC$5-1)="","",
  IF(COUNTIF(entities[entity_id],
OFFSET(cards[[#This Row],[1]],0,BC$5-1))&lt;&gt;1,
"missing",
IF(COUNTIF(cards[[#This Row],[1]:[25]],OFFSET(cards[[#This Row],[1]],0,BC$5-1))&gt;1,"duplicate","ok")))</f>
        <v/>
      </c>
      <c r="BD14" t="str">
        <f ca="1">IF(OFFSET(cards[[#This Row],[1]],0,BD$5-1)="","",
  IF(COUNTIF(entities[entity_id],
OFFSET(cards[[#This Row],[1]],0,BD$5-1))&lt;&gt;1,
"missing",
IF(COUNTIF(cards[[#This Row],[1]:[25]],OFFSET(cards[[#This Row],[1]],0,BD$5-1))&gt;1,"duplicate","ok")))</f>
        <v/>
      </c>
      <c r="BE14" t="str">
        <f ca="1">IF(OFFSET(cards[[#This Row],[1]],0,BE$5-1)="","",
  IF(COUNTIF(entities[entity_id],
OFFSET(cards[[#This Row],[1]],0,BE$5-1))&lt;&gt;1,
"missing",
IF(COUNTIF(cards[[#This Row],[1]:[25]],OFFSET(cards[[#This Row],[1]],0,BE$5-1))&gt;1,"duplicate","ok")))</f>
        <v/>
      </c>
      <c r="BF14" t="str">
        <f ca="1">IF(OFFSET(cards[[#This Row],[1]],0,BF$5-1)="","",
  IF(COUNTIF(entities[entity_id],
OFFSET(cards[[#This Row],[1]],0,BF$5-1))&lt;&gt;1,
"missing",
IF(COUNTIF(cards[[#This Row],[1]:[25]],OFFSET(cards[[#This Row],[1]],0,BF$5-1))&gt;1,"duplicate","ok")))</f>
        <v/>
      </c>
      <c r="BG14" t="str">
        <f ca="1">IF(OFFSET(cards[[#This Row],[1]],0,BG$5-1)="","",
  IF(COUNTIF(entities[entity_id],
OFFSET(cards[[#This Row],[1]],0,BG$5-1))&lt;&gt;1,
"missing",
IF(COUNTIF(cards[[#This Row],[1]:[25]],OFFSET(cards[[#This Row],[1]],0,BG$5-1))&gt;1,"duplicate","ok")))</f>
        <v/>
      </c>
      <c r="BH14" t="str">
        <f ca="1">IF(OFFSET(cards[[#This Row],[1]],0,BH$5-1)="","",
  IF(COUNTIF(entities[entity_id],
OFFSET(cards[[#This Row],[1]],0,BH$5-1))&lt;&gt;1,
"missing",
IF(COUNTIF(cards[[#This Row],[1]:[25]],OFFSET(cards[[#This Row],[1]],0,BH$5-1))&gt;1,"duplicate","ok")))</f>
        <v/>
      </c>
      <c r="BI14" t="str">
        <f ca="1">IF(OFFSET(cards[[#This Row],[1]],0,BI$5-1)="","",
  IF(COUNTIF(entities[entity_id],
OFFSET(cards[[#This Row],[1]],0,BI$5-1))&lt;&gt;1,
"missing",
IF(COUNTIF(cards[[#This Row],[1]:[25]],OFFSET(cards[[#This Row],[1]],0,BI$5-1))&gt;1,"duplicate","ok")))</f>
        <v/>
      </c>
      <c r="BJ14" t="str">
        <f ca="1">IF(OFFSET(cards[[#This Row],[1]],0,BJ$5-1)="","",
  IF(COUNTIF(entities[entity_id],
OFFSET(cards[[#This Row],[1]],0,BJ$5-1))&lt;&gt;1,
"missing",
IF(COUNTIF(cards[[#This Row],[1]:[25]],OFFSET(cards[[#This Row],[1]],0,BJ$5-1))&gt;1,"duplicate","ok")))</f>
        <v/>
      </c>
      <c r="BK14" t="str">
        <f ca="1">IF(OFFSET(cards[[#This Row],[1]],0,BK$5-1)="","",
  IF(COUNTIF(entities[entity_id],
OFFSET(cards[[#This Row],[1]],0,BK$5-1))&lt;&gt;1,
"missing",
IF(COUNTIF(cards[[#This Row],[1]:[25]],OFFSET(cards[[#This Row],[1]],0,BK$5-1))&gt;1,"duplicate","ok")))</f>
        <v/>
      </c>
      <c r="BL14" t="str">
        <f ca="1">IF(OFFSET(cards[[#This Row],[1]],0,BL$5-1)="","",
  IF(COUNTIF(entities[entity_id],
OFFSET(cards[[#This Row],[1]],0,BL$5-1))&lt;&gt;1,
"missing",
IF(COUNTIF(cards[[#This Row],[1]:[25]],OFFSET(cards[[#This Row],[1]],0,BL$5-1))&gt;1,"duplicate","ok")))</f>
        <v/>
      </c>
      <c r="BM14" t="str">
        <f ca="1">IF(OFFSET(cards[[#This Row],[1]],0,BM$5-1)="","",
  IF(COUNTIF(entities[entity_id],
OFFSET(cards[[#This Row],[1]],0,BM$5-1))&lt;&gt;1,
"missing",
IF(COUNTIF(cards[[#This Row],[1]:[25]],OFFSET(cards[[#This Row],[1]],0,BM$5-1))&gt;1,"duplicate","ok")))</f>
        <v/>
      </c>
      <c r="BN14" t="str">
        <f ca="1">IF(OFFSET(cards[[#This Row],[1]],0,BN$5-1)="","",
  IF(COUNTIF(entities[entity_id],
OFFSET(cards[[#This Row],[1]],0,BN$5-1))&lt;&gt;1,
"missing",
IF(COUNTIF(cards[[#This Row],[1]:[25]],OFFSET(cards[[#This Row],[1]],0,BN$5-1))&gt;1,"duplicate","ok")))</f>
        <v/>
      </c>
      <c r="BO14" s="4" t="str">
        <f>IF(cards[[#This Row],[First space]]-cards[[#This Row],[Entities count]]=1,"ok","Check entitiy names")</f>
        <v>ok</v>
      </c>
      <c r="BP14" s="4" t="str">
        <f ca="1">IF(COUNTIF(cards[[#This Row],[C1]:[C25]],"missing")=0,"ok","some entities missing from Entities tab")</f>
        <v>ok</v>
      </c>
      <c r="BQ14" s="4" t="str">
        <f ca="1">IF(COUNTIF(cards[[#This Row],[C1]:[C25]],"duplicate")=0,"ok","some duplicates")</f>
        <v>ok</v>
      </c>
      <c r="BR14" t="str">
        <f>"group."&amp;cards[[#This Row],[object_id]]</f>
        <v>group.automation_statron</v>
      </c>
    </row>
    <row r="15" spans="1:70" x14ac:dyDescent="0.25">
      <c r="B15">
        <v>8</v>
      </c>
      <c r="C15" t="s">
        <v>580</v>
      </c>
      <c r="D15" t="s">
        <v>783</v>
      </c>
      <c r="H15" t="s">
        <v>32</v>
      </c>
      <c r="I15" t="s">
        <v>33</v>
      </c>
      <c r="AG15">
        <f>ROW(cards[[#This Row],[object_id order]])-ROW(cards[])+1</f>
        <v>8</v>
      </c>
      <c r="AH15">
        <f ca="1">IF(OFFSET(cards[[#This Row],[object_id]],0,1)&lt;&gt;"",1,"")</f>
        <v>1</v>
      </c>
      <c r="AI15" t="str">
        <f ca="1">IF(OFFSET(cards[[#This Row],[object_id]],0,2)&lt;&gt;"",2,"")</f>
        <v/>
      </c>
      <c r="AJ15" t="str">
        <f ca="1">IF(OFFSET(cards[[#This Row],[object_id]],0,3)&lt;&gt;"",3,"")</f>
        <v/>
      </c>
      <c r="AK15" t="str">
        <f ca="1">IF(OFFSET(cards[[#This Row],[object_id]],0,4)&lt;&gt;"",4,"")</f>
        <v/>
      </c>
      <c r="AL15" t="str">
        <f ca="1">CONCATENATE(cards[[#This Row],[A1]],cards[[#This Row],[A2]],cards[[#This Row],[A3]],cards[[#This Row],[A4]])</f>
        <v>1</v>
      </c>
      <c r="AM15">
        <f ca="1">LEN(cards[[#This Row],[Attribute Index]])</f>
        <v>1</v>
      </c>
      <c r="AN15" s="4">
        <f>COUNTA(cards[[#This Row],[1]:[25]])</f>
        <v>2</v>
      </c>
      <c r="AO15" s="4">
        <f>MATCH(TRUE,INDEX(ISBLANK(cards[[#This Row],[1]:[25]]),0,0),0)</f>
        <v>3</v>
      </c>
      <c r="AP15" t="str">
        <f ca="1">IF(OFFSET(cards[[#This Row],[1]],0,AP$5-1)="","",
  IF(COUNTIF(entities[entity_id],
OFFSET(cards[[#This Row],[1]],0,AP$5-1))&lt;&gt;1,
"missing",
IF(COUNTIF(cards[[#This Row],[1]:[25]],OFFSET(cards[[#This Row],[1]],0,AP$5-1))&gt;1,"duplicate","ok")))</f>
        <v>ok</v>
      </c>
      <c r="AQ15" t="str">
        <f ca="1">IF(OFFSET(cards[[#This Row],[1]],0,AQ$5-1)="","",
  IF(COUNTIF(entities[entity_id],
OFFSET(cards[[#This Row],[1]],0,AQ$5-1))&lt;&gt;1,
"missing",
IF(COUNTIF(cards[[#This Row],[1]:[25]],OFFSET(cards[[#This Row],[1]],0,AQ$5-1))&gt;1,"duplicate","ok")))</f>
        <v>ok</v>
      </c>
      <c r="AR15" t="str">
        <f ca="1">IF(OFFSET(cards[[#This Row],[1]],0,AR$5-1)="","",
  IF(COUNTIF(entities[entity_id],
OFFSET(cards[[#This Row],[1]],0,AR$5-1))&lt;&gt;1,
"missing",
IF(COUNTIF(cards[[#This Row],[1]:[25]],OFFSET(cards[[#This Row],[1]],0,AR$5-1))&gt;1,"duplicate","ok")))</f>
        <v/>
      </c>
      <c r="AS15" t="str">
        <f ca="1">IF(OFFSET(cards[[#This Row],[1]],0,AS$5-1)="","",
  IF(COUNTIF(entities[entity_id],
OFFSET(cards[[#This Row],[1]],0,AS$5-1))&lt;&gt;1,
"missing",
IF(COUNTIF(cards[[#This Row],[1]:[25]],OFFSET(cards[[#This Row],[1]],0,AS$5-1))&gt;1,"duplicate","ok")))</f>
        <v/>
      </c>
      <c r="AT15" t="str">
        <f ca="1">IF(OFFSET(cards[[#This Row],[1]],0,AT$5-1)="","",
  IF(COUNTIF(entities[entity_id],
OFFSET(cards[[#This Row],[1]],0,AT$5-1))&lt;&gt;1,
"missing",
IF(COUNTIF(cards[[#This Row],[1]:[25]],OFFSET(cards[[#This Row],[1]],0,AT$5-1))&gt;1,"duplicate","ok")))</f>
        <v/>
      </c>
      <c r="AU15" t="str">
        <f ca="1">IF(OFFSET(cards[[#This Row],[1]],0,AU$5-1)="","",
  IF(COUNTIF(entities[entity_id],
OFFSET(cards[[#This Row],[1]],0,AU$5-1))&lt;&gt;1,
"missing",
IF(COUNTIF(cards[[#This Row],[1]:[25]],OFFSET(cards[[#This Row],[1]],0,AU$5-1))&gt;1,"duplicate","ok")))</f>
        <v/>
      </c>
      <c r="AV15" t="str">
        <f ca="1">IF(OFFSET(cards[[#This Row],[1]],0,AV$5-1)="","",
  IF(COUNTIF(entities[entity_id],
OFFSET(cards[[#This Row],[1]],0,AV$5-1))&lt;&gt;1,
"missing",
IF(COUNTIF(cards[[#This Row],[1]:[25]],OFFSET(cards[[#This Row],[1]],0,AV$5-1))&gt;1,"duplicate","ok")))</f>
        <v/>
      </c>
      <c r="AW15" t="str">
        <f ca="1">IF(OFFSET(cards[[#This Row],[1]],0,AW$5-1)="","",
  IF(COUNTIF(entities[entity_id],
OFFSET(cards[[#This Row],[1]],0,AW$5-1))&lt;&gt;1,
"missing",
IF(COUNTIF(cards[[#This Row],[1]:[25]],OFFSET(cards[[#This Row],[1]],0,AW$5-1))&gt;1,"duplicate","ok")))</f>
        <v/>
      </c>
      <c r="AX15" t="str">
        <f ca="1">IF(OFFSET(cards[[#This Row],[1]],0,AX$5-1)="","",
  IF(COUNTIF(entities[entity_id],
OFFSET(cards[[#This Row],[1]],0,AX$5-1))&lt;&gt;1,
"missing",
IF(COUNTIF(cards[[#This Row],[1]:[25]],OFFSET(cards[[#This Row],[1]],0,AX$5-1))&gt;1,"duplicate","ok")))</f>
        <v/>
      </c>
      <c r="AY15" t="str">
        <f ca="1">IF(OFFSET(cards[[#This Row],[1]],0,AY$5-1)="","",
  IF(COUNTIF(entities[entity_id],
OFFSET(cards[[#This Row],[1]],0,AY$5-1))&lt;&gt;1,
"missing",
IF(COUNTIF(cards[[#This Row],[1]:[25]],OFFSET(cards[[#This Row],[1]],0,AY$5-1))&gt;1,"duplicate","ok")))</f>
        <v/>
      </c>
      <c r="AZ15" t="str">
        <f ca="1">IF(OFFSET(cards[[#This Row],[1]],0,AZ$5-1)="","",
  IF(COUNTIF(entities[entity_id],
OFFSET(cards[[#This Row],[1]],0,AZ$5-1))&lt;&gt;1,
"missing",
IF(COUNTIF(cards[[#This Row],[1]:[25]],OFFSET(cards[[#This Row],[1]],0,AZ$5-1))&gt;1,"duplicate","ok")))</f>
        <v/>
      </c>
      <c r="BA15" t="str">
        <f ca="1">IF(OFFSET(cards[[#This Row],[1]],0,BA$5-1)="","",
  IF(COUNTIF(entities[entity_id],
OFFSET(cards[[#This Row],[1]],0,BA$5-1))&lt;&gt;1,
"missing",
IF(COUNTIF(cards[[#This Row],[1]:[25]],OFFSET(cards[[#This Row],[1]],0,BA$5-1))&gt;1,"duplicate","ok")))</f>
        <v/>
      </c>
      <c r="BB15" t="str">
        <f ca="1">IF(OFFSET(cards[[#This Row],[1]],0,BB$5-1)="","",
  IF(COUNTIF(entities[entity_id],
OFFSET(cards[[#This Row],[1]],0,BB$5-1))&lt;&gt;1,
"missing",
IF(COUNTIF(cards[[#This Row],[1]:[25]],OFFSET(cards[[#This Row],[1]],0,BB$5-1))&gt;1,"duplicate","ok")))</f>
        <v/>
      </c>
      <c r="BC15" t="str">
        <f ca="1">IF(OFFSET(cards[[#This Row],[1]],0,BC$5-1)="","",
  IF(COUNTIF(entities[entity_id],
OFFSET(cards[[#This Row],[1]],0,BC$5-1))&lt;&gt;1,
"missing",
IF(COUNTIF(cards[[#This Row],[1]:[25]],OFFSET(cards[[#This Row],[1]],0,BC$5-1))&gt;1,"duplicate","ok")))</f>
        <v/>
      </c>
      <c r="BD15" t="str">
        <f ca="1">IF(OFFSET(cards[[#This Row],[1]],0,BD$5-1)="","",
  IF(COUNTIF(entities[entity_id],
OFFSET(cards[[#This Row],[1]],0,BD$5-1))&lt;&gt;1,
"missing",
IF(COUNTIF(cards[[#This Row],[1]:[25]],OFFSET(cards[[#This Row],[1]],0,BD$5-1))&gt;1,"duplicate","ok")))</f>
        <v/>
      </c>
      <c r="BE15" t="str">
        <f ca="1">IF(OFFSET(cards[[#This Row],[1]],0,BE$5-1)="","",
  IF(COUNTIF(entities[entity_id],
OFFSET(cards[[#This Row],[1]],0,BE$5-1))&lt;&gt;1,
"missing",
IF(COUNTIF(cards[[#This Row],[1]:[25]],OFFSET(cards[[#This Row],[1]],0,BE$5-1))&gt;1,"duplicate","ok")))</f>
        <v/>
      </c>
      <c r="BF15" t="str">
        <f ca="1">IF(OFFSET(cards[[#This Row],[1]],0,BF$5-1)="","",
  IF(COUNTIF(entities[entity_id],
OFFSET(cards[[#This Row],[1]],0,BF$5-1))&lt;&gt;1,
"missing",
IF(COUNTIF(cards[[#This Row],[1]:[25]],OFFSET(cards[[#This Row],[1]],0,BF$5-1))&gt;1,"duplicate","ok")))</f>
        <v/>
      </c>
      <c r="BG15" t="str">
        <f ca="1">IF(OFFSET(cards[[#This Row],[1]],0,BG$5-1)="","",
  IF(COUNTIF(entities[entity_id],
OFFSET(cards[[#This Row],[1]],0,BG$5-1))&lt;&gt;1,
"missing",
IF(COUNTIF(cards[[#This Row],[1]:[25]],OFFSET(cards[[#This Row],[1]],0,BG$5-1))&gt;1,"duplicate","ok")))</f>
        <v/>
      </c>
      <c r="BH15" t="str">
        <f ca="1">IF(OFFSET(cards[[#This Row],[1]],0,BH$5-1)="","",
  IF(COUNTIF(entities[entity_id],
OFFSET(cards[[#This Row],[1]],0,BH$5-1))&lt;&gt;1,
"missing",
IF(COUNTIF(cards[[#This Row],[1]:[25]],OFFSET(cards[[#This Row],[1]],0,BH$5-1))&gt;1,"duplicate","ok")))</f>
        <v/>
      </c>
      <c r="BI15" t="str">
        <f ca="1">IF(OFFSET(cards[[#This Row],[1]],0,BI$5-1)="","",
  IF(COUNTIF(entities[entity_id],
OFFSET(cards[[#This Row],[1]],0,BI$5-1))&lt;&gt;1,
"missing",
IF(COUNTIF(cards[[#This Row],[1]:[25]],OFFSET(cards[[#This Row],[1]],0,BI$5-1))&gt;1,"duplicate","ok")))</f>
        <v/>
      </c>
      <c r="BJ15" t="str">
        <f ca="1">IF(OFFSET(cards[[#This Row],[1]],0,BJ$5-1)="","",
  IF(COUNTIF(entities[entity_id],
OFFSET(cards[[#This Row],[1]],0,BJ$5-1))&lt;&gt;1,
"missing",
IF(COUNTIF(cards[[#This Row],[1]:[25]],OFFSET(cards[[#This Row],[1]],0,BJ$5-1))&gt;1,"duplicate","ok")))</f>
        <v/>
      </c>
      <c r="BK15" t="str">
        <f ca="1">IF(OFFSET(cards[[#This Row],[1]],0,BK$5-1)="","",
  IF(COUNTIF(entities[entity_id],
OFFSET(cards[[#This Row],[1]],0,BK$5-1))&lt;&gt;1,
"missing",
IF(COUNTIF(cards[[#This Row],[1]:[25]],OFFSET(cards[[#This Row],[1]],0,BK$5-1))&gt;1,"duplicate","ok")))</f>
        <v/>
      </c>
      <c r="BL15" t="str">
        <f ca="1">IF(OFFSET(cards[[#This Row],[1]],0,BL$5-1)="","",
  IF(COUNTIF(entities[entity_id],
OFFSET(cards[[#This Row],[1]],0,BL$5-1))&lt;&gt;1,
"missing",
IF(COUNTIF(cards[[#This Row],[1]:[25]],OFFSET(cards[[#This Row],[1]],0,BL$5-1))&gt;1,"duplicate","ok")))</f>
        <v/>
      </c>
      <c r="BM15" t="str">
        <f ca="1">IF(OFFSET(cards[[#This Row],[1]],0,BM$5-1)="","",
  IF(COUNTIF(entities[entity_id],
OFFSET(cards[[#This Row],[1]],0,BM$5-1))&lt;&gt;1,
"missing",
IF(COUNTIF(cards[[#This Row],[1]:[25]],OFFSET(cards[[#This Row],[1]],0,BM$5-1))&gt;1,"duplicate","ok")))</f>
        <v/>
      </c>
      <c r="BN15" t="str">
        <f ca="1">IF(OFFSET(cards[[#This Row],[1]],0,BN$5-1)="","",
  IF(COUNTIF(entities[entity_id],
OFFSET(cards[[#This Row],[1]],0,BN$5-1))&lt;&gt;1,
"missing",
IF(COUNTIF(cards[[#This Row],[1]:[25]],OFFSET(cards[[#This Row],[1]],0,BN$5-1))&gt;1,"duplicate","ok")))</f>
        <v/>
      </c>
      <c r="BO15" s="4" t="str">
        <f>IF(cards[[#This Row],[First space]]-cards[[#This Row],[Entities count]]=1,"ok","Check entitiy names")</f>
        <v>ok</v>
      </c>
      <c r="BP15" s="4" t="str">
        <f ca="1">IF(COUNTIF(cards[[#This Row],[C1]:[C25]],"missing")=0,"ok","some entities missing from Entities tab")</f>
        <v>ok</v>
      </c>
      <c r="BQ15" s="4" t="str">
        <f ca="1">IF(COUNTIF(cards[[#This Row],[C1]:[C25]],"duplicate")=0,"ok","some duplicates")</f>
        <v>ok</v>
      </c>
      <c r="BR15" t="str">
        <f>"group."&amp;cards[[#This Row],[object_id]]</f>
        <v>group.automation_statfriend</v>
      </c>
    </row>
    <row r="16" spans="1:70" x14ac:dyDescent="0.25">
      <c r="B16">
        <v>9</v>
      </c>
      <c r="C16" t="s">
        <v>582</v>
      </c>
      <c r="D16" t="s">
        <v>594</v>
      </c>
      <c r="H16" t="s">
        <v>38</v>
      </c>
      <c r="I16" t="s">
        <v>39</v>
      </c>
      <c r="AG16">
        <f>ROW(cards[[#This Row],[object_id order]])-ROW(cards[])+1</f>
        <v>9</v>
      </c>
      <c r="AH16">
        <f ca="1">IF(OFFSET(cards[[#This Row],[object_id]],0,1)&lt;&gt;"",1,"")</f>
        <v>1</v>
      </c>
      <c r="AI16" t="str">
        <f ca="1">IF(OFFSET(cards[[#This Row],[object_id]],0,2)&lt;&gt;"",2,"")</f>
        <v/>
      </c>
      <c r="AJ16" t="str">
        <f ca="1">IF(OFFSET(cards[[#This Row],[object_id]],0,3)&lt;&gt;"",3,"")</f>
        <v/>
      </c>
      <c r="AK16" t="str">
        <f ca="1">IF(OFFSET(cards[[#This Row],[object_id]],0,4)&lt;&gt;"",4,"")</f>
        <v/>
      </c>
      <c r="AL16" t="str">
        <f ca="1">CONCATENATE(cards[[#This Row],[A1]],cards[[#This Row],[A2]],cards[[#This Row],[A3]],cards[[#This Row],[A4]])</f>
        <v>1</v>
      </c>
      <c r="AM16">
        <f ca="1">LEN(cards[[#This Row],[Attribute Index]])</f>
        <v>1</v>
      </c>
      <c r="AN16" s="4">
        <f>COUNTA(cards[[#This Row],[1]:[25]])</f>
        <v>2</v>
      </c>
      <c r="AO16" s="4">
        <f>MATCH(TRUE,INDEX(ISBLANK(cards[[#This Row],[1]:[25]]),0,0),0)</f>
        <v>3</v>
      </c>
      <c r="AP16" t="str">
        <f ca="1">IF(OFFSET(cards[[#This Row],[1]],0,AP$5-1)="","",
  IF(COUNTIF(entities[entity_id],
OFFSET(cards[[#This Row],[1]],0,AP$5-1))&lt;&gt;1,
"missing",
IF(COUNTIF(cards[[#This Row],[1]:[25]],OFFSET(cards[[#This Row],[1]],0,AP$5-1))&gt;1,"duplicate","ok")))</f>
        <v>ok</v>
      </c>
      <c r="AQ16" t="str">
        <f ca="1">IF(OFFSET(cards[[#This Row],[1]],0,AQ$5-1)="","",
  IF(COUNTIF(entities[entity_id],
OFFSET(cards[[#This Row],[1]],0,AQ$5-1))&lt;&gt;1,
"missing",
IF(COUNTIF(cards[[#This Row],[1]:[25]],OFFSET(cards[[#This Row],[1]],0,AQ$5-1))&gt;1,"duplicate","ok")))</f>
        <v>ok</v>
      </c>
      <c r="AR16" t="str">
        <f ca="1">IF(OFFSET(cards[[#This Row],[1]],0,AR$5-1)="","",
  IF(COUNTIF(entities[entity_id],
OFFSET(cards[[#This Row],[1]],0,AR$5-1))&lt;&gt;1,
"missing",
IF(COUNTIF(cards[[#This Row],[1]:[25]],OFFSET(cards[[#This Row],[1]],0,AR$5-1))&gt;1,"duplicate","ok")))</f>
        <v/>
      </c>
      <c r="AS16" t="str">
        <f ca="1">IF(OFFSET(cards[[#This Row],[1]],0,AS$5-1)="","",
  IF(COUNTIF(entities[entity_id],
OFFSET(cards[[#This Row],[1]],0,AS$5-1))&lt;&gt;1,
"missing",
IF(COUNTIF(cards[[#This Row],[1]:[25]],OFFSET(cards[[#This Row],[1]],0,AS$5-1))&gt;1,"duplicate","ok")))</f>
        <v/>
      </c>
      <c r="AT16" t="str">
        <f ca="1">IF(OFFSET(cards[[#This Row],[1]],0,AT$5-1)="","",
  IF(COUNTIF(entities[entity_id],
OFFSET(cards[[#This Row],[1]],0,AT$5-1))&lt;&gt;1,
"missing",
IF(COUNTIF(cards[[#This Row],[1]:[25]],OFFSET(cards[[#This Row],[1]],0,AT$5-1))&gt;1,"duplicate","ok")))</f>
        <v/>
      </c>
      <c r="AU16" t="str">
        <f ca="1">IF(OFFSET(cards[[#This Row],[1]],0,AU$5-1)="","",
  IF(COUNTIF(entities[entity_id],
OFFSET(cards[[#This Row],[1]],0,AU$5-1))&lt;&gt;1,
"missing",
IF(COUNTIF(cards[[#This Row],[1]:[25]],OFFSET(cards[[#This Row],[1]],0,AU$5-1))&gt;1,"duplicate","ok")))</f>
        <v/>
      </c>
      <c r="AV16" t="str">
        <f ca="1">IF(OFFSET(cards[[#This Row],[1]],0,AV$5-1)="","",
  IF(COUNTIF(entities[entity_id],
OFFSET(cards[[#This Row],[1]],0,AV$5-1))&lt;&gt;1,
"missing",
IF(COUNTIF(cards[[#This Row],[1]:[25]],OFFSET(cards[[#This Row],[1]],0,AV$5-1))&gt;1,"duplicate","ok")))</f>
        <v/>
      </c>
      <c r="AW16" t="str">
        <f ca="1">IF(OFFSET(cards[[#This Row],[1]],0,AW$5-1)="","",
  IF(COUNTIF(entities[entity_id],
OFFSET(cards[[#This Row],[1]],0,AW$5-1))&lt;&gt;1,
"missing",
IF(COUNTIF(cards[[#This Row],[1]:[25]],OFFSET(cards[[#This Row],[1]],0,AW$5-1))&gt;1,"duplicate","ok")))</f>
        <v/>
      </c>
      <c r="AX16" t="str">
        <f ca="1">IF(OFFSET(cards[[#This Row],[1]],0,AX$5-1)="","",
  IF(COUNTIF(entities[entity_id],
OFFSET(cards[[#This Row],[1]],0,AX$5-1))&lt;&gt;1,
"missing",
IF(COUNTIF(cards[[#This Row],[1]:[25]],OFFSET(cards[[#This Row],[1]],0,AX$5-1))&gt;1,"duplicate","ok")))</f>
        <v/>
      </c>
      <c r="AY16" t="str">
        <f ca="1">IF(OFFSET(cards[[#This Row],[1]],0,AY$5-1)="","",
  IF(COUNTIF(entities[entity_id],
OFFSET(cards[[#This Row],[1]],0,AY$5-1))&lt;&gt;1,
"missing",
IF(COUNTIF(cards[[#This Row],[1]:[25]],OFFSET(cards[[#This Row],[1]],0,AY$5-1))&gt;1,"duplicate","ok")))</f>
        <v/>
      </c>
      <c r="AZ16" t="str">
        <f ca="1">IF(OFFSET(cards[[#This Row],[1]],0,AZ$5-1)="","",
  IF(COUNTIF(entities[entity_id],
OFFSET(cards[[#This Row],[1]],0,AZ$5-1))&lt;&gt;1,
"missing",
IF(COUNTIF(cards[[#This Row],[1]:[25]],OFFSET(cards[[#This Row],[1]],0,AZ$5-1))&gt;1,"duplicate","ok")))</f>
        <v/>
      </c>
      <c r="BA16" t="str">
        <f ca="1">IF(OFFSET(cards[[#This Row],[1]],0,BA$5-1)="","",
  IF(COUNTIF(entities[entity_id],
OFFSET(cards[[#This Row],[1]],0,BA$5-1))&lt;&gt;1,
"missing",
IF(COUNTIF(cards[[#This Row],[1]:[25]],OFFSET(cards[[#This Row],[1]],0,BA$5-1))&gt;1,"duplicate","ok")))</f>
        <v/>
      </c>
      <c r="BB16" t="str">
        <f ca="1">IF(OFFSET(cards[[#This Row],[1]],0,BB$5-1)="","",
  IF(COUNTIF(entities[entity_id],
OFFSET(cards[[#This Row],[1]],0,BB$5-1))&lt;&gt;1,
"missing",
IF(COUNTIF(cards[[#This Row],[1]:[25]],OFFSET(cards[[#This Row],[1]],0,BB$5-1))&gt;1,"duplicate","ok")))</f>
        <v/>
      </c>
      <c r="BC16" t="str">
        <f ca="1">IF(OFFSET(cards[[#This Row],[1]],0,BC$5-1)="","",
  IF(COUNTIF(entities[entity_id],
OFFSET(cards[[#This Row],[1]],0,BC$5-1))&lt;&gt;1,
"missing",
IF(COUNTIF(cards[[#This Row],[1]:[25]],OFFSET(cards[[#This Row],[1]],0,BC$5-1))&gt;1,"duplicate","ok")))</f>
        <v/>
      </c>
      <c r="BD16" t="str">
        <f ca="1">IF(OFFSET(cards[[#This Row],[1]],0,BD$5-1)="","",
  IF(COUNTIF(entities[entity_id],
OFFSET(cards[[#This Row],[1]],0,BD$5-1))&lt;&gt;1,
"missing",
IF(COUNTIF(cards[[#This Row],[1]:[25]],OFFSET(cards[[#This Row],[1]],0,BD$5-1))&gt;1,"duplicate","ok")))</f>
        <v/>
      </c>
      <c r="BE16" t="str">
        <f ca="1">IF(OFFSET(cards[[#This Row],[1]],0,BE$5-1)="","",
  IF(COUNTIF(entities[entity_id],
OFFSET(cards[[#This Row],[1]],0,BE$5-1))&lt;&gt;1,
"missing",
IF(COUNTIF(cards[[#This Row],[1]:[25]],OFFSET(cards[[#This Row],[1]],0,BE$5-1))&gt;1,"duplicate","ok")))</f>
        <v/>
      </c>
      <c r="BF16" t="str">
        <f ca="1">IF(OFFSET(cards[[#This Row],[1]],0,BF$5-1)="","",
  IF(COUNTIF(entities[entity_id],
OFFSET(cards[[#This Row],[1]],0,BF$5-1))&lt;&gt;1,
"missing",
IF(COUNTIF(cards[[#This Row],[1]:[25]],OFFSET(cards[[#This Row],[1]],0,BF$5-1))&gt;1,"duplicate","ok")))</f>
        <v/>
      </c>
      <c r="BG16" t="str">
        <f ca="1">IF(OFFSET(cards[[#This Row],[1]],0,BG$5-1)="","",
  IF(COUNTIF(entities[entity_id],
OFFSET(cards[[#This Row],[1]],0,BG$5-1))&lt;&gt;1,
"missing",
IF(COUNTIF(cards[[#This Row],[1]:[25]],OFFSET(cards[[#This Row],[1]],0,BG$5-1))&gt;1,"duplicate","ok")))</f>
        <v/>
      </c>
      <c r="BH16" t="str">
        <f ca="1">IF(OFFSET(cards[[#This Row],[1]],0,BH$5-1)="","",
  IF(COUNTIF(entities[entity_id],
OFFSET(cards[[#This Row],[1]],0,BH$5-1))&lt;&gt;1,
"missing",
IF(COUNTIF(cards[[#This Row],[1]:[25]],OFFSET(cards[[#This Row],[1]],0,BH$5-1))&gt;1,"duplicate","ok")))</f>
        <v/>
      </c>
      <c r="BI16" t="str">
        <f ca="1">IF(OFFSET(cards[[#This Row],[1]],0,BI$5-1)="","",
  IF(COUNTIF(entities[entity_id],
OFFSET(cards[[#This Row],[1]],0,BI$5-1))&lt;&gt;1,
"missing",
IF(COUNTIF(cards[[#This Row],[1]:[25]],OFFSET(cards[[#This Row],[1]],0,BI$5-1))&gt;1,"duplicate","ok")))</f>
        <v/>
      </c>
      <c r="BJ16" t="str">
        <f ca="1">IF(OFFSET(cards[[#This Row],[1]],0,BJ$5-1)="","",
  IF(COUNTIF(entities[entity_id],
OFFSET(cards[[#This Row],[1]],0,BJ$5-1))&lt;&gt;1,
"missing",
IF(COUNTIF(cards[[#This Row],[1]:[25]],OFFSET(cards[[#This Row],[1]],0,BJ$5-1))&gt;1,"duplicate","ok")))</f>
        <v/>
      </c>
      <c r="BK16" t="str">
        <f ca="1">IF(OFFSET(cards[[#This Row],[1]],0,BK$5-1)="","",
  IF(COUNTIF(entities[entity_id],
OFFSET(cards[[#This Row],[1]],0,BK$5-1))&lt;&gt;1,
"missing",
IF(COUNTIF(cards[[#This Row],[1]:[25]],OFFSET(cards[[#This Row],[1]],0,BK$5-1))&gt;1,"duplicate","ok")))</f>
        <v/>
      </c>
      <c r="BL16" t="str">
        <f ca="1">IF(OFFSET(cards[[#This Row],[1]],0,BL$5-1)="","",
  IF(COUNTIF(entities[entity_id],
OFFSET(cards[[#This Row],[1]],0,BL$5-1))&lt;&gt;1,
"missing",
IF(COUNTIF(cards[[#This Row],[1]:[25]],OFFSET(cards[[#This Row],[1]],0,BL$5-1))&gt;1,"duplicate","ok")))</f>
        <v/>
      </c>
      <c r="BM16" t="str">
        <f ca="1">IF(OFFSET(cards[[#This Row],[1]],0,BM$5-1)="","",
  IF(COUNTIF(entities[entity_id],
OFFSET(cards[[#This Row],[1]],0,BM$5-1))&lt;&gt;1,
"missing",
IF(COUNTIF(cards[[#This Row],[1]:[25]],OFFSET(cards[[#This Row],[1]],0,BM$5-1))&gt;1,"duplicate","ok")))</f>
        <v/>
      </c>
      <c r="BN16" t="str">
        <f ca="1">IF(OFFSET(cards[[#This Row],[1]],0,BN$5-1)="","",
  IF(COUNTIF(entities[entity_id],
OFFSET(cards[[#This Row],[1]],0,BN$5-1))&lt;&gt;1,
"missing",
IF(COUNTIF(cards[[#This Row],[1]:[25]],OFFSET(cards[[#This Row],[1]],0,BN$5-1))&gt;1,"duplicate","ok")))</f>
        <v/>
      </c>
      <c r="BO16" s="4" t="str">
        <f>IF(cards[[#This Row],[First space]]-cards[[#This Row],[Entities count]]=1,"ok","Check entitiy names")</f>
        <v>ok</v>
      </c>
      <c r="BP16" s="4" t="str">
        <f ca="1">IF(COUNTIF(cards[[#This Row],[C1]:[C25]],"missing")=0,"ok","some entities missing from Entities tab")</f>
        <v>ok</v>
      </c>
      <c r="BQ16" s="4" t="str">
        <f ca="1">IF(COUNTIF(cards[[#This Row],[C1]:[C25]],"duplicate")=0,"ok","some duplicates")</f>
        <v>ok</v>
      </c>
      <c r="BR16" t="str">
        <f>"group."&amp;cards[[#This Row],[object_id]]</f>
        <v>group.automation_statvac</v>
      </c>
    </row>
    <row r="17" spans="2:70" x14ac:dyDescent="0.25">
      <c r="B17">
        <v>10</v>
      </c>
      <c r="C17" t="s">
        <v>588</v>
      </c>
      <c r="D17" t="s">
        <v>597</v>
      </c>
      <c r="G17" t="s">
        <v>153</v>
      </c>
      <c r="H17" t="s">
        <v>100</v>
      </c>
      <c r="I17" t="s">
        <v>98</v>
      </c>
      <c r="J17" t="s">
        <v>99</v>
      </c>
      <c r="AG17">
        <f>ROW(cards[[#This Row],[object_id order]])-ROW(cards[])+1</f>
        <v>10</v>
      </c>
      <c r="AH17">
        <f ca="1">IF(OFFSET(cards[[#This Row],[object_id]],0,1)&lt;&gt;"",1,"")</f>
        <v>1</v>
      </c>
      <c r="AI17" t="str">
        <f ca="1">IF(OFFSET(cards[[#This Row],[object_id]],0,2)&lt;&gt;"",2,"")</f>
        <v/>
      </c>
      <c r="AJ17" t="str">
        <f ca="1">IF(OFFSET(cards[[#This Row],[object_id]],0,3)&lt;&gt;"",3,"")</f>
        <v/>
      </c>
      <c r="AK17">
        <f ca="1">IF(OFFSET(cards[[#This Row],[object_id]],0,4)&lt;&gt;"",4,"")</f>
        <v>4</v>
      </c>
      <c r="AL17" t="str">
        <f ca="1">CONCATENATE(cards[[#This Row],[A1]],cards[[#This Row],[A2]],cards[[#This Row],[A3]],cards[[#This Row],[A4]])</f>
        <v>14</v>
      </c>
      <c r="AM17">
        <f ca="1">LEN(cards[[#This Row],[Attribute Index]])</f>
        <v>2</v>
      </c>
      <c r="AN17" s="4">
        <f>COUNTA(cards[[#This Row],[1]:[25]])</f>
        <v>3</v>
      </c>
      <c r="AO17" s="4">
        <f>MATCH(TRUE,INDEX(ISBLANK(cards[[#This Row],[1]:[25]]),0,0),0)</f>
        <v>4</v>
      </c>
      <c r="AP17" t="str">
        <f ca="1">IF(OFFSET(cards[[#This Row],[1]],0,AP$5-1)="","",
  IF(COUNTIF(entities[entity_id],
OFFSET(cards[[#This Row],[1]],0,AP$5-1))&lt;&gt;1,
"missing",
IF(COUNTIF(cards[[#This Row],[1]:[25]],OFFSET(cards[[#This Row],[1]],0,AP$5-1))&gt;1,"duplicate","ok")))</f>
        <v>ok</v>
      </c>
      <c r="AQ17" t="str">
        <f ca="1">IF(OFFSET(cards[[#This Row],[1]],0,AQ$5-1)="","",
  IF(COUNTIF(entities[entity_id],
OFFSET(cards[[#This Row],[1]],0,AQ$5-1))&lt;&gt;1,
"missing",
IF(COUNTIF(cards[[#This Row],[1]:[25]],OFFSET(cards[[#This Row],[1]],0,AQ$5-1))&gt;1,"duplicate","ok")))</f>
        <v>ok</v>
      </c>
      <c r="AR17" t="str">
        <f ca="1">IF(OFFSET(cards[[#This Row],[1]],0,AR$5-1)="","",
  IF(COUNTIF(entities[entity_id],
OFFSET(cards[[#This Row],[1]],0,AR$5-1))&lt;&gt;1,
"missing",
IF(COUNTIF(cards[[#This Row],[1]:[25]],OFFSET(cards[[#This Row],[1]],0,AR$5-1))&gt;1,"duplicate","ok")))</f>
        <v>ok</v>
      </c>
      <c r="AS17" t="str">
        <f ca="1">IF(OFFSET(cards[[#This Row],[1]],0,AS$5-1)="","",
  IF(COUNTIF(entities[entity_id],
OFFSET(cards[[#This Row],[1]],0,AS$5-1))&lt;&gt;1,
"missing",
IF(COUNTIF(cards[[#This Row],[1]:[25]],OFFSET(cards[[#This Row],[1]],0,AS$5-1))&gt;1,"duplicate","ok")))</f>
        <v/>
      </c>
      <c r="AT17" t="str">
        <f ca="1">IF(OFFSET(cards[[#This Row],[1]],0,AT$5-1)="","",
  IF(COUNTIF(entities[entity_id],
OFFSET(cards[[#This Row],[1]],0,AT$5-1))&lt;&gt;1,
"missing",
IF(COUNTIF(cards[[#This Row],[1]:[25]],OFFSET(cards[[#This Row],[1]],0,AT$5-1))&gt;1,"duplicate","ok")))</f>
        <v/>
      </c>
      <c r="AU17" t="str">
        <f ca="1">IF(OFFSET(cards[[#This Row],[1]],0,AU$5-1)="","",
  IF(COUNTIF(entities[entity_id],
OFFSET(cards[[#This Row],[1]],0,AU$5-1))&lt;&gt;1,
"missing",
IF(COUNTIF(cards[[#This Row],[1]:[25]],OFFSET(cards[[#This Row],[1]],0,AU$5-1))&gt;1,"duplicate","ok")))</f>
        <v/>
      </c>
      <c r="AV17" t="str">
        <f ca="1">IF(OFFSET(cards[[#This Row],[1]],0,AV$5-1)="","",
  IF(COUNTIF(entities[entity_id],
OFFSET(cards[[#This Row],[1]],0,AV$5-1))&lt;&gt;1,
"missing",
IF(COUNTIF(cards[[#This Row],[1]:[25]],OFFSET(cards[[#This Row],[1]],0,AV$5-1))&gt;1,"duplicate","ok")))</f>
        <v/>
      </c>
      <c r="AW17" t="str">
        <f ca="1">IF(OFFSET(cards[[#This Row],[1]],0,AW$5-1)="","",
  IF(COUNTIF(entities[entity_id],
OFFSET(cards[[#This Row],[1]],0,AW$5-1))&lt;&gt;1,
"missing",
IF(COUNTIF(cards[[#This Row],[1]:[25]],OFFSET(cards[[#This Row],[1]],0,AW$5-1))&gt;1,"duplicate","ok")))</f>
        <v/>
      </c>
      <c r="AX17" t="str">
        <f ca="1">IF(OFFSET(cards[[#This Row],[1]],0,AX$5-1)="","",
  IF(COUNTIF(entities[entity_id],
OFFSET(cards[[#This Row],[1]],0,AX$5-1))&lt;&gt;1,
"missing",
IF(COUNTIF(cards[[#This Row],[1]:[25]],OFFSET(cards[[#This Row],[1]],0,AX$5-1))&gt;1,"duplicate","ok")))</f>
        <v/>
      </c>
      <c r="AY17" t="str">
        <f ca="1">IF(OFFSET(cards[[#This Row],[1]],0,AY$5-1)="","",
  IF(COUNTIF(entities[entity_id],
OFFSET(cards[[#This Row],[1]],0,AY$5-1))&lt;&gt;1,
"missing",
IF(COUNTIF(cards[[#This Row],[1]:[25]],OFFSET(cards[[#This Row],[1]],0,AY$5-1))&gt;1,"duplicate","ok")))</f>
        <v/>
      </c>
      <c r="AZ17" t="str">
        <f ca="1">IF(OFFSET(cards[[#This Row],[1]],0,AZ$5-1)="","",
  IF(COUNTIF(entities[entity_id],
OFFSET(cards[[#This Row],[1]],0,AZ$5-1))&lt;&gt;1,
"missing",
IF(COUNTIF(cards[[#This Row],[1]:[25]],OFFSET(cards[[#This Row],[1]],0,AZ$5-1))&gt;1,"duplicate","ok")))</f>
        <v/>
      </c>
      <c r="BA17" t="str">
        <f ca="1">IF(OFFSET(cards[[#This Row],[1]],0,BA$5-1)="","",
  IF(COUNTIF(entities[entity_id],
OFFSET(cards[[#This Row],[1]],0,BA$5-1))&lt;&gt;1,
"missing",
IF(COUNTIF(cards[[#This Row],[1]:[25]],OFFSET(cards[[#This Row],[1]],0,BA$5-1))&gt;1,"duplicate","ok")))</f>
        <v/>
      </c>
      <c r="BB17" t="str">
        <f ca="1">IF(OFFSET(cards[[#This Row],[1]],0,BB$5-1)="","",
  IF(COUNTIF(entities[entity_id],
OFFSET(cards[[#This Row],[1]],0,BB$5-1))&lt;&gt;1,
"missing",
IF(COUNTIF(cards[[#This Row],[1]:[25]],OFFSET(cards[[#This Row],[1]],0,BB$5-1))&gt;1,"duplicate","ok")))</f>
        <v/>
      </c>
      <c r="BC17" t="str">
        <f ca="1">IF(OFFSET(cards[[#This Row],[1]],0,BC$5-1)="","",
  IF(COUNTIF(entities[entity_id],
OFFSET(cards[[#This Row],[1]],0,BC$5-1))&lt;&gt;1,
"missing",
IF(COUNTIF(cards[[#This Row],[1]:[25]],OFFSET(cards[[#This Row],[1]],0,BC$5-1))&gt;1,"duplicate","ok")))</f>
        <v/>
      </c>
      <c r="BD17" t="str">
        <f ca="1">IF(OFFSET(cards[[#This Row],[1]],0,BD$5-1)="","",
  IF(COUNTIF(entities[entity_id],
OFFSET(cards[[#This Row],[1]],0,BD$5-1))&lt;&gt;1,
"missing",
IF(COUNTIF(cards[[#This Row],[1]:[25]],OFFSET(cards[[#This Row],[1]],0,BD$5-1))&gt;1,"duplicate","ok")))</f>
        <v/>
      </c>
      <c r="BE17" t="str">
        <f ca="1">IF(OFFSET(cards[[#This Row],[1]],0,BE$5-1)="","",
  IF(COUNTIF(entities[entity_id],
OFFSET(cards[[#This Row],[1]],0,BE$5-1))&lt;&gt;1,
"missing",
IF(COUNTIF(cards[[#This Row],[1]:[25]],OFFSET(cards[[#This Row],[1]],0,BE$5-1))&gt;1,"duplicate","ok")))</f>
        <v/>
      </c>
      <c r="BF17" t="str">
        <f ca="1">IF(OFFSET(cards[[#This Row],[1]],0,BF$5-1)="","",
  IF(COUNTIF(entities[entity_id],
OFFSET(cards[[#This Row],[1]],0,BF$5-1))&lt;&gt;1,
"missing",
IF(COUNTIF(cards[[#This Row],[1]:[25]],OFFSET(cards[[#This Row],[1]],0,BF$5-1))&gt;1,"duplicate","ok")))</f>
        <v/>
      </c>
      <c r="BG17" t="str">
        <f ca="1">IF(OFFSET(cards[[#This Row],[1]],0,BG$5-1)="","",
  IF(COUNTIF(entities[entity_id],
OFFSET(cards[[#This Row],[1]],0,BG$5-1))&lt;&gt;1,
"missing",
IF(COUNTIF(cards[[#This Row],[1]:[25]],OFFSET(cards[[#This Row],[1]],0,BG$5-1))&gt;1,"duplicate","ok")))</f>
        <v/>
      </c>
      <c r="BH17" t="str">
        <f ca="1">IF(OFFSET(cards[[#This Row],[1]],0,BH$5-1)="","",
  IF(COUNTIF(entities[entity_id],
OFFSET(cards[[#This Row],[1]],0,BH$5-1))&lt;&gt;1,
"missing",
IF(COUNTIF(cards[[#This Row],[1]:[25]],OFFSET(cards[[#This Row],[1]],0,BH$5-1))&gt;1,"duplicate","ok")))</f>
        <v/>
      </c>
      <c r="BI17" t="str">
        <f ca="1">IF(OFFSET(cards[[#This Row],[1]],0,BI$5-1)="","",
  IF(COUNTIF(entities[entity_id],
OFFSET(cards[[#This Row],[1]],0,BI$5-1))&lt;&gt;1,
"missing",
IF(COUNTIF(cards[[#This Row],[1]:[25]],OFFSET(cards[[#This Row],[1]],0,BI$5-1))&gt;1,"duplicate","ok")))</f>
        <v/>
      </c>
      <c r="BJ17" t="str">
        <f ca="1">IF(OFFSET(cards[[#This Row],[1]],0,BJ$5-1)="","",
  IF(COUNTIF(entities[entity_id],
OFFSET(cards[[#This Row],[1]],0,BJ$5-1))&lt;&gt;1,
"missing",
IF(COUNTIF(cards[[#This Row],[1]:[25]],OFFSET(cards[[#This Row],[1]],0,BJ$5-1))&gt;1,"duplicate","ok")))</f>
        <v/>
      </c>
      <c r="BK17" t="str">
        <f ca="1">IF(OFFSET(cards[[#This Row],[1]],0,BK$5-1)="","",
  IF(COUNTIF(entities[entity_id],
OFFSET(cards[[#This Row],[1]],0,BK$5-1))&lt;&gt;1,
"missing",
IF(COUNTIF(cards[[#This Row],[1]:[25]],OFFSET(cards[[#This Row],[1]],0,BK$5-1))&gt;1,"duplicate","ok")))</f>
        <v/>
      </c>
      <c r="BL17" t="str">
        <f ca="1">IF(OFFSET(cards[[#This Row],[1]],0,BL$5-1)="","",
  IF(COUNTIF(entities[entity_id],
OFFSET(cards[[#This Row],[1]],0,BL$5-1))&lt;&gt;1,
"missing",
IF(COUNTIF(cards[[#This Row],[1]:[25]],OFFSET(cards[[#This Row],[1]],0,BL$5-1))&gt;1,"duplicate","ok")))</f>
        <v/>
      </c>
      <c r="BM17" t="str">
        <f ca="1">IF(OFFSET(cards[[#This Row],[1]],0,BM$5-1)="","",
  IF(COUNTIF(entities[entity_id],
OFFSET(cards[[#This Row],[1]],0,BM$5-1))&lt;&gt;1,
"missing",
IF(COUNTIF(cards[[#This Row],[1]:[25]],OFFSET(cards[[#This Row],[1]],0,BM$5-1))&gt;1,"duplicate","ok")))</f>
        <v/>
      </c>
      <c r="BN17" t="str">
        <f ca="1">IF(OFFSET(cards[[#This Row],[1]],0,BN$5-1)="","",
  IF(COUNTIF(entities[entity_id],
OFFSET(cards[[#This Row],[1]],0,BN$5-1))&lt;&gt;1,
"missing",
IF(COUNTIF(cards[[#This Row],[1]:[25]],OFFSET(cards[[#This Row],[1]],0,BN$5-1))&gt;1,"duplicate","ok")))</f>
        <v/>
      </c>
      <c r="BO17" s="4" t="str">
        <f>IF(cards[[#This Row],[First space]]-cards[[#This Row],[Entities count]]=1,"ok","Check entitiy names")</f>
        <v>ok</v>
      </c>
      <c r="BP17" s="4" t="str">
        <f ca="1">IF(COUNTIF(cards[[#This Row],[C1]:[C25]],"missing")=0,"ok","some entities missing from Entities tab")</f>
        <v>ok</v>
      </c>
      <c r="BQ17" s="4" t="str">
        <f ca="1">IF(COUNTIF(cards[[#This Row],[C1]:[C25]],"duplicate")=0,"ok","some duplicates")</f>
        <v>ok</v>
      </c>
      <c r="BR17" t="str">
        <f>"group."&amp;cards[[#This Row],[object_id]]</f>
        <v>group.status</v>
      </c>
    </row>
    <row r="18" spans="2:70" x14ac:dyDescent="0.25">
      <c r="B18">
        <v>11</v>
      </c>
      <c r="C18" t="s">
        <v>674</v>
      </c>
      <c r="D18" t="s">
        <v>7</v>
      </c>
      <c r="H18" t="s">
        <v>146</v>
      </c>
      <c r="AG18">
        <f>ROW(cards[[#This Row],[object_id order]])-ROW(cards[])+1</f>
        <v>11</v>
      </c>
      <c r="AH18">
        <f ca="1">IF(OFFSET(cards[[#This Row],[object_id]],0,1)&lt;&gt;"",1,"")</f>
        <v>1</v>
      </c>
      <c r="AI18" t="str">
        <f ca="1">IF(OFFSET(cards[[#This Row],[object_id]],0,2)&lt;&gt;"",2,"")</f>
        <v/>
      </c>
      <c r="AJ18" t="str">
        <f ca="1">IF(OFFSET(cards[[#This Row],[object_id]],0,3)&lt;&gt;"",3,"")</f>
        <v/>
      </c>
      <c r="AK18" t="str">
        <f ca="1">IF(OFFSET(cards[[#This Row],[object_id]],0,4)&lt;&gt;"",4,"")</f>
        <v/>
      </c>
      <c r="AL18" t="str">
        <f ca="1">CONCATENATE(cards[[#This Row],[A1]],cards[[#This Row],[A2]],cards[[#This Row],[A3]],cards[[#This Row],[A4]])</f>
        <v>1</v>
      </c>
      <c r="AM18">
        <f ca="1">LEN(cards[[#This Row],[Attribute Index]])</f>
        <v>1</v>
      </c>
      <c r="AN18" s="4">
        <f>COUNTA(cards[[#This Row],[1]:[25]])</f>
        <v>1</v>
      </c>
      <c r="AO18" s="4">
        <f>MATCH(TRUE,INDEX(ISBLANK(cards[[#This Row],[1]:[25]]),0,0),0)</f>
        <v>2</v>
      </c>
      <c r="AP18" t="str">
        <f ca="1">IF(OFFSET(cards[[#This Row],[1]],0,AP$5-1)="","",
  IF(COUNTIF(entities[entity_id],
OFFSET(cards[[#This Row],[1]],0,AP$5-1))&lt;&gt;1,
"missing",
IF(COUNTIF(cards[[#This Row],[1]:[25]],OFFSET(cards[[#This Row],[1]],0,AP$5-1))&gt;1,"duplicate","ok")))</f>
        <v>ok</v>
      </c>
      <c r="AQ18" t="str">
        <f ca="1">IF(OFFSET(cards[[#This Row],[1]],0,AQ$5-1)="","",
  IF(COUNTIF(entities[entity_id],
OFFSET(cards[[#This Row],[1]],0,AQ$5-1))&lt;&gt;1,
"missing",
IF(COUNTIF(cards[[#This Row],[1]:[25]],OFFSET(cards[[#This Row],[1]],0,AQ$5-1))&gt;1,"duplicate","ok")))</f>
        <v/>
      </c>
      <c r="AR18" t="str">
        <f ca="1">IF(OFFSET(cards[[#This Row],[1]],0,AR$5-1)="","",
  IF(COUNTIF(entities[entity_id],
OFFSET(cards[[#This Row],[1]],0,AR$5-1))&lt;&gt;1,
"missing",
IF(COUNTIF(cards[[#This Row],[1]:[25]],OFFSET(cards[[#This Row],[1]],0,AR$5-1))&gt;1,"duplicate","ok")))</f>
        <v/>
      </c>
      <c r="AS18" t="str">
        <f ca="1">IF(OFFSET(cards[[#This Row],[1]],0,AS$5-1)="","",
  IF(COUNTIF(entities[entity_id],
OFFSET(cards[[#This Row],[1]],0,AS$5-1))&lt;&gt;1,
"missing",
IF(COUNTIF(cards[[#This Row],[1]:[25]],OFFSET(cards[[#This Row],[1]],0,AS$5-1))&gt;1,"duplicate","ok")))</f>
        <v/>
      </c>
      <c r="AT18" t="str">
        <f ca="1">IF(OFFSET(cards[[#This Row],[1]],0,AT$5-1)="","",
  IF(COUNTIF(entities[entity_id],
OFFSET(cards[[#This Row],[1]],0,AT$5-1))&lt;&gt;1,
"missing",
IF(COUNTIF(cards[[#This Row],[1]:[25]],OFFSET(cards[[#This Row],[1]],0,AT$5-1))&gt;1,"duplicate","ok")))</f>
        <v/>
      </c>
      <c r="AU18" t="str">
        <f ca="1">IF(OFFSET(cards[[#This Row],[1]],0,AU$5-1)="","",
  IF(COUNTIF(entities[entity_id],
OFFSET(cards[[#This Row],[1]],0,AU$5-1))&lt;&gt;1,
"missing",
IF(COUNTIF(cards[[#This Row],[1]:[25]],OFFSET(cards[[#This Row],[1]],0,AU$5-1))&gt;1,"duplicate","ok")))</f>
        <v/>
      </c>
      <c r="AV18" t="str">
        <f ca="1">IF(OFFSET(cards[[#This Row],[1]],0,AV$5-1)="","",
  IF(COUNTIF(entities[entity_id],
OFFSET(cards[[#This Row],[1]],0,AV$5-1))&lt;&gt;1,
"missing",
IF(COUNTIF(cards[[#This Row],[1]:[25]],OFFSET(cards[[#This Row],[1]],0,AV$5-1))&gt;1,"duplicate","ok")))</f>
        <v/>
      </c>
      <c r="AW18" t="str">
        <f ca="1">IF(OFFSET(cards[[#This Row],[1]],0,AW$5-1)="","",
  IF(COUNTIF(entities[entity_id],
OFFSET(cards[[#This Row],[1]],0,AW$5-1))&lt;&gt;1,
"missing",
IF(COUNTIF(cards[[#This Row],[1]:[25]],OFFSET(cards[[#This Row],[1]],0,AW$5-1))&gt;1,"duplicate","ok")))</f>
        <v/>
      </c>
      <c r="AX18" t="str">
        <f ca="1">IF(OFFSET(cards[[#This Row],[1]],0,AX$5-1)="","",
  IF(COUNTIF(entities[entity_id],
OFFSET(cards[[#This Row],[1]],0,AX$5-1))&lt;&gt;1,
"missing",
IF(COUNTIF(cards[[#This Row],[1]:[25]],OFFSET(cards[[#This Row],[1]],0,AX$5-1))&gt;1,"duplicate","ok")))</f>
        <v/>
      </c>
      <c r="AY18" t="str">
        <f ca="1">IF(OFFSET(cards[[#This Row],[1]],0,AY$5-1)="","",
  IF(COUNTIF(entities[entity_id],
OFFSET(cards[[#This Row],[1]],0,AY$5-1))&lt;&gt;1,
"missing",
IF(COUNTIF(cards[[#This Row],[1]:[25]],OFFSET(cards[[#This Row],[1]],0,AY$5-1))&gt;1,"duplicate","ok")))</f>
        <v/>
      </c>
      <c r="AZ18" t="str">
        <f ca="1">IF(OFFSET(cards[[#This Row],[1]],0,AZ$5-1)="","",
  IF(COUNTIF(entities[entity_id],
OFFSET(cards[[#This Row],[1]],0,AZ$5-1))&lt;&gt;1,
"missing",
IF(COUNTIF(cards[[#This Row],[1]:[25]],OFFSET(cards[[#This Row],[1]],0,AZ$5-1))&gt;1,"duplicate","ok")))</f>
        <v/>
      </c>
      <c r="BA18" t="str">
        <f ca="1">IF(OFFSET(cards[[#This Row],[1]],0,BA$5-1)="","",
  IF(COUNTIF(entities[entity_id],
OFFSET(cards[[#This Row],[1]],0,BA$5-1))&lt;&gt;1,
"missing",
IF(COUNTIF(cards[[#This Row],[1]:[25]],OFFSET(cards[[#This Row],[1]],0,BA$5-1))&gt;1,"duplicate","ok")))</f>
        <v/>
      </c>
      <c r="BB18" t="str">
        <f ca="1">IF(OFFSET(cards[[#This Row],[1]],0,BB$5-1)="","",
  IF(COUNTIF(entities[entity_id],
OFFSET(cards[[#This Row],[1]],0,BB$5-1))&lt;&gt;1,
"missing",
IF(COUNTIF(cards[[#This Row],[1]:[25]],OFFSET(cards[[#This Row],[1]],0,BB$5-1))&gt;1,"duplicate","ok")))</f>
        <v/>
      </c>
      <c r="BC18" t="str">
        <f ca="1">IF(OFFSET(cards[[#This Row],[1]],0,BC$5-1)="","",
  IF(COUNTIF(entities[entity_id],
OFFSET(cards[[#This Row],[1]],0,BC$5-1))&lt;&gt;1,
"missing",
IF(COUNTIF(cards[[#This Row],[1]:[25]],OFFSET(cards[[#This Row],[1]],0,BC$5-1))&gt;1,"duplicate","ok")))</f>
        <v/>
      </c>
      <c r="BD18" t="str">
        <f ca="1">IF(OFFSET(cards[[#This Row],[1]],0,BD$5-1)="","",
  IF(COUNTIF(entities[entity_id],
OFFSET(cards[[#This Row],[1]],0,BD$5-1))&lt;&gt;1,
"missing",
IF(COUNTIF(cards[[#This Row],[1]:[25]],OFFSET(cards[[#This Row],[1]],0,BD$5-1))&gt;1,"duplicate","ok")))</f>
        <v/>
      </c>
      <c r="BE18" t="str">
        <f ca="1">IF(OFFSET(cards[[#This Row],[1]],0,BE$5-1)="","",
  IF(COUNTIF(entities[entity_id],
OFFSET(cards[[#This Row],[1]],0,BE$5-1))&lt;&gt;1,
"missing",
IF(COUNTIF(cards[[#This Row],[1]:[25]],OFFSET(cards[[#This Row],[1]],0,BE$5-1))&gt;1,"duplicate","ok")))</f>
        <v/>
      </c>
      <c r="BF18" t="str">
        <f ca="1">IF(OFFSET(cards[[#This Row],[1]],0,BF$5-1)="","",
  IF(COUNTIF(entities[entity_id],
OFFSET(cards[[#This Row],[1]],0,BF$5-1))&lt;&gt;1,
"missing",
IF(COUNTIF(cards[[#This Row],[1]:[25]],OFFSET(cards[[#This Row],[1]],0,BF$5-1))&gt;1,"duplicate","ok")))</f>
        <v/>
      </c>
      <c r="BG18" t="str">
        <f ca="1">IF(OFFSET(cards[[#This Row],[1]],0,BG$5-1)="","",
  IF(COUNTIF(entities[entity_id],
OFFSET(cards[[#This Row],[1]],0,BG$5-1))&lt;&gt;1,
"missing",
IF(COUNTIF(cards[[#This Row],[1]:[25]],OFFSET(cards[[#This Row],[1]],0,BG$5-1))&gt;1,"duplicate","ok")))</f>
        <v/>
      </c>
      <c r="BH18" t="str">
        <f ca="1">IF(OFFSET(cards[[#This Row],[1]],0,BH$5-1)="","",
  IF(COUNTIF(entities[entity_id],
OFFSET(cards[[#This Row],[1]],0,BH$5-1))&lt;&gt;1,
"missing",
IF(COUNTIF(cards[[#This Row],[1]:[25]],OFFSET(cards[[#This Row],[1]],0,BH$5-1))&gt;1,"duplicate","ok")))</f>
        <v/>
      </c>
      <c r="BI18" t="str">
        <f ca="1">IF(OFFSET(cards[[#This Row],[1]],0,BI$5-1)="","",
  IF(COUNTIF(entities[entity_id],
OFFSET(cards[[#This Row],[1]],0,BI$5-1))&lt;&gt;1,
"missing",
IF(COUNTIF(cards[[#This Row],[1]:[25]],OFFSET(cards[[#This Row],[1]],0,BI$5-1))&gt;1,"duplicate","ok")))</f>
        <v/>
      </c>
      <c r="BJ18" t="str">
        <f ca="1">IF(OFFSET(cards[[#This Row],[1]],0,BJ$5-1)="","",
  IF(COUNTIF(entities[entity_id],
OFFSET(cards[[#This Row],[1]],0,BJ$5-1))&lt;&gt;1,
"missing",
IF(COUNTIF(cards[[#This Row],[1]:[25]],OFFSET(cards[[#This Row],[1]],0,BJ$5-1))&gt;1,"duplicate","ok")))</f>
        <v/>
      </c>
      <c r="BK18" t="str">
        <f ca="1">IF(OFFSET(cards[[#This Row],[1]],0,BK$5-1)="","",
  IF(COUNTIF(entities[entity_id],
OFFSET(cards[[#This Row],[1]],0,BK$5-1))&lt;&gt;1,
"missing",
IF(COUNTIF(cards[[#This Row],[1]:[25]],OFFSET(cards[[#This Row],[1]],0,BK$5-1))&gt;1,"duplicate","ok")))</f>
        <v/>
      </c>
      <c r="BL18" t="str">
        <f ca="1">IF(OFFSET(cards[[#This Row],[1]],0,BL$5-1)="","",
  IF(COUNTIF(entities[entity_id],
OFFSET(cards[[#This Row],[1]],0,BL$5-1))&lt;&gt;1,
"missing",
IF(COUNTIF(cards[[#This Row],[1]:[25]],OFFSET(cards[[#This Row],[1]],0,BL$5-1))&gt;1,"duplicate","ok")))</f>
        <v/>
      </c>
      <c r="BM18" t="str">
        <f ca="1">IF(OFFSET(cards[[#This Row],[1]],0,BM$5-1)="","",
  IF(COUNTIF(entities[entity_id],
OFFSET(cards[[#This Row],[1]],0,BM$5-1))&lt;&gt;1,
"missing",
IF(COUNTIF(cards[[#This Row],[1]:[25]],OFFSET(cards[[#This Row],[1]],0,BM$5-1))&gt;1,"duplicate","ok")))</f>
        <v/>
      </c>
      <c r="BN18" t="str">
        <f ca="1">IF(OFFSET(cards[[#This Row],[1]],0,BN$5-1)="","",
  IF(COUNTIF(entities[entity_id],
OFFSET(cards[[#This Row],[1]],0,BN$5-1))&lt;&gt;1,
"missing",
IF(COUNTIF(cards[[#This Row],[1]:[25]],OFFSET(cards[[#This Row],[1]],0,BN$5-1))&gt;1,"duplicate","ok")))</f>
        <v/>
      </c>
      <c r="BO18" s="4" t="str">
        <f>IF(cards[[#This Row],[First space]]-cards[[#This Row],[Entities count]]=1,"ok","Check entitiy names")</f>
        <v>ok</v>
      </c>
      <c r="BP18" s="4" t="str">
        <f ca="1">IF(COUNTIF(cards[[#This Row],[C1]:[C25]],"missing")=0,"ok","some entities missing from Entities tab")</f>
        <v>ok</v>
      </c>
      <c r="BQ18" s="4" t="str">
        <f ca="1">IF(COUNTIF(cards[[#This Row],[C1]:[C25]],"duplicate")=0,"ok","some duplicates")</f>
        <v>ok</v>
      </c>
      <c r="BR18" t="str">
        <f>"group."&amp;cards[[#This Row],[object_id]]</f>
        <v>group.living_room</v>
      </c>
    </row>
    <row r="19" spans="2:70" x14ac:dyDescent="0.25">
      <c r="B19">
        <v>12</v>
      </c>
      <c r="C19" t="s">
        <v>583</v>
      </c>
      <c r="D19" t="s">
        <v>6</v>
      </c>
      <c r="G19" t="s">
        <v>153</v>
      </c>
      <c r="H19" t="s">
        <v>106</v>
      </c>
      <c r="I19" t="s">
        <v>111</v>
      </c>
      <c r="J19" t="s">
        <v>107</v>
      </c>
      <c r="K19" t="s">
        <v>110</v>
      </c>
      <c r="L19" t="s">
        <v>105</v>
      </c>
      <c r="M19" t="s">
        <v>643</v>
      </c>
      <c r="AG19">
        <f>ROW(cards[[#This Row],[object_id order]])-ROW(cards[])+1</f>
        <v>12</v>
      </c>
      <c r="AH19">
        <f ca="1">IF(OFFSET(cards[[#This Row],[object_id]],0,1)&lt;&gt;"",1,"")</f>
        <v>1</v>
      </c>
      <c r="AI19" t="str">
        <f ca="1">IF(OFFSET(cards[[#This Row],[object_id]],0,2)&lt;&gt;"",2,"")</f>
        <v/>
      </c>
      <c r="AJ19" t="str">
        <f ca="1">IF(OFFSET(cards[[#This Row],[object_id]],0,3)&lt;&gt;"",3,"")</f>
        <v/>
      </c>
      <c r="AK19">
        <f ca="1">IF(OFFSET(cards[[#This Row],[object_id]],0,4)&lt;&gt;"",4,"")</f>
        <v>4</v>
      </c>
      <c r="AL19" t="str">
        <f ca="1">CONCATENATE(cards[[#This Row],[A1]],cards[[#This Row],[A2]],cards[[#This Row],[A3]],cards[[#This Row],[A4]])</f>
        <v>14</v>
      </c>
      <c r="AM19">
        <f ca="1">LEN(cards[[#This Row],[Attribute Index]])</f>
        <v>2</v>
      </c>
      <c r="AN19" s="4">
        <f>COUNTA(cards[[#This Row],[1]:[25]])</f>
        <v>6</v>
      </c>
      <c r="AO19" s="4">
        <f>MATCH(TRUE,INDEX(ISBLANK(cards[[#This Row],[1]:[25]]),0,0),0)</f>
        <v>7</v>
      </c>
      <c r="AP19" t="str">
        <f ca="1">IF(OFFSET(cards[[#This Row],[1]],0,AP$5-1)="","",
  IF(COUNTIF(entities[entity_id],
OFFSET(cards[[#This Row],[1]],0,AP$5-1))&lt;&gt;1,
"missing",
IF(COUNTIF(cards[[#This Row],[1]:[25]],OFFSET(cards[[#This Row],[1]],0,AP$5-1))&gt;1,"duplicate","ok")))</f>
        <v>ok</v>
      </c>
      <c r="AQ19" t="str">
        <f ca="1">IF(OFFSET(cards[[#This Row],[1]],0,AQ$5-1)="","",
  IF(COUNTIF(entities[entity_id],
OFFSET(cards[[#This Row],[1]],0,AQ$5-1))&lt;&gt;1,
"missing",
IF(COUNTIF(cards[[#This Row],[1]:[25]],OFFSET(cards[[#This Row],[1]],0,AQ$5-1))&gt;1,"duplicate","ok")))</f>
        <v>ok</v>
      </c>
      <c r="AR19" t="str">
        <f ca="1">IF(OFFSET(cards[[#This Row],[1]],0,AR$5-1)="","",
  IF(COUNTIF(entities[entity_id],
OFFSET(cards[[#This Row],[1]],0,AR$5-1))&lt;&gt;1,
"missing",
IF(COUNTIF(cards[[#This Row],[1]:[25]],OFFSET(cards[[#This Row],[1]],0,AR$5-1))&gt;1,"duplicate","ok")))</f>
        <v>ok</v>
      </c>
      <c r="AS19" t="str">
        <f ca="1">IF(OFFSET(cards[[#This Row],[1]],0,AS$5-1)="","",
  IF(COUNTIF(entities[entity_id],
OFFSET(cards[[#This Row],[1]],0,AS$5-1))&lt;&gt;1,
"missing",
IF(COUNTIF(cards[[#This Row],[1]:[25]],OFFSET(cards[[#This Row],[1]],0,AS$5-1))&gt;1,"duplicate","ok")))</f>
        <v>ok</v>
      </c>
      <c r="AT19" t="str">
        <f ca="1">IF(OFFSET(cards[[#This Row],[1]],0,AT$5-1)="","",
  IF(COUNTIF(entities[entity_id],
OFFSET(cards[[#This Row],[1]],0,AT$5-1))&lt;&gt;1,
"missing",
IF(COUNTIF(cards[[#This Row],[1]:[25]],OFFSET(cards[[#This Row],[1]],0,AT$5-1))&gt;1,"duplicate","ok")))</f>
        <v>ok</v>
      </c>
      <c r="AU19" t="str">
        <f ca="1">IF(OFFSET(cards[[#This Row],[1]],0,AU$5-1)="","",
  IF(COUNTIF(entities[entity_id],
OFFSET(cards[[#This Row],[1]],0,AU$5-1))&lt;&gt;1,
"missing",
IF(COUNTIF(cards[[#This Row],[1]:[25]],OFFSET(cards[[#This Row],[1]],0,AU$5-1))&gt;1,"duplicate","ok")))</f>
        <v>ok</v>
      </c>
      <c r="AV19" t="str">
        <f ca="1">IF(OFFSET(cards[[#This Row],[1]],0,AV$5-1)="","",
  IF(COUNTIF(entities[entity_id],
OFFSET(cards[[#This Row],[1]],0,AV$5-1))&lt;&gt;1,
"missing",
IF(COUNTIF(cards[[#This Row],[1]:[25]],OFFSET(cards[[#This Row],[1]],0,AV$5-1))&gt;1,"duplicate","ok")))</f>
        <v/>
      </c>
      <c r="AW19" t="str">
        <f ca="1">IF(OFFSET(cards[[#This Row],[1]],0,AW$5-1)="","",
  IF(COUNTIF(entities[entity_id],
OFFSET(cards[[#This Row],[1]],0,AW$5-1))&lt;&gt;1,
"missing",
IF(COUNTIF(cards[[#This Row],[1]:[25]],OFFSET(cards[[#This Row],[1]],0,AW$5-1))&gt;1,"duplicate","ok")))</f>
        <v/>
      </c>
      <c r="AX19" t="str">
        <f ca="1">IF(OFFSET(cards[[#This Row],[1]],0,AX$5-1)="","",
  IF(COUNTIF(entities[entity_id],
OFFSET(cards[[#This Row],[1]],0,AX$5-1))&lt;&gt;1,
"missing",
IF(COUNTIF(cards[[#This Row],[1]:[25]],OFFSET(cards[[#This Row],[1]],0,AX$5-1))&gt;1,"duplicate","ok")))</f>
        <v/>
      </c>
      <c r="AY19" t="str">
        <f ca="1">IF(OFFSET(cards[[#This Row],[1]],0,AY$5-1)="","",
  IF(COUNTIF(entities[entity_id],
OFFSET(cards[[#This Row],[1]],0,AY$5-1))&lt;&gt;1,
"missing",
IF(COUNTIF(cards[[#This Row],[1]:[25]],OFFSET(cards[[#This Row],[1]],0,AY$5-1))&gt;1,"duplicate","ok")))</f>
        <v/>
      </c>
      <c r="AZ19" t="str">
        <f ca="1">IF(OFFSET(cards[[#This Row],[1]],0,AZ$5-1)="","",
  IF(COUNTIF(entities[entity_id],
OFFSET(cards[[#This Row],[1]],0,AZ$5-1))&lt;&gt;1,
"missing",
IF(COUNTIF(cards[[#This Row],[1]:[25]],OFFSET(cards[[#This Row],[1]],0,AZ$5-1))&gt;1,"duplicate","ok")))</f>
        <v/>
      </c>
      <c r="BA19" t="str">
        <f ca="1">IF(OFFSET(cards[[#This Row],[1]],0,BA$5-1)="","",
  IF(COUNTIF(entities[entity_id],
OFFSET(cards[[#This Row],[1]],0,BA$5-1))&lt;&gt;1,
"missing",
IF(COUNTIF(cards[[#This Row],[1]:[25]],OFFSET(cards[[#This Row],[1]],0,BA$5-1))&gt;1,"duplicate","ok")))</f>
        <v/>
      </c>
      <c r="BB19" t="str">
        <f ca="1">IF(OFFSET(cards[[#This Row],[1]],0,BB$5-1)="","",
  IF(COUNTIF(entities[entity_id],
OFFSET(cards[[#This Row],[1]],0,BB$5-1))&lt;&gt;1,
"missing",
IF(COUNTIF(cards[[#This Row],[1]:[25]],OFFSET(cards[[#This Row],[1]],0,BB$5-1))&gt;1,"duplicate","ok")))</f>
        <v/>
      </c>
      <c r="BC19" t="str">
        <f ca="1">IF(OFFSET(cards[[#This Row],[1]],0,BC$5-1)="","",
  IF(COUNTIF(entities[entity_id],
OFFSET(cards[[#This Row],[1]],0,BC$5-1))&lt;&gt;1,
"missing",
IF(COUNTIF(cards[[#This Row],[1]:[25]],OFFSET(cards[[#This Row],[1]],0,BC$5-1))&gt;1,"duplicate","ok")))</f>
        <v/>
      </c>
      <c r="BD19" t="str">
        <f ca="1">IF(OFFSET(cards[[#This Row],[1]],0,BD$5-1)="","",
  IF(COUNTIF(entities[entity_id],
OFFSET(cards[[#This Row],[1]],0,BD$5-1))&lt;&gt;1,
"missing",
IF(COUNTIF(cards[[#This Row],[1]:[25]],OFFSET(cards[[#This Row],[1]],0,BD$5-1))&gt;1,"duplicate","ok")))</f>
        <v/>
      </c>
      <c r="BE19" t="str">
        <f ca="1">IF(OFFSET(cards[[#This Row],[1]],0,BE$5-1)="","",
  IF(COUNTIF(entities[entity_id],
OFFSET(cards[[#This Row],[1]],0,BE$5-1))&lt;&gt;1,
"missing",
IF(COUNTIF(cards[[#This Row],[1]:[25]],OFFSET(cards[[#This Row],[1]],0,BE$5-1))&gt;1,"duplicate","ok")))</f>
        <v/>
      </c>
      <c r="BF19" t="str">
        <f ca="1">IF(OFFSET(cards[[#This Row],[1]],0,BF$5-1)="","",
  IF(COUNTIF(entities[entity_id],
OFFSET(cards[[#This Row],[1]],0,BF$5-1))&lt;&gt;1,
"missing",
IF(COUNTIF(cards[[#This Row],[1]:[25]],OFFSET(cards[[#This Row],[1]],0,BF$5-1))&gt;1,"duplicate","ok")))</f>
        <v/>
      </c>
      <c r="BG19" t="str">
        <f ca="1">IF(OFFSET(cards[[#This Row],[1]],0,BG$5-1)="","",
  IF(COUNTIF(entities[entity_id],
OFFSET(cards[[#This Row],[1]],0,BG$5-1))&lt;&gt;1,
"missing",
IF(COUNTIF(cards[[#This Row],[1]:[25]],OFFSET(cards[[#This Row],[1]],0,BG$5-1))&gt;1,"duplicate","ok")))</f>
        <v/>
      </c>
      <c r="BH19" t="str">
        <f ca="1">IF(OFFSET(cards[[#This Row],[1]],0,BH$5-1)="","",
  IF(COUNTIF(entities[entity_id],
OFFSET(cards[[#This Row],[1]],0,BH$5-1))&lt;&gt;1,
"missing",
IF(COUNTIF(cards[[#This Row],[1]:[25]],OFFSET(cards[[#This Row],[1]],0,BH$5-1))&gt;1,"duplicate","ok")))</f>
        <v/>
      </c>
      <c r="BI19" t="str">
        <f ca="1">IF(OFFSET(cards[[#This Row],[1]],0,BI$5-1)="","",
  IF(COUNTIF(entities[entity_id],
OFFSET(cards[[#This Row],[1]],0,BI$5-1))&lt;&gt;1,
"missing",
IF(COUNTIF(cards[[#This Row],[1]:[25]],OFFSET(cards[[#This Row],[1]],0,BI$5-1))&gt;1,"duplicate","ok")))</f>
        <v/>
      </c>
      <c r="BJ19" t="str">
        <f ca="1">IF(OFFSET(cards[[#This Row],[1]],0,BJ$5-1)="","",
  IF(COUNTIF(entities[entity_id],
OFFSET(cards[[#This Row],[1]],0,BJ$5-1))&lt;&gt;1,
"missing",
IF(COUNTIF(cards[[#This Row],[1]:[25]],OFFSET(cards[[#This Row],[1]],0,BJ$5-1))&gt;1,"duplicate","ok")))</f>
        <v/>
      </c>
      <c r="BK19" t="str">
        <f ca="1">IF(OFFSET(cards[[#This Row],[1]],0,BK$5-1)="","",
  IF(COUNTIF(entities[entity_id],
OFFSET(cards[[#This Row],[1]],0,BK$5-1))&lt;&gt;1,
"missing",
IF(COUNTIF(cards[[#This Row],[1]:[25]],OFFSET(cards[[#This Row],[1]],0,BK$5-1))&gt;1,"duplicate","ok")))</f>
        <v/>
      </c>
      <c r="BL19" t="str">
        <f ca="1">IF(OFFSET(cards[[#This Row],[1]],0,BL$5-1)="","",
  IF(COUNTIF(entities[entity_id],
OFFSET(cards[[#This Row],[1]],0,BL$5-1))&lt;&gt;1,
"missing",
IF(COUNTIF(cards[[#This Row],[1]:[25]],OFFSET(cards[[#This Row],[1]],0,BL$5-1))&gt;1,"duplicate","ok")))</f>
        <v/>
      </c>
      <c r="BM19" t="str">
        <f ca="1">IF(OFFSET(cards[[#This Row],[1]],0,BM$5-1)="","",
  IF(COUNTIF(entities[entity_id],
OFFSET(cards[[#This Row],[1]],0,BM$5-1))&lt;&gt;1,
"missing",
IF(COUNTIF(cards[[#This Row],[1]:[25]],OFFSET(cards[[#This Row],[1]],0,BM$5-1))&gt;1,"duplicate","ok")))</f>
        <v/>
      </c>
      <c r="BN19" t="str">
        <f ca="1">IF(OFFSET(cards[[#This Row],[1]],0,BN$5-1)="","",
  IF(COUNTIF(entities[entity_id],
OFFSET(cards[[#This Row],[1]],0,BN$5-1))&lt;&gt;1,
"missing",
IF(COUNTIF(cards[[#This Row],[1]:[25]],OFFSET(cards[[#This Row],[1]],0,BN$5-1))&gt;1,"duplicate","ok")))</f>
        <v/>
      </c>
      <c r="BO19" s="4" t="str">
        <f>IF(cards[[#This Row],[First space]]-cards[[#This Row],[Entities count]]=1,"ok","Check entitiy names")</f>
        <v>ok</v>
      </c>
      <c r="BP19" s="4" t="str">
        <f ca="1">IF(COUNTIF(cards[[#This Row],[C1]:[C25]],"missing")=0,"ok","some entities missing from Entities tab")</f>
        <v>ok</v>
      </c>
      <c r="BQ19" s="4" t="str">
        <f ca="1">IF(COUNTIF(cards[[#This Row],[C1]:[C25]],"duplicate")=0,"ok","some duplicates")</f>
        <v>ok</v>
      </c>
      <c r="BR19" t="str">
        <f>"group."&amp;cards[[#This Row],[object_id]]</f>
        <v>group.bedroom</v>
      </c>
    </row>
    <row r="20" spans="2:70" x14ac:dyDescent="0.25">
      <c r="B20">
        <v>13</v>
      </c>
      <c r="C20" t="s">
        <v>647</v>
      </c>
      <c r="D20" t="s">
        <v>782</v>
      </c>
      <c r="H20" t="s">
        <v>84</v>
      </c>
      <c r="I20" t="s">
        <v>148</v>
      </c>
      <c r="J20" t="s">
        <v>147</v>
      </c>
      <c r="AG20">
        <f>ROW(cards[[#This Row],[object_id order]])-ROW(cards[])+1</f>
        <v>13</v>
      </c>
      <c r="AH20">
        <f ca="1">IF(OFFSET(cards[[#This Row],[object_id]],0,1)&lt;&gt;"",1,"")</f>
        <v>1</v>
      </c>
      <c r="AI20" t="str">
        <f ca="1">IF(OFFSET(cards[[#This Row],[object_id]],0,2)&lt;&gt;"",2,"")</f>
        <v/>
      </c>
      <c r="AJ20" t="str">
        <f ca="1">IF(OFFSET(cards[[#This Row],[object_id]],0,3)&lt;&gt;"",3,"")</f>
        <v/>
      </c>
      <c r="AK20" t="str">
        <f ca="1">IF(OFFSET(cards[[#This Row],[object_id]],0,4)&lt;&gt;"",4,"")</f>
        <v/>
      </c>
      <c r="AL20" t="str">
        <f ca="1">CONCATENATE(cards[[#This Row],[A1]],cards[[#This Row],[A2]],cards[[#This Row],[A3]],cards[[#This Row],[A4]])</f>
        <v>1</v>
      </c>
      <c r="AM20">
        <f ca="1">LEN(cards[[#This Row],[Attribute Index]])</f>
        <v>1</v>
      </c>
      <c r="AN20" s="4">
        <f>COUNTA(cards[[#This Row],[1]:[25]])</f>
        <v>3</v>
      </c>
      <c r="AO20" s="4">
        <f>MATCH(TRUE,INDEX(ISBLANK(cards[[#This Row],[1]:[25]]),0,0),0)</f>
        <v>4</v>
      </c>
      <c r="AP20" t="str">
        <f ca="1">IF(OFFSET(cards[[#This Row],[1]],0,AP$5-1)="","",
  IF(COUNTIF(entities[entity_id],
OFFSET(cards[[#This Row],[1]],0,AP$5-1))&lt;&gt;1,
"missing",
IF(COUNTIF(cards[[#This Row],[1]:[25]],OFFSET(cards[[#This Row],[1]],0,AP$5-1))&gt;1,"duplicate","ok")))</f>
        <v>ok</v>
      </c>
      <c r="AQ20" t="str">
        <f ca="1">IF(OFFSET(cards[[#This Row],[1]],0,AQ$5-1)="","",
  IF(COUNTIF(entities[entity_id],
OFFSET(cards[[#This Row],[1]],0,AQ$5-1))&lt;&gt;1,
"missing",
IF(COUNTIF(cards[[#This Row],[1]:[25]],OFFSET(cards[[#This Row],[1]],0,AQ$5-1))&gt;1,"duplicate","ok")))</f>
        <v>ok</v>
      </c>
      <c r="AR20" t="str">
        <f ca="1">IF(OFFSET(cards[[#This Row],[1]],0,AR$5-1)="","",
  IF(COUNTIF(entities[entity_id],
OFFSET(cards[[#This Row],[1]],0,AR$5-1))&lt;&gt;1,
"missing",
IF(COUNTIF(cards[[#This Row],[1]:[25]],OFFSET(cards[[#This Row],[1]],0,AR$5-1))&gt;1,"duplicate","ok")))</f>
        <v>ok</v>
      </c>
      <c r="AS20" t="str">
        <f ca="1">IF(OFFSET(cards[[#This Row],[1]],0,AS$5-1)="","",
  IF(COUNTIF(entities[entity_id],
OFFSET(cards[[#This Row],[1]],0,AS$5-1))&lt;&gt;1,
"missing",
IF(COUNTIF(cards[[#This Row],[1]:[25]],OFFSET(cards[[#This Row],[1]],0,AS$5-1))&gt;1,"duplicate","ok")))</f>
        <v/>
      </c>
      <c r="AT20" t="str">
        <f ca="1">IF(OFFSET(cards[[#This Row],[1]],0,AT$5-1)="","",
  IF(COUNTIF(entities[entity_id],
OFFSET(cards[[#This Row],[1]],0,AT$5-1))&lt;&gt;1,
"missing",
IF(COUNTIF(cards[[#This Row],[1]:[25]],OFFSET(cards[[#This Row],[1]],0,AT$5-1))&gt;1,"duplicate","ok")))</f>
        <v/>
      </c>
      <c r="AU20" t="str">
        <f ca="1">IF(OFFSET(cards[[#This Row],[1]],0,AU$5-1)="","",
  IF(COUNTIF(entities[entity_id],
OFFSET(cards[[#This Row],[1]],0,AU$5-1))&lt;&gt;1,
"missing",
IF(COUNTIF(cards[[#This Row],[1]:[25]],OFFSET(cards[[#This Row],[1]],0,AU$5-1))&gt;1,"duplicate","ok")))</f>
        <v/>
      </c>
      <c r="AV20" t="str">
        <f ca="1">IF(OFFSET(cards[[#This Row],[1]],0,AV$5-1)="","",
  IF(COUNTIF(entities[entity_id],
OFFSET(cards[[#This Row],[1]],0,AV$5-1))&lt;&gt;1,
"missing",
IF(COUNTIF(cards[[#This Row],[1]:[25]],OFFSET(cards[[#This Row],[1]],0,AV$5-1))&gt;1,"duplicate","ok")))</f>
        <v/>
      </c>
      <c r="AW20" t="str">
        <f ca="1">IF(OFFSET(cards[[#This Row],[1]],0,AW$5-1)="","",
  IF(COUNTIF(entities[entity_id],
OFFSET(cards[[#This Row],[1]],0,AW$5-1))&lt;&gt;1,
"missing",
IF(COUNTIF(cards[[#This Row],[1]:[25]],OFFSET(cards[[#This Row],[1]],0,AW$5-1))&gt;1,"duplicate","ok")))</f>
        <v/>
      </c>
      <c r="AX20" t="str">
        <f ca="1">IF(OFFSET(cards[[#This Row],[1]],0,AX$5-1)="","",
  IF(COUNTIF(entities[entity_id],
OFFSET(cards[[#This Row],[1]],0,AX$5-1))&lt;&gt;1,
"missing",
IF(COUNTIF(cards[[#This Row],[1]:[25]],OFFSET(cards[[#This Row],[1]],0,AX$5-1))&gt;1,"duplicate","ok")))</f>
        <v/>
      </c>
      <c r="AY20" t="str">
        <f ca="1">IF(OFFSET(cards[[#This Row],[1]],0,AY$5-1)="","",
  IF(COUNTIF(entities[entity_id],
OFFSET(cards[[#This Row],[1]],0,AY$5-1))&lt;&gt;1,
"missing",
IF(COUNTIF(cards[[#This Row],[1]:[25]],OFFSET(cards[[#This Row],[1]],0,AY$5-1))&gt;1,"duplicate","ok")))</f>
        <v/>
      </c>
      <c r="AZ20" t="str">
        <f ca="1">IF(OFFSET(cards[[#This Row],[1]],0,AZ$5-1)="","",
  IF(COUNTIF(entities[entity_id],
OFFSET(cards[[#This Row],[1]],0,AZ$5-1))&lt;&gt;1,
"missing",
IF(COUNTIF(cards[[#This Row],[1]:[25]],OFFSET(cards[[#This Row],[1]],0,AZ$5-1))&gt;1,"duplicate","ok")))</f>
        <v/>
      </c>
      <c r="BA20" t="str">
        <f ca="1">IF(OFFSET(cards[[#This Row],[1]],0,BA$5-1)="","",
  IF(COUNTIF(entities[entity_id],
OFFSET(cards[[#This Row],[1]],0,BA$5-1))&lt;&gt;1,
"missing",
IF(COUNTIF(cards[[#This Row],[1]:[25]],OFFSET(cards[[#This Row],[1]],0,BA$5-1))&gt;1,"duplicate","ok")))</f>
        <v/>
      </c>
      <c r="BB20" t="str">
        <f ca="1">IF(OFFSET(cards[[#This Row],[1]],0,BB$5-1)="","",
  IF(COUNTIF(entities[entity_id],
OFFSET(cards[[#This Row],[1]],0,BB$5-1))&lt;&gt;1,
"missing",
IF(COUNTIF(cards[[#This Row],[1]:[25]],OFFSET(cards[[#This Row],[1]],0,BB$5-1))&gt;1,"duplicate","ok")))</f>
        <v/>
      </c>
      <c r="BC20" t="str">
        <f ca="1">IF(OFFSET(cards[[#This Row],[1]],0,BC$5-1)="","",
  IF(COUNTIF(entities[entity_id],
OFFSET(cards[[#This Row],[1]],0,BC$5-1))&lt;&gt;1,
"missing",
IF(COUNTIF(cards[[#This Row],[1]:[25]],OFFSET(cards[[#This Row],[1]],0,BC$5-1))&gt;1,"duplicate","ok")))</f>
        <v/>
      </c>
      <c r="BD20" t="str">
        <f ca="1">IF(OFFSET(cards[[#This Row],[1]],0,BD$5-1)="","",
  IF(COUNTIF(entities[entity_id],
OFFSET(cards[[#This Row],[1]],0,BD$5-1))&lt;&gt;1,
"missing",
IF(COUNTIF(cards[[#This Row],[1]:[25]],OFFSET(cards[[#This Row],[1]],0,BD$5-1))&gt;1,"duplicate","ok")))</f>
        <v/>
      </c>
      <c r="BE20" t="str">
        <f ca="1">IF(OFFSET(cards[[#This Row],[1]],0,BE$5-1)="","",
  IF(COUNTIF(entities[entity_id],
OFFSET(cards[[#This Row],[1]],0,BE$5-1))&lt;&gt;1,
"missing",
IF(COUNTIF(cards[[#This Row],[1]:[25]],OFFSET(cards[[#This Row],[1]],0,BE$5-1))&gt;1,"duplicate","ok")))</f>
        <v/>
      </c>
      <c r="BF20" t="str">
        <f ca="1">IF(OFFSET(cards[[#This Row],[1]],0,BF$5-1)="","",
  IF(COUNTIF(entities[entity_id],
OFFSET(cards[[#This Row],[1]],0,BF$5-1))&lt;&gt;1,
"missing",
IF(COUNTIF(cards[[#This Row],[1]:[25]],OFFSET(cards[[#This Row],[1]],0,BF$5-1))&gt;1,"duplicate","ok")))</f>
        <v/>
      </c>
      <c r="BG20" t="str">
        <f ca="1">IF(OFFSET(cards[[#This Row],[1]],0,BG$5-1)="","",
  IF(COUNTIF(entities[entity_id],
OFFSET(cards[[#This Row],[1]],0,BG$5-1))&lt;&gt;1,
"missing",
IF(COUNTIF(cards[[#This Row],[1]:[25]],OFFSET(cards[[#This Row],[1]],0,BG$5-1))&gt;1,"duplicate","ok")))</f>
        <v/>
      </c>
      <c r="BH20" t="str">
        <f ca="1">IF(OFFSET(cards[[#This Row],[1]],0,BH$5-1)="","",
  IF(COUNTIF(entities[entity_id],
OFFSET(cards[[#This Row],[1]],0,BH$5-1))&lt;&gt;1,
"missing",
IF(COUNTIF(cards[[#This Row],[1]:[25]],OFFSET(cards[[#This Row],[1]],0,BH$5-1))&gt;1,"duplicate","ok")))</f>
        <v/>
      </c>
      <c r="BI20" t="str">
        <f ca="1">IF(OFFSET(cards[[#This Row],[1]],0,BI$5-1)="","",
  IF(COUNTIF(entities[entity_id],
OFFSET(cards[[#This Row],[1]],0,BI$5-1))&lt;&gt;1,
"missing",
IF(COUNTIF(cards[[#This Row],[1]:[25]],OFFSET(cards[[#This Row],[1]],0,BI$5-1))&gt;1,"duplicate","ok")))</f>
        <v/>
      </c>
      <c r="BJ20" t="str">
        <f ca="1">IF(OFFSET(cards[[#This Row],[1]],0,BJ$5-1)="","",
  IF(COUNTIF(entities[entity_id],
OFFSET(cards[[#This Row],[1]],0,BJ$5-1))&lt;&gt;1,
"missing",
IF(COUNTIF(cards[[#This Row],[1]:[25]],OFFSET(cards[[#This Row],[1]],0,BJ$5-1))&gt;1,"duplicate","ok")))</f>
        <v/>
      </c>
      <c r="BK20" t="str">
        <f ca="1">IF(OFFSET(cards[[#This Row],[1]],0,BK$5-1)="","",
  IF(COUNTIF(entities[entity_id],
OFFSET(cards[[#This Row],[1]],0,BK$5-1))&lt;&gt;1,
"missing",
IF(COUNTIF(cards[[#This Row],[1]:[25]],OFFSET(cards[[#This Row],[1]],0,BK$5-1))&gt;1,"duplicate","ok")))</f>
        <v/>
      </c>
      <c r="BL20" t="str">
        <f ca="1">IF(OFFSET(cards[[#This Row],[1]],0,BL$5-1)="","",
  IF(COUNTIF(entities[entity_id],
OFFSET(cards[[#This Row],[1]],0,BL$5-1))&lt;&gt;1,
"missing",
IF(COUNTIF(cards[[#This Row],[1]:[25]],OFFSET(cards[[#This Row],[1]],0,BL$5-1))&gt;1,"duplicate","ok")))</f>
        <v/>
      </c>
      <c r="BM20" t="str">
        <f ca="1">IF(OFFSET(cards[[#This Row],[1]],0,BM$5-1)="","",
  IF(COUNTIF(entities[entity_id],
OFFSET(cards[[#This Row],[1]],0,BM$5-1))&lt;&gt;1,
"missing",
IF(COUNTIF(cards[[#This Row],[1]:[25]],OFFSET(cards[[#This Row],[1]],0,BM$5-1))&gt;1,"duplicate","ok")))</f>
        <v/>
      </c>
      <c r="BN20" t="str">
        <f ca="1">IF(OFFSET(cards[[#This Row],[1]],0,BN$5-1)="","",
  IF(COUNTIF(entities[entity_id],
OFFSET(cards[[#This Row],[1]],0,BN$5-1))&lt;&gt;1,
"missing",
IF(COUNTIF(cards[[#This Row],[1]:[25]],OFFSET(cards[[#This Row],[1]],0,BN$5-1))&gt;1,"duplicate","ok")))</f>
        <v/>
      </c>
      <c r="BO20" s="4" t="str">
        <f>IF(cards[[#This Row],[First space]]-cards[[#This Row],[Entities count]]=1,"ok","Check entitiy names")</f>
        <v>ok</v>
      </c>
      <c r="BP20" s="4" t="str">
        <f ca="1">IF(COUNTIF(cards[[#This Row],[C1]:[C25]],"missing")=0,"ok","some entities missing from Entities tab")</f>
        <v>ok</v>
      </c>
      <c r="BQ20" s="4" t="str">
        <f ca="1">IF(COUNTIF(cards[[#This Row],[C1]:[C25]],"duplicate")=0,"ok","some duplicates")</f>
        <v>ok</v>
      </c>
      <c r="BR20" t="str">
        <f>"group."&amp;cards[[#This Row],[object_id]]</f>
        <v>group.bedroom_devices</v>
      </c>
    </row>
    <row r="21" spans="2:70" x14ac:dyDescent="0.25">
      <c r="B21">
        <v>14</v>
      </c>
      <c r="C21" t="s">
        <v>584</v>
      </c>
      <c r="D21" t="s">
        <v>595</v>
      </c>
      <c r="H21" t="s">
        <v>103</v>
      </c>
      <c r="I21" t="s">
        <v>104</v>
      </c>
      <c r="AG21">
        <f>ROW(cards[[#This Row],[object_id order]])-ROW(cards[])+1</f>
        <v>14</v>
      </c>
      <c r="AH21">
        <f ca="1">IF(OFFSET(cards[[#This Row],[object_id]],0,1)&lt;&gt;"",1,"")</f>
        <v>1</v>
      </c>
      <c r="AI21" t="str">
        <f ca="1">IF(OFFSET(cards[[#This Row],[object_id]],0,2)&lt;&gt;"",2,"")</f>
        <v/>
      </c>
      <c r="AJ21" t="str">
        <f ca="1">IF(OFFSET(cards[[#This Row],[object_id]],0,3)&lt;&gt;"",3,"")</f>
        <v/>
      </c>
      <c r="AK21" t="str">
        <f ca="1">IF(OFFSET(cards[[#This Row],[object_id]],0,4)&lt;&gt;"",4,"")</f>
        <v/>
      </c>
      <c r="AL21" t="str">
        <f ca="1">CONCATENATE(cards[[#This Row],[A1]],cards[[#This Row],[A2]],cards[[#This Row],[A3]],cards[[#This Row],[A4]])</f>
        <v>1</v>
      </c>
      <c r="AM21">
        <f ca="1">LEN(cards[[#This Row],[Attribute Index]])</f>
        <v>1</v>
      </c>
      <c r="AN21" s="4">
        <f>COUNTA(cards[[#This Row],[1]:[25]])</f>
        <v>2</v>
      </c>
      <c r="AO21" s="4">
        <f>MATCH(TRUE,INDEX(ISBLANK(cards[[#This Row],[1]:[25]]),0,0),0)</f>
        <v>3</v>
      </c>
      <c r="AP21" t="str">
        <f ca="1">IF(OFFSET(cards[[#This Row],[1]],0,AP$5-1)="","",
  IF(COUNTIF(entities[entity_id],
OFFSET(cards[[#This Row],[1]],0,AP$5-1))&lt;&gt;1,
"missing",
IF(COUNTIF(cards[[#This Row],[1]:[25]],OFFSET(cards[[#This Row],[1]],0,AP$5-1))&gt;1,"duplicate","ok")))</f>
        <v>ok</v>
      </c>
      <c r="AQ21" t="str">
        <f ca="1">IF(OFFSET(cards[[#This Row],[1]],0,AQ$5-1)="","",
  IF(COUNTIF(entities[entity_id],
OFFSET(cards[[#This Row],[1]],0,AQ$5-1))&lt;&gt;1,
"missing",
IF(COUNTIF(cards[[#This Row],[1]:[25]],OFFSET(cards[[#This Row],[1]],0,AQ$5-1))&gt;1,"duplicate","ok")))</f>
        <v>ok</v>
      </c>
      <c r="AR21" t="str">
        <f ca="1">IF(OFFSET(cards[[#This Row],[1]],0,AR$5-1)="","",
  IF(COUNTIF(entities[entity_id],
OFFSET(cards[[#This Row],[1]],0,AR$5-1))&lt;&gt;1,
"missing",
IF(COUNTIF(cards[[#This Row],[1]:[25]],OFFSET(cards[[#This Row],[1]],0,AR$5-1))&gt;1,"duplicate","ok")))</f>
        <v/>
      </c>
      <c r="AS21" t="str">
        <f ca="1">IF(OFFSET(cards[[#This Row],[1]],0,AS$5-1)="","",
  IF(COUNTIF(entities[entity_id],
OFFSET(cards[[#This Row],[1]],0,AS$5-1))&lt;&gt;1,
"missing",
IF(COUNTIF(cards[[#This Row],[1]:[25]],OFFSET(cards[[#This Row],[1]],0,AS$5-1))&gt;1,"duplicate","ok")))</f>
        <v/>
      </c>
      <c r="AT21" t="str">
        <f ca="1">IF(OFFSET(cards[[#This Row],[1]],0,AT$5-1)="","",
  IF(COUNTIF(entities[entity_id],
OFFSET(cards[[#This Row],[1]],0,AT$5-1))&lt;&gt;1,
"missing",
IF(COUNTIF(cards[[#This Row],[1]:[25]],OFFSET(cards[[#This Row],[1]],0,AT$5-1))&gt;1,"duplicate","ok")))</f>
        <v/>
      </c>
      <c r="AU21" t="str">
        <f ca="1">IF(OFFSET(cards[[#This Row],[1]],0,AU$5-1)="","",
  IF(COUNTIF(entities[entity_id],
OFFSET(cards[[#This Row],[1]],0,AU$5-1))&lt;&gt;1,
"missing",
IF(COUNTIF(cards[[#This Row],[1]:[25]],OFFSET(cards[[#This Row],[1]],0,AU$5-1))&gt;1,"duplicate","ok")))</f>
        <v/>
      </c>
      <c r="AV21" t="str">
        <f ca="1">IF(OFFSET(cards[[#This Row],[1]],0,AV$5-1)="","",
  IF(COUNTIF(entities[entity_id],
OFFSET(cards[[#This Row],[1]],0,AV$5-1))&lt;&gt;1,
"missing",
IF(COUNTIF(cards[[#This Row],[1]:[25]],OFFSET(cards[[#This Row],[1]],0,AV$5-1))&gt;1,"duplicate","ok")))</f>
        <v/>
      </c>
      <c r="AW21" t="str">
        <f ca="1">IF(OFFSET(cards[[#This Row],[1]],0,AW$5-1)="","",
  IF(COUNTIF(entities[entity_id],
OFFSET(cards[[#This Row],[1]],0,AW$5-1))&lt;&gt;1,
"missing",
IF(COUNTIF(cards[[#This Row],[1]:[25]],OFFSET(cards[[#This Row],[1]],0,AW$5-1))&gt;1,"duplicate","ok")))</f>
        <v/>
      </c>
      <c r="AX21" t="str">
        <f ca="1">IF(OFFSET(cards[[#This Row],[1]],0,AX$5-1)="","",
  IF(COUNTIF(entities[entity_id],
OFFSET(cards[[#This Row],[1]],0,AX$5-1))&lt;&gt;1,
"missing",
IF(COUNTIF(cards[[#This Row],[1]:[25]],OFFSET(cards[[#This Row],[1]],0,AX$5-1))&gt;1,"duplicate","ok")))</f>
        <v/>
      </c>
      <c r="AY21" t="str">
        <f ca="1">IF(OFFSET(cards[[#This Row],[1]],0,AY$5-1)="","",
  IF(COUNTIF(entities[entity_id],
OFFSET(cards[[#This Row],[1]],0,AY$5-1))&lt;&gt;1,
"missing",
IF(COUNTIF(cards[[#This Row],[1]:[25]],OFFSET(cards[[#This Row],[1]],0,AY$5-1))&gt;1,"duplicate","ok")))</f>
        <v/>
      </c>
      <c r="AZ21" t="str">
        <f ca="1">IF(OFFSET(cards[[#This Row],[1]],0,AZ$5-1)="","",
  IF(COUNTIF(entities[entity_id],
OFFSET(cards[[#This Row],[1]],0,AZ$5-1))&lt;&gt;1,
"missing",
IF(COUNTIF(cards[[#This Row],[1]:[25]],OFFSET(cards[[#This Row],[1]],0,AZ$5-1))&gt;1,"duplicate","ok")))</f>
        <v/>
      </c>
      <c r="BA21" t="str">
        <f ca="1">IF(OFFSET(cards[[#This Row],[1]],0,BA$5-1)="","",
  IF(COUNTIF(entities[entity_id],
OFFSET(cards[[#This Row],[1]],0,BA$5-1))&lt;&gt;1,
"missing",
IF(COUNTIF(cards[[#This Row],[1]:[25]],OFFSET(cards[[#This Row],[1]],0,BA$5-1))&gt;1,"duplicate","ok")))</f>
        <v/>
      </c>
      <c r="BB21" t="str">
        <f ca="1">IF(OFFSET(cards[[#This Row],[1]],0,BB$5-1)="","",
  IF(COUNTIF(entities[entity_id],
OFFSET(cards[[#This Row],[1]],0,BB$5-1))&lt;&gt;1,
"missing",
IF(COUNTIF(cards[[#This Row],[1]:[25]],OFFSET(cards[[#This Row],[1]],0,BB$5-1))&gt;1,"duplicate","ok")))</f>
        <v/>
      </c>
      <c r="BC21" t="str">
        <f ca="1">IF(OFFSET(cards[[#This Row],[1]],0,BC$5-1)="","",
  IF(COUNTIF(entities[entity_id],
OFFSET(cards[[#This Row],[1]],0,BC$5-1))&lt;&gt;1,
"missing",
IF(COUNTIF(cards[[#This Row],[1]:[25]],OFFSET(cards[[#This Row],[1]],0,BC$5-1))&gt;1,"duplicate","ok")))</f>
        <v/>
      </c>
      <c r="BD21" t="str">
        <f ca="1">IF(OFFSET(cards[[#This Row],[1]],0,BD$5-1)="","",
  IF(COUNTIF(entities[entity_id],
OFFSET(cards[[#This Row],[1]],0,BD$5-1))&lt;&gt;1,
"missing",
IF(COUNTIF(cards[[#This Row],[1]:[25]],OFFSET(cards[[#This Row],[1]],0,BD$5-1))&gt;1,"duplicate","ok")))</f>
        <v/>
      </c>
      <c r="BE21" t="str">
        <f ca="1">IF(OFFSET(cards[[#This Row],[1]],0,BE$5-1)="","",
  IF(COUNTIF(entities[entity_id],
OFFSET(cards[[#This Row],[1]],0,BE$5-1))&lt;&gt;1,
"missing",
IF(COUNTIF(cards[[#This Row],[1]:[25]],OFFSET(cards[[#This Row],[1]],0,BE$5-1))&gt;1,"duplicate","ok")))</f>
        <v/>
      </c>
      <c r="BF21" t="str">
        <f ca="1">IF(OFFSET(cards[[#This Row],[1]],0,BF$5-1)="","",
  IF(COUNTIF(entities[entity_id],
OFFSET(cards[[#This Row],[1]],0,BF$5-1))&lt;&gt;1,
"missing",
IF(COUNTIF(cards[[#This Row],[1]:[25]],OFFSET(cards[[#This Row],[1]],0,BF$5-1))&gt;1,"duplicate","ok")))</f>
        <v/>
      </c>
      <c r="BG21" t="str">
        <f ca="1">IF(OFFSET(cards[[#This Row],[1]],0,BG$5-1)="","",
  IF(COUNTIF(entities[entity_id],
OFFSET(cards[[#This Row],[1]],0,BG$5-1))&lt;&gt;1,
"missing",
IF(COUNTIF(cards[[#This Row],[1]:[25]],OFFSET(cards[[#This Row],[1]],0,BG$5-1))&gt;1,"duplicate","ok")))</f>
        <v/>
      </c>
      <c r="BH21" t="str">
        <f ca="1">IF(OFFSET(cards[[#This Row],[1]],0,BH$5-1)="","",
  IF(COUNTIF(entities[entity_id],
OFFSET(cards[[#This Row],[1]],0,BH$5-1))&lt;&gt;1,
"missing",
IF(COUNTIF(cards[[#This Row],[1]:[25]],OFFSET(cards[[#This Row],[1]],0,BH$5-1))&gt;1,"duplicate","ok")))</f>
        <v/>
      </c>
      <c r="BI21" t="str">
        <f ca="1">IF(OFFSET(cards[[#This Row],[1]],0,BI$5-1)="","",
  IF(COUNTIF(entities[entity_id],
OFFSET(cards[[#This Row],[1]],0,BI$5-1))&lt;&gt;1,
"missing",
IF(COUNTIF(cards[[#This Row],[1]:[25]],OFFSET(cards[[#This Row],[1]],0,BI$5-1))&gt;1,"duplicate","ok")))</f>
        <v/>
      </c>
      <c r="BJ21" t="str">
        <f ca="1">IF(OFFSET(cards[[#This Row],[1]],0,BJ$5-1)="","",
  IF(COUNTIF(entities[entity_id],
OFFSET(cards[[#This Row],[1]],0,BJ$5-1))&lt;&gt;1,
"missing",
IF(COUNTIF(cards[[#This Row],[1]:[25]],OFFSET(cards[[#This Row],[1]],0,BJ$5-1))&gt;1,"duplicate","ok")))</f>
        <v/>
      </c>
      <c r="BK21" t="str">
        <f ca="1">IF(OFFSET(cards[[#This Row],[1]],0,BK$5-1)="","",
  IF(COUNTIF(entities[entity_id],
OFFSET(cards[[#This Row],[1]],0,BK$5-1))&lt;&gt;1,
"missing",
IF(COUNTIF(cards[[#This Row],[1]:[25]],OFFSET(cards[[#This Row],[1]],0,BK$5-1))&gt;1,"duplicate","ok")))</f>
        <v/>
      </c>
      <c r="BL21" t="str">
        <f ca="1">IF(OFFSET(cards[[#This Row],[1]],0,BL$5-1)="","",
  IF(COUNTIF(entities[entity_id],
OFFSET(cards[[#This Row],[1]],0,BL$5-1))&lt;&gt;1,
"missing",
IF(COUNTIF(cards[[#This Row],[1]:[25]],OFFSET(cards[[#This Row],[1]],0,BL$5-1))&gt;1,"duplicate","ok")))</f>
        <v/>
      </c>
      <c r="BM21" t="str">
        <f ca="1">IF(OFFSET(cards[[#This Row],[1]],0,BM$5-1)="","",
  IF(COUNTIF(entities[entity_id],
OFFSET(cards[[#This Row],[1]],0,BM$5-1))&lt;&gt;1,
"missing",
IF(COUNTIF(cards[[#This Row],[1]:[25]],OFFSET(cards[[#This Row],[1]],0,BM$5-1))&gt;1,"duplicate","ok")))</f>
        <v/>
      </c>
      <c r="BN21" t="str">
        <f ca="1">IF(OFFSET(cards[[#This Row],[1]],0,BN$5-1)="","",
  IF(COUNTIF(entities[entity_id],
OFFSET(cards[[#This Row],[1]],0,BN$5-1))&lt;&gt;1,
"missing",
IF(COUNTIF(cards[[#This Row],[1]:[25]],OFFSET(cards[[#This Row],[1]],0,BN$5-1))&gt;1,"duplicate","ok")))</f>
        <v/>
      </c>
      <c r="BO21" s="4" t="str">
        <f>IF(cards[[#This Row],[First space]]-cards[[#This Row],[Entities count]]=1,"ok","Check entitiy names")</f>
        <v>ok</v>
      </c>
      <c r="BP21" s="4" t="str">
        <f ca="1">IF(COUNTIF(cards[[#This Row],[C1]:[C25]],"missing")=0,"ok","some entities missing from Entities tab")</f>
        <v>ok</v>
      </c>
      <c r="BQ21" s="4" t="str">
        <f ca="1">IF(COUNTIF(cards[[#This Row],[C1]:[C25]],"duplicate")=0,"ok","some duplicates")</f>
        <v>ok</v>
      </c>
      <c r="BR21" t="str">
        <f>"group."&amp;cards[[#This Row],[object_id]]</f>
        <v>group.bedroom_lights</v>
      </c>
    </row>
    <row r="22" spans="2:70" x14ac:dyDescent="0.25">
      <c r="B22">
        <v>15</v>
      </c>
      <c r="C22" t="s">
        <v>585</v>
      </c>
      <c r="D22" t="s">
        <v>3</v>
      </c>
      <c r="H22" t="s">
        <v>115</v>
      </c>
      <c r="I22" t="s">
        <v>101</v>
      </c>
      <c r="J22" t="s">
        <v>102</v>
      </c>
      <c r="K22" t="s">
        <v>97</v>
      </c>
      <c r="AG22">
        <f>ROW(cards[[#This Row],[object_id order]])-ROW(cards[])+1</f>
        <v>15</v>
      </c>
      <c r="AH22">
        <f ca="1">IF(OFFSET(cards[[#This Row],[object_id]],0,1)&lt;&gt;"",1,"")</f>
        <v>1</v>
      </c>
      <c r="AI22" t="str">
        <f ca="1">IF(OFFSET(cards[[#This Row],[object_id]],0,2)&lt;&gt;"",2,"")</f>
        <v/>
      </c>
      <c r="AJ22" t="str">
        <f ca="1">IF(OFFSET(cards[[#This Row],[object_id]],0,3)&lt;&gt;"",3,"")</f>
        <v/>
      </c>
      <c r="AK22" t="str">
        <f ca="1">IF(OFFSET(cards[[#This Row],[object_id]],0,4)&lt;&gt;"",4,"")</f>
        <v/>
      </c>
      <c r="AL22" t="str">
        <f ca="1">CONCATENATE(cards[[#This Row],[A1]],cards[[#This Row],[A2]],cards[[#This Row],[A3]],cards[[#This Row],[A4]])</f>
        <v>1</v>
      </c>
      <c r="AM22">
        <f ca="1">LEN(cards[[#This Row],[Attribute Index]])</f>
        <v>1</v>
      </c>
      <c r="AN22" s="4">
        <f>COUNTA(cards[[#This Row],[1]:[25]])</f>
        <v>4</v>
      </c>
      <c r="AO22" s="4">
        <f>MATCH(TRUE,INDEX(ISBLANK(cards[[#This Row],[1]:[25]]),0,0),0)</f>
        <v>5</v>
      </c>
      <c r="AP22" t="str">
        <f ca="1">IF(OFFSET(cards[[#This Row],[1]],0,AP$5-1)="","",
  IF(COUNTIF(entities[entity_id],
OFFSET(cards[[#This Row],[1]],0,AP$5-1))&lt;&gt;1,
"missing",
IF(COUNTIF(cards[[#This Row],[1]:[25]],OFFSET(cards[[#This Row],[1]],0,AP$5-1))&gt;1,"duplicate","ok")))</f>
        <v>ok</v>
      </c>
      <c r="AQ22" t="str">
        <f ca="1">IF(OFFSET(cards[[#This Row],[1]],0,AQ$5-1)="","",
  IF(COUNTIF(entities[entity_id],
OFFSET(cards[[#This Row],[1]],0,AQ$5-1))&lt;&gt;1,
"missing",
IF(COUNTIF(cards[[#This Row],[1]:[25]],OFFSET(cards[[#This Row],[1]],0,AQ$5-1))&gt;1,"duplicate","ok")))</f>
        <v>ok</v>
      </c>
      <c r="AR22" t="str">
        <f ca="1">IF(OFFSET(cards[[#This Row],[1]],0,AR$5-1)="","",
  IF(COUNTIF(entities[entity_id],
OFFSET(cards[[#This Row],[1]],0,AR$5-1))&lt;&gt;1,
"missing",
IF(COUNTIF(cards[[#This Row],[1]:[25]],OFFSET(cards[[#This Row],[1]],0,AR$5-1))&gt;1,"duplicate","ok")))</f>
        <v>ok</v>
      </c>
      <c r="AS22" t="str">
        <f ca="1">IF(OFFSET(cards[[#This Row],[1]],0,AS$5-1)="","",
  IF(COUNTIF(entities[entity_id],
OFFSET(cards[[#This Row],[1]],0,AS$5-1))&lt;&gt;1,
"missing",
IF(COUNTIF(cards[[#This Row],[1]:[25]],OFFSET(cards[[#This Row],[1]],0,AS$5-1))&gt;1,"duplicate","ok")))</f>
        <v>ok</v>
      </c>
      <c r="AT22" t="str">
        <f ca="1">IF(OFFSET(cards[[#This Row],[1]],0,AT$5-1)="","",
  IF(COUNTIF(entities[entity_id],
OFFSET(cards[[#This Row],[1]],0,AT$5-1))&lt;&gt;1,
"missing",
IF(COUNTIF(cards[[#This Row],[1]:[25]],OFFSET(cards[[#This Row],[1]],0,AT$5-1))&gt;1,"duplicate","ok")))</f>
        <v/>
      </c>
      <c r="AU22" t="str">
        <f ca="1">IF(OFFSET(cards[[#This Row],[1]],0,AU$5-1)="","",
  IF(COUNTIF(entities[entity_id],
OFFSET(cards[[#This Row],[1]],0,AU$5-1))&lt;&gt;1,
"missing",
IF(COUNTIF(cards[[#This Row],[1]:[25]],OFFSET(cards[[#This Row],[1]],0,AU$5-1))&gt;1,"duplicate","ok")))</f>
        <v/>
      </c>
      <c r="AV22" t="str">
        <f ca="1">IF(OFFSET(cards[[#This Row],[1]],0,AV$5-1)="","",
  IF(COUNTIF(entities[entity_id],
OFFSET(cards[[#This Row],[1]],0,AV$5-1))&lt;&gt;1,
"missing",
IF(COUNTIF(cards[[#This Row],[1]:[25]],OFFSET(cards[[#This Row],[1]],0,AV$5-1))&gt;1,"duplicate","ok")))</f>
        <v/>
      </c>
      <c r="AW22" t="str">
        <f ca="1">IF(OFFSET(cards[[#This Row],[1]],0,AW$5-1)="","",
  IF(COUNTIF(entities[entity_id],
OFFSET(cards[[#This Row],[1]],0,AW$5-1))&lt;&gt;1,
"missing",
IF(COUNTIF(cards[[#This Row],[1]:[25]],OFFSET(cards[[#This Row],[1]],0,AW$5-1))&gt;1,"duplicate","ok")))</f>
        <v/>
      </c>
      <c r="AX22" t="str">
        <f ca="1">IF(OFFSET(cards[[#This Row],[1]],0,AX$5-1)="","",
  IF(COUNTIF(entities[entity_id],
OFFSET(cards[[#This Row],[1]],0,AX$5-1))&lt;&gt;1,
"missing",
IF(COUNTIF(cards[[#This Row],[1]:[25]],OFFSET(cards[[#This Row],[1]],0,AX$5-1))&gt;1,"duplicate","ok")))</f>
        <v/>
      </c>
      <c r="AY22" t="str">
        <f ca="1">IF(OFFSET(cards[[#This Row],[1]],0,AY$5-1)="","",
  IF(COUNTIF(entities[entity_id],
OFFSET(cards[[#This Row],[1]],0,AY$5-1))&lt;&gt;1,
"missing",
IF(COUNTIF(cards[[#This Row],[1]:[25]],OFFSET(cards[[#This Row],[1]],0,AY$5-1))&gt;1,"duplicate","ok")))</f>
        <v/>
      </c>
      <c r="AZ22" t="str">
        <f ca="1">IF(OFFSET(cards[[#This Row],[1]],0,AZ$5-1)="","",
  IF(COUNTIF(entities[entity_id],
OFFSET(cards[[#This Row],[1]],0,AZ$5-1))&lt;&gt;1,
"missing",
IF(COUNTIF(cards[[#This Row],[1]:[25]],OFFSET(cards[[#This Row],[1]],0,AZ$5-1))&gt;1,"duplicate","ok")))</f>
        <v/>
      </c>
      <c r="BA22" t="str">
        <f ca="1">IF(OFFSET(cards[[#This Row],[1]],0,BA$5-1)="","",
  IF(COUNTIF(entities[entity_id],
OFFSET(cards[[#This Row],[1]],0,BA$5-1))&lt;&gt;1,
"missing",
IF(COUNTIF(cards[[#This Row],[1]:[25]],OFFSET(cards[[#This Row],[1]],0,BA$5-1))&gt;1,"duplicate","ok")))</f>
        <v/>
      </c>
      <c r="BB22" t="str">
        <f ca="1">IF(OFFSET(cards[[#This Row],[1]],0,BB$5-1)="","",
  IF(COUNTIF(entities[entity_id],
OFFSET(cards[[#This Row],[1]],0,BB$5-1))&lt;&gt;1,
"missing",
IF(COUNTIF(cards[[#This Row],[1]:[25]],OFFSET(cards[[#This Row],[1]],0,BB$5-1))&gt;1,"duplicate","ok")))</f>
        <v/>
      </c>
      <c r="BC22" t="str">
        <f ca="1">IF(OFFSET(cards[[#This Row],[1]],0,BC$5-1)="","",
  IF(COUNTIF(entities[entity_id],
OFFSET(cards[[#This Row],[1]],0,BC$5-1))&lt;&gt;1,
"missing",
IF(COUNTIF(cards[[#This Row],[1]:[25]],OFFSET(cards[[#This Row],[1]],0,BC$5-1))&gt;1,"duplicate","ok")))</f>
        <v/>
      </c>
      <c r="BD22" t="str">
        <f ca="1">IF(OFFSET(cards[[#This Row],[1]],0,BD$5-1)="","",
  IF(COUNTIF(entities[entity_id],
OFFSET(cards[[#This Row],[1]],0,BD$5-1))&lt;&gt;1,
"missing",
IF(COUNTIF(cards[[#This Row],[1]:[25]],OFFSET(cards[[#This Row],[1]],0,BD$5-1))&gt;1,"duplicate","ok")))</f>
        <v/>
      </c>
      <c r="BE22" t="str">
        <f ca="1">IF(OFFSET(cards[[#This Row],[1]],0,BE$5-1)="","",
  IF(COUNTIF(entities[entity_id],
OFFSET(cards[[#This Row],[1]],0,BE$5-1))&lt;&gt;1,
"missing",
IF(COUNTIF(cards[[#This Row],[1]:[25]],OFFSET(cards[[#This Row],[1]],0,BE$5-1))&gt;1,"duplicate","ok")))</f>
        <v/>
      </c>
      <c r="BF22" t="str">
        <f ca="1">IF(OFFSET(cards[[#This Row],[1]],0,BF$5-1)="","",
  IF(COUNTIF(entities[entity_id],
OFFSET(cards[[#This Row],[1]],0,BF$5-1))&lt;&gt;1,
"missing",
IF(COUNTIF(cards[[#This Row],[1]:[25]],OFFSET(cards[[#This Row],[1]],0,BF$5-1))&gt;1,"duplicate","ok")))</f>
        <v/>
      </c>
      <c r="BG22" t="str">
        <f ca="1">IF(OFFSET(cards[[#This Row],[1]],0,BG$5-1)="","",
  IF(COUNTIF(entities[entity_id],
OFFSET(cards[[#This Row],[1]],0,BG$5-1))&lt;&gt;1,
"missing",
IF(COUNTIF(cards[[#This Row],[1]:[25]],OFFSET(cards[[#This Row],[1]],0,BG$5-1))&gt;1,"duplicate","ok")))</f>
        <v/>
      </c>
      <c r="BH22" t="str">
        <f ca="1">IF(OFFSET(cards[[#This Row],[1]],0,BH$5-1)="","",
  IF(COUNTIF(entities[entity_id],
OFFSET(cards[[#This Row],[1]],0,BH$5-1))&lt;&gt;1,
"missing",
IF(COUNTIF(cards[[#This Row],[1]:[25]],OFFSET(cards[[#This Row],[1]],0,BH$5-1))&gt;1,"duplicate","ok")))</f>
        <v/>
      </c>
      <c r="BI22" t="str">
        <f ca="1">IF(OFFSET(cards[[#This Row],[1]],0,BI$5-1)="","",
  IF(COUNTIF(entities[entity_id],
OFFSET(cards[[#This Row],[1]],0,BI$5-1))&lt;&gt;1,
"missing",
IF(COUNTIF(cards[[#This Row],[1]:[25]],OFFSET(cards[[#This Row],[1]],0,BI$5-1))&gt;1,"duplicate","ok")))</f>
        <v/>
      </c>
      <c r="BJ22" t="str">
        <f ca="1">IF(OFFSET(cards[[#This Row],[1]],0,BJ$5-1)="","",
  IF(COUNTIF(entities[entity_id],
OFFSET(cards[[#This Row],[1]],0,BJ$5-1))&lt;&gt;1,
"missing",
IF(COUNTIF(cards[[#This Row],[1]:[25]],OFFSET(cards[[#This Row],[1]],0,BJ$5-1))&gt;1,"duplicate","ok")))</f>
        <v/>
      </c>
      <c r="BK22" t="str">
        <f ca="1">IF(OFFSET(cards[[#This Row],[1]],0,BK$5-1)="","",
  IF(COUNTIF(entities[entity_id],
OFFSET(cards[[#This Row],[1]],0,BK$5-1))&lt;&gt;1,
"missing",
IF(COUNTIF(cards[[#This Row],[1]:[25]],OFFSET(cards[[#This Row],[1]],0,BK$5-1))&gt;1,"duplicate","ok")))</f>
        <v/>
      </c>
      <c r="BL22" t="str">
        <f ca="1">IF(OFFSET(cards[[#This Row],[1]],0,BL$5-1)="","",
  IF(COUNTIF(entities[entity_id],
OFFSET(cards[[#This Row],[1]],0,BL$5-1))&lt;&gt;1,
"missing",
IF(COUNTIF(cards[[#This Row],[1]:[25]],OFFSET(cards[[#This Row],[1]],0,BL$5-1))&gt;1,"duplicate","ok")))</f>
        <v/>
      </c>
      <c r="BM22" t="str">
        <f ca="1">IF(OFFSET(cards[[#This Row],[1]],0,BM$5-1)="","",
  IF(COUNTIF(entities[entity_id],
OFFSET(cards[[#This Row],[1]],0,BM$5-1))&lt;&gt;1,
"missing",
IF(COUNTIF(cards[[#This Row],[1]:[25]],OFFSET(cards[[#This Row],[1]],0,BM$5-1))&gt;1,"duplicate","ok")))</f>
        <v/>
      </c>
      <c r="BN22" t="str">
        <f ca="1">IF(OFFSET(cards[[#This Row],[1]],0,BN$5-1)="","",
  IF(COUNTIF(entities[entity_id],
OFFSET(cards[[#This Row],[1]],0,BN$5-1))&lt;&gt;1,
"missing",
IF(COUNTIF(cards[[#This Row],[1]:[25]],OFFSET(cards[[#This Row],[1]],0,BN$5-1))&gt;1,"duplicate","ok")))</f>
        <v/>
      </c>
      <c r="BO22" s="4" t="str">
        <f>IF(cards[[#This Row],[First space]]-cards[[#This Row],[Entities count]]=1,"ok","Check entitiy names")</f>
        <v>ok</v>
      </c>
      <c r="BP22" s="4" t="str">
        <f ca="1">IF(COUNTIF(cards[[#This Row],[C1]:[C25]],"missing")=0,"ok","some entities missing from Entities tab")</f>
        <v>ok</v>
      </c>
      <c r="BQ22" s="4" t="str">
        <f ca="1">IF(COUNTIF(cards[[#This Row],[C1]:[C25]],"duplicate")=0,"ok","some duplicates")</f>
        <v>ok</v>
      </c>
      <c r="BR22" t="str">
        <f>"group."&amp;cards[[#This Row],[object_id]]</f>
        <v>group.alarm_clock</v>
      </c>
    </row>
    <row r="23" spans="2:70" x14ac:dyDescent="0.25">
      <c r="B23">
        <v>16</v>
      </c>
      <c r="C23" t="s">
        <v>586</v>
      </c>
      <c r="D23" t="s">
        <v>781</v>
      </c>
      <c r="H23" t="s">
        <v>130</v>
      </c>
      <c r="I23" t="s">
        <v>120</v>
      </c>
      <c r="J23" t="s">
        <v>133</v>
      </c>
      <c r="K23" t="s">
        <v>128</v>
      </c>
      <c r="L23" t="s">
        <v>127</v>
      </c>
      <c r="AG23">
        <f>ROW(cards[[#This Row],[object_id order]])-ROW(cards[])+1</f>
        <v>16</v>
      </c>
      <c r="AH23">
        <f ca="1">IF(OFFSET(cards[[#This Row],[object_id]],0,1)&lt;&gt;"",1,"")</f>
        <v>1</v>
      </c>
      <c r="AI23" t="str">
        <f ca="1">IF(OFFSET(cards[[#This Row],[object_id]],0,2)&lt;&gt;"",2,"")</f>
        <v/>
      </c>
      <c r="AJ23" t="str">
        <f ca="1">IF(OFFSET(cards[[#This Row],[object_id]],0,3)&lt;&gt;"",3,"")</f>
        <v/>
      </c>
      <c r="AK23" t="str">
        <f ca="1">IF(OFFSET(cards[[#This Row],[object_id]],0,4)&lt;&gt;"",4,"")</f>
        <v/>
      </c>
      <c r="AL23" t="str">
        <f ca="1">CONCATENATE(cards[[#This Row],[A1]],cards[[#This Row],[A2]],cards[[#This Row],[A3]],cards[[#This Row],[A4]])</f>
        <v>1</v>
      </c>
      <c r="AM23">
        <f ca="1">LEN(cards[[#This Row],[Attribute Index]])</f>
        <v>1</v>
      </c>
      <c r="AN23" s="4">
        <f>COUNTA(cards[[#This Row],[1]:[25]])</f>
        <v>5</v>
      </c>
      <c r="AO23" s="4">
        <f>MATCH(TRUE,INDEX(ISBLANK(cards[[#This Row],[1]:[25]]),0,0),0)</f>
        <v>6</v>
      </c>
      <c r="AP23" t="str">
        <f ca="1">IF(OFFSET(cards[[#This Row],[1]],0,AP$5-1)="","",
  IF(COUNTIF(entities[entity_id],
OFFSET(cards[[#This Row],[1]],0,AP$5-1))&lt;&gt;1,
"missing",
IF(COUNTIF(cards[[#This Row],[1]:[25]],OFFSET(cards[[#This Row],[1]],0,AP$5-1))&gt;1,"duplicate","ok")))</f>
        <v>ok</v>
      </c>
      <c r="AQ23" t="str">
        <f ca="1">IF(OFFSET(cards[[#This Row],[1]],0,AQ$5-1)="","",
  IF(COUNTIF(entities[entity_id],
OFFSET(cards[[#This Row],[1]],0,AQ$5-1))&lt;&gt;1,
"missing",
IF(COUNTIF(cards[[#This Row],[1]:[25]],OFFSET(cards[[#This Row],[1]],0,AQ$5-1))&gt;1,"duplicate","ok")))</f>
        <v>ok</v>
      </c>
      <c r="AR23" t="str">
        <f ca="1">IF(OFFSET(cards[[#This Row],[1]],0,AR$5-1)="","",
  IF(COUNTIF(entities[entity_id],
OFFSET(cards[[#This Row],[1]],0,AR$5-1))&lt;&gt;1,
"missing",
IF(COUNTIF(cards[[#This Row],[1]:[25]],OFFSET(cards[[#This Row],[1]],0,AR$5-1))&gt;1,"duplicate","ok")))</f>
        <v>ok</v>
      </c>
      <c r="AS23" t="str">
        <f ca="1">IF(OFFSET(cards[[#This Row],[1]],0,AS$5-1)="","",
  IF(COUNTIF(entities[entity_id],
OFFSET(cards[[#This Row],[1]],0,AS$5-1))&lt;&gt;1,
"missing",
IF(COUNTIF(cards[[#This Row],[1]:[25]],OFFSET(cards[[#This Row],[1]],0,AS$5-1))&gt;1,"duplicate","ok")))</f>
        <v>ok</v>
      </c>
      <c r="AT23" t="str">
        <f ca="1">IF(OFFSET(cards[[#This Row],[1]],0,AT$5-1)="","",
  IF(COUNTIF(entities[entity_id],
OFFSET(cards[[#This Row],[1]],0,AT$5-1))&lt;&gt;1,
"missing",
IF(COUNTIF(cards[[#This Row],[1]:[25]],OFFSET(cards[[#This Row],[1]],0,AT$5-1))&gt;1,"duplicate","ok")))</f>
        <v>ok</v>
      </c>
      <c r="AU23" t="str">
        <f ca="1">IF(OFFSET(cards[[#This Row],[1]],0,AU$5-1)="","",
  IF(COUNTIF(entities[entity_id],
OFFSET(cards[[#This Row],[1]],0,AU$5-1))&lt;&gt;1,
"missing",
IF(COUNTIF(cards[[#This Row],[1]:[25]],OFFSET(cards[[#This Row],[1]],0,AU$5-1))&gt;1,"duplicate","ok")))</f>
        <v/>
      </c>
      <c r="AV23" t="str">
        <f ca="1">IF(OFFSET(cards[[#This Row],[1]],0,AV$5-1)="","",
  IF(COUNTIF(entities[entity_id],
OFFSET(cards[[#This Row],[1]],0,AV$5-1))&lt;&gt;1,
"missing",
IF(COUNTIF(cards[[#This Row],[1]:[25]],OFFSET(cards[[#This Row],[1]],0,AV$5-1))&gt;1,"duplicate","ok")))</f>
        <v/>
      </c>
      <c r="AW23" t="str">
        <f ca="1">IF(OFFSET(cards[[#This Row],[1]],0,AW$5-1)="","",
  IF(COUNTIF(entities[entity_id],
OFFSET(cards[[#This Row],[1]],0,AW$5-1))&lt;&gt;1,
"missing",
IF(COUNTIF(cards[[#This Row],[1]:[25]],OFFSET(cards[[#This Row],[1]],0,AW$5-1))&gt;1,"duplicate","ok")))</f>
        <v/>
      </c>
      <c r="AX23" t="str">
        <f ca="1">IF(OFFSET(cards[[#This Row],[1]],0,AX$5-1)="","",
  IF(COUNTIF(entities[entity_id],
OFFSET(cards[[#This Row],[1]],0,AX$5-1))&lt;&gt;1,
"missing",
IF(COUNTIF(cards[[#This Row],[1]:[25]],OFFSET(cards[[#This Row],[1]],0,AX$5-1))&gt;1,"duplicate","ok")))</f>
        <v/>
      </c>
      <c r="AY23" t="str">
        <f ca="1">IF(OFFSET(cards[[#This Row],[1]],0,AY$5-1)="","",
  IF(COUNTIF(entities[entity_id],
OFFSET(cards[[#This Row],[1]],0,AY$5-1))&lt;&gt;1,
"missing",
IF(COUNTIF(cards[[#This Row],[1]:[25]],OFFSET(cards[[#This Row],[1]],0,AY$5-1))&gt;1,"duplicate","ok")))</f>
        <v/>
      </c>
      <c r="AZ23" t="str">
        <f ca="1">IF(OFFSET(cards[[#This Row],[1]],0,AZ$5-1)="","",
  IF(COUNTIF(entities[entity_id],
OFFSET(cards[[#This Row],[1]],0,AZ$5-1))&lt;&gt;1,
"missing",
IF(COUNTIF(cards[[#This Row],[1]:[25]],OFFSET(cards[[#This Row],[1]],0,AZ$5-1))&gt;1,"duplicate","ok")))</f>
        <v/>
      </c>
      <c r="BA23" t="str">
        <f ca="1">IF(OFFSET(cards[[#This Row],[1]],0,BA$5-1)="","",
  IF(COUNTIF(entities[entity_id],
OFFSET(cards[[#This Row],[1]],0,BA$5-1))&lt;&gt;1,
"missing",
IF(COUNTIF(cards[[#This Row],[1]:[25]],OFFSET(cards[[#This Row],[1]],0,BA$5-1))&gt;1,"duplicate","ok")))</f>
        <v/>
      </c>
      <c r="BB23" t="str">
        <f ca="1">IF(OFFSET(cards[[#This Row],[1]],0,BB$5-1)="","",
  IF(COUNTIF(entities[entity_id],
OFFSET(cards[[#This Row],[1]],0,BB$5-1))&lt;&gt;1,
"missing",
IF(COUNTIF(cards[[#This Row],[1]:[25]],OFFSET(cards[[#This Row],[1]],0,BB$5-1))&gt;1,"duplicate","ok")))</f>
        <v/>
      </c>
      <c r="BC23" t="str">
        <f ca="1">IF(OFFSET(cards[[#This Row],[1]],0,BC$5-1)="","",
  IF(COUNTIF(entities[entity_id],
OFFSET(cards[[#This Row],[1]],0,BC$5-1))&lt;&gt;1,
"missing",
IF(COUNTIF(cards[[#This Row],[1]:[25]],OFFSET(cards[[#This Row],[1]],0,BC$5-1))&gt;1,"duplicate","ok")))</f>
        <v/>
      </c>
      <c r="BD23" t="str">
        <f ca="1">IF(OFFSET(cards[[#This Row],[1]],0,BD$5-1)="","",
  IF(COUNTIF(entities[entity_id],
OFFSET(cards[[#This Row],[1]],0,BD$5-1))&lt;&gt;1,
"missing",
IF(COUNTIF(cards[[#This Row],[1]:[25]],OFFSET(cards[[#This Row],[1]],0,BD$5-1))&gt;1,"duplicate","ok")))</f>
        <v/>
      </c>
      <c r="BE23" t="str">
        <f ca="1">IF(OFFSET(cards[[#This Row],[1]],0,BE$5-1)="","",
  IF(COUNTIF(entities[entity_id],
OFFSET(cards[[#This Row],[1]],0,BE$5-1))&lt;&gt;1,
"missing",
IF(COUNTIF(cards[[#This Row],[1]:[25]],OFFSET(cards[[#This Row],[1]],0,BE$5-1))&gt;1,"duplicate","ok")))</f>
        <v/>
      </c>
      <c r="BF23" t="str">
        <f ca="1">IF(OFFSET(cards[[#This Row],[1]],0,BF$5-1)="","",
  IF(COUNTIF(entities[entity_id],
OFFSET(cards[[#This Row],[1]],0,BF$5-1))&lt;&gt;1,
"missing",
IF(COUNTIF(cards[[#This Row],[1]:[25]],OFFSET(cards[[#This Row],[1]],0,BF$5-1))&gt;1,"duplicate","ok")))</f>
        <v/>
      </c>
      <c r="BG23" t="str">
        <f ca="1">IF(OFFSET(cards[[#This Row],[1]],0,BG$5-1)="","",
  IF(COUNTIF(entities[entity_id],
OFFSET(cards[[#This Row],[1]],0,BG$5-1))&lt;&gt;1,
"missing",
IF(COUNTIF(cards[[#This Row],[1]:[25]],OFFSET(cards[[#This Row],[1]],0,BG$5-1))&gt;1,"duplicate","ok")))</f>
        <v/>
      </c>
      <c r="BH23" t="str">
        <f ca="1">IF(OFFSET(cards[[#This Row],[1]],0,BH$5-1)="","",
  IF(COUNTIF(entities[entity_id],
OFFSET(cards[[#This Row],[1]],0,BH$5-1))&lt;&gt;1,
"missing",
IF(COUNTIF(cards[[#This Row],[1]:[25]],OFFSET(cards[[#This Row],[1]],0,BH$5-1))&gt;1,"duplicate","ok")))</f>
        <v/>
      </c>
      <c r="BI23" t="str">
        <f ca="1">IF(OFFSET(cards[[#This Row],[1]],0,BI$5-1)="","",
  IF(COUNTIF(entities[entity_id],
OFFSET(cards[[#This Row],[1]],0,BI$5-1))&lt;&gt;1,
"missing",
IF(COUNTIF(cards[[#This Row],[1]:[25]],OFFSET(cards[[#This Row],[1]],0,BI$5-1))&gt;1,"duplicate","ok")))</f>
        <v/>
      </c>
      <c r="BJ23" t="str">
        <f ca="1">IF(OFFSET(cards[[#This Row],[1]],0,BJ$5-1)="","",
  IF(COUNTIF(entities[entity_id],
OFFSET(cards[[#This Row],[1]],0,BJ$5-1))&lt;&gt;1,
"missing",
IF(COUNTIF(cards[[#This Row],[1]:[25]],OFFSET(cards[[#This Row],[1]],0,BJ$5-1))&gt;1,"duplicate","ok")))</f>
        <v/>
      </c>
      <c r="BK23" t="str">
        <f ca="1">IF(OFFSET(cards[[#This Row],[1]],0,BK$5-1)="","",
  IF(COUNTIF(entities[entity_id],
OFFSET(cards[[#This Row],[1]],0,BK$5-1))&lt;&gt;1,
"missing",
IF(COUNTIF(cards[[#This Row],[1]:[25]],OFFSET(cards[[#This Row],[1]],0,BK$5-1))&gt;1,"duplicate","ok")))</f>
        <v/>
      </c>
      <c r="BL23" t="str">
        <f ca="1">IF(OFFSET(cards[[#This Row],[1]],0,BL$5-1)="","",
  IF(COUNTIF(entities[entity_id],
OFFSET(cards[[#This Row],[1]],0,BL$5-1))&lt;&gt;1,
"missing",
IF(COUNTIF(cards[[#This Row],[1]:[25]],OFFSET(cards[[#This Row],[1]],0,BL$5-1))&gt;1,"duplicate","ok")))</f>
        <v/>
      </c>
      <c r="BM23" t="str">
        <f ca="1">IF(OFFSET(cards[[#This Row],[1]],0,BM$5-1)="","",
  IF(COUNTIF(entities[entity_id],
OFFSET(cards[[#This Row],[1]],0,BM$5-1))&lt;&gt;1,
"missing",
IF(COUNTIF(cards[[#This Row],[1]:[25]],OFFSET(cards[[#This Row],[1]],0,BM$5-1))&gt;1,"duplicate","ok")))</f>
        <v/>
      </c>
      <c r="BN23" t="str">
        <f ca="1">IF(OFFSET(cards[[#This Row],[1]],0,BN$5-1)="","",
  IF(COUNTIF(entities[entity_id],
OFFSET(cards[[#This Row],[1]],0,BN$5-1))&lt;&gt;1,
"missing",
IF(COUNTIF(cards[[#This Row],[1]:[25]],OFFSET(cards[[#This Row],[1]],0,BN$5-1))&gt;1,"duplicate","ok")))</f>
        <v/>
      </c>
      <c r="BO23" s="4" t="str">
        <f>IF(cards[[#This Row],[First space]]-cards[[#This Row],[Entities count]]=1,"ok","Check entitiy names")</f>
        <v>ok</v>
      </c>
      <c r="BP23" s="4" t="str">
        <f ca="1">IF(COUNTIF(cards[[#This Row],[C1]:[C25]],"missing")=0,"ok","some entities missing from Entities tab")</f>
        <v>ok</v>
      </c>
      <c r="BQ23" s="4" t="str">
        <f ca="1">IF(COUNTIF(cards[[#This Row],[C1]:[C25]],"duplicate")=0,"ok","some duplicates")</f>
        <v>ok</v>
      </c>
      <c r="BR23" t="str">
        <f>"group."&amp;cards[[#This Row],[object_id]]</f>
        <v>group.environment</v>
      </c>
    </row>
    <row r="24" spans="2:70" x14ac:dyDescent="0.25">
      <c r="B24">
        <v>17</v>
      </c>
      <c r="C24" t="s">
        <v>587</v>
      </c>
      <c r="D24" t="s">
        <v>596</v>
      </c>
      <c r="H24" t="s">
        <v>131</v>
      </c>
      <c r="I24" t="s">
        <v>132</v>
      </c>
      <c r="J24" t="s">
        <v>126</v>
      </c>
      <c r="K24" t="s">
        <v>123</v>
      </c>
      <c r="L24" t="s">
        <v>120</v>
      </c>
      <c r="M24" t="s">
        <v>125</v>
      </c>
      <c r="N24" t="s">
        <v>122</v>
      </c>
      <c r="O24" t="s">
        <v>134</v>
      </c>
      <c r="P24" t="s">
        <v>124</v>
      </c>
      <c r="Q24" t="s">
        <v>121</v>
      </c>
      <c r="R24" t="s">
        <v>129</v>
      </c>
      <c r="S24" t="s">
        <v>135</v>
      </c>
      <c r="T24" t="s">
        <v>145</v>
      </c>
      <c r="AG24">
        <f>ROW(cards[[#This Row],[object_id order]])-ROW(cards[])+1</f>
        <v>17</v>
      </c>
      <c r="AH24">
        <f ca="1">IF(OFFSET(cards[[#This Row],[object_id]],0,1)&lt;&gt;"",1,"")</f>
        <v>1</v>
      </c>
      <c r="AI24" t="str">
        <f ca="1">IF(OFFSET(cards[[#This Row],[object_id]],0,2)&lt;&gt;"",2,"")</f>
        <v/>
      </c>
      <c r="AJ24" t="str">
        <f ca="1">IF(OFFSET(cards[[#This Row],[object_id]],0,3)&lt;&gt;"",3,"")</f>
        <v/>
      </c>
      <c r="AK24" t="str">
        <f ca="1">IF(OFFSET(cards[[#This Row],[object_id]],0,4)&lt;&gt;"",4,"")</f>
        <v/>
      </c>
      <c r="AL24" t="str">
        <f ca="1">CONCATENATE(cards[[#This Row],[A1]],cards[[#This Row],[A2]],cards[[#This Row],[A3]],cards[[#This Row],[A4]])</f>
        <v>1</v>
      </c>
      <c r="AM24">
        <f ca="1">LEN(cards[[#This Row],[Attribute Index]])</f>
        <v>1</v>
      </c>
      <c r="AN24" s="4">
        <f>COUNTA(cards[[#This Row],[1]:[25]])</f>
        <v>13</v>
      </c>
      <c r="AO24" s="4">
        <f>MATCH(TRUE,INDEX(ISBLANK(cards[[#This Row],[1]:[25]]),0,0),0)</f>
        <v>14</v>
      </c>
      <c r="AP24" t="str">
        <f ca="1">IF(OFFSET(cards[[#This Row],[1]],0,AP$5-1)="","",
  IF(COUNTIF(entities[entity_id],
OFFSET(cards[[#This Row],[1]],0,AP$5-1))&lt;&gt;1,
"missing",
IF(COUNTIF(cards[[#This Row],[1]:[25]],OFFSET(cards[[#This Row],[1]],0,AP$5-1))&gt;1,"duplicate","ok")))</f>
        <v>ok</v>
      </c>
      <c r="AQ24" t="str">
        <f ca="1">IF(OFFSET(cards[[#This Row],[1]],0,AQ$5-1)="","",
  IF(COUNTIF(entities[entity_id],
OFFSET(cards[[#This Row],[1]],0,AQ$5-1))&lt;&gt;1,
"missing",
IF(COUNTIF(cards[[#This Row],[1]:[25]],OFFSET(cards[[#This Row],[1]],0,AQ$5-1))&gt;1,"duplicate","ok")))</f>
        <v>ok</v>
      </c>
      <c r="AR24" t="str">
        <f ca="1">IF(OFFSET(cards[[#This Row],[1]],0,AR$5-1)="","",
  IF(COUNTIF(entities[entity_id],
OFFSET(cards[[#This Row],[1]],0,AR$5-1))&lt;&gt;1,
"missing",
IF(COUNTIF(cards[[#This Row],[1]:[25]],OFFSET(cards[[#This Row],[1]],0,AR$5-1))&gt;1,"duplicate","ok")))</f>
        <v>ok</v>
      </c>
      <c r="AS24" t="str">
        <f ca="1">IF(OFFSET(cards[[#This Row],[1]],0,AS$5-1)="","",
  IF(COUNTIF(entities[entity_id],
OFFSET(cards[[#This Row],[1]],0,AS$5-1))&lt;&gt;1,
"missing",
IF(COUNTIF(cards[[#This Row],[1]:[25]],OFFSET(cards[[#This Row],[1]],0,AS$5-1))&gt;1,"duplicate","ok")))</f>
        <v>ok</v>
      </c>
      <c r="AT24" t="str">
        <f ca="1">IF(OFFSET(cards[[#This Row],[1]],0,AT$5-1)="","",
  IF(COUNTIF(entities[entity_id],
OFFSET(cards[[#This Row],[1]],0,AT$5-1))&lt;&gt;1,
"missing",
IF(COUNTIF(cards[[#This Row],[1]:[25]],OFFSET(cards[[#This Row],[1]],0,AT$5-1))&gt;1,"duplicate","ok")))</f>
        <v>ok</v>
      </c>
      <c r="AU24" t="str">
        <f ca="1">IF(OFFSET(cards[[#This Row],[1]],0,AU$5-1)="","",
  IF(COUNTIF(entities[entity_id],
OFFSET(cards[[#This Row],[1]],0,AU$5-1))&lt;&gt;1,
"missing",
IF(COUNTIF(cards[[#This Row],[1]:[25]],OFFSET(cards[[#This Row],[1]],0,AU$5-1))&gt;1,"duplicate","ok")))</f>
        <v>ok</v>
      </c>
      <c r="AV24" t="str">
        <f ca="1">IF(OFFSET(cards[[#This Row],[1]],0,AV$5-1)="","",
  IF(COUNTIF(entities[entity_id],
OFFSET(cards[[#This Row],[1]],0,AV$5-1))&lt;&gt;1,
"missing",
IF(COUNTIF(cards[[#This Row],[1]:[25]],OFFSET(cards[[#This Row],[1]],0,AV$5-1))&gt;1,"duplicate","ok")))</f>
        <v>ok</v>
      </c>
      <c r="AW24" t="str">
        <f ca="1">IF(OFFSET(cards[[#This Row],[1]],0,AW$5-1)="","",
  IF(COUNTIF(entities[entity_id],
OFFSET(cards[[#This Row],[1]],0,AW$5-1))&lt;&gt;1,
"missing",
IF(COUNTIF(cards[[#This Row],[1]:[25]],OFFSET(cards[[#This Row],[1]],0,AW$5-1))&gt;1,"duplicate","ok")))</f>
        <v>ok</v>
      </c>
      <c r="AX24" t="str">
        <f ca="1">IF(OFFSET(cards[[#This Row],[1]],0,AX$5-1)="","",
  IF(COUNTIF(entities[entity_id],
OFFSET(cards[[#This Row],[1]],0,AX$5-1))&lt;&gt;1,
"missing",
IF(COUNTIF(cards[[#This Row],[1]:[25]],OFFSET(cards[[#This Row],[1]],0,AX$5-1))&gt;1,"duplicate","ok")))</f>
        <v>ok</v>
      </c>
      <c r="AY24" t="str">
        <f ca="1">IF(OFFSET(cards[[#This Row],[1]],0,AY$5-1)="","",
  IF(COUNTIF(entities[entity_id],
OFFSET(cards[[#This Row],[1]],0,AY$5-1))&lt;&gt;1,
"missing",
IF(COUNTIF(cards[[#This Row],[1]:[25]],OFFSET(cards[[#This Row],[1]],0,AY$5-1))&gt;1,"duplicate","ok")))</f>
        <v>ok</v>
      </c>
      <c r="AZ24" t="str">
        <f ca="1">IF(OFFSET(cards[[#This Row],[1]],0,AZ$5-1)="","",
  IF(COUNTIF(entities[entity_id],
OFFSET(cards[[#This Row],[1]],0,AZ$5-1))&lt;&gt;1,
"missing",
IF(COUNTIF(cards[[#This Row],[1]:[25]],OFFSET(cards[[#This Row],[1]],0,AZ$5-1))&gt;1,"duplicate","ok")))</f>
        <v>ok</v>
      </c>
      <c r="BA24" t="str">
        <f ca="1">IF(OFFSET(cards[[#This Row],[1]],0,BA$5-1)="","",
  IF(COUNTIF(entities[entity_id],
OFFSET(cards[[#This Row],[1]],0,BA$5-1))&lt;&gt;1,
"missing",
IF(COUNTIF(cards[[#This Row],[1]:[25]],OFFSET(cards[[#This Row],[1]],0,BA$5-1))&gt;1,"duplicate","ok")))</f>
        <v>ok</v>
      </c>
      <c r="BB24" t="str">
        <f ca="1">IF(OFFSET(cards[[#This Row],[1]],0,BB$5-1)="","",
  IF(COUNTIF(entities[entity_id],
OFFSET(cards[[#This Row],[1]],0,BB$5-1))&lt;&gt;1,
"missing",
IF(COUNTIF(cards[[#This Row],[1]:[25]],OFFSET(cards[[#This Row],[1]],0,BB$5-1))&gt;1,"duplicate","ok")))</f>
        <v>ok</v>
      </c>
      <c r="BC24" t="str">
        <f ca="1">IF(OFFSET(cards[[#This Row],[1]],0,BC$5-1)="","",
  IF(COUNTIF(entities[entity_id],
OFFSET(cards[[#This Row],[1]],0,BC$5-1))&lt;&gt;1,
"missing",
IF(COUNTIF(cards[[#This Row],[1]:[25]],OFFSET(cards[[#This Row],[1]],0,BC$5-1))&gt;1,"duplicate","ok")))</f>
        <v/>
      </c>
      <c r="BD24" t="str">
        <f ca="1">IF(OFFSET(cards[[#This Row],[1]],0,BD$5-1)="","",
  IF(COUNTIF(entities[entity_id],
OFFSET(cards[[#This Row],[1]],0,BD$5-1))&lt;&gt;1,
"missing",
IF(COUNTIF(cards[[#This Row],[1]:[25]],OFFSET(cards[[#This Row],[1]],0,BD$5-1))&gt;1,"duplicate","ok")))</f>
        <v/>
      </c>
      <c r="BE24" t="str">
        <f ca="1">IF(OFFSET(cards[[#This Row],[1]],0,BE$5-1)="","",
  IF(COUNTIF(entities[entity_id],
OFFSET(cards[[#This Row],[1]],0,BE$5-1))&lt;&gt;1,
"missing",
IF(COUNTIF(cards[[#This Row],[1]:[25]],OFFSET(cards[[#This Row],[1]],0,BE$5-1))&gt;1,"duplicate","ok")))</f>
        <v/>
      </c>
      <c r="BF24" t="str">
        <f ca="1">IF(OFFSET(cards[[#This Row],[1]],0,BF$5-1)="","",
  IF(COUNTIF(entities[entity_id],
OFFSET(cards[[#This Row],[1]],0,BF$5-1))&lt;&gt;1,
"missing",
IF(COUNTIF(cards[[#This Row],[1]:[25]],OFFSET(cards[[#This Row],[1]],0,BF$5-1))&gt;1,"duplicate","ok")))</f>
        <v/>
      </c>
      <c r="BG24" t="str">
        <f ca="1">IF(OFFSET(cards[[#This Row],[1]],0,BG$5-1)="","",
  IF(COUNTIF(entities[entity_id],
OFFSET(cards[[#This Row],[1]],0,BG$5-1))&lt;&gt;1,
"missing",
IF(COUNTIF(cards[[#This Row],[1]:[25]],OFFSET(cards[[#This Row],[1]],0,BG$5-1))&gt;1,"duplicate","ok")))</f>
        <v/>
      </c>
      <c r="BH24" t="str">
        <f ca="1">IF(OFFSET(cards[[#This Row],[1]],0,BH$5-1)="","",
  IF(COUNTIF(entities[entity_id],
OFFSET(cards[[#This Row],[1]],0,BH$5-1))&lt;&gt;1,
"missing",
IF(COUNTIF(cards[[#This Row],[1]:[25]],OFFSET(cards[[#This Row],[1]],0,BH$5-1))&gt;1,"duplicate","ok")))</f>
        <v/>
      </c>
      <c r="BI24" t="str">
        <f ca="1">IF(OFFSET(cards[[#This Row],[1]],0,BI$5-1)="","",
  IF(COUNTIF(entities[entity_id],
OFFSET(cards[[#This Row],[1]],0,BI$5-1))&lt;&gt;1,
"missing",
IF(COUNTIF(cards[[#This Row],[1]:[25]],OFFSET(cards[[#This Row],[1]],0,BI$5-1))&gt;1,"duplicate","ok")))</f>
        <v/>
      </c>
      <c r="BJ24" t="str">
        <f ca="1">IF(OFFSET(cards[[#This Row],[1]],0,BJ$5-1)="","",
  IF(COUNTIF(entities[entity_id],
OFFSET(cards[[#This Row],[1]],0,BJ$5-1))&lt;&gt;1,
"missing",
IF(COUNTIF(cards[[#This Row],[1]:[25]],OFFSET(cards[[#This Row],[1]],0,BJ$5-1))&gt;1,"duplicate","ok")))</f>
        <v/>
      </c>
      <c r="BK24" t="str">
        <f ca="1">IF(OFFSET(cards[[#This Row],[1]],0,BK$5-1)="","",
  IF(COUNTIF(entities[entity_id],
OFFSET(cards[[#This Row],[1]],0,BK$5-1))&lt;&gt;1,
"missing",
IF(COUNTIF(cards[[#This Row],[1]:[25]],OFFSET(cards[[#This Row],[1]],0,BK$5-1))&gt;1,"duplicate","ok")))</f>
        <v/>
      </c>
      <c r="BL24" t="str">
        <f ca="1">IF(OFFSET(cards[[#This Row],[1]],0,BL$5-1)="","",
  IF(COUNTIF(entities[entity_id],
OFFSET(cards[[#This Row],[1]],0,BL$5-1))&lt;&gt;1,
"missing",
IF(COUNTIF(cards[[#This Row],[1]:[25]],OFFSET(cards[[#This Row],[1]],0,BL$5-1))&gt;1,"duplicate","ok")))</f>
        <v/>
      </c>
      <c r="BM24" t="str">
        <f ca="1">IF(OFFSET(cards[[#This Row],[1]],0,BM$5-1)="","",
  IF(COUNTIF(entities[entity_id],
OFFSET(cards[[#This Row],[1]],0,BM$5-1))&lt;&gt;1,
"missing",
IF(COUNTIF(cards[[#This Row],[1]:[25]],OFFSET(cards[[#This Row],[1]],0,BM$5-1))&gt;1,"duplicate","ok")))</f>
        <v/>
      </c>
      <c r="BN24" t="str">
        <f ca="1">IF(OFFSET(cards[[#This Row],[1]],0,BN$5-1)="","",
  IF(COUNTIF(entities[entity_id],
OFFSET(cards[[#This Row],[1]],0,BN$5-1))&lt;&gt;1,
"missing",
IF(COUNTIF(cards[[#This Row],[1]:[25]],OFFSET(cards[[#This Row],[1]],0,BN$5-1))&gt;1,"duplicate","ok")))</f>
        <v/>
      </c>
      <c r="BO24" s="4" t="str">
        <f>IF(cards[[#This Row],[First space]]-cards[[#This Row],[Entities count]]=1,"ok","Check entitiy names")</f>
        <v>ok</v>
      </c>
      <c r="BP24" s="4" t="str">
        <f ca="1">IF(COUNTIF(cards[[#This Row],[C1]:[C25]],"missing")=0,"ok","some entities missing from Entities tab")</f>
        <v>ok</v>
      </c>
      <c r="BQ24" s="4" t="str">
        <f ca="1">IF(COUNTIF(cards[[#This Row],[C1]:[C25]],"duplicate")=0,"ok","some duplicates")</f>
        <v>ok</v>
      </c>
      <c r="BR24" t="str">
        <f>"group."&amp;cards[[#This Row],[object_id]]</f>
        <v>group.environment_detail</v>
      </c>
    </row>
    <row r="25" spans="2:70" x14ac:dyDescent="0.25">
      <c r="B25">
        <v>18</v>
      </c>
      <c r="C25" t="s">
        <v>708</v>
      </c>
      <c r="D25" t="s">
        <v>776</v>
      </c>
      <c r="H25" t="s">
        <v>669</v>
      </c>
      <c r="I25" t="s">
        <v>668</v>
      </c>
      <c r="J25" t="s">
        <v>667</v>
      </c>
      <c r="K25" t="s">
        <v>682</v>
      </c>
      <c r="L25" t="s">
        <v>117</v>
      </c>
      <c r="AG25">
        <f>ROW(cards[[#This Row],[object_id order]])-ROW(cards[])+1</f>
        <v>18</v>
      </c>
      <c r="AH25">
        <f ca="1">IF(OFFSET(cards[[#This Row],[object_id]],0,1)&lt;&gt;"",1,"")</f>
        <v>1</v>
      </c>
      <c r="AI25" t="str">
        <f ca="1">IF(OFFSET(cards[[#This Row],[object_id]],0,2)&lt;&gt;"",2,"")</f>
        <v/>
      </c>
      <c r="AJ25" t="str">
        <f ca="1">IF(OFFSET(cards[[#This Row],[object_id]],0,3)&lt;&gt;"",3,"")</f>
        <v/>
      </c>
      <c r="AK25" t="str">
        <f ca="1">IF(OFFSET(cards[[#This Row],[object_id]],0,4)&lt;&gt;"",4,"")</f>
        <v/>
      </c>
      <c r="AL25" t="str">
        <f ca="1">CONCATENATE(cards[[#This Row],[A1]],cards[[#This Row],[A2]],cards[[#This Row],[A3]],cards[[#This Row],[A4]])</f>
        <v>1</v>
      </c>
      <c r="AM25">
        <f ca="1">LEN(cards[[#This Row],[Attribute Index]])</f>
        <v>1</v>
      </c>
      <c r="AN25" s="4">
        <f>COUNTA(cards[[#This Row],[1]:[25]])</f>
        <v>5</v>
      </c>
      <c r="AO25" s="4">
        <f>MATCH(TRUE,INDEX(ISBLANK(cards[[#This Row],[1]:[25]]),0,0),0)</f>
        <v>6</v>
      </c>
      <c r="AP25" t="str">
        <f ca="1">IF(OFFSET(cards[[#This Row],[1]],0,AP$5-1)="","",
  IF(COUNTIF(entities[entity_id],
OFFSET(cards[[#This Row],[1]],0,AP$5-1))&lt;&gt;1,
"missing",
IF(COUNTIF(cards[[#This Row],[1]:[25]],OFFSET(cards[[#This Row],[1]],0,AP$5-1))&gt;1,"duplicate","ok")))</f>
        <v>ok</v>
      </c>
      <c r="AQ25" t="str">
        <f ca="1">IF(OFFSET(cards[[#This Row],[1]],0,AQ$5-1)="","",
  IF(COUNTIF(entities[entity_id],
OFFSET(cards[[#This Row],[1]],0,AQ$5-1))&lt;&gt;1,
"missing",
IF(COUNTIF(cards[[#This Row],[1]:[25]],OFFSET(cards[[#This Row],[1]],0,AQ$5-1))&gt;1,"duplicate","ok")))</f>
        <v>ok</v>
      </c>
      <c r="AR25" t="str">
        <f ca="1">IF(OFFSET(cards[[#This Row],[1]],0,AR$5-1)="","",
  IF(COUNTIF(entities[entity_id],
OFFSET(cards[[#This Row],[1]],0,AR$5-1))&lt;&gt;1,
"missing",
IF(COUNTIF(cards[[#This Row],[1]:[25]],OFFSET(cards[[#This Row],[1]],0,AR$5-1))&gt;1,"duplicate","ok")))</f>
        <v>ok</v>
      </c>
      <c r="AS25" t="str">
        <f ca="1">IF(OFFSET(cards[[#This Row],[1]],0,AS$5-1)="","",
  IF(COUNTIF(entities[entity_id],
OFFSET(cards[[#This Row],[1]],0,AS$5-1))&lt;&gt;1,
"missing",
IF(COUNTIF(cards[[#This Row],[1]:[25]],OFFSET(cards[[#This Row],[1]],0,AS$5-1))&gt;1,"duplicate","ok")))</f>
        <v>ok</v>
      </c>
      <c r="AT25" t="str">
        <f ca="1">IF(OFFSET(cards[[#This Row],[1]],0,AT$5-1)="","",
  IF(COUNTIF(entities[entity_id],
OFFSET(cards[[#This Row],[1]],0,AT$5-1))&lt;&gt;1,
"missing",
IF(COUNTIF(cards[[#This Row],[1]:[25]],OFFSET(cards[[#This Row],[1]],0,AT$5-1))&gt;1,"duplicate","ok")))</f>
        <v>ok</v>
      </c>
      <c r="AU25" t="str">
        <f ca="1">IF(OFFSET(cards[[#This Row],[1]],0,AU$5-1)="","",
  IF(COUNTIF(entities[entity_id],
OFFSET(cards[[#This Row],[1]],0,AU$5-1))&lt;&gt;1,
"missing",
IF(COUNTIF(cards[[#This Row],[1]:[25]],OFFSET(cards[[#This Row],[1]],0,AU$5-1))&gt;1,"duplicate","ok")))</f>
        <v/>
      </c>
      <c r="AV25" t="str">
        <f ca="1">IF(OFFSET(cards[[#This Row],[1]],0,AV$5-1)="","",
  IF(COUNTIF(entities[entity_id],
OFFSET(cards[[#This Row],[1]],0,AV$5-1))&lt;&gt;1,
"missing",
IF(COUNTIF(cards[[#This Row],[1]:[25]],OFFSET(cards[[#This Row],[1]],0,AV$5-1))&gt;1,"duplicate","ok")))</f>
        <v/>
      </c>
      <c r="AW25" t="str">
        <f ca="1">IF(OFFSET(cards[[#This Row],[1]],0,AW$5-1)="","",
  IF(COUNTIF(entities[entity_id],
OFFSET(cards[[#This Row],[1]],0,AW$5-1))&lt;&gt;1,
"missing",
IF(COUNTIF(cards[[#This Row],[1]:[25]],OFFSET(cards[[#This Row],[1]],0,AW$5-1))&gt;1,"duplicate","ok")))</f>
        <v/>
      </c>
      <c r="AX25" t="str">
        <f ca="1">IF(OFFSET(cards[[#This Row],[1]],0,AX$5-1)="","",
  IF(COUNTIF(entities[entity_id],
OFFSET(cards[[#This Row],[1]],0,AX$5-1))&lt;&gt;1,
"missing",
IF(COUNTIF(cards[[#This Row],[1]:[25]],OFFSET(cards[[#This Row],[1]],0,AX$5-1))&gt;1,"duplicate","ok")))</f>
        <v/>
      </c>
      <c r="AY25" t="str">
        <f ca="1">IF(OFFSET(cards[[#This Row],[1]],0,AY$5-1)="","",
  IF(COUNTIF(entities[entity_id],
OFFSET(cards[[#This Row],[1]],0,AY$5-1))&lt;&gt;1,
"missing",
IF(COUNTIF(cards[[#This Row],[1]:[25]],OFFSET(cards[[#This Row],[1]],0,AY$5-1))&gt;1,"duplicate","ok")))</f>
        <v/>
      </c>
      <c r="AZ25" t="str">
        <f ca="1">IF(OFFSET(cards[[#This Row],[1]],0,AZ$5-1)="","",
  IF(COUNTIF(entities[entity_id],
OFFSET(cards[[#This Row],[1]],0,AZ$5-1))&lt;&gt;1,
"missing",
IF(COUNTIF(cards[[#This Row],[1]:[25]],OFFSET(cards[[#This Row],[1]],0,AZ$5-1))&gt;1,"duplicate","ok")))</f>
        <v/>
      </c>
      <c r="BA25" t="str">
        <f ca="1">IF(OFFSET(cards[[#This Row],[1]],0,BA$5-1)="","",
  IF(COUNTIF(entities[entity_id],
OFFSET(cards[[#This Row],[1]],0,BA$5-1))&lt;&gt;1,
"missing",
IF(COUNTIF(cards[[#This Row],[1]:[25]],OFFSET(cards[[#This Row],[1]],0,BA$5-1))&gt;1,"duplicate","ok")))</f>
        <v/>
      </c>
      <c r="BB25" t="str">
        <f ca="1">IF(OFFSET(cards[[#This Row],[1]],0,BB$5-1)="","",
  IF(COUNTIF(entities[entity_id],
OFFSET(cards[[#This Row],[1]],0,BB$5-1))&lt;&gt;1,
"missing",
IF(COUNTIF(cards[[#This Row],[1]:[25]],OFFSET(cards[[#This Row],[1]],0,BB$5-1))&gt;1,"duplicate","ok")))</f>
        <v/>
      </c>
      <c r="BC25" t="str">
        <f ca="1">IF(OFFSET(cards[[#This Row],[1]],0,BC$5-1)="","",
  IF(COUNTIF(entities[entity_id],
OFFSET(cards[[#This Row],[1]],0,BC$5-1))&lt;&gt;1,
"missing",
IF(COUNTIF(cards[[#This Row],[1]:[25]],OFFSET(cards[[#This Row],[1]],0,BC$5-1))&gt;1,"duplicate","ok")))</f>
        <v/>
      </c>
      <c r="BD25" t="str">
        <f ca="1">IF(OFFSET(cards[[#This Row],[1]],0,BD$5-1)="","",
  IF(COUNTIF(entities[entity_id],
OFFSET(cards[[#This Row],[1]],0,BD$5-1))&lt;&gt;1,
"missing",
IF(COUNTIF(cards[[#This Row],[1]:[25]],OFFSET(cards[[#This Row],[1]],0,BD$5-1))&gt;1,"duplicate","ok")))</f>
        <v/>
      </c>
      <c r="BE25" t="str">
        <f ca="1">IF(OFFSET(cards[[#This Row],[1]],0,BE$5-1)="","",
  IF(COUNTIF(entities[entity_id],
OFFSET(cards[[#This Row],[1]],0,BE$5-1))&lt;&gt;1,
"missing",
IF(COUNTIF(cards[[#This Row],[1]:[25]],OFFSET(cards[[#This Row],[1]],0,BE$5-1))&gt;1,"duplicate","ok")))</f>
        <v/>
      </c>
      <c r="BF25" t="str">
        <f ca="1">IF(OFFSET(cards[[#This Row],[1]],0,BF$5-1)="","",
  IF(COUNTIF(entities[entity_id],
OFFSET(cards[[#This Row],[1]],0,BF$5-1))&lt;&gt;1,
"missing",
IF(COUNTIF(cards[[#This Row],[1]:[25]],OFFSET(cards[[#This Row],[1]],0,BF$5-1))&gt;1,"duplicate","ok")))</f>
        <v/>
      </c>
      <c r="BG25" t="str">
        <f ca="1">IF(OFFSET(cards[[#This Row],[1]],0,BG$5-1)="","",
  IF(COUNTIF(entities[entity_id],
OFFSET(cards[[#This Row],[1]],0,BG$5-1))&lt;&gt;1,
"missing",
IF(COUNTIF(cards[[#This Row],[1]:[25]],OFFSET(cards[[#This Row],[1]],0,BG$5-1))&gt;1,"duplicate","ok")))</f>
        <v/>
      </c>
      <c r="BH25" t="str">
        <f ca="1">IF(OFFSET(cards[[#This Row],[1]],0,BH$5-1)="","",
  IF(COUNTIF(entities[entity_id],
OFFSET(cards[[#This Row],[1]],0,BH$5-1))&lt;&gt;1,
"missing",
IF(COUNTIF(cards[[#This Row],[1]:[25]],OFFSET(cards[[#This Row],[1]],0,BH$5-1))&gt;1,"duplicate","ok")))</f>
        <v/>
      </c>
      <c r="BI25" t="str">
        <f ca="1">IF(OFFSET(cards[[#This Row],[1]],0,BI$5-1)="","",
  IF(COUNTIF(entities[entity_id],
OFFSET(cards[[#This Row],[1]],0,BI$5-1))&lt;&gt;1,
"missing",
IF(COUNTIF(cards[[#This Row],[1]:[25]],OFFSET(cards[[#This Row],[1]],0,BI$5-1))&gt;1,"duplicate","ok")))</f>
        <v/>
      </c>
      <c r="BJ25" t="str">
        <f ca="1">IF(OFFSET(cards[[#This Row],[1]],0,BJ$5-1)="","",
  IF(COUNTIF(entities[entity_id],
OFFSET(cards[[#This Row],[1]],0,BJ$5-1))&lt;&gt;1,
"missing",
IF(COUNTIF(cards[[#This Row],[1]:[25]],OFFSET(cards[[#This Row],[1]],0,BJ$5-1))&gt;1,"duplicate","ok")))</f>
        <v/>
      </c>
      <c r="BK25" t="str">
        <f ca="1">IF(OFFSET(cards[[#This Row],[1]],0,BK$5-1)="","",
  IF(COUNTIF(entities[entity_id],
OFFSET(cards[[#This Row],[1]],0,BK$5-1))&lt;&gt;1,
"missing",
IF(COUNTIF(cards[[#This Row],[1]:[25]],OFFSET(cards[[#This Row],[1]],0,BK$5-1))&gt;1,"duplicate","ok")))</f>
        <v/>
      </c>
      <c r="BL25" t="str">
        <f ca="1">IF(OFFSET(cards[[#This Row],[1]],0,BL$5-1)="","",
  IF(COUNTIF(entities[entity_id],
OFFSET(cards[[#This Row],[1]],0,BL$5-1))&lt;&gt;1,
"missing",
IF(COUNTIF(cards[[#This Row],[1]:[25]],OFFSET(cards[[#This Row],[1]],0,BL$5-1))&gt;1,"duplicate","ok")))</f>
        <v/>
      </c>
      <c r="BM25" t="str">
        <f ca="1">IF(OFFSET(cards[[#This Row],[1]],0,BM$5-1)="","",
  IF(COUNTIF(entities[entity_id],
OFFSET(cards[[#This Row],[1]],0,BM$5-1))&lt;&gt;1,
"missing",
IF(COUNTIF(cards[[#This Row],[1]:[25]],OFFSET(cards[[#This Row],[1]],0,BM$5-1))&gt;1,"duplicate","ok")))</f>
        <v/>
      </c>
      <c r="BN25" t="str">
        <f ca="1">IF(OFFSET(cards[[#This Row],[1]],0,BN$5-1)="","",
  IF(COUNTIF(entities[entity_id],
OFFSET(cards[[#This Row],[1]],0,BN$5-1))&lt;&gt;1,
"missing",
IF(COUNTIF(cards[[#This Row],[1]:[25]],OFFSET(cards[[#This Row],[1]],0,BN$5-1))&gt;1,"duplicate","ok")))</f>
        <v/>
      </c>
      <c r="BO25" s="4" t="str">
        <f>IF(cards[[#This Row],[First space]]-cards[[#This Row],[Entities count]]=1,"ok","Check entitiy names")</f>
        <v>ok</v>
      </c>
      <c r="BP25" s="4" t="str">
        <f ca="1">IF(COUNTIF(cards[[#This Row],[C1]:[C25]],"missing")=0,"ok","some entities missing from Entities tab")</f>
        <v>ok</v>
      </c>
      <c r="BQ25" s="4" t="str">
        <f ca="1">IF(COUNTIF(cards[[#This Row],[C1]:[C25]],"duplicate")=0,"ok","some duplicates")</f>
        <v>ok</v>
      </c>
      <c r="BR25" t="str">
        <f>"group."&amp;cards[[#This Row],[object_id]]</f>
        <v>group.environment_living_room</v>
      </c>
    </row>
    <row r="26" spans="2:70" x14ac:dyDescent="0.25">
      <c r="B26">
        <v>19</v>
      </c>
      <c r="C26" t="s">
        <v>590</v>
      </c>
      <c r="D26" t="s">
        <v>778</v>
      </c>
      <c r="H26" t="s">
        <v>61</v>
      </c>
      <c r="I26" t="s">
        <v>52</v>
      </c>
      <c r="J26" t="s">
        <v>41</v>
      </c>
      <c r="AG26">
        <f>ROW(cards[[#This Row],[object_id order]])-ROW(cards[])+1</f>
        <v>19</v>
      </c>
      <c r="AH26">
        <f ca="1">IF(OFFSET(cards[[#This Row],[object_id]],0,1)&lt;&gt;"",1,"")</f>
        <v>1</v>
      </c>
      <c r="AI26" t="str">
        <f ca="1">IF(OFFSET(cards[[#This Row],[object_id]],0,2)&lt;&gt;"",2,"")</f>
        <v/>
      </c>
      <c r="AJ26" t="str">
        <f ca="1">IF(OFFSET(cards[[#This Row],[object_id]],0,3)&lt;&gt;"",3,"")</f>
        <v/>
      </c>
      <c r="AK26" t="str">
        <f ca="1">IF(OFFSET(cards[[#This Row],[object_id]],0,4)&lt;&gt;"",4,"")</f>
        <v/>
      </c>
      <c r="AL26" t="str">
        <f ca="1">CONCATENATE(cards[[#This Row],[A1]],cards[[#This Row],[A2]],cards[[#This Row],[A3]],cards[[#This Row],[A4]])</f>
        <v>1</v>
      </c>
      <c r="AM26">
        <f ca="1">LEN(cards[[#This Row],[Attribute Index]])</f>
        <v>1</v>
      </c>
      <c r="AN26" s="4">
        <f>COUNTA(cards[[#This Row],[1]:[25]])</f>
        <v>3</v>
      </c>
      <c r="AO26" s="4">
        <f>MATCH(TRUE,INDEX(ISBLANK(cards[[#This Row],[1]:[25]]),0,0),0)</f>
        <v>4</v>
      </c>
      <c r="AP26" t="str">
        <f ca="1">IF(OFFSET(cards[[#This Row],[1]],0,AP$5-1)="","",
  IF(COUNTIF(entities[entity_id],
OFFSET(cards[[#This Row],[1]],0,AP$5-1))&lt;&gt;1,
"missing",
IF(COUNTIF(cards[[#This Row],[1]:[25]],OFFSET(cards[[#This Row],[1]],0,AP$5-1))&gt;1,"duplicate","ok")))</f>
        <v>ok</v>
      </c>
      <c r="AQ26" t="str">
        <f ca="1">IF(OFFSET(cards[[#This Row],[1]],0,AQ$5-1)="","",
  IF(COUNTIF(entities[entity_id],
OFFSET(cards[[#This Row],[1]],0,AQ$5-1))&lt;&gt;1,
"missing",
IF(COUNTIF(cards[[#This Row],[1]:[25]],OFFSET(cards[[#This Row],[1]],0,AQ$5-1))&gt;1,"duplicate","ok")))</f>
        <v>ok</v>
      </c>
      <c r="AR26" t="str">
        <f ca="1">IF(OFFSET(cards[[#This Row],[1]],0,AR$5-1)="","",
  IF(COUNTIF(entities[entity_id],
OFFSET(cards[[#This Row],[1]],0,AR$5-1))&lt;&gt;1,
"missing",
IF(COUNTIF(cards[[#This Row],[1]:[25]],OFFSET(cards[[#This Row],[1]],0,AR$5-1))&gt;1,"duplicate","ok")))</f>
        <v>ok</v>
      </c>
      <c r="AS26" t="str">
        <f ca="1">IF(OFFSET(cards[[#This Row],[1]],0,AS$5-1)="","",
  IF(COUNTIF(entities[entity_id],
OFFSET(cards[[#This Row],[1]],0,AS$5-1))&lt;&gt;1,
"missing",
IF(COUNTIF(cards[[#This Row],[1]:[25]],OFFSET(cards[[#This Row],[1]],0,AS$5-1))&gt;1,"duplicate","ok")))</f>
        <v/>
      </c>
      <c r="AT26" t="str">
        <f ca="1">IF(OFFSET(cards[[#This Row],[1]],0,AT$5-1)="","",
  IF(COUNTIF(entities[entity_id],
OFFSET(cards[[#This Row],[1]],0,AT$5-1))&lt;&gt;1,
"missing",
IF(COUNTIF(cards[[#This Row],[1]:[25]],OFFSET(cards[[#This Row],[1]],0,AT$5-1))&gt;1,"duplicate","ok")))</f>
        <v/>
      </c>
      <c r="AU26" t="str">
        <f ca="1">IF(OFFSET(cards[[#This Row],[1]],0,AU$5-1)="","",
  IF(COUNTIF(entities[entity_id],
OFFSET(cards[[#This Row],[1]],0,AU$5-1))&lt;&gt;1,
"missing",
IF(COUNTIF(cards[[#This Row],[1]:[25]],OFFSET(cards[[#This Row],[1]],0,AU$5-1))&gt;1,"duplicate","ok")))</f>
        <v/>
      </c>
      <c r="AV26" t="str">
        <f ca="1">IF(OFFSET(cards[[#This Row],[1]],0,AV$5-1)="","",
  IF(COUNTIF(entities[entity_id],
OFFSET(cards[[#This Row],[1]],0,AV$5-1))&lt;&gt;1,
"missing",
IF(COUNTIF(cards[[#This Row],[1]:[25]],OFFSET(cards[[#This Row],[1]],0,AV$5-1))&gt;1,"duplicate","ok")))</f>
        <v/>
      </c>
      <c r="AW26" t="str">
        <f ca="1">IF(OFFSET(cards[[#This Row],[1]],0,AW$5-1)="","",
  IF(COUNTIF(entities[entity_id],
OFFSET(cards[[#This Row],[1]],0,AW$5-1))&lt;&gt;1,
"missing",
IF(COUNTIF(cards[[#This Row],[1]:[25]],OFFSET(cards[[#This Row],[1]],0,AW$5-1))&gt;1,"duplicate","ok")))</f>
        <v/>
      </c>
      <c r="AX26" t="str">
        <f ca="1">IF(OFFSET(cards[[#This Row],[1]],0,AX$5-1)="","",
  IF(COUNTIF(entities[entity_id],
OFFSET(cards[[#This Row],[1]],0,AX$5-1))&lt;&gt;1,
"missing",
IF(COUNTIF(cards[[#This Row],[1]:[25]],OFFSET(cards[[#This Row],[1]],0,AX$5-1))&gt;1,"duplicate","ok")))</f>
        <v/>
      </c>
      <c r="AY26" t="str">
        <f ca="1">IF(OFFSET(cards[[#This Row],[1]],0,AY$5-1)="","",
  IF(COUNTIF(entities[entity_id],
OFFSET(cards[[#This Row],[1]],0,AY$5-1))&lt;&gt;1,
"missing",
IF(COUNTIF(cards[[#This Row],[1]:[25]],OFFSET(cards[[#This Row],[1]],0,AY$5-1))&gt;1,"duplicate","ok")))</f>
        <v/>
      </c>
      <c r="AZ26" t="str">
        <f ca="1">IF(OFFSET(cards[[#This Row],[1]],0,AZ$5-1)="","",
  IF(COUNTIF(entities[entity_id],
OFFSET(cards[[#This Row],[1]],0,AZ$5-1))&lt;&gt;1,
"missing",
IF(COUNTIF(cards[[#This Row],[1]:[25]],OFFSET(cards[[#This Row],[1]],0,AZ$5-1))&gt;1,"duplicate","ok")))</f>
        <v/>
      </c>
      <c r="BA26" t="str">
        <f ca="1">IF(OFFSET(cards[[#This Row],[1]],0,BA$5-1)="","",
  IF(COUNTIF(entities[entity_id],
OFFSET(cards[[#This Row],[1]],0,BA$5-1))&lt;&gt;1,
"missing",
IF(COUNTIF(cards[[#This Row],[1]:[25]],OFFSET(cards[[#This Row],[1]],0,BA$5-1))&gt;1,"duplicate","ok")))</f>
        <v/>
      </c>
      <c r="BB26" t="str">
        <f ca="1">IF(OFFSET(cards[[#This Row],[1]],0,BB$5-1)="","",
  IF(COUNTIF(entities[entity_id],
OFFSET(cards[[#This Row],[1]],0,BB$5-1))&lt;&gt;1,
"missing",
IF(COUNTIF(cards[[#This Row],[1]:[25]],OFFSET(cards[[#This Row],[1]],0,BB$5-1))&gt;1,"duplicate","ok")))</f>
        <v/>
      </c>
      <c r="BC26" t="str">
        <f ca="1">IF(OFFSET(cards[[#This Row],[1]],0,BC$5-1)="","",
  IF(COUNTIF(entities[entity_id],
OFFSET(cards[[#This Row],[1]],0,BC$5-1))&lt;&gt;1,
"missing",
IF(COUNTIF(cards[[#This Row],[1]:[25]],OFFSET(cards[[#This Row],[1]],0,BC$5-1))&gt;1,"duplicate","ok")))</f>
        <v/>
      </c>
      <c r="BD26" t="str">
        <f ca="1">IF(OFFSET(cards[[#This Row],[1]],0,BD$5-1)="","",
  IF(COUNTIF(entities[entity_id],
OFFSET(cards[[#This Row],[1]],0,BD$5-1))&lt;&gt;1,
"missing",
IF(COUNTIF(cards[[#This Row],[1]:[25]],OFFSET(cards[[#This Row],[1]],0,BD$5-1))&gt;1,"duplicate","ok")))</f>
        <v/>
      </c>
      <c r="BE26" t="str">
        <f ca="1">IF(OFFSET(cards[[#This Row],[1]],0,BE$5-1)="","",
  IF(COUNTIF(entities[entity_id],
OFFSET(cards[[#This Row],[1]],0,BE$5-1))&lt;&gt;1,
"missing",
IF(COUNTIF(cards[[#This Row],[1]:[25]],OFFSET(cards[[#This Row],[1]],0,BE$5-1))&gt;1,"duplicate","ok")))</f>
        <v/>
      </c>
      <c r="BF26" t="str">
        <f ca="1">IF(OFFSET(cards[[#This Row],[1]],0,BF$5-1)="","",
  IF(COUNTIF(entities[entity_id],
OFFSET(cards[[#This Row],[1]],0,BF$5-1))&lt;&gt;1,
"missing",
IF(COUNTIF(cards[[#This Row],[1]:[25]],OFFSET(cards[[#This Row],[1]],0,BF$5-1))&gt;1,"duplicate","ok")))</f>
        <v/>
      </c>
      <c r="BG26" t="str">
        <f ca="1">IF(OFFSET(cards[[#This Row],[1]],0,BG$5-1)="","",
  IF(COUNTIF(entities[entity_id],
OFFSET(cards[[#This Row],[1]],0,BG$5-1))&lt;&gt;1,
"missing",
IF(COUNTIF(cards[[#This Row],[1]:[25]],OFFSET(cards[[#This Row],[1]],0,BG$5-1))&gt;1,"duplicate","ok")))</f>
        <v/>
      </c>
      <c r="BH26" t="str">
        <f ca="1">IF(OFFSET(cards[[#This Row],[1]],0,BH$5-1)="","",
  IF(COUNTIF(entities[entity_id],
OFFSET(cards[[#This Row],[1]],0,BH$5-1))&lt;&gt;1,
"missing",
IF(COUNTIF(cards[[#This Row],[1]:[25]],OFFSET(cards[[#This Row],[1]],0,BH$5-1))&gt;1,"duplicate","ok")))</f>
        <v/>
      </c>
      <c r="BI26" t="str">
        <f ca="1">IF(OFFSET(cards[[#This Row],[1]],0,BI$5-1)="","",
  IF(COUNTIF(entities[entity_id],
OFFSET(cards[[#This Row],[1]],0,BI$5-1))&lt;&gt;1,
"missing",
IF(COUNTIF(cards[[#This Row],[1]:[25]],OFFSET(cards[[#This Row],[1]],0,BI$5-1))&gt;1,"duplicate","ok")))</f>
        <v/>
      </c>
      <c r="BJ26" t="str">
        <f ca="1">IF(OFFSET(cards[[#This Row],[1]],0,BJ$5-1)="","",
  IF(COUNTIF(entities[entity_id],
OFFSET(cards[[#This Row],[1]],0,BJ$5-1))&lt;&gt;1,
"missing",
IF(COUNTIF(cards[[#This Row],[1]:[25]],OFFSET(cards[[#This Row],[1]],0,BJ$5-1))&gt;1,"duplicate","ok")))</f>
        <v/>
      </c>
      <c r="BK26" t="str">
        <f ca="1">IF(OFFSET(cards[[#This Row],[1]],0,BK$5-1)="","",
  IF(COUNTIF(entities[entity_id],
OFFSET(cards[[#This Row],[1]],0,BK$5-1))&lt;&gt;1,
"missing",
IF(COUNTIF(cards[[#This Row],[1]:[25]],OFFSET(cards[[#This Row],[1]],0,BK$5-1))&gt;1,"duplicate","ok")))</f>
        <v/>
      </c>
      <c r="BL26" t="str">
        <f ca="1">IF(OFFSET(cards[[#This Row],[1]],0,BL$5-1)="","",
  IF(COUNTIF(entities[entity_id],
OFFSET(cards[[#This Row],[1]],0,BL$5-1))&lt;&gt;1,
"missing",
IF(COUNTIF(cards[[#This Row],[1]:[25]],OFFSET(cards[[#This Row],[1]],0,BL$5-1))&gt;1,"duplicate","ok")))</f>
        <v/>
      </c>
      <c r="BM26" t="str">
        <f ca="1">IF(OFFSET(cards[[#This Row],[1]],0,BM$5-1)="","",
  IF(COUNTIF(entities[entity_id],
OFFSET(cards[[#This Row],[1]],0,BM$5-1))&lt;&gt;1,
"missing",
IF(COUNTIF(cards[[#This Row],[1]:[25]],OFFSET(cards[[#This Row],[1]],0,BM$5-1))&gt;1,"duplicate","ok")))</f>
        <v/>
      </c>
      <c r="BN26" t="str">
        <f ca="1">IF(OFFSET(cards[[#This Row],[1]],0,BN$5-1)="","",
  IF(COUNTIF(entities[entity_id],
OFFSET(cards[[#This Row],[1]],0,BN$5-1))&lt;&gt;1,
"missing",
IF(COUNTIF(cards[[#This Row],[1]:[25]],OFFSET(cards[[#This Row],[1]],0,BN$5-1))&gt;1,"duplicate","ok")))</f>
        <v/>
      </c>
      <c r="BO26" s="4" t="str">
        <f>IF(cards[[#This Row],[First space]]-cards[[#This Row],[Entities count]]=1,"ok","Check entitiy names")</f>
        <v>ok</v>
      </c>
      <c r="BP26" s="4" t="str">
        <f ca="1">IF(COUNTIF(cards[[#This Row],[C1]:[C25]],"missing")=0,"ok","some entities missing from Entities tab")</f>
        <v>ok</v>
      </c>
      <c r="BQ26" s="4" t="str">
        <f ca="1">IF(COUNTIF(cards[[#This Row],[C1]:[C25]],"duplicate")=0,"ok","some duplicates")</f>
        <v>ok</v>
      </c>
      <c r="BR26" t="str">
        <f>"group."&amp;cards[[#This Row],[object_id]]</f>
        <v>group.phones</v>
      </c>
    </row>
    <row r="27" spans="2:70" x14ac:dyDescent="0.25">
      <c r="B27">
        <v>20</v>
      </c>
      <c r="C27" t="s">
        <v>591</v>
      </c>
      <c r="D27" t="s">
        <v>779</v>
      </c>
      <c r="H27" t="s">
        <v>57</v>
      </c>
      <c r="I27" t="s">
        <v>62</v>
      </c>
      <c r="J27" t="s">
        <v>55</v>
      </c>
      <c r="K27" t="s">
        <v>650</v>
      </c>
      <c r="AG27">
        <f>ROW(cards[[#This Row],[object_id order]])-ROW(cards[])+1</f>
        <v>20</v>
      </c>
      <c r="AH27">
        <f ca="1">IF(OFFSET(cards[[#This Row],[object_id]],0,1)&lt;&gt;"",1,"")</f>
        <v>1</v>
      </c>
      <c r="AI27" t="str">
        <f ca="1">IF(OFFSET(cards[[#This Row],[object_id]],0,2)&lt;&gt;"",2,"")</f>
        <v/>
      </c>
      <c r="AJ27" t="str">
        <f ca="1">IF(OFFSET(cards[[#This Row],[object_id]],0,3)&lt;&gt;"",3,"")</f>
        <v/>
      </c>
      <c r="AK27" t="str">
        <f ca="1">IF(OFFSET(cards[[#This Row],[object_id]],0,4)&lt;&gt;"",4,"")</f>
        <v/>
      </c>
      <c r="AL27" t="str">
        <f ca="1">CONCATENATE(cards[[#This Row],[A1]],cards[[#This Row],[A2]],cards[[#This Row],[A3]],cards[[#This Row],[A4]])</f>
        <v>1</v>
      </c>
      <c r="AM27">
        <f ca="1">LEN(cards[[#This Row],[Attribute Index]])</f>
        <v>1</v>
      </c>
      <c r="AN27" s="4">
        <f>COUNTA(cards[[#This Row],[1]:[25]])</f>
        <v>4</v>
      </c>
      <c r="AO27" s="4">
        <f>MATCH(TRUE,INDEX(ISBLANK(cards[[#This Row],[1]:[25]]),0,0),0)</f>
        <v>5</v>
      </c>
      <c r="AP27" t="str">
        <f ca="1">IF(OFFSET(cards[[#This Row],[1]],0,AP$5-1)="","",
  IF(COUNTIF(entities[entity_id],
OFFSET(cards[[#This Row],[1]],0,AP$5-1))&lt;&gt;1,
"missing",
IF(COUNTIF(cards[[#This Row],[1]:[25]],OFFSET(cards[[#This Row],[1]],0,AP$5-1))&gt;1,"duplicate","ok")))</f>
        <v>ok</v>
      </c>
      <c r="AQ27" t="str">
        <f ca="1">IF(OFFSET(cards[[#This Row],[1]],0,AQ$5-1)="","",
  IF(COUNTIF(entities[entity_id],
OFFSET(cards[[#This Row],[1]],0,AQ$5-1))&lt;&gt;1,
"missing",
IF(COUNTIF(cards[[#This Row],[1]:[25]],OFFSET(cards[[#This Row],[1]],0,AQ$5-1))&gt;1,"duplicate","ok")))</f>
        <v>ok</v>
      </c>
      <c r="AR27" t="str">
        <f ca="1">IF(OFFSET(cards[[#This Row],[1]],0,AR$5-1)="","",
  IF(COUNTIF(entities[entity_id],
OFFSET(cards[[#This Row],[1]],0,AR$5-1))&lt;&gt;1,
"missing",
IF(COUNTIF(cards[[#This Row],[1]:[25]],OFFSET(cards[[#This Row],[1]],0,AR$5-1))&gt;1,"duplicate","ok")))</f>
        <v>ok</v>
      </c>
      <c r="AS27" t="str">
        <f ca="1">IF(OFFSET(cards[[#This Row],[1]],0,AS$5-1)="","",
  IF(COUNTIF(entities[entity_id],
OFFSET(cards[[#This Row],[1]],0,AS$5-1))&lt;&gt;1,
"missing",
IF(COUNTIF(cards[[#This Row],[1]:[25]],OFFSET(cards[[#This Row],[1]],0,AS$5-1))&gt;1,"duplicate","ok")))</f>
        <v>ok</v>
      </c>
      <c r="AT27" t="str">
        <f ca="1">IF(OFFSET(cards[[#This Row],[1]],0,AT$5-1)="","",
  IF(COUNTIF(entities[entity_id],
OFFSET(cards[[#This Row],[1]],0,AT$5-1))&lt;&gt;1,
"missing",
IF(COUNTIF(cards[[#This Row],[1]:[25]],OFFSET(cards[[#This Row],[1]],0,AT$5-1))&gt;1,"duplicate","ok")))</f>
        <v/>
      </c>
      <c r="AU27" t="str">
        <f ca="1">IF(OFFSET(cards[[#This Row],[1]],0,AU$5-1)="","",
  IF(COUNTIF(entities[entity_id],
OFFSET(cards[[#This Row],[1]],0,AU$5-1))&lt;&gt;1,
"missing",
IF(COUNTIF(cards[[#This Row],[1]:[25]],OFFSET(cards[[#This Row],[1]],0,AU$5-1))&gt;1,"duplicate","ok")))</f>
        <v/>
      </c>
      <c r="AV27" t="str">
        <f ca="1">IF(OFFSET(cards[[#This Row],[1]],0,AV$5-1)="","",
  IF(COUNTIF(entities[entity_id],
OFFSET(cards[[#This Row],[1]],0,AV$5-1))&lt;&gt;1,
"missing",
IF(COUNTIF(cards[[#This Row],[1]:[25]],OFFSET(cards[[#This Row],[1]],0,AV$5-1))&gt;1,"duplicate","ok")))</f>
        <v/>
      </c>
      <c r="AW27" t="str">
        <f ca="1">IF(OFFSET(cards[[#This Row],[1]],0,AW$5-1)="","",
  IF(COUNTIF(entities[entity_id],
OFFSET(cards[[#This Row],[1]],0,AW$5-1))&lt;&gt;1,
"missing",
IF(COUNTIF(cards[[#This Row],[1]:[25]],OFFSET(cards[[#This Row],[1]],0,AW$5-1))&gt;1,"duplicate","ok")))</f>
        <v/>
      </c>
      <c r="AX27" t="str">
        <f ca="1">IF(OFFSET(cards[[#This Row],[1]],0,AX$5-1)="","",
  IF(COUNTIF(entities[entity_id],
OFFSET(cards[[#This Row],[1]],0,AX$5-1))&lt;&gt;1,
"missing",
IF(COUNTIF(cards[[#This Row],[1]:[25]],OFFSET(cards[[#This Row],[1]],0,AX$5-1))&gt;1,"duplicate","ok")))</f>
        <v/>
      </c>
      <c r="AY27" t="str">
        <f ca="1">IF(OFFSET(cards[[#This Row],[1]],0,AY$5-1)="","",
  IF(COUNTIF(entities[entity_id],
OFFSET(cards[[#This Row],[1]],0,AY$5-1))&lt;&gt;1,
"missing",
IF(COUNTIF(cards[[#This Row],[1]:[25]],OFFSET(cards[[#This Row],[1]],0,AY$5-1))&gt;1,"duplicate","ok")))</f>
        <v/>
      </c>
      <c r="AZ27" t="str">
        <f ca="1">IF(OFFSET(cards[[#This Row],[1]],0,AZ$5-1)="","",
  IF(COUNTIF(entities[entity_id],
OFFSET(cards[[#This Row],[1]],0,AZ$5-1))&lt;&gt;1,
"missing",
IF(COUNTIF(cards[[#This Row],[1]:[25]],OFFSET(cards[[#This Row],[1]],0,AZ$5-1))&gt;1,"duplicate","ok")))</f>
        <v/>
      </c>
      <c r="BA27" t="str">
        <f ca="1">IF(OFFSET(cards[[#This Row],[1]],0,BA$5-1)="","",
  IF(COUNTIF(entities[entity_id],
OFFSET(cards[[#This Row],[1]],0,BA$5-1))&lt;&gt;1,
"missing",
IF(COUNTIF(cards[[#This Row],[1]:[25]],OFFSET(cards[[#This Row],[1]],0,BA$5-1))&gt;1,"duplicate","ok")))</f>
        <v/>
      </c>
      <c r="BB27" t="str">
        <f ca="1">IF(OFFSET(cards[[#This Row],[1]],0,BB$5-1)="","",
  IF(COUNTIF(entities[entity_id],
OFFSET(cards[[#This Row],[1]],0,BB$5-1))&lt;&gt;1,
"missing",
IF(COUNTIF(cards[[#This Row],[1]:[25]],OFFSET(cards[[#This Row],[1]],0,BB$5-1))&gt;1,"duplicate","ok")))</f>
        <v/>
      </c>
      <c r="BC27" t="str">
        <f ca="1">IF(OFFSET(cards[[#This Row],[1]],0,BC$5-1)="","",
  IF(COUNTIF(entities[entity_id],
OFFSET(cards[[#This Row],[1]],0,BC$5-1))&lt;&gt;1,
"missing",
IF(COUNTIF(cards[[#This Row],[1]:[25]],OFFSET(cards[[#This Row],[1]],0,BC$5-1))&gt;1,"duplicate","ok")))</f>
        <v/>
      </c>
      <c r="BD27" t="str">
        <f ca="1">IF(OFFSET(cards[[#This Row],[1]],0,BD$5-1)="","",
  IF(COUNTIF(entities[entity_id],
OFFSET(cards[[#This Row],[1]],0,BD$5-1))&lt;&gt;1,
"missing",
IF(COUNTIF(cards[[#This Row],[1]:[25]],OFFSET(cards[[#This Row],[1]],0,BD$5-1))&gt;1,"duplicate","ok")))</f>
        <v/>
      </c>
      <c r="BE27" t="str">
        <f ca="1">IF(OFFSET(cards[[#This Row],[1]],0,BE$5-1)="","",
  IF(COUNTIF(entities[entity_id],
OFFSET(cards[[#This Row],[1]],0,BE$5-1))&lt;&gt;1,
"missing",
IF(COUNTIF(cards[[#This Row],[1]:[25]],OFFSET(cards[[#This Row],[1]],0,BE$5-1))&gt;1,"duplicate","ok")))</f>
        <v/>
      </c>
      <c r="BF27" t="str">
        <f ca="1">IF(OFFSET(cards[[#This Row],[1]],0,BF$5-1)="","",
  IF(COUNTIF(entities[entity_id],
OFFSET(cards[[#This Row],[1]],0,BF$5-1))&lt;&gt;1,
"missing",
IF(COUNTIF(cards[[#This Row],[1]:[25]],OFFSET(cards[[#This Row],[1]],0,BF$5-1))&gt;1,"duplicate","ok")))</f>
        <v/>
      </c>
      <c r="BG27" t="str">
        <f ca="1">IF(OFFSET(cards[[#This Row],[1]],0,BG$5-1)="","",
  IF(COUNTIF(entities[entity_id],
OFFSET(cards[[#This Row],[1]],0,BG$5-1))&lt;&gt;1,
"missing",
IF(COUNTIF(cards[[#This Row],[1]:[25]],OFFSET(cards[[#This Row],[1]],0,BG$5-1))&gt;1,"duplicate","ok")))</f>
        <v/>
      </c>
      <c r="BH27" t="str">
        <f ca="1">IF(OFFSET(cards[[#This Row],[1]],0,BH$5-1)="","",
  IF(COUNTIF(entities[entity_id],
OFFSET(cards[[#This Row],[1]],0,BH$5-1))&lt;&gt;1,
"missing",
IF(COUNTIF(cards[[#This Row],[1]:[25]],OFFSET(cards[[#This Row],[1]],0,BH$5-1))&gt;1,"duplicate","ok")))</f>
        <v/>
      </c>
      <c r="BI27" t="str">
        <f ca="1">IF(OFFSET(cards[[#This Row],[1]],0,BI$5-1)="","",
  IF(COUNTIF(entities[entity_id],
OFFSET(cards[[#This Row],[1]],0,BI$5-1))&lt;&gt;1,
"missing",
IF(COUNTIF(cards[[#This Row],[1]:[25]],OFFSET(cards[[#This Row],[1]],0,BI$5-1))&gt;1,"duplicate","ok")))</f>
        <v/>
      </c>
      <c r="BJ27" t="str">
        <f ca="1">IF(OFFSET(cards[[#This Row],[1]],0,BJ$5-1)="","",
  IF(COUNTIF(entities[entity_id],
OFFSET(cards[[#This Row],[1]],0,BJ$5-1))&lt;&gt;1,
"missing",
IF(COUNTIF(cards[[#This Row],[1]:[25]],OFFSET(cards[[#This Row],[1]],0,BJ$5-1))&gt;1,"duplicate","ok")))</f>
        <v/>
      </c>
      <c r="BK27" t="str">
        <f ca="1">IF(OFFSET(cards[[#This Row],[1]],0,BK$5-1)="","",
  IF(COUNTIF(entities[entity_id],
OFFSET(cards[[#This Row],[1]],0,BK$5-1))&lt;&gt;1,
"missing",
IF(COUNTIF(cards[[#This Row],[1]:[25]],OFFSET(cards[[#This Row],[1]],0,BK$5-1))&gt;1,"duplicate","ok")))</f>
        <v/>
      </c>
      <c r="BL27" t="str">
        <f ca="1">IF(OFFSET(cards[[#This Row],[1]],0,BL$5-1)="","",
  IF(COUNTIF(entities[entity_id],
OFFSET(cards[[#This Row],[1]],0,BL$5-1))&lt;&gt;1,
"missing",
IF(COUNTIF(cards[[#This Row],[1]:[25]],OFFSET(cards[[#This Row],[1]],0,BL$5-1))&gt;1,"duplicate","ok")))</f>
        <v/>
      </c>
      <c r="BM27" t="str">
        <f ca="1">IF(OFFSET(cards[[#This Row],[1]],0,BM$5-1)="","",
  IF(COUNTIF(entities[entity_id],
OFFSET(cards[[#This Row],[1]],0,BM$5-1))&lt;&gt;1,
"missing",
IF(COUNTIF(cards[[#This Row],[1]:[25]],OFFSET(cards[[#This Row],[1]],0,BM$5-1))&gt;1,"duplicate","ok")))</f>
        <v/>
      </c>
      <c r="BN27" t="str">
        <f ca="1">IF(OFFSET(cards[[#This Row],[1]],0,BN$5-1)="","",
  IF(COUNTIF(entities[entity_id],
OFFSET(cards[[#This Row],[1]],0,BN$5-1))&lt;&gt;1,
"missing",
IF(COUNTIF(cards[[#This Row],[1]:[25]],OFFSET(cards[[#This Row],[1]],0,BN$5-1))&gt;1,"duplicate","ok")))</f>
        <v/>
      </c>
      <c r="BO27" s="4" t="str">
        <f>IF(cards[[#This Row],[First space]]-cards[[#This Row],[Entities count]]=1,"ok","Check entitiy names")</f>
        <v>ok</v>
      </c>
      <c r="BP27" s="4" t="str">
        <f ca="1">IF(COUNTIF(cards[[#This Row],[C1]:[C25]],"missing")=0,"ok","some entities missing from Entities tab")</f>
        <v>ok</v>
      </c>
      <c r="BQ27" s="4" t="str">
        <f ca="1">IF(COUNTIF(cards[[#This Row],[C1]:[C25]],"duplicate")=0,"ok","some duplicates")</f>
        <v>ok</v>
      </c>
      <c r="BR27" t="str">
        <f>"group."&amp;cards[[#This Row],[object_id]]</f>
        <v>group.personal_devices</v>
      </c>
    </row>
    <row r="28" spans="2:70" x14ac:dyDescent="0.25">
      <c r="B28">
        <v>21</v>
      </c>
      <c r="C28" t="s">
        <v>592</v>
      </c>
      <c r="D28" t="s">
        <v>780</v>
      </c>
      <c r="H28" t="s">
        <v>64</v>
      </c>
      <c r="I28" t="s">
        <v>56</v>
      </c>
      <c r="J28" t="s">
        <v>65</v>
      </c>
      <c r="K28" t="s">
        <v>59</v>
      </c>
      <c r="L28" t="s">
        <v>60</v>
      </c>
      <c r="M28" t="s">
        <v>47</v>
      </c>
      <c r="N28" t="s">
        <v>48</v>
      </c>
      <c r="O28" t="s">
        <v>53</v>
      </c>
      <c r="P28" t="s">
        <v>724</v>
      </c>
      <c r="Q28" t="s">
        <v>66</v>
      </c>
      <c r="AG28">
        <f>ROW(cards[[#This Row],[object_id order]])-ROW(cards[])+1</f>
        <v>21</v>
      </c>
      <c r="AH28">
        <f ca="1">IF(OFFSET(cards[[#This Row],[object_id]],0,1)&lt;&gt;"",1,"")</f>
        <v>1</v>
      </c>
      <c r="AI28" t="str">
        <f ca="1">IF(OFFSET(cards[[#This Row],[object_id]],0,2)&lt;&gt;"",2,"")</f>
        <v/>
      </c>
      <c r="AJ28" t="str">
        <f ca="1">IF(OFFSET(cards[[#This Row],[object_id]],0,3)&lt;&gt;"",3,"")</f>
        <v/>
      </c>
      <c r="AK28" t="str">
        <f ca="1">IF(OFFSET(cards[[#This Row],[object_id]],0,4)&lt;&gt;"",4,"")</f>
        <v/>
      </c>
      <c r="AL28" t="str">
        <f ca="1">CONCATENATE(cards[[#This Row],[A1]],cards[[#This Row],[A2]],cards[[#This Row],[A3]],cards[[#This Row],[A4]])</f>
        <v>1</v>
      </c>
      <c r="AM28">
        <f ca="1">LEN(cards[[#This Row],[Attribute Index]])</f>
        <v>1</v>
      </c>
      <c r="AN28" s="4">
        <f>COUNTA(cards[[#This Row],[1]:[25]])</f>
        <v>10</v>
      </c>
      <c r="AO28" s="4">
        <f>MATCH(TRUE,INDEX(ISBLANK(cards[[#This Row],[1]:[25]]),0,0),0)</f>
        <v>11</v>
      </c>
      <c r="AP28" t="str">
        <f ca="1">IF(OFFSET(cards[[#This Row],[1]],0,AP$5-1)="","",
  IF(COUNTIF(entities[entity_id],
OFFSET(cards[[#This Row],[1]],0,AP$5-1))&lt;&gt;1,
"missing",
IF(COUNTIF(cards[[#This Row],[1]:[25]],OFFSET(cards[[#This Row],[1]],0,AP$5-1))&gt;1,"duplicate","ok")))</f>
        <v>ok</v>
      </c>
      <c r="AQ28" t="str">
        <f ca="1">IF(OFFSET(cards[[#This Row],[1]],0,AQ$5-1)="","",
  IF(COUNTIF(entities[entity_id],
OFFSET(cards[[#This Row],[1]],0,AQ$5-1))&lt;&gt;1,
"missing",
IF(COUNTIF(cards[[#This Row],[1]:[25]],OFFSET(cards[[#This Row],[1]],0,AQ$5-1))&gt;1,"duplicate","ok")))</f>
        <v>ok</v>
      </c>
      <c r="AR28" t="str">
        <f ca="1">IF(OFFSET(cards[[#This Row],[1]],0,AR$5-1)="","",
  IF(COUNTIF(entities[entity_id],
OFFSET(cards[[#This Row],[1]],0,AR$5-1))&lt;&gt;1,
"missing",
IF(COUNTIF(cards[[#This Row],[1]:[25]],OFFSET(cards[[#This Row],[1]],0,AR$5-1))&gt;1,"duplicate","ok")))</f>
        <v>ok</v>
      </c>
      <c r="AS28" t="str">
        <f ca="1">IF(OFFSET(cards[[#This Row],[1]],0,AS$5-1)="","",
  IF(COUNTIF(entities[entity_id],
OFFSET(cards[[#This Row],[1]],0,AS$5-1))&lt;&gt;1,
"missing",
IF(COUNTIF(cards[[#This Row],[1]:[25]],OFFSET(cards[[#This Row],[1]],0,AS$5-1))&gt;1,"duplicate","ok")))</f>
        <v>ok</v>
      </c>
      <c r="AT28" t="str">
        <f ca="1">IF(OFFSET(cards[[#This Row],[1]],0,AT$5-1)="","",
  IF(COUNTIF(entities[entity_id],
OFFSET(cards[[#This Row],[1]],0,AT$5-1))&lt;&gt;1,
"missing",
IF(COUNTIF(cards[[#This Row],[1]:[25]],OFFSET(cards[[#This Row],[1]],0,AT$5-1))&gt;1,"duplicate","ok")))</f>
        <v>ok</v>
      </c>
      <c r="AU28" t="str">
        <f ca="1">IF(OFFSET(cards[[#This Row],[1]],0,AU$5-1)="","",
  IF(COUNTIF(entities[entity_id],
OFFSET(cards[[#This Row],[1]],0,AU$5-1))&lt;&gt;1,
"missing",
IF(COUNTIF(cards[[#This Row],[1]:[25]],OFFSET(cards[[#This Row],[1]],0,AU$5-1))&gt;1,"duplicate","ok")))</f>
        <v>ok</v>
      </c>
      <c r="AV28" t="str">
        <f ca="1">IF(OFFSET(cards[[#This Row],[1]],0,AV$5-1)="","",
  IF(COUNTIF(entities[entity_id],
OFFSET(cards[[#This Row],[1]],0,AV$5-1))&lt;&gt;1,
"missing",
IF(COUNTIF(cards[[#This Row],[1]:[25]],OFFSET(cards[[#This Row],[1]],0,AV$5-1))&gt;1,"duplicate","ok")))</f>
        <v>ok</v>
      </c>
      <c r="AW28" t="str">
        <f ca="1">IF(OFFSET(cards[[#This Row],[1]],0,AW$5-1)="","",
  IF(COUNTIF(entities[entity_id],
OFFSET(cards[[#This Row],[1]],0,AW$5-1))&lt;&gt;1,
"missing",
IF(COUNTIF(cards[[#This Row],[1]:[25]],OFFSET(cards[[#This Row],[1]],0,AW$5-1))&gt;1,"duplicate","ok")))</f>
        <v>ok</v>
      </c>
      <c r="AX28" t="str">
        <f ca="1">IF(OFFSET(cards[[#This Row],[1]],0,AX$5-1)="","",
  IF(COUNTIF(entities[entity_id],
OFFSET(cards[[#This Row],[1]],0,AX$5-1))&lt;&gt;1,
"missing",
IF(COUNTIF(cards[[#This Row],[1]:[25]],OFFSET(cards[[#This Row],[1]],0,AX$5-1))&gt;1,"duplicate","ok")))</f>
        <v>ok</v>
      </c>
      <c r="AY28" t="str">
        <f ca="1">IF(OFFSET(cards[[#This Row],[1]],0,AY$5-1)="","",
  IF(COUNTIF(entities[entity_id],
OFFSET(cards[[#This Row],[1]],0,AY$5-1))&lt;&gt;1,
"missing",
IF(COUNTIF(cards[[#This Row],[1]:[25]],OFFSET(cards[[#This Row],[1]],0,AY$5-1))&gt;1,"duplicate","ok")))</f>
        <v>ok</v>
      </c>
      <c r="AZ28" t="str">
        <f ca="1">IF(OFFSET(cards[[#This Row],[1]],0,AZ$5-1)="","",
  IF(COUNTIF(entities[entity_id],
OFFSET(cards[[#This Row],[1]],0,AZ$5-1))&lt;&gt;1,
"missing",
IF(COUNTIF(cards[[#This Row],[1]:[25]],OFFSET(cards[[#This Row],[1]],0,AZ$5-1))&gt;1,"duplicate","ok")))</f>
        <v/>
      </c>
      <c r="BA28" t="str">
        <f ca="1">IF(OFFSET(cards[[#This Row],[1]],0,BA$5-1)="","",
  IF(COUNTIF(entities[entity_id],
OFFSET(cards[[#This Row],[1]],0,BA$5-1))&lt;&gt;1,
"missing",
IF(COUNTIF(cards[[#This Row],[1]:[25]],OFFSET(cards[[#This Row],[1]],0,BA$5-1))&gt;1,"duplicate","ok")))</f>
        <v/>
      </c>
      <c r="BB28" t="str">
        <f ca="1">IF(OFFSET(cards[[#This Row],[1]],0,BB$5-1)="","",
  IF(COUNTIF(entities[entity_id],
OFFSET(cards[[#This Row],[1]],0,BB$5-1))&lt;&gt;1,
"missing",
IF(COUNTIF(cards[[#This Row],[1]:[25]],OFFSET(cards[[#This Row],[1]],0,BB$5-1))&gt;1,"duplicate","ok")))</f>
        <v/>
      </c>
      <c r="BC28" t="str">
        <f ca="1">IF(OFFSET(cards[[#This Row],[1]],0,BC$5-1)="","",
  IF(COUNTIF(entities[entity_id],
OFFSET(cards[[#This Row],[1]],0,BC$5-1))&lt;&gt;1,
"missing",
IF(COUNTIF(cards[[#This Row],[1]:[25]],OFFSET(cards[[#This Row],[1]],0,BC$5-1))&gt;1,"duplicate","ok")))</f>
        <v/>
      </c>
      <c r="BD28" t="str">
        <f ca="1">IF(OFFSET(cards[[#This Row],[1]],0,BD$5-1)="","",
  IF(COUNTIF(entities[entity_id],
OFFSET(cards[[#This Row],[1]],0,BD$5-1))&lt;&gt;1,
"missing",
IF(COUNTIF(cards[[#This Row],[1]:[25]],OFFSET(cards[[#This Row],[1]],0,BD$5-1))&gt;1,"duplicate","ok")))</f>
        <v/>
      </c>
      <c r="BE28" t="str">
        <f ca="1">IF(OFFSET(cards[[#This Row],[1]],0,BE$5-1)="","",
  IF(COUNTIF(entities[entity_id],
OFFSET(cards[[#This Row],[1]],0,BE$5-1))&lt;&gt;1,
"missing",
IF(COUNTIF(cards[[#This Row],[1]:[25]],OFFSET(cards[[#This Row],[1]],0,BE$5-1))&gt;1,"duplicate","ok")))</f>
        <v/>
      </c>
      <c r="BF28" t="str">
        <f ca="1">IF(OFFSET(cards[[#This Row],[1]],0,BF$5-1)="","",
  IF(COUNTIF(entities[entity_id],
OFFSET(cards[[#This Row],[1]],0,BF$5-1))&lt;&gt;1,
"missing",
IF(COUNTIF(cards[[#This Row],[1]:[25]],OFFSET(cards[[#This Row],[1]],0,BF$5-1))&gt;1,"duplicate","ok")))</f>
        <v/>
      </c>
      <c r="BG28" t="str">
        <f ca="1">IF(OFFSET(cards[[#This Row],[1]],0,BG$5-1)="","",
  IF(COUNTIF(entities[entity_id],
OFFSET(cards[[#This Row],[1]],0,BG$5-1))&lt;&gt;1,
"missing",
IF(COUNTIF(cards[[#This Row],[1]:[25]],OFFSET(cards[[#This Row],[1]],0,BG$5-1))&gt;1,"duplicate","ok")))</f>
        <v/>
      </c>
      <c r="BH28" t="str">
        <f ca="1">IF(OFFSET(cards[[#This Row],[1]],0,BH$5-1)="","",
  IF(COUNTIF(entities[entity_id],
OFFSET(cards[[#This Row],[1]],0,BH$5-1))&lt;&gt;1,
"missing",
IF(COUNTIF(cards[[#This Row],[1]:[25]],OFFSET(cards[[#This Row],[1]],0,BH$5-1))&gt;1,"duplicate","ok")))</f>
        <v/>
      </c>
      <c r="BI28" t="str">
        <f ca="1">IF(OFFSET(cards[[#This Row],[1]],0,BI$5-1)="","",
  IF(COUNTIF(entities[entity_id],
OFFSET(cards[[#This Row],[1]],0,BI$5-1))&lt;&gt;1,
"missing",
IF(COUNTIF(cards[[#This Row],[1]:[25]],OFFSET(cards[[#This Row],[1]],0,BI$5-1))&gt;1,"duplicate","ok")))</f>
        <v/>
      </c>
      <c r="BJ28" t="str">
        <f ca="1">IF(OFFSET(cards[[#This Row],[1]],0,BJ$5-1)="","",
  IF(COUNTIF(entities[entity_id],
OFFSET(cards[[#This Row],[1]],0,BJ$5-1))&lt;&gt;1,
"missing",
IF(COUNTIF(cards[[#This Row],[1]:[25]],OFFSET(cards[[#This Row],[1]],0,BJ$5-1))&gt;1,"duplicate","ok")))</f>
        <v/>
      </c>
      <c r="BK28" t="str">
        <f ca="1">IF(OFFSET(cards[[#This Row],[1]],0,BK$5-1)="","",
  IF(COUNTIF(entities[entity_id],
OFFSET(cards[[#This Row],[1]],0,BK$5-1))&lt;&gt;1,
"missing",
IF(COUNTIF(cards[[#This Row],[1]:[25]],OFFSET(cards[[#This Row],[1]],0,BK$5-1))&gt;1,"duplicate","ok")))</f>
        <v/>
      </c>
      <c r="BL28" t="str">
        <f ca="1">IF(OFFSET(cards[[#This Row],[1]],0,BL$5-1)="","",
  IF(COUNTIF(entities[entity_id],
OFFSET(cards[[#This Row],[1]],0,BL$5-1))&lt;&gt;1,
"missing",
IF(COUNTIF(cards[[#This Row],[1]:[25]],OFFSET(cards[[#This Row],[1]],0,BL$5-1))&gt;1,"duplicate","ok")))</f>
        <v/>
      </c>
      <c r="BM28" t="str">
        <f ca="1">IF(OFFSET(cards[[#This Row],[1]],0,BM$5-1)="","",
  IF(COUNTIF(entities[entity_id],
OFFSET(cards[[#This Row],[1]],0,BM$5-1))&lt;&gt;1,
"missing",
IF(COUNTIF(cards[[#This Row],[1]:[25]],OFFSET(cards[[#This Row],[1]],0,BM$5-1))&gt;1,"duplicate","ok")))</f>
        <v/>
      </c>
      <c r="BN28" t="str">
        <f ca="1">IF(OFFSET(cards[[#This Row],[1]],0,BN$5-1)="","",
  IF(COUNTIF(entities[entity_id],
OFFSET(cards[[#This Row],[1]],0,BN$5-1))&lt;&gt;1,
"missing",
IF(COUNTIF(cards[[#This Row],[1]:[25]],OFFSET(cards[[#This Row],[1]],0,BN$5-1))&gt;1,"duplicate","ok")))</f>
        <v/>
      </c>
      <c r="BO28" s="4" t="str">
        <f>IF(cards[[#This Row],[First space]]-cards[[#This Row],[Entities count]]=1,"ok","Check entitiy names")</f>
        <v>ok</v>
      </c>
      <c r="BP28" s="4" t="str">
        <f ca="1">IF(COUNTIF(cards[[#This Row],[C1]:[C25]],"missing")=0,"ok","some entities missing from Entities tab")</f>
        <v>ok</v>
      </c>
      <c r="BQ28" s="4" t="str">
        <f ca="1">IF(COUNTIF(cards[[#This Row],[C1]:[C25]],"duplicate")=0,"ok","some duplicates")</f>
        <v>ok</v>
      </c>
      <c r="BR28" t="str">
        <f>"group."&amp;cards[[#This Row],[object_id]]</f>
        <v>group.iot_devices</v>
      </c>
    </row>
    <row r="29" spans="2:70" x14ac:dyDescent="0.25">
      <c r="B29">
        <v>22</v>
      </c>
      <c r="C29" t="s">
        <v>589</v>
      </c>
      <c r="D29" t="s">
        <v>346</v>
      </c>
      <c r="H29" t="s">
        <v>141</v>
      </c>
      <c r="I29" t="s">
        <v>143</v>
      </c>
      <c r="J29" t="s">
        <v>142</v>
      </c>
      <c r="AG29">
        <f>ROW(cards[[#This Row],[object_id order]])-ROW(cards[])+1</f>
        <v>22</v>
      </c>
      <c r="AH29">
        <f ca="1">IF(OFFSET(cards[[#This Row],[object_id]],0,1)&lt;&gt;"",1,"")</f>
        <v>1</v>
      </c>
      <c r="AI29" t="str">
        <f ca="1">IF(OFFSET(cards[[#This Row],[object_id]],0,2)&lt;&gt;"",2,"")</f>
        <v/>
      </c>
      <c r="AJ29" t="str">
        <f ca="1">IF(OFFSET(cards[[#This Row],[object_id]],0,3)&lt;&gt;"",3,"")</f>
        <v/>
      </c>
      <c r="AK29" t="str">
        <f ca="1">IF(OFFSET(cards[[#This Row],[object_id]],0,4)&lt;&gt;"",4,"")</f>
        <v/>
      </c>
      <c r="AL29" t="str">
        <f ca="1">CONCATENATE(cards[[#This Row],[A1]],cards[[#This Row],[A2]],cards[[#This Row],[A3]],cards[[#This Row],[A4]])</f>
        <v>1</v>
      </c>
      <c r="AM29">
        <f ca="1">LEN(cards[[#This Row],[Attribute Index]])</f>
        <v>1</v>
      </c>
      <c r="AN29" s="4">
        <f>COUNTA(cards[[#This Row],[1]:[25]])</f>
        <v>3</v>
      </c>
      <c r="AO29" s="4">
        <f>MATCH(TRUE,INDEX(ISBLANK(cards[[#This Row],[1]:[25]]),0,0),0)</f>
        <v>4</v>
      </c>
      <c r="AP29" t="str">
        <f ca="1">IF(OFFSET(cards[[#This Row],[1]],0,AP$5-1)="","",
  IF(COUNTIF(entities[entity_id],
OFFSET(cards[[#This Row],[1]],0,AP$5-1))&lt;&gt;1,
"missing",
IF(COUNTIF(cards[[#This Row],[1]:[25]],OFFSET(cards[[#This Row],[1]],0,AP$5-1))&gt;1,"duplicate","ok")))</f>
        <v>ok</v>
      </c>
      <c r="AQ29" t="str">
        <f ca="1">IF(OFFSET(cards[[#This Row],[1]],0,AQ$5-1)="","",
  IF(COUNTIF(entities[entity_id],
OFFSET(cards[[#This Row],[1]],0,AQ$5-1))&lt;&gt;1,
"missing",
IF(COUNTIF(cards[[#This Row],[1]:[25]],OFFSET(cards[[#This Row],[1]],0,AQ$5-1))&gt;1,"duplicate","ok")))</f>
        <v>ok</v>
      </c>
      <c r="AR29" t="str">
        <f ca="1">IF(OFFSET(cards[[#This Row],[1]],0,AR$5-1)="","",
  IF(COUNTIF(entities[entity_id],
OFFSET(cards[[#This Row],[1]],0,AR$5-1))&lt;&gt;1,
"missing",
IF(COUNTIF(cards[[#This Row],[1]:[25]],OFFSET(cards[[#This Row],[1]],0,AR$5-1))&gt;1,"duplicate","ok")))</f>
        <v>ok</v>
      </c>
      <c r="AS29" t="str">
        <f ca="1">IF(OFFSET(cards[[#This Row],[1]],0,AS$5-1)="","",
  IF(COUNTIF(entities[entity_id],
OFFSET(cards[[#This Row],[1]],0,AS$5-1))&lt;&gt;1,
"missing",
IF(COUNTIF(cards[[#This Row],[1]:[25]],OFFSET(cards[[#This Row],[1]],0,AS$5-1))&gt;1,"duplicate","ok")))</f>
        <v/>
      </c>
      <c r="AT29" t="str">
        <f ca="1">IF(OFFSET(cards[[#This Row],[1]],0,AT$5-1)="","",
  IF(COUNTIF(entities[entity_id],
OFFSET(cards[[#This Row],[1]],0,AT$5-1))&lt;&gt;1,
"missing",
IF(COUNTIF(cards[[#This Row],[1]:[25]],OFFSET(cards[[#This Row],[1]],0,AT$5-1))&gt;1,"duplicate","ok")))</f>
        <v/>
      </c>
      <c r="AU29" t="str">
        <f ca="1">IF(OFFSET(cards[[#This Row],[1]],0,AU$5-1)="","",
  IF(COUNTIF(entities[entity_id],
OFFSET(cards[[#This Row],[1]],0,AU$5-1))&lt;&gt;1,
"missing",
IF(COUNTIF(cards[[#This Row],[1]:[25]],OFFSET(cards[[#This Row],[1]],0,AU$5-1))&gt;1,"duplicate","ok")))</f>
        <v/>
      </c>
      <c r="AV29" t="str">
        <f ca="1">IF(OFFSET(cards[[#This Row],[1]],0,AV$5-1)="","",
  IF(COUNTIF(entities[entity_id],
OFFSET(cards[[#This Row],[1]],0,AV$5-1))&lt;&gt;1,
"missing",
IF(COUNTIF(cards[[#This Row],[1]:[25]],OFFSET(cards[[#This Row],[1]],0,AV$5-1))&gt;1,"duplicate","ok")))</f>
        <v/>
      </c>
      <c r="AW29" t="str">
        <f ca="1">IF(OFFSET(cards[[#This Row],[1]],0,AW$5-1)="","",
  IF(COUNTIF(entities[entity_id],
OFFSET(cards[[#This Row],[1]],0,AW$5-1))&lt;&gt;1,
"missing",
IF(COUNTIF(cards[[#This Row],[1]:[25]],OFFSET(cards[[#This Row],[1]],0,AW$5-1))&gt;1,"duplicate","ok")))</f>
        <v/>
      </c>
      <c r="AX29" t="str">
        <f ca="1">IF(OFFSET(cards[[#This Row],[1]],0,AX$5-1)="","",
  IF(COUNTIF(entities[entity_id],
OFFSET(cards[[#This Row],[1]],0,AX$5-1))&lt;&gt;1,
"missing",
IF(COUNTIF(cards[[#This Row],[1]:[25]],OFFSET(cards[[#This Row],[1]],0,AX$5-1))&gt;1,"duplicate","ok")))</f>
        <v/>
      </c>
      <c r="AY29" t="str">
        <f ca="1">IF(OFFSET(cards[[#This Row],[1]],0,AY$5-1)="","",
  IF(COUNTIF(entities[entity_id],
OFFSET(cards[[#This Row],[1]],0,AY$5-1))&lt;&gt;1,
"missing",
IF(COUNTIF(cards[[#This Row],[1]:[25]],OFFSET(cards[[#This Row],[1]],0,AY$5-1))&gt;1,"duplicate","ok")))</f>
        <v/>
      </c>
      <c r="AZ29" t="str">
        <f ca="1">IF(OFFSET(cards[[#This Row],[1]],0,AZ$5-1)="","",
  IF(COUNTIF(entities[entity_id],
OFFSET(cards[[#This Row],[1]],0,AZ$5-1))&lt;&gt;1,
"missing",
IF(COUNTIF(cards[[#This Row],[1]:[25]],OFFSET(cards[[#This Row],[1]],0,AZ$5-1))&gt;1,"duplicate","ok")))</f>
        <v/>
      </c>
      <c r="BA29" t="str">
        <f ca="1">IF(OFFSET(cards[[#This Row],[1]],0,BA$5-1)="","",
  IF(COUNTIF(entities[entity_id],
OFFSET(cards[[#This Row],[1]],0,BA$5-1))&lt;&gt;1,
"missing",
IF(COUNTIF(cards[[#This Row],[1]:[25]],OFFSET(cards[[#This Row],[1]],0,BA$5-1))&gt;1,"duplicate","ok")))</f>
        <v/>
      </c>
      <c r="BB29" t="str">
        <f ca="1">IF(OFFSET(cards[[#This Row],[1]],0,BB$5-1)="","",
  IF(COUNTIF(entities[entity_id],
OFFSET(cards[[#This Row],[1]],0,BB$5-1))&lt;&gt;1,
"missing",
IF(COUNTIF(cards[[#This Row],[1]:[25]],OFFSET(cards[[#This Row],[1]],0,BB$5-1))&gt;1,"duplicate","ok")))</f>
        <v/>
      </c>
      <c r="BC29" t="str">
        <f ca="1">IF(OFFSET(cards[[#This Row],[1]],0,BC$5-1)="","",
  IF(COUNTIF(entities[entity_id],
OFFSET(cards[[#This Row],[1]],0,BC$5-1))&lt;&gt;1,
"missing",
IF(COUNTIF(cards[[#This Row],[1]:[25]],OFFSET(cards[[#This Row],[1]],0,BC$5-1))&gt;1,"duplicate","ok")))</f>
        <v/>
      </c>
      <c r="BD29" t="str">
        <f ca="1">IF(OFFSET(cards[[#This Row],[1]],0,BD$5-1)="","",
  IF(COUNTIF(entities[entity_id],
OFFSET(cards[[#This Row],[1]],0,BD$5-1))&lt;&gt;1,
"missing",
IF(COUNTIF(cards[[#This Row],[1]:[25]],OFFSET(cards[[#This Row],[1]],0,BD$5-1))&gt;1,"duplicate","ok")))</f>
        <v/>
      </c>
      <c r="BE29" t="str">
        <f ca="1">IF(OFFSET(cards[[#This Row],[1]],0,BE$5-1)="","",
  IF(COUNTIF(entities[entity_id],
OFFSET(cards[[#This Row],[1]],0,BE$5-1))&lt;&gt;1,
"missing",
IF(COUNTIF(cards[[#This Row],[1]:[25]],OFFSET(cards[[#This Row],[1]],0,BE$5-1))&gt;1,"duplicate","ok")))</f>
        <v/>
      </c>
      <c r="BF29" t="str">
        <f ca="1">IF(OFFSET(cards[[#This Row],[1]],0,BF$5-1)="","",
  IF(COUNTIF(entities[entity_id],
OFFSET(cards[[#This Row],[1]],0,BF$5-1))&lt;&gt;1,
"missing",
IF(COUNTIF(cards[[#This Row],[1]:[25]],OFFSET(cards[[#This Row],[1]],0,BF$5-1))&gt;1,"duplicate","ok")))</f>
        <v/>
      </c>
      <c r="BG29" t="str">
        <f ca="1">IF(OFFSET(cards[[#This Row],[1]],0,BG$5-1)="","",
  IF(COUNTIF(entities[entity_id],
OFFSET(cards[[#This Row],[1]],0,BG$5-1))&lt;&gt;1,
"missing",
IF(COUNTIF(cards[[#This Row],[1]:[25]],OFFSET(cards[[#This Row],[1]],0,BG$5-1))&gt;1,"duplicate","ok")))</f>
        <v/>
      </c>
      <c r="BH29" t="str">
        <f ca="1">IF(OFFSET(cards[[#This Row],[1]],0,BH$5-1)="","",
  IF(COUNTIF(entities[entity_id],
OFFSET(cards[[#This Row],[1]],0,BH$5-1))&lt;&gt;1,
"missing",
IF(COUNTIF(cards[[#This Row],[1]:[25]],OFFSET(cards[[#This Row],[1]],0,BH$5-1))&gt;1,"duplicate","ok")))</f>
        <v/>
      </c>
      <c r="BI29" t="str">
        <f ca="1">IF(OFFSET(cards[[#This Row],[1]],0,BI$5-1)="","",
  IF(COUNTIF(entities[entity_id],
OFFSET(cards[[#This Row],[1]],0,BI$5-1))&lt;&gt;1,
"missing",
IF(COUNTIF(cards[[#This Row],[1]:[25]],OFFSET(cards[[#This Row],[1]],0,BI$5-1))&gt;1,"duplicate","ok")))</f>
        <v/>
      </c>
      <c r="BJ29" t="str">
        <f ca="1">IF(OFFSET(cards[[#This Row],[1]],0,BJ$5-1)="","",
  IF(COUNTIF(entities[entity_id],
OFFSET(cards[[#This Row],[1]],0,BJ$5-1))&lt;&gt;1,
"missing",
IF(COUNTIF(cards[[#This Row],[1]:[25]],OFFSET(cards[[#This Row],[1]],0,BJ$5-1))&gt;1,"duplicate","ok")))</f>
        <v/>
      </c>
      <c r="BK29" t="str">
        <f ca="1">IF(OFFSET(cards[[#This Row],[1]],0,BK$5-1)="","",
  IF(COUNTIF(entities[entity_id],
OFFSET(cards[[#This Row],[1]],0,BK$5-1))&lt;&gt;1,
"missing",
IF(COUNTIF(cards[[#This Row],[1]:[25]],OFFSET(cards[[#This Row],[1]],0,BK$5-1))&gt;1,"duplicate","ok")))</f>
        <v/>
      </c>
      <c r="BL29" t="str">
        <f ca="1">IF(OFFSET(cards[[#This Row],[1]],0,BL$5-1)="","",
  IF(COUNTIF(entities[entity_id],
OFFSET(cards[[#This Row],[1]],0,BL$5-1))&lt;&gt;1,
"missing",
IF(COUNTIF(cards[[#This Row],[1]:[25]],OFFSET(cards[[#This Row],[1]],0,BL$5-1))&gt;1,"duplicate","ok")))</f>
        <v/>
      </c>
      <c r="BM29" t="str">
        <f ca="1">IF(OFFSET(cards[[#This Row],[1]],0,BM$5-1)="","",
  IF(COUNTIF(entities[entity_id],
OFFSET(cards[[#This Row],[1]],0,BM$5-1))&lt;&gt;1,
"missing",
IF(COUNTIF(cards[[#This Row],[1]:[25]],OFFSET(cards[[#This Row],[1]],0,BM$5-1))&gt;1,"duplicate","ok")))</f>
        <v/>
      </c>
      <c r="BN29" t="str">
        <f ca="1">IF(OFFSET(cards[[#This Row],[1]],0,BN$5-1)="","",
  IF(COUNTIF(entities[entity_id],
OFFSET(cards[[#This Row],[1]],0,BN$5-1))&lt;&gt;1,
"missing",
IF(COUNTIF(cards[[#This Row],[1]:[25]],OFFSET(cards[[#This Row],[1]],0,BN$5-1))&gt;1,"duplicate","ok")))</f>
        <v/>
      </c>
      <c r="BO29" s="4" t="str">
        <f>IF(cards[[#This Row],[First space]]-cards[[#This Row],[Entities count]]=1,"ok","Check entitiy names")</f>
        <v>ok</v>
      </c>
      <c r="BP29" s="4" t="str">
        <f ca="1">IF(COUNTIF(cards[[#This Row],[C1]:[C25]],"missing")=0,"ok","some entities missing from Entities tab")</f>
        <v>ok</v>
      </c>
      <c r="BQ29" s="4" t="str">
        <f ca="1">IF(COUNTIF(cards[[#This Row],[C1]:[C25]],"duplicate")=0,"ok","some duplicates")</f>
        <v>ok</v>
      </c>
      <c r="BR29" t="str">
        <f>"group."&amp;cards[[#This Row],[object_id]]</f>
        <v>group.network</v>
      </c>
    </row>
    <row r="30" spans="2:70" x14ac:dyDescent="0.25">
      <c r="B30">
        <v>23</v>
      </c>
      <c r="C30" t="s">
        <v>593</v>
      </c>
      <c r="D30" t="s">
        <v>659</v>
      </c>
      <c r="H30" t="s">
        <v>118</v>
      </c>
      <c r="I30" t="s">
        <v>119</v>
      </c>
      <c r="J30" t="s">
        <v>140</v>
      </c>
      <c r="K30" t="s">
        <v>138</v>
      </c>
      <c r="L30" t="s">
        <v>139</v>
      </c>
      <c r="AG30">
        <f>ROW(cards[[#This Row],[object_id order]])-ROW(cards[])+1</f>
        <v>23</v>
      </c>
      <c r="AH30">
        <f ca="1">IF(OFFSET(cards[[#This Row],[object_id]],0,1)&lt;&gt;"",1,"")</f>
        <v>1</v>
      </c>
      <c r="AI30" t="str">
        <f ca="1">IF(OFFSET(cards[[#This Row],[object_id]],0,2)&lt;&gt;"",2,"")</f>
        <v/>
      </c>
      <c r="AJ30" t="str">
        <f ca="1">IF(OFFSET(cards[[#This Row],[object_id]],0,3)&lt;&gt;"",3,"")</f>
        <v/>
      </c>
      <c r="AK30" t="str">
        <f ca="1">IF(OFFSET(cards[[#This Row],[object_id]],0,4)&lt;&gt;"",4,"")</f>
        <v/>
      </c>
      <c r="AL30" t="str">
        <f ca="1">CONCATENATE(cards[[#This Row],[A1]],cards[[#This Row],[A2]],cards[[#This Row],[A3]],cards[[#This Row],[A4]])</f>
        <v>1</v>
      </c>
      <c r="AM30">
        <f ca="1">LEN(cards[[#This Row],[Attribute Index]])</f>
        <v>1</v>
      </c>
      <c r="AN30" s="4">
        <f>COUNTA(cards[[#This Row],[1]:[25]])</f>
        <v>5</v>
      </c>
      <c r="AO30" s="4">
        <f>MATCH(TRUE,INDEX(ISBLANK(cards[[#This Row],[1]:[25]]),0,0),0)</f>
        <v>6</v>
      </c>
      <c r="AP30" t="str">
        <f ca="1">IF(OFFSET(cards[[#This Row],[1]],0,AP$5-1)="","",
  IF(COUNTIF(entities[entity_id],
OFFSET(cards[[#This Row],[1]],0,AP$5-1))&lt;&gt;1,
"missing",
IF(COUNTIF(cards[[#This Row],[1]:[25]],OFFSET(cards[[#This Row],[1]],0,AP$5-1))&gt;1,"duplicate","ok")))</f>
        <v>ok</v>
      </c>
      <c r="AQ30" t="str">
        <f ca="1">IF(OFFSET(cards[[#This Row],[1]],0,AQ$5-1)="","",
  IF(COUNTIF(entities[entity_id],
OFFSET(cards[[#This Row],[1]],0,AQ$5-1))&lt;&gt;1,
"missing",
IF(COUNTIF(cards[[#This Row],[1]:[25]],OFFSET(cards[[#This Row],[1]],0,AQ$5-1))&gt;1,"duplicate","ok")))</f>
        <v>ok</v>
      </c>
      <c r="AR30" t="str">
        <f ca="1">IF(OFFSET(cards[[#This Row],[1]],0,AR$5-1)="","",
  IF(COUNTIF(entities[entity_id],
OFFSET(cards[[#This Row],[1]],0,AR$5-1))&lt;&gt;1,
"missing",
IF(COUNTIF(cards[[#This Row],[1]:[25]],OFFSET(cards[[#This Row],[1]],0,AR$5-1))&gt;1,"duplicate","ok")))</f>
        <v>ok</v>
      </c>
      <c r="AS30" t="str">
        <f ca="1">IF(OFFSET(cards[[#This Row],[1]],0,AS$5-1)="","",
  IF(COUNTIF(entities[entity_id],
OFFSET(cards[[#This Row],[1]],0,AS$5-1))&lt;&gt;1,
"missing",
IF(COUNTIF(cards[[#This Row],[1]:[25]],OFFSET(cards[[#This Row],[1]],0,AS$5-1))&gt;1,"duplicate","ok")))</f>
        <v>ok</v>
      </c>
      <c r="AT30" t="str">
        <f ca="1">IF(OFFSET(cards[[#This Row],[1]],0,AT$5-1)="","",
  IF(COUNTIF(entities[entity_id],
OFFSET(cards[[#This Row],[1]],0,AT$5-1))&lt;&gt;1,
"missing",
IF(COUNTIF(cards[[#This Row],[1]:[25]],OFFSET(cards[[#This Row],[1]],0,AT$5-1))&gt;1,"duplicate","ok")))</f>
        <v>ok</v>
      </c>
      <c r="AU30" t="str">
        <f ca="1">IF(OFFSET(cards[[#This Row],[1]],0,AU$5-1)="","",
  IF(COUNTIF(entities[entity_id],
OFFSET(cards[[#This Row],[1]],0,AU$5-1))&lt;&gt;1,
"missing",
IF(COUNTIF(cards[[#This Row],[1]:[25]],OFFSET(cards[[#This Row],[1]],0,AU$5-1))&gt;1,"duplicate","ok")))</f>
        <v/>
      </c>
      <c r="AV30" t="str">
        <f ca="1">IF(OFFSET(cards[[#This Row],[1]],0,AV$5-1)="","",
  IF(COUNTIF(entities[entity_id],
OFFSET(cards[[#This Row],[1]],0,AV$5-1))&lt;&gt;1,
"missing",
IF(COUNTIF(cards[[#This Row],[1]:[25]],OFFSET(cards[[#This Row],[1]],0,AV$5-1))&gt;1,"duplicate","ok")))</f>
        <v/>
      </c>
      <c r="AW30" t="str">
        <f ca="1">IF(OFFSET(cards[[#This Row],[1]],0,AW$5-1)="","",
  IF(COUNTIF(entities[entity_id],
OFFSET(cards[[#This Row],[1]],0,AW$5-1))&lt;&gt;1,
"missing",
IF(COUNTIF(cards[[#This Row],[1]:[25]],OFFSET(cards[[#This Row],[1]],0,AW$5-1))&gt;1,"duplicate","ok")))</f>
        <v/>
      </c>
      <c r="AX30" t="str">
        <f ca="1">IF(OFFSET(cards[[#This Row],[1]],0,AX$5-1)="","",
  IF(COUNTIF(entities[entity_id],
OFFSET(cards[[#This Row],[1]],0,AX$5-1))&lt;&gt;1,
"missing",
IF(COUNTIF(cards[[#This Row],[1]:[25]],OFFSET(cards[[#This Row],[1]],0,AX$5-1))&gt;1,"duplicate","ok")))</f>
        <v/>
      </c>
      <c r="AY30" t="str">
        <f ca="1">IF(OFFSET(cards[[#This Row],[1]],0,AY$5-1)="","",
  IF(COUNTIF(entities[entity_id],
OFFSET(cards[[#This Row],[1]],0,AY$5-1))&lt;&gt;1,
"missing",
IF(COUNTIF(cards[[#This Row],[1]:[25]],OFFSET(cards[[#This Row],[1]],0,AY$5-1))&gt;1,"duplicate","ok")))</f>
        <v/>
      </c>
      <c r="AZ30" t="str">
        <f ca="1">IF(OFFSET(cards[[#This Row],[1]],0,AZ$5-1)="","",
  IF(COUNTIF(entities[entity_id],
OFFSET(cards[[#This Row],[1]],0,AZ$5-1))&lt;&gt;1,
"missing",
IF(COUNTIF(cards[[#This Row],[1]:[25]],OFFSET(cards[[#This Row],[1]],0,AZ$5-1))&gt;1,"duplicate","ok")))</f>
        <v/>
      </c>
      <c r="BA30" t="str">
        <f ca="1">IF(OFFSET(cards[[#This Row],[1]],0,BA$5-1)="","",
  IF(COUNTIF(entities[entity_id],
OFFSET(cards[[#This Row],[1]],0,BA$5-1))&lt;&gt;1,
"missing",
IF(COUNTIF(cards[[#This Row],[1]:[25]],OFFSET(cards[[#This Row],[1]],0,BA$5-1))&gt;1,"duplicate","ok")))</f>
        <v/>
      </c>
      <c r="BB30" t="str">
        <f ca="1">IF(OFFSET(cards[[#This Row],[1]],0,BB$5-1)="","",
  IF(COUNTIF(entities[entity_id],
OFFSET(cards[[#This Row],[1]],0,BB$5-1))&lt;&gt;1,
"missing",
IF(COUNTIF(cards[[#This Row],[1]:[25]],OFFSET(cards[[#This Row],[1]],0,BB$5-1))&gt;1,"duplicate","ok")))</f>
        <v/>
      </c>
      <c r="BC30" t="str">
        <f ca="1">IF(OFFSET(cards[[#This Row],[1]],0,BC$5-1)="","",
  IF(COUNTIF(entities[entity_id],
OFFSET(cards[[#This Row],[1]],0,BC$5-1))&lt;&gt;1,
"missing",
IF(COUNTIF(cards[[#This Row],[1]:[25]],OFFSET(cards[[#This Row],[1]],0,BC$5-1))&gt;1,"duplicate","ok")))</f>
        <v/>
      </c>
      <c r="BD30" t="str">
        <f ca="1">IF(OFFSET(cards[[#This Row],[1]],0,BD$5-1)="","",
  IF(COUNTIF(entities[entity_id],
OFFSET(cards[[#This Row],[1]],0,BD$5-1))&lt;&gt;1,
"missing",
IF(COUNTIF(cards[[#This Row],[1]:[25]],OFFSET(cards[[#This Row],[1]],0,BD$5-1))&gt;1,"duplicate","ok")))</f>
        <v/>
      </c>
      <c r="BE30" t="str">
        <f ca="1">IF(OFFSET(cards[[#This Row],[1]],0,BE$5-1)="","",
  IF(COUNTIF(entities[entity_id],
OFFSET(cards[[#This Row],[1]],0,BE$5-1))&lt;&gt;1,
"missing",
IF(COUNTIF(cards[[#This Row],[1]:[25]],OFFSET(cards[[#This Row],[1]],0,BE$5-1))&gt;1,"duplicate","ok")))</f>
        <v/>
      </c>
      <c r="BF30" t="str">
        <f ca="1">IF(OFFSET(cards[[#This Row],[1]],0,BF$5-1)="","",
  IF(COUNTIF(entities[entity_id],
OFFSET(cards[[#This Row],[1]],0,BF$5-1))&lt;&gt;1,
"missing",
IF(COUNTIF(cards[[#This Row],[1]:[25]],OFFSET(cards[[#This Row],[1]],0,BF$5-1))&gt;1,"duplicate","ok")))</f>
        <v/>
      </c>
      <c r="BG30" t="str">
        <f ca="1">IF(OFFSET(cards[[#This Row],[1]],0,BG$5-1)="","",
  IF(COUNTIF(entities[entity_id],
OFFSET(cards[[#This Row],[1]],0,BG$5-1))&lt;&gt;1,
"missing",
IF(COUNTIF(cards[[#This Row],[1]:[25]],OFFSET(cards[[#This Row],[1]],0,BG$5-1))&gt;1,"duplicate","ok")))</f>
        <v/>
      </c>
      <c r="BH30" t="str">
        <f ca="1">IF(OFFSET(cards[[#This Row],[1]],0,BH$5-1)="","",
  IF(COUNTIF(entities[entity_id],
OFFSET(cards[[#This Row],[1]],0,BH$5-1))&lt;&gt;1,
"missing",
IF(COUNTIF(cards[[#This Row],[1]:[25]],OFFSET(cards[[#This Row],[1]],0,BH$5-1))&gt;1,"duplicate","ok")))</f>
        <v/>
      </c>
      <c r="BI30" t="str">
        <f ca="1">IF(OFFSET(cards[[#This Row],[1]],0,BI$5-1)="","",
  IF(COUNTIF(entities[entity_id],
OFFSET(cards[[#This Row],[1]],0,BI$5-1))&lt;&gt;1,
"missing",
IF(COUNTIF(cards[[#This Row],[1]:[25]],OFFSET(cards[[#This Row],[1]],0,BI$5-1))&gt;1,"duplicate","ok")))</f>
        <v/>
      </c>
      <c r="BJ30" t="str">
        <f ca="1">IF(OFFSET(cards[[#This Row],[1]],0,BJ$5-1)="","",
  IF(COUNTIF(entities[entity_id],
OFFSET(cards[[#This Row],[1]],0,BJ$5-1))&lt;&gt;1,
"missing",
IF(COUNTIF(cards[[#This Row],[1]:[25]],OFFSET(cards[[#This Row],[1]],0,BJ$5-1))&gt;1,"duplicate","ok")))</f>
        <v/>
      </c>
      <c r="BK30" t="str">
        <f ca="1">IF(OFFSET(cards[[#This Row],[1]],0,BK$5-1)="","",
  IF(COUNTIF(entities[entity_id],
OFFSET(cards[[#This Row],[1]],0,BK$5-1))&lt;&gt;1,
"missing",
IF(COUNTIF(cards[[#This Row],[1]:[25]],OFFSET(cards[[#This Row],[1]],0,BK$5-1))&gt;1,"duplicate","ok")))</f>
        <v/>
      </c>
      <c r="BL30" t="str">
        <f ca="1">IF(OFFSET(cards[[#This Row],[1]],0,BL$5-1)="","",
  IF(COUNTIF(entities[entity_id],
OFFSET(cards[[#This Row],[1]],0,BL$5-1))&lt;&gt;1,
"missing",
IF(COUNTIF(cards[[#This Row],[1]:[25]],OFFSET(cards[[#This Row],[1]],0,BL$5-1))&gt;1,"duplicate","ok")))</f>
        <v/>
      </c>
      <c r="BM30" t="str">
        <f ca="1">IF(OFFSET(cards[[#This Row],[1]],0,BM$5-1)="","",
  IF(COUNTIF(entities[entity_id],
OFFSET(cards[[#This Row],[1]],0,BM$5-1))&lt;&gt;1,
"missing",
IF(COUNTIF(cards[[#This Row],[1]:[25]],OFFSET(cards[[#This Row],[1]],0,BM$5-1))&gt;1,"duplicate","ok")))</f>
        <v/>
      </c>
      <c r="BN30" t="str">
        <f ca="1">IF(OFFSET(cards[[#This Row],[1]],0,BN$5-1)="","",
  IF(COUNTIF(entities[entity_id],
OFFSET(cards[[#This Row],[1]],0,BN$5-1))&lt;&gt;1,
"missing",
IF(COUNTIF(cards[[#This Row],[1]:[25]],OFFSET(cards[[#This Row],[1]],0,BN$5-1))&gt;1,"duplicate","ok")))</f>
        <v/>
      </c>
      <c r="BO30" s="4" t="str">
        <f>IF(cards[[#This Row],[First space]]-cards[[#This Row],[Entities count]]=1,"ok","Check entitiy names")</f>
        <v>ok</v>
      </c>
      <c r="BP30" s="4" t="str">
        <f ca="1">IF(COUNTIF(cards[[#This Row],[C1]:[C25]],"missing")=0,"ok","some entities missing from Entities tab")</f>
        <v>ok</v>
      </c>
      <c r="BQ30" s="4" t="str">
        <f ca="1">IF(COUNTIF(cards[[#This Row],[C1]:[C25]],"duplicate")=0,"ok","some duplicates")</f>
        <v>ok</v>
      </c>
      <c r="BR30" t="str">
        <f>"group."&amp;cards[[#This Row],[object_id]]</f>
        <v>group.host_device</v>
      </c>
    </row>
    <row r="31" spans="2:70" x14ac:dyDescent="0.25">
      <c r="B31">
        <v>24</v>
      </c>
      <c r="C31" t="s">
        <v>653</v>
      </c>
      <c r="D31" t="s">
        <v>652</v>
      </c>
      <c r="H31" t="s">
        <v>54</v>
      </c>
      <c r="AG31">
        <f>ROW(cards[[#This Row],[object_id order]])-ROW(cards[])+1</f>
        <v>24</v>
      </c>
      <c r="AH31">
        <f ca="1">IF(OFFSET(cards[[#This Row],[object_id]],0,1)&lt;&gt;"",1,"")</f>
        <v>1</v>
      </c>
      <c r="AI31" t="str">
        <f ca="1">IF(OFFSET(cards[[#This Row],[object_id]],0,2)&lt;&gt;"",2,"")</f>
        <v/>
      </c>
      <c r="AJ31" t="str">
        <f ca="1">IF(OFFSET(cards[[#This Row],[object_id]],0,3)&lt;&gt;"",3,"")</f>
        <v/>
      </c>
      <c r="AK31" t="str">
        <f ca="1">IF(OFFSET(cards[[#This Row],[object_id]],0,4)&lt;&gt;"",4,"")</f>
        <v/>
      </c>
      <c r="AL31" t="str">
        <f ca="1">CONCATENATE(cards[[#This Row],[A1]],cards[[#This Row],[A2]],cards[[#This Row],[A3]],cards[[#This Row],[A4]])</f>
        <v>1</v>
      </c>
      <c r="AM31">
        <f ca="1">LEN(cards[[#This Row],[Attribute Index]])</f>
        <v>1</v>
      </c>
      <c r="AN31" s="4">
        <f>COUNTA(cards[[#This Row],[1]:[25]])</f>
        <v>1</v>
      </c>
      <c r="AO31" s="4">
        <f>MATCH(TRUE,INDEX(ISBLANK(cards[[#This Row],[1]:[25]]),0,0),0)</f>
        <v>2</v>
      </c>
      <c r="AP31" t="str">
        <f ca="1">IF(OFFSET(cards[[#This Row],[1]],0,AP$5-1)="","",
  IF(COUNTIF(entities[entity_id],
OFFSET(cards[[#This Row],[1]],0,AP$5-1))&lt;&gt;1,
"missing",
IF(COUNTIF(cards[[#This Row],[1]:[25]],OFFSET(cards[[#This Row],[1]],0,AP$5-1))&gt;1,"duplicate","ok")))</f>
        <v>ok</v>
      </c>
      <c r="AQ31" t="str">
        <f ca="1">IF(OFFSET(cards[[#This Row],[1]],0,AQ$5-1)="","",
  IF(COUNTIF(entities[entity_id],
OFFSET(cards[[#This Row],[1]],0,AQ$5-1))&lt;&gt;1,
"missing",
IF(COUNTIF(cards[[#This Row],[1]:[25]],OFFSET(cards[[#This Row],[1]],0,AQ$5-1))&gt;1,"duplicate","ok")))</f>
        <v/>
      </c>
      <c r="AR31" t="str">
        <f ca="1">IF(OFFSET(cards[[#This Row],[1]],0,AR$5-1)="","",
  IF(COUNTIF(entities[entity_id],
OFFSET(cards[[#This Row],[1]],0,AR$5-1))&lt;&gt;1,
"missing",
IF(COUNTIF(cards[[#This Row],[1]:[25]],OFFSET(cards[[#This Row],[1]],0,AR$5-1))&gt;1,"duplicate","ok")))</f>
        <v/>
      </c>
      <c r="AS31" t="str">
        <f ca="1">IF(OFFSET(cards[[#This Row],[1]],0,AS$5-1)="","",
  IF(COUNTIF(entities[entity_id],
OFFSET(cards[[#This Row],[1]],0,AS$5-1))&lt;&gt;1,
"missing",
IF(COUNTIF(cards[[#This Row],[1]:[25]],OFFSET(cards[[#This Row],[1]],0,AS$5-1))&gt;1,"duplicate","ok")))</f>
        <v/>
      </c>
      <c r="AT31" t="str">
        <f ca="1">IF(OFFSET(cards[[#This Row],[1]],0,AT$5-1)="","",
  IF(COUNTIF(entities[entity_id],
OFFSET(cards[[#This Row],[1]],0,AT$5-1))&lt;&gt;1,
"missing",
IF(COUNTIF(cards[[#This Row],[1]:[25]],OFFSET(cards[[#This Row],[1]],0,AT$5-1))&gt;1,"duplicate","ok")))</f>
        <v/>
      </c>
      <c r="AU31" t="str">
        <f ca="1">IF(OFFSET(cards[[#This Row],[1]],0,AU$5-1)="","",
  IF(COUNTIF(entities[entity_id],
OFFSET(cards[[#This Row],[1]],0,AU$5-1))&lt;&gt;1,
"missing",
IF(COUNTIF(cards[[#This Row],[1]:[25]],OFFSET(cards[[#This Row],[1]],0,AU$5-1))&gt;1,"duplicate","ok")))</f>
        <v/>
      </c>
      <c r="AV31" t="str">
        <f ca="1">IF(OFFSET(cards[[#This Row],[1]],0,AV$5-1)="","",
  IF(COUNTIF(entities[entity_id],
OFFSET(cards[[#This Row],[1]],0,AV$5-1))&lt;&gt;1,
"missing",
IF(COUNTIF(cards[[#This Row],[1]:[25]],OFFSET(cards[[#This Row],[1]],0,AV$5-1))&gt;1,"duplicate","ok")))</f>
        <v/>
      </c>
      <c r="AW31" t="str">
        <f ca="1">IF(OFFSET(cards[[#This Row],[1]],0,AW$5-1)="","",
  IF(COUNTIF(entities[entity_id],
OFFSET(cards[[#This Row],[1]],0,AW$5-1))&lt;&gt;1,
"missing",
IF(COUNTIF(cards[[#This Row],[1]:[25]],OFFSET(cards[[#This Row],[1]],0,AW$5-1))&gt;1,"duplicate","ok")))</f>
        <v/>
      </c>
      <c r="AX31" t="str">
        <f ca="1">IF(OFFSET(cards[[#This Row],[1]],0,AX$5-1)="","",
  IF(COUNTIF(entities[entity_id],
OFFSET(cards[[#This Row],[1]],0,AX$5-1))&lt;&gt;1,
"missing",
IF(COUNTIF(cards[[#This Row],[1]:[25]],OFFSET(cards[[#This Row],[1]],0,AX$5-1))&gt;1,"duplicate","ok")))</f>
        <v/>
      </c>
      <c r="AY31" t="str">
        <f ca="1">IF(OFFSET(cards[[#This Row],[1]],0,AY$5-1)="","",
  IF(COUNTIF(entities[entity_id],
OFFSET(cards[[#This Row],[1]],0,AY$5-1))&lt;&gt;1,
"missing",
IF(COUNTIF(cards[[#This Row],[1]:[25]],OFFSET(cards[[#This Row],[1]],0,AY$5-1))&gt;1,"duplicate","ok")))</f>
        <v/>
      </c>
      <c r="AZ31" t="str">
        <f ca="1">IF(OFFSET(cards[[#This Row],[1]],0,AZ$5-1)="","",
  IF(COUNTIF(entities[entity_id],
OFFSET(cards[[#This Row],[1]],0,AZ$5-1))&lt;&gt;1,
"missing",
IF(COUNTIF(cards[[#This Row],[1]:[25]],OFFSET(cards[[#This Row],[1]],0,AZ$5-1))&gt;1,"duplicate","ok")))</f>
        <v/>
      </c>
      <c r="BA31" t="str">
        <f ca="1">IF(OFFSET(cards[[#This Row],[1]],0,BA$5-1)="","",
  IF(COUNTIF(entities[entity_id],
OFFSET(cards[[#This Row],[1]],0,BA$5-1))&lt;&gt;1,
"missing",
IF(COUNTIF(cards[[#This Row],[1]:[25]],OFFSET(cards[[#This Row],[1]],0,BA$5-1))&gt;1,"duplicate","ok")))</f>
        <v/>
      </c>
      <c r="BB31" t="str">
        <f ca="1">IF(OFFSET(cards[[#This Row],[1]],0,BB$5-1)="","",
  IF(COUNTIF(entities[entity_id],
OFFSET(cards[[#This Row],[1]],0,BB$5-1))&lt;&gt;1,
"missing",
IF(COUNTIF(cards[[#This Row],[1]:[25]],OFFSET(cards[[#This Row],[1]],0,BB$5-1))&gt;1,"duplicate","ok")))</f>
        <v/>
      </c>
      <c r="BC31" t="str">
        <f ca="1">IF(OFFSET(cards[[#This Row],[1]],0,BC$5-1)="","",
  IF(COUNTIF(entities[entity_id],
OFFSET(cards[[#This Row],[1]],0,BC$5-1))&lt;&gt;1,
"missing",
IF(COUNTIF(cards[[#This Row],[1]:[25]],OFFSET(cards[[#This Row],[1]],0,BC$5-1))&gt;1,"duplicate","ok")))</f>
        <v/>
      </c>
      <c r="BD31" t="str">
        <f ca="1">IF(OFFSET(cards[[#This Row],[1]],0,BD$5-1)="","",
  IF(COUNTIF(entities[entity_id],
OFFSET(cards[[#This Row],[1]],0,BD$5-1))&lt;&gt;1,
"missing",
IF(COUNTIF(cards[[#This Row],[1]:[25]],OFFSET(cards[[#This Row],[1]],0,BD$5-1))&gt;1,"duplicate","ok")))</f>
        <v/>
      </c>
      <c r="BE31" t="str">
        <f ca="1">IF(OFFSET(cards[[#This Row],[1]],0,BE$5-1)="","",
  IF(COUNTIF(entities[entity_id],
OFFSET(cards[[#This Row],[1]],0,BE$5-1))&lt;&gt;1,
"missing",
IF(COUNTIF(cards[[#This Row],[1]:[25]],OFFSET(cards[[#This Row],[1]],0,BE$5-1))&gt;1,"duplicate","ok")))</f>
        <v/>
      </c>
      <c r="BF31" t="str">
        <f ca="1">IF(OFFSET(cards[[#This Row],[1]],0,BF$5-1)="","",
  IF(COUNTIF(entities[entity_id],
OFFSET(cards[[#This Row],[1]],0,BF$5-1))&lt;&gt;1,
"missing",
IF(COUNTIF(cards[[#This Row],[1]:[25]],OFFSET(cards[[#This Row],[1]],0,BF$5-1))&gt;1,"duplicate","ok")))</f>
        <v/>
      </c>
      <c r="BG31" t="str">
        <f ca="1">IF(OFFSET(cards[[#This Row],[1]],0,BG$5-1)="","",
  IF(COUNTIF(entities[entity_id],
OFFSET(cards[[#This Row],[1]],0,BG$5-1))&lt;&gt;1,
"missing",
IF(COUNTIF(cards[[#This Row],[1]:[25]],OFFSET(cards[[#This Row],[1]],0,BG$5-1))&gt;1,"duplicate","ok")))</f>
        <v/>
      </c>
      <c r="BH31" t="str">
        <f ca="1">IF(OFFSET(cards[[#This Row],[1]],0,BH$5-1)="","",
  IF(COUNTIF(entities[entity_id],
OFFSET(cards[[#This Row],[1]],0,BH$5-1))&lt;&gt;1,
"missing",
IF(COUNTIF(cards[[#This Row],[1]:[25]],OFFSET(cards[[#This Row],[1]],0,BH$5-1))&gt;1,"duplicate","ok")))</f>
        <v/>
      </c>
      <c r="BI31" t="str">
        <f ca="1">IF(OFFSET(cards[[#This Row],[1]],0,BI$5-1)="","",
  IF(COUNTIF(entities[entity_id],
OFFSET(cards[[#This Row],[1]],0,BI$5-1))&lt;&gt;1,
"missing",
IF(COUNTIF(cards[[#This Row],[1]:[25]],OFFSET(cards[[#This Row],[1]],0,BI$5-1))&gt;1,"duplicate","ok")))</f>
        <v/>
      </c>
      <c r="BJ31" t="str">
        <f ca="1">IF(OFFSET(cards[[#This Row],[1]],0,BJ$5-1)="","",
  IF(COUNTIF(entities[entity_id],
OFFSET(cards[[#This Row],[1]],0,BJ$5-1))&lt;&gt;1,
"missing",
IF(COUNTIF(cards[[#This Row],[1]:[25]],OFFSET(cards[[#This Row],[1]],0,BJ$5-1))&gt;1,"duplicate","ok")))</f>
        <v/>
      </c>
      <c r="BK31" t="str">
        <f ca="1">IF(OFFSET(cards[[#This Row],[1]],0,BK$5-1)="","",
  IF(COUNTIF(entities[entity_id],
OFFSET(cards[[#This Row],[1]],0,BK$5-1))&lt;&gt;1,
"missing",
IF(COUNTIF(cards[[#This Row],[1]:[25]],OFFSET(cards[[#This Row],[1]],0,BK$5-1))&gt;1,"duplicate","ok")))</f>
        <v/>
      </c>
      <c r="BL31" t="str">
        <f ca="1">IF(OFFSET(cards[[#This Row],[1]],0,BL$5-1)="","",
  IF(COUNTIF(entities[entity_id],
OFFSET(cards[[#This Row],[1]],0,BL$5-1))&lt;&gt;1,
"missing",
IF(COUNTIF(cards[[#This Row],[1]:[25]],OFFSET(cards[[#This Row],[1]],0,BL$5-1))&gt;1,"duplicate","ok")))</f>
        <v/>
      </c>
      <c r="BM31" t="str">
        <f ca="1">IF(OFFSET(cards[[#This Row],[1]],0,BM$5-1)="","",
  IF(COUNTIF(entities[entity_id],
OFFSET(cards[[#This Row],[1]],0,BM$5-1))&lt;&gt;1,
"missing",
IF(COUNTIF(cards[[#This Row],[1]:[25]],OFFSET(cards[[#This Row],[1]],0,BM$5-1))&gt;1,"duplicate","ok")))</f>
        <v/>
      </c>
      <c r="BN31" t="str">
        <f ca="1">IF(OFFSET(cards[[#This Row],[1]],0,BN$5-1)="","",
  IF(COUNTIF(entities[entity_id],
OFFSET(cards[[#This Row],[1]],0,BN$5-1))&lt;&gt;1,
"missing",
IF(COUNTIF(cards[[#This Row],[1]:[25]],OFFSET(cards[[#This Row],[1]],0,BN$5-1))&gt;1,"duplicate","ok")))</f>
        <v/>
      </c>
      <c r="BO31" s="4" t="str">
        <f>IF(cards[[#This Row],[First space]]-cards[[#This Row],[Entities count]]=1,"ok","Check entitiy names")</f>
        <v>ok</v>
      </c>
      <c r="BP31" s="4" t="str">
        <f ca="1">IF(COUNTIF(cards[[#This Row],[C1]:[C25]],"missing")=0,"ok","some entities missing from Entities tab")</f>
        <v>ok</v>
      </c>
      <c r="BQ31" s="4" t="str">
        <f ca="1">IF(COUNTIF(cards[[#This Row],[C1]:[C25]],"duplicate")=0,"ok","some duplicates")</f>
        <v>ok</v>
      </c>
      <c r="BR31" t="str">
        <f>"group."&amp;cards[[#This Row],[object_id]]</f>
        <v>group.misc_devices</v>
      </c>
    </row>
    <row r="32" spans="2:70" x14ac:dyDescent="0.25">
      <c r="B32">
        <v>25</v>
      </c>
      <c r="C32" t="s">
        <v>640</v>
      </c>
      <c r="E32" t="s">
        <v>833</v>
      </c>
      <c r="H32" t="s">
        <v>711</v>
      </c>
      <c r="I32" t="s">
        <v>83</v>
      </c>
      <c r="J32" t="s">
        <v>67</v>
      </c>
      <c r="K32" t="s">
        <v>96</v>
      </c>
      <c r="L32" t="s">
        <v>683</v>
      </c>
      <c r="AG32" s="4">
        <f>ROW(cards[[#This Row],[object_id order]])-ROW(cards[])+1</f>
        <v>25</v>
      </c>
      <c r="AH32" s="4" t="str">
        <f ca="1">IF(OFFSET(cards[[#This Row],[object_id]],0,1)&lt;&gt;"",1,"")</f>
        <v/>
      </c>
      <c r="AI32" s="4">
        <f ca="1">IF(OFFSET(cards[[#This Row],[object_id]],0,2)&lt;&gt;"",2,"")</f>
        <v>2</v>
      </c>
      <c r="AJ32" s="4" t="str">
        <f ca="1">IF(OFFSET(cards[[#This Row],[object_id]],0,3)&lt;&gt;"",3,"")</f>
        <v/>
      </c>
      <c r="AK32" s="4" t="str">
        <f ca="1">IF(OFFSET(cards[[#This Row],[object_id]],0,4)&lt;&gt;"",4,"")</f>
        <v/>
      </c>
      <c r="AL32" s="4" t="str">
        <f ca="1">CONCATENATE(cards[[#This Row],[A1]],cards[[#This Row],[A2]],cards[[#This Row],[A3]],cards[[#This Row],[A4]])</f>
        <v>2</v>
      </c>
      <c r="AM32" s="4">
        <f ca="1">LEN(cards[[#This Row],[Attribute Index]])</f>
        <v>1</v>
      </c>
      <c r="AN32" s="4">
        <f>COUNTA(cards[[#This Row],[1]:[25]])</f>
        <v>5</v>
      </c>
      <c r="AO32" s="4">
        <f>MATCH(TRUE,INDEX(ISBLANK(cards[[#This Row],[1]:[25]]),0,0),0)</f>
        <v>6</v>
      </c>
      <c r="AP32" t="str">
        <f ca="1">IF(OFFSET(cards[[#This Row],[1]],0,AP$5-1)="","",
  IF(COUNTIF(entities[entity_id],
OFFSET(cards[[#This Row],[1]],0,AP$5-1))&lt;&gt;1,
"missing",
IF(COUNTIF(cards[[#This Row],[1]:[25]],OFFSET(cards[[#This Row],[1]],0,AP$5-1))&gt;1,"duplicate","ok")))</f>
        <v>ok</v>
      </c>
      <c r="AQ32" t="str">
        <f ca="1">IF(OFFSET(cards[[#This Row],[1]],0,AQ$5-1)="","",
  IF(COUNTIF(entities[entity_id],
OFFSET(cards[[#This Row],[1]],0,AQ$5-1))&lt;&gt;1,
"missing",
IF(COUNTIF(cards[[#This Row],[1]:[25]],OFFSET(cards[[#This Row],[1]],0,AQ$5-1))&gt;1,"duplicate","ok")))</f>
        <v>ok</v>
      </c>
      <c r="AR32" t="str">
        <f ca="1">IF(OFFSET(cards[[#This Row],[1]],0,AR$5-1)="","",
  IF(COUNTIF(entities[entity_id],
OFFSET(cards[[#This Row],[1]],0,AR$5-1))&lt;&gt;1,
"missing",
IF(COUNTIF(cards[[#This Row],[1]:[25]],OFFSET(cards[[#This Row],[1]],0,AR$5-1))&gt;1,"duplicate","ok")))</f>
        <v>ok</v>
      </c>
      <c r="AS32" t="str">
        <f ca="1">IF(OFFSET(cards[[#This Row],[1]],0,AS$5-1)="","",
  IF(COUNTIF(entities[entity_id],
OFFSET(cards[[#This Row],[1]],0,AS$5-1))&lt;&gt;1,
"missing",
IF(COUNTIF(cards[[#This Row],[1]:[25]],OFFSET(cards[[#This Row],[1]],0,AS$5-1))&gt;1,"duplicate","ok")))</f>
        <v>ok</v>
      </c>
      <c r="AT32" t="str">
        <f ca="1">IF(OFFSET(cards[[#This Row],[1]],0,AT$5-1)="","",
  IF(COUNTIF(entities[entity_id],
OFFSET(cards[[#This Row],[1]],0,AT$5-1))&lt;&gt;1,
"missing",
IF(COUNTIF(cards[[#This Row],[1]:[25]],OFFSET(cards[[#This Row],[1]],0,AT$5-1))&gt;1,"duplicate","ok")))</f>
        <v>ok</v>
      </c>
      <c r="AU32" t="str">
        <f ca="1">IF(OFFSET(cards[[#This Row],[1]],0,AU$5-1)="","",
  IF(COUNTIF(entities[entity_id],
OFFSET(cards[[#This Row],[1]],0,AU$5-1))&lt;&gt;1,
"missing",
IF(COUNTIF(cards[[#This Row],[1]:[25]],OFFSET(cards[[#This Row],[1]],0,AU$5-1))&gt;1,"duplicate","ok")))</f>
        <v/>
      </c>
      <c r="AV32" t="str">
        <f ca="1">IF(OFFSET(cards[[#This Row],[1]],0,AV$5-1)="","",
  IF(COUNTIF(entities[entity_id],
OFFSET(cards[[#This Row],[1]],0,AV$5-1))&lt;&gt;1,
"missing",
IF(COUNTIF(cards[[#This Row],[1]:[25]],OFFSET(cards[[#This Row],[1]],0,AV$5-1))&gt;1,"duplicate","ok")))</f>
        <v/>
      </c>
      <c r="AW32" t="str">
        <f ca="1">IF(OFFSET(cards[[#This Row],[1]],0,AW$5-1)="","",
  IF(COUNTIF(entities[entity_id],
OFFSET(cards[[#This Row],[1]],0,AW$5-1))&lt;&gt;1,
"missing",
IF(COUNTIF(cards[[#This Row],[1]:[25]],OFFSET(cards[[#This Row],[1]],0,AW$5-1))&gt;1,"duplicate","ok")))</f>
        <v/>
      </c>
      <c r="AX32" t="str">
        <f ca="1">IF(OFFSET(cards[[#This Row],[1]],0,AX$5-1)="","",
  IF(COUNTIF(entities[entity_id],
OFFSET(cards[[#This Row],[1]],0,AX$5-1))&lt;&gt;1,
"missing",
IF(COUNTIF(cards[[#This Row],[1]:[25]],OFFSET(cards[[#This Row],[1]],0,AX$5-1))&gt;1,"duplicate","ok")))</f>
        <v/>
      </c>
      <c r="AY32" t="str">
        <f ca="1">IF(OFFSET(cards[[#This Row],[1]],0,AY$5-1)="","",
  IF(COUNTIF(entities[entity_id],
OFFSET(cards[[#This Row],[1]],0,AY$5-1))&lt;&gt;1,
"missing",
IF(COUNTIF(cards[[#This Row],[1]:[25]],OFFSET(cards[[#This Row],[1]],0,AY$5-1))&gt;1,"duplicate","ok")))</f>
        <v/>
      </c>
      <c r="AZ32" t="str">
        <f ca="1">IF(OFFSET(cards[[#This Row],[1]],0,AZ$5-1)="","",
  IF(COUNTIF(entities[entity_id],
OFFSET(cards[[#This Row],[1]],0,AZ$5-1))&lt;&gt;1,
"missing",
IF(COUNTIF(cards[[#This Row],[1]:[25]],OFFSET(cards[[#This Row],[1]],0,AZ$5-1))&gt;1,"duplicate","ok")))</f>
        <v/>
      </c>
      <c r="BA32" t="str">
        <f ca="1">IF(OFFSET(cards[[#This Row],[1]],0,BA$5-1)="","",
  IF(COUNTIF(entities[entity_id],
OFFSET(cards[[#This Row],[1]],0,BA$5-1))&lt;&gt;1,
"missing",
IF(COUNTIF(cards[[#This Row],[1]:[25]],OFFSET(cards[[#This Row],[1]],0,BA$5-1))&gt;1,"duplicate","ok")))</f>
        <v/>
      </c>
      <c r="BB32" t="str">
        <f ca="1">IF(OFFSET(cards[[#This Row],[1]],0,BB$5-1)="","",
  IF(COUNTIF(entities[entity_id],
OFFSET(cards[[#This Row],[1]],0,BB$5-1))&lt;&gt;1,
"missing",
IF(COUNTIF(cards[[#This Row],[1]:[25]],OFFSET(cards[[#This Row],[1]],0,BB$5-1))&gt;1,"duplicate","ok")))</f>
        <v/>
      </c>
      <c r="BC32" t="str">
        <f ca="1">IF(OFFSET(cards[[#This Row],[1]],0,BC$5-1)="","",
  IF(COUNTIF(entities[entity_id],
OFFSET(cards[[#This Row],[1]],0,BC$5-1))&lt;&gt;1,
"missing",
IF(COUNTIF(cards[[#This Row],[1]:[25]],OFFSET(cards[[#This Row],[1]],0,BC$5-1))&gt;1,"duplicate","ok")))</f>
        <v/>
      </c>
      <c r="BD32" t="str">
        <f ca="1">IF(OFFSET(cards[[#This Row],[1]],0,BD$5-1)="","",
  IF(COUNTIF(entities[entity_id],
OFFSET(cards[[#This Row],[1]],0,BD$5-1))&lt;&gt;1,
"missing",
IF(COUNTIF(cards[[#This Row],[1]:[25]],OFFSET(cards[[#This Row],[1]],0,BD$5-1))&gt;1,"duplicate","ok")))</f>
        <v/>
      </c>
      <c r="BE32" t="str">
        <f ca="1">IF(OFFSET(cards[[#This Row],[1]],0,BE$5-1)="","",
  IF(COUNTIF(entities[entity_id],
OFFSET(cards[[#This Row],[1]],0,BE$5-1))&lt;&gt;1,
"missing",
IF(COUNTIF(cards[[#This Row],[1]:[25]],OFFSET(cards[[#This Row],[1]],0,BE$5-1))&gt;1,"duplicate","ok")))</f>
        <v/>
      </c>
      <c r="BF32" t="str">
        <f ca="1">IF(OFFSET(cards[[#This Row],[1]],0,BF$5-1)="","",
  IF(COUNTIF(entities[entity_id],
OFFSET(cards[[#This Row],[1]],0,BF$5-1))&lt;&gt;1,
"missing",
IF(COUNTIF(cards[[#This Row],[1]:[25]],OFFSET(cards[[#This Row],[1]],0,BF$5-1))&gt;1,"duplicate","ok")))</f>
        <v/>
      </c>
      <c r="BG32" t="str">
        <f ca="1">IF(OFFSET(cards[[#This Row],[1]],0,BG$5-1)="","",
  IF(COUNTIF(entities[entity_id],
OFFSET(cards[[#This Row],[1]],0,BG$5-1))&lt;&gt;1,
"missing",
IF(COUNTIF(cards[[#This Row],[1]:[25]],OFFSET(cards[[#This Row],[1]],0,BG$5-1))&gt;1,"duplicate","ok")))</f>
        <v/>
      </c>
      <c r="BH32" t="str">
        <f ca="1">IF(OFFSET(cards[[#This Row],[1]],0,BH$5-1)="","",
  IF(COUNTIF(entities[entity_id],
OFFSET(cards[[#This Row],[1]],0,BH$5-1))&lt;&gt;1,
"missing",
IF(COUNTIF(cards[[#This Row],[1]:[25]],OFFSET(cards[[#This Row],[1]],0,BH$5-1))&gt;1,"duplicate","ok")))</f>
        <v/>
      </c>
      <c r="BI32" t="str">
        <f ca="1">IF(OFFSET(cards[[#This Row],[1]],0,BI$5-1)="","",
  IF(COUNTIF(entities[entity_id],
OFFSET(cards[[#This Row],[1]],0,BI$5-1))&lt;&gt;1,
"missing",
IF(COUNTIF(cards[[#This Row],[1]:[25]],OFFSET(cards[[#This Row],[1]],0,BI$5-1))&gt;1,"duplicate","ok")))</f>
        <v/>
      </c>
      <c r="BJ32" t="str">
        <f ca="1">IF(OFFSET(cards[[#This Row],[1]],0,BJ$5-1)="","",
  IF(COUNTIF(entities[entity_id],
OFFSET(cards[[#This Row],[1]],0,BJ$5-1))&lt;&gt;1,
"missing",
IF(COUNTIF(cards[[#This Row],[1]:[25]],OFFSET(cards[[#This Row],[1]],0,BJ$5-1))&gt;1,"duplicate","ok")))</f>
        <v/>
      </c>
      <c r="BK32" t="str">
        <f ca="1">IF(OFFSET(cards[[#This Row],[1]],0,BK$5-1)="","",
  IF(COUNTIF(entities[entity_id],
OFFSET(cards[[#This Row],[1]],0,BK$5-1))&lt;&gt;1,
"missing",
IF(COUNTIF(cards[[#This Row],[1]:[25]],OFFSET(cards[[#This Row],[1]],0,BK$5-1))&gt;1,"duplicate","ok")))</f>
        <v/>
      </c>
      <c r="BL32" t="str">
        <f ca="1">IF(OFFSET(cards[[#This Row],[1]],0,BL$5-1)="","",
  IF(COUNTIF(entities[entity_id],
OFFSET(cards[[#This Row],[1]],0,BL$5-1))&lt;&gt;1,
"missing",
IF(COUNTIF(cards[[#This Row],[1]:[25]],OFFSET(cards[[#This Row],[1]],0,BL$5-1))&gt;1,"duplicate","ok")))</f>
        <v/>
      </c>
      <c r="BM32" t="str">
        <f ca="1">IF(OFFSET(cards[[#This Row],[1]],0,BM$5-1)="","",
  IF(COUNTIF(entities[entity_id],
OFFSET(cards[[#This Row],[1]],0,BM$5-1))&lt;&gt;1,
"missing",
IF(COUNTIF(cards[[#This Row],[1]:[25]],OFFSET(cards[[#This Row],[1]],0,BM$5-1))&gt;1,"duplicate","ok")))</f>
        <v/>
      </c>
      <c r="BN32" t="str">
        <f ca="1">IF(OFFSET(cards[[#This Row],[1]],0,BN$5-1)="","",
  IF(COUNTIF(entities[entity_id],
OFFSET(cards[[#This Row],[1]],0,BN$5-1))&lt;&gt;1,
"missing",
IF(COUNTIF(cards[[#This Row],[1]:[25]],OFFSET(cards[[#This Row],[1]],0,BN$5-1))&gt;1,"duplicate","ok")))</f>
        <v/>
      </c>
      <c r="BO32" s="4" t="str">
        <f>IF(cards[[#This Row],[First space]]-cards[[#This Row],[Entities count]]=1,"ok","Check entitiy names")</f>
        <v>ok</v>
      </c>
      <c r="BP32" s="4" t="str">
        <f ca="1">IF(COUNTIF(cards[[#This Row],[C1]:[C25]],"missing")=0,"ok","some entities missing from Entities tab")</f>
        <v>ok</v>
      </c>
      <c r="BQ32" s="4" t="str">
        <f ca="1">IF(COUNTIF(cards[[#This Row],[C1]:[C25]],"duplicate")=0,"ok","some duplicates")</f>
        <v>ok</v>
      </c>
      <c r="BR32" s="4" t="str">
        <f>"group."&amp;cards[[#This Row],[object_id]]</f>
        <v>group.default_view</v>
      </c>
    </row>
    <row r="33" spans="2:70" x14ac:dyDescent="0.25">
      <c r="B33">
        <v>26</v>
      </c>
      <c r="C33" t="s">
        <v>343</v>
      </c>
      <c r="E33" t="s">
        <v>833</v>
      </c>
      <c r="F33" t="s">
        <v>350</v>
      </c>
      <c r="H33" t="s">
        <v>83</v>
      </c>
      <c r="I33" t="s">
        <v>67</v>
      </c>
      <c r="J33" t="s">
        <v>648</v>
      </c>
      <c r="AG33" s="4">
        <f>ROW(cards[[#This Row],[object_id order]])-ROW(cards[])+1</f>
        <v>26</v>
      </c>
      <c r="AH33" s="4" t="str">
        <f ca="1">IF(OFFSET(cards[[#This Row],[object_id]],0,1)&lt;&gt;"",1,"")</f>
        <v/>
      </c>
      <c r="AI33" s="4">
        <f ca="1">IF(OFFSET(cards[[#This Row],[object_id]],0,2)&lt;&gt;"",2,"")</f>
        <v>2</v>
      </c>
      <c r="AJ33" s="4">
        <f ca="1">IF(OFFSET(cards[[#This Row],[object_id]],0,3)&lt;&gt;"",3,"")</f>
        <v>3</v>
      </c>
      <c r="AK33" s="4" t="str">
        <f ca="1">IF(OFFSET(cards[[#This Row],[object_id]],0,4)&lt;&gt;"",4,"")</f>
        <v/>
      </c>
      <c r="AL33" s="4" t="str">
        <f ca="1">CONCATENATE(cards[[#This Row],[A1]],cards[[#This Row],[A2]],cards[[#This Row],[A3]],cards[[#This Row],[A4]])</f>
        <v>23</v>
      </c>
      <c r="AM33" s="4">
        <f ca="1">LEN(cards[[#This Row],[Attribute Index]])</f>
        <v>2</v>
      </c>
      <c r="AN33" s="4">
        <f>COUNTA(cards[[#This Row],[1]:[25]])</f>
        <v>3</v>
      </c>
      <c r="AO33" s="4">
        <f>MATCH(TRUE,INDEX(ISBLANK(cards[[#This Row],[1]:[25]]),0,0),0)</f>
        <v>4</v>
      </c>
      <c r="AP33" t="str">
        <f ca="1">IF(OFFSET(cards[[#This Row],[1]],0,AP$5-1)="","",
  IF(COUNTIF(entities[entity_id],
OFFSET(cards[[#This Row],[1]],0,AP$5-1))&lt;&gt;1,
"missing",
IF(COUNTIF(cards[[#This Row],[1]:[25]],OFFSET(cards[[#This Row],[1]],0,AP$5-1))&gt;1,"duplicate","ok")))</f>
        <v>ok</v>
      </c>
      <c r="AQ33" t="str">
        <f ca="1">IF(OFFSET(cards[[#This Row],[1]],0,AQ$5-1)="","",
  IF(COUNTIF(entities[entity_id],
OFFSET(cards[[#This Row],[1]],0,AQ$5-1))&lt;&gt;1,
"missing",
IF(COUNTIF(cards[[#This Row],[1]:[25]],OFFSET(cards[[#This Row],[1]],0,AQ$5-1))&gt;1,"duplicate","ok")))</f>
        <v>ok</v>
      </c>
      <c r="AR33" t="str">
        <f ca="1">IF(OFFSET(cards[[#This Row],[1]],0,AR$5-1)="","",
  IF(COUNTIF(entities[entity_id],
OFFSET(cards[[#This Row],[1]],0,AR$5-1))&lt;&gt;1,
"missing",
IF(COUNTIF(cards[[#This Row],[1]:[25]],OFFSET(cards[[#This Row],[1]],0,AR$5-1))&gt;1,"duplicate","ok")))</f>
        <v>ok</v>
      </c>
      <c r="AS33" t="str">
        <f ca="1">IF(OFFSET(cards[[#This Row],[1]],0,AS$5-1)="","",
  IF(COUNTIF(entities[entity_id],
OFFSET(cards[[#This Row],[1]],0,AS$5-1))&lt;&gt;1,
"missing",
IF(COUNTIF(cards[[#This Row],[1]:[25]],OFFSET(cards[[#This Row],[1]],0,AS$5-1))&gt;1,"duplicate","ok")))</f>
        <v/>
      </c>
      <c r="AT33" t="str">
        <f ca="1">IF(OFFSET(cards[[#This Row],[1]],0,AT$5-1)="","",
  IF(COUNTIF(entities[entity_id],
OFFSET(cards[[#This Row],[1]],0,AT$5-1))&lt;&gt;1,
"missing",
IF(COUNTIF(cards[[#This Row],[1]:[25]],OFFSET(cards[[#This Row],[1]],0,AT$5-1))&gt;1,"duplicate","ok")))</f>
        <v/>
      </c>
      <c r="AU33" t="str">
        <f ca="1">IF(OFFSET(cards[[#This Row],[1]],0,AU$5-1)="","",
  IF(COUNTIF(entities[entity_id],
OFFSET(cards[[#This Row],[1]],0,AU$5-1))&lt;&gt;1,
"missing",
IF(COUNTIF(cards[[#This Row],[1]:[25]],OFFSET(cards[[#This Row],[1]],0,AU$5-1))&gt;1,"duplicate","ok")))</f>
        <v/>
      </c>
      <c r="AV33" t="str">
        <f ca="1">IF(OFFSET(cards[[#This Row],[1]],0,AV$5-1)="","",
  IF(COUNTIF(entities[entity_id],
OFFSET(cards[[#This Row],[1]],0,AV$5-1))&lt;&gt;1,
"missing",
IF(COUNTIF(cards[[#This Row],[1]:[25]],OFFSET(cards[[#This Row],[1]],0,AV$5-1))&gt;1,"duplicate","ok")))</f>
        <v/>
      </c>
      <c r="AW33" t="str">
        <f ca="1">IF(OFFSET(cards[[#This Row],[1]],0,AW$5-1)="","",
  IF(COUNTIF(entities[entity_id],
OFFSET(cards[[#This Row],[1]],0,AW$5-1))&lt;&gt;1,
"missing",
IF(COUNTIF(cards[[#This Row],[1]:[25]],OFFSET(cards[[#This Row],[1]],0,AW$5-1))&gt;1,"duplicate","ok")))</f>
        <v/>
      </c>
      <c r="AX33" t="str">
        <f ca="1">IF(OFFSET(cards[[#This Row],[1]],0,AX$5-1)="","",
  IF(COUNTIF(entities[entity_id],
OFFSET(cards[[#This Row],[1]],0,AX$5-1))&lt;&gt;1,
"missing",
IF(COUNTIF(cards[[#This Row],[1]:[25]],OFFSET(cards[[#This Row],[1]],0,AX$5-1))&gt;1,"duplicate","ok")))</f>
        <v/>
      </c>
      <c r="AY33" t="str">
        <f ca="1">IF(OFFSET(cards[[#This Row],[1]],0,AY$5-1)="","",
  IF(COUNTIF(entities[entity_id],
OFFSET(cards[[#This Row],[1]],0,AY$5-1))&lt;&gt;1,
"missing",
IF(COUNTIF(cards[[#This Row],[1]:[25]],OFFSET(cards[[#This Row],[1]],0,AY$5-1))&gt;1,"duplicate","ok")))</f>
        <v/>
      </c>
      <c r="AZ33" t="str">
        <f ca="1">IF(OFFSET(cards[[#This Row],[1]],0,AZ$5-1)="","",
  IF(COUNTIF(entities[entity_id],
OFFSET(cards[[#This Row],[1]],0,AZ$5-1))&lt;&gt;1,
"missing",
IF(COUNTIF(cards[[#This Row],[1]:[25]],OFFSET(cards[[#This Row],[1]],0,AZ$5-1))&gt;1,"duplicate","ok")))</f>
        <v/>
      </c>
      <c r="BA33" t="str">
        <f ca="1">IF(OFFSET(cards[[#This Row],[1]],0,BA$5-1)="","",
  IF(COUNTIF(entities[entity_id],
OFFSET(cards[[#This Row],[1]],0,BA$5-1))&lt;&gt;1,
"missing",
IF(COUNTIF(cards[[#This Row],[1]:[25]],OFFSET(cards[[#This Row],[1]],0,BA$5-1))&gt;1,"duplicate","ok")))</f>
        <v/>
      </c>
      <c r="BB33" t="str">
        <f ca="1">IF(OFFSET(cards[[#This Row],[1]],0,BB$5-1)="","",
  IF(COUNTIF(entities[entity_id],
OFFSET(cards[[#This Row],[1]],0,BB$5-1))&lt;&gt;1,
"missing",
IF(COUNTIF(cards[[#This Row],[1]:[25]],OFFSET(cards[[#This Row],[1]],0,BB$5-1))&gt;1,"duplicate","ok")))</f>
        <v/>
      </c>
      <c r="BC33" t="str">
        <f ca="1">IF(OFFSET(cards[[#This Row],[1]],0,BC$5-1)="","",
  IF(COUNTIF(entities[entity_id],
OFFSET(cards[[#This Row],[1]],0,BC$5-1))&lt;&gt;1,
"missing",
IF(COUNTIF(cards[[#This Row],[1]:[25]],OFFSET(cards[[#This Row],[1]],0,BC$5-1))&gt;1,"duplicate","ok")))</f>
        <v/>
      </c>
      <c r="BD33" t="str">
        <f ca="1">IF(OFFSET(cards[[#This Row],[1]],0,BD$5-1)="","",
  IF(COUNTIF(entities[entity_id],
OFFSET(cards[[#This Row],[1]],0,BD$5-1))&lt;&gt;1,
"missing",
IF(COUNTIF(cards[[#This Row],[1]:[25]],OFFSET(cards[[#This Row],[1]],0,BD$5-1))&gt;1,"duplicate","ok")))</f>
        <v/>
      </c>
      <c r="BE33" t="str">
        <f ca="1">IF(OFFSET(cards[[#This Row],[1]],0,BE$5-1)="","",
  IF(COUNTIF(entities[entity_id],
OFFSET(cards[[#This Row],[1]],0,BE$5-1))&lt;&gt;1,
"missing",
IF(COUNTIF(cards[[#This Row],[1]:[25]],OFFSET(cards[[#This Row],[1]],0,BE$5-1))&gt;1,"duplicate","ok")))</f>
        <v/>
      </c>
      <c r="BF33" t="str">
        <f ca="1">IF(OFFSET(cards[[#This Row],[1]],0,BF$5-1)="","",
  IF(COUNTIF(entities[entity_id],
OFFSET(cards[[#This Row],[1]],0,BF$5-1))&lt;&gt;1,
"missing",
IF(COUNTIF(cards[[#This Row],[1]:[25]],OFFSET(cards[[#This Row],[1]],0,BF$5-1))&gt;1,"duplicate","ok")))</f>
        <v/>
      </c>
      <c r="BG33" t="str">
        <f ca="1">IF(OFFSET(cards[[#This Row],[1]],0,BG$5-1)="","",
  IF(COUNTIF(entities[entity_id],
OFFSET(cards[[#This Row],[1]],0,BG$5-1))&lt;&gt;1,
"missing",
IF(COUNTIF(cards[[#This Row],[1]:[25]],OFFSET(cards[[#This Row],[1]],0,BG$5-1))&gt;1,"duplicate","ok")))</f>
        <v/>
      </c>
      <c r="BH33" t="str">
        <f ca="1">IF(OFFSET(cards[[#This Row],[1]],0,BH$5-1)="","",
  IF(COUNTIF(entities[entity_id],
OFFSET(cards[[#This Row],[1]],0,BH$5-1))&lt;&gt;1,
"missing",
IF(COUNTIF(cards[[#This Row],[1]:[25]],OFFSET(cards[[#This Row],[1]],0,BH$5-1))&gt;1,"duplicate","ok")))</f>
        <v/>
      </c>
      <c r="BI33" t="str">
        <f ca="1">IF(OFFSET(cards[[#This Row],[1]],0,BI$5-1)="","",
  IF(COUNTIF(entities[entity_id],
OFFSET(cards[[#This Row],[1]],0,BI$5-1))&lt;&gt;1,
"missing",
IF(COUNTIF(cards[[#This Row],[1]:[25]],OFFSET(cards[[#This Row],[1]],0,BI$5-1))&gt;1,"duplicate","ok")))</f>
        <v/>
      </c>
      <c r="BJ33" t="str">
        <f ca="1">IF(OFFSET(cards[[#This Row],[1]],0,BJ$5-1)="","",
  IF(COUNTIF(entities[entity_id],
OFFSET(cards[[#This Row],[1]],0,BJ$5-1))&lt;&gt;1,
"missing",
IF(COUNTIF(cards[[#This Row],[1]:[25]],OFFSET(cards[[#This Row],[1]],0,BJ$5-1))&gt;1,"duplicate","ok")))</f>
        <v/>
      </c>
      <c r="BK33" t="str">
        <f ca="1">IF(OFFSET(cards[[#This Row],[1]],0,BK$5-1)="","",
  IF(COUNTIF(entities[entity_id],
OFFSET(cards[[#This Row],[1]],0,BK$5-1))&lt;&gt;1,
"missing",
IF(COUNTIF(cards[[#This Row],[1]:[25]],OFFSET(cards[[#This Row],[1]],0,BK$5-1))&gt;1,"duplicate","ok")))</f>
        <v/>
      </c>
      <c r="BL33" t="str">
        <f ca="1">IF(OFFSET(cards[[#This Row],[1]],0,BL$5-1)="","",
  IF(COUNTIF(entities[entity_id],
OFFSET(cards[[#This Row],[1]],0,BL$5-1))&lt;&gt;1,
"missing",
IF(COUNTIF(cards[[#This Row],[1]:[25]],OFFSET(cards[[#This Row],[1]],0,BL$5-1))&gt;1,"duplicate","ok")))</f>
        <v/>
      </c>
      <c r="BM33" t="str">
        <f ca="1">IF(OFFSET(cards[[#This Row],[1]],0,BM$5-1)="","",
  IF(COUNTIF(entities[entity_id],
OFFSET(cards[[#This Row],[1]],0,BM$5-1))&lt;&gt;1,
"missing",
IF(COUNTIF(cards[[#This Row],[1]:[25]],OFFSET(cards[[#This Row],[1]],0,BM$5-1))&gt;1,"duplicate","ok")))</f>
        <v/>
      </c>
      <c r="BN33" t="str">
        <f ca="1">IF(OFFSET(cards[[#This Row],[1]],0,BN$5-1)="","",
  IF(COUNTIF(entities[entity_id],
OFFSET(cards[[#This Row],[1]],0,BN$5-1))&lt;&gt;1,
"missing",
IF(COUNTIF(cards[[#This Row],[1]:[25]],OFFSET(cards[[#This Row],[1]],0,BN$5-1))&gt;1,"duplicate","ok")))</f>
        <v/>
      </c>
      <c r="BO33" s="4" t="str">
        <f>IF(cards[[#This Row],[First space]]-cards[[#This Row],[Entities count]]=1,"ok","Check entitiy names")</f>
        <v>ok</v>
      </c>
      <c r="BP33" s="4" t="str">
        <f ca="1">IF(COUNTIF(cards[[#This Row],[C1]:[C25]],"missing")=0,"ok","some entities missing from Entities tab")</f>
        <v>ok</v>
      </c>
      <c r="BQ33" s="4" t="str">
        <f ca="1">IF(COUNTIF(cards[[#This Row],[C1]:[C25]],"duplicate")=0,"ok","some duplicates")</f>
        <v>ok</v>
      </c>
      <c r="BR33" s="4" t="str">
        <f>"group."&amp;cards[[#This Row],[object_id]]</f>
        <v>group.bedroom_view</v>
      </c>
    </row>
    <row r="34" spans="2:70" x14ac:dyDescent="0.25">
      <c r="B34">
        <v>27</v>
      </c>
      <c r="C34" t="s">
        <v>710</v>
      </c>
      <c r="E34" t="s">
        <v>833</v>
      </c>
      <c r="F34" t="s">
        <v>349</v>
      </c>
      <c r="H34" t="s">
        <v>711</v>
      </c>
      <c r="I34" t="s">
        <v>683</v>
      </c>
      <c r="AG34" s="4">
        <f>ROW(cards[[#This Row],[object_id order]])-ROW(cards[])+1</f>
        <v>27</v>
      </c>
      <c r="AH34" s="4" t="str">
        <f ca="1">IF(OFFSET(cards[[#This Row],[object_id]],0,1)&lt;&gt;"",1,"")</f>
        <v/>
      </c>
      <c r="AI34" s="4">
        <f ca="1">IF(OFFSET(cards[[#This Row],[object_id]],0,2)&lt;&gt;"",2,"")</f>
        <v>2</v>
      </c>
      <c r="AJ34" s="4">
        <f ca="1">IF(OFFSET(cards[[#This Row],[object_id]],0,3)&lt;&gt;"",3,"")</f>
        <v>3</v>
      </c>
      <c r="AK34" s="4" t="str">
        <f ca="1">IF(OFFSET(cards[[#This Row],[object_id]],0,4)&lt;&gt;"",4,"")</f>
        <v/>
      </c>
      <c r="AL34" s="4" t="str">
        <f ca="1">CONCATENATE(cards[[#This Row],[A1]],cards[[#This Row],[A2]],cards[[#This Row],[A3]],cards[[#This Row],[A4]])</f>
        <v>23</v>
      </c>
      <c r="AM34" s="4">
        <f ca="1">LEN(cards[[#This Row],[Attribute Index]])</f>
        <v>2</v>
      </c>
      <c r="AN34" s="4">
        <f>COUNTA(cards[[#This Row],[1]:[25]])</f>
        <v>2</v>
      </c>
      <c r="AO34" s="4">
        <f>MATCH(TRUE,INDEX(ISBLANK(cards[[#This Row],[1]:[25]]),0,0),0)</f>
        <v>3</v>
      </c>
      <c r="AP34" t="str">
        <f ca="1">IF(OFFSET(cards[[#This Row],[1]],0,AP$5-1)="","",
  IF(COUNTIF(entities[entity_id],
OFFSET(cards[[#This Row],[1]],0,AP$5-1))&lt;&gt;1,
"missing",
IF(COUNTIF(cards[[#This Row],[1]:[25]],OFFSET(cards[[#This Row],[1]],0,AP$5-1))&gt;1,"duplicate","ok")))</f>
        <v>ok</v>
      </c>
      <c r="AQ34" t="str">
        <f ca="1">IF(OFFSET(cards[[#This Row],[1]],0,AQ$5-1)="","",
  IF(COUNTIF(entities[entity_id],
OFFSET(cards[[#This Row],[1]],0,AQ$5-1))&lt;&gt;1,
"missing",
IF(COUNTIF(cards[[#This Row],[1]:[25]],OFFSET(cards[[#This Row],[1]],0,AQ$5-1))&gt;1,"duplicate","ok")))</f>
        <v>ok</v>
      </c>
      <c r="AR34" t="str">
        <f ca="1">IF(OFFSET(cards[[#This Row],[1]],0,AR$5-1)="","",
  IF(COUNTIF(entities[entity_id],
OFFSET(cards[[#This Row],[1]],0,AR$5-1))&lt;&gt;1,
"missing",
IF(COUNTIF(cards[[#This Row],[1]:[25]],OFFSET(cards[[#This Row],[1]],0,AR$5-1))&gt;1,"duplicate","ok")))</f>
        <v/>
      </c>
      <c r="AS34" t="str">
        <f ca="1">IF(OFFSET(cards[[#This Row],[1]],0,AS$5-1)="","",
  IF(COUNTIF(entities[entity_id],
OFFSET(cards[[#This Row],[1]],0,AS$5-1))&lt;&gt;1,
"missing",
IF(COUNTIF(cards[[#This Row],[1]:[25]],OFFSET(cards[[#This Row],[1]],0,AS$5-1))&gt;1,"duplicate","ok")))</f>
        <v/>
      </c>
      <c r="AT34" t="str">
        <f ca="1">IF(OFFSET(cards[[#This Row],[1]],0,AT$5-1)="","",
  IF(COUNTIF(entities[entity_id],
OFFSET(cards[[#This Row],[1]],0,AT$5-1))&lt;&gt;1,
"missing",
IF(COUNTIF(cards[[#This Row],[1]:[25]],OFFSET(cards[[#This Row],[1]],0,AT$5-1))&gt;1,"duplicate","ok")))</f>
        <v/>
      </c>
      <c r="AU34" t="str">
        <f ca="1">IF(OFFSET(cards[[#This Row],[1]],0,AU$5-1)="","",
  IF(COUNTIF(entities[entity_id],
OFFSET(cards[[#This Row],[1]],0,AU$5-1))&lt;&gt;1,
"missing",
IF(COUNTIF(cards[[#This Row],[1]:[25]],OFFSET(cards[[#This Row],[1]],0,AU$5-1))&gt;1,"duplicate","ok")))</f>
        <v/>
      </c>
      <c r="AV34" t="str">
        <f ca="1">IF(OFFSET(cards[[#This Row],[1]],0,AV$5-1)="","",
  IF(COUNTIF(entities[entity_id],
OFFSET(cards[[#This Row],[1]],0,AV$5-1))&lt;&gt;1,
"missing",
IF(COUNTIF(cards[[#This Row],[1]:[25]],OFFSET(cards[[#This Row],[1]],0,AV$5-1))&gt;1,"duplicate","ok")))</f>
        <v/>
      </c>
      <c r="AW34" t="str">
        <f ca="1">IF(OFFSET(cards[[#This Row],[1]],0,AW$5-1)="","",
  IF(COUNTIF(entities[entity_id],
OFFSET(cards[[#This Row],[1]],0,AW$5-1))&lt;&gt;1,
"missing",
IF(COUNTIF(cards[[#This Row],[1]:[25]],OFFSET(cards[[#This Row],[1]],0,AW$5-1))&gt;1,"duplicate","ok")))</f>
        <v/>
      </c>
      <c r="AX34" t="str">
        <f ca="1">IF(OFFSET(cards[[#This Row],[1]],0,AX$5-1)="","",
  IF(COUNTIF(entities[entity_id],
OFFSET(cards[[#This Row],[1]],0,AX$5-1))&lt;&gt;1,
"missing",
IF(COUNTIF(cards[[#This Row],[1]:[25]],OFFSET(cards[[#This Row],[1]],0,AX$5-1))&gt;1,"duplicate","ok")))</f>
        <v/>
      </c>
      <c r="AY34" t="str">
        <f ca="1">IF(OFFSET(cards[[#This Row],[1]],0,AY$5-1)="","",
  IF(COUNTIF(entities[entity_id],
OFFSET(cards[[#This Row],[1]],0,AY$5-1))&lt;&gt;1,
"missing",
IF(COUNTIF(cards[[#This Row],[1]:[25]],OFFSET(cards[[#This Row],[1]],0,AY$5-1))&gt;1,"duplicate","ok")))</f>
        <v/>
      </c>
      <c r="AZ34" t="str">
        <f ca="1">IF(OFFSET(cards[[#This Row],[1]],0,AZ$5-1)="","",
  IF(COUNTIF(entities[entity_id],
OFFSET(cards[[#This Row],[1]],0,AZ$5-1))&lt;&gt;1,
"missing",
IF(COUNTIF(cards[[#This Row],[1]:[25]],OFFSET(cards[[#This Row],[1]],0,AZ$5-1))&gt;1,"duplicate","ok")))</f>
        <v/>
      </c>
      <c r="BA34" t="str">
        <f ca="1">IF(OFFSET(cards[[#This Row],[1]],0,BA$5-1)="","",
  IF(COUNTIF(entities[entity_id],
OFFSET(cards[[#This Row],[1]],0,BA$5-1))&lt;&gt;1,
"missing",
IF(COUNTIF(cards[[#This Row],[1]:[25]],OFFSET(cards[[#This Row],[1]],0,BA$5-1))&gt;1,"duplicate","ok")))</f>
        <v/>
      </c>
      <c r="BB34" t="str">
        <f ca="1">IF(OFFSET(cards[[#This Row],[1]],0,BB$5-1)="","",
  IF(COUNTIF(entities[entity_id],
OFFSET(cards[[#This Row],[1]],0,BB$5-1))&lt;&gt;1,
"missing",
IF(COUNTIF(cards[[#This Row],[1]:[25]],OFFSET(cards[[#This Row],[1]],0,BB$5-1))&gt;1,"duplicate","ok")))</f>
        <v/>
      </c>
      <c r="BC34" t="str">
        <f ca="1">IF(OFFSET(cards[[#This Row],[1]],0,BC$5-1)="","",
  IF(COUNTIF(entities[entity_id],
OFFSET(cards[[#This Row],[1]],0,BC$5-1))&lt;&gt;1,
"missing",
IF(COUNTIF(cards[[#This Row],[1]:[25]],OFFSET(cards[[#This Row],[1]],0,BC$5-1))&gt;1,"duplicate","ok")))</f>
        <v/>
      </c>
      <c r="BD34" t="str">
        <f ca="1">IF(OFFSET(cards[[#This Row],[1]],0,BD$5-1)="","",
  IF(COUNTIF(entities[entity_id],
OFFSET(cards[[#This Row],[1]],0,BD$5-1))&lt;&gt;1,
"missing",
IF(COUNTIF(cards[[#This Row],[1]:[25]],OFFSET(cards[[#This Row],[1]],0,BD$5-1))&gt;1,"duplicate","ok")))</f>
        <v/>
      </c>
      <c r="BE34" t="str">
        <f ca="1">IF(OFFSET(cards[[#This Row],[1]],0,BE$5-1)="","",
  IF(COUNTIF(entities[entity_id],
OFFSET(cards[[#This Row],[1]],0,BE$5-1))&lt;&gt;1,
"missing",
IF(COUNTIF(cards[[#This Row],[1]:[25]],OFFSET(cards[[#This Row],[1]],0,BE$5-1))&gt;1,"duplicate","ok")))</f>
        <v/>
      </c>
      <c r="BF34" t="str">
        <f ca="1">IF(OFFSET(cards[[#This Row],[1]],0,BF$5-1)="","",
  IF(COUNTIF(entities[entity_id],
OFFSET(cards[[#This Row],[1]],0,BF$5-1))&lt;&gt;1,
"missing",
IF(COUNTIF(cards[[#This Row],[1]:[25]],OFFSET(cards[[#This Row],[1]],0,BF$5-1))&gt;1,"duplicate","ok")))</f>
        <v/>
      </c>
      <c r="BG34" t="str">
        <f ca="1">IF(OFFSET(cards[[#This Row],[1]],0,BG$5-1)="","",
  IF(COUNTIF(entities[entity_id],
OFFSET(cards[[#This Row],[1]],0,BG$5-1))&lt;&gt;1,
"missing",
IF(COUNTIF(cards[[#This Row],[1]:[25]],OFFSET(cards[[#This Row],[1]],0,BG$5-1))&gt;1,"duplicate","ok")))</f>
        <v/>
      </c>
      <c r="BH34" t="str">
        <f ca="1">IF(OFFSET(cards[[#This Row],[1]],0,BH$5-1)="","",
  IF(COUNTIF(entities[entity_id],
OFFSET(cards[[#This Row],[1]],0,BH$5-1))&lt;&gt;1,
"missing",
IF(COUNTIF(cards[[#This Row],[1]:[25]],OFFSET(cards[[#This Row],[1]],0,BH$5-1))&gt;1,"duplicate","ok")))</f>
        <v/>
      </c>
      <c r="BI34" t="str">
        <f ca="1">IF(OFFSET(cards[[#This Row],[1]],0,BI$5-1)="","",
  IF(COUNTIF(entities[entity_id],
OFFSET(cards[[#This Row],[1]],0,BI$5-1))&lt;&gt;1,
"missing",
IF(COUNTIF(cards[[#This Row],[1]:[25]],OFFSET(cards[[#This Row],[1]],0,BI$5-1))&gt;1,"duplicate","ok")))</f>
        <v/>
      </c>
      <c r="BJ34" t="str">
        <f ca="1">IF(OFFSET(cards[[#This Row],[1]],0,BJ$5-1)="","",
  IF(COUNTIF(entities[entity_id],
OFFSET(cards[[#This Row],[1]],0,BJ$5-1))&lt;&gt;1,
"missing",
IF(COUNTIF(cards[[#This Row],[1]:[25]],OFFSET(cards[[#This Row],[1]],0,BJ$5-1))&gt;1,"duplicate","ok")))</f>
        <v/>
      </c>
      <c r="BK34" t="str">
        <f ca="1">IF(OFFSET(cards[[#This Row],[1]],0,BK$5-1)="","",
  IF(COUNTIF(entities[entity_id],
OFFSET(cards[[#This Row],[1]],0,BK$5-1))&lt;&gt;1,
"missing",
IF(COUNTIF(cards[[#This Row],[1]:[25]],OFFSET(cards[[#This Row],[1]],0,BK$5-1))&gt;1,"duplicate","ok")))</f>
        <v/>
      </c>
      <c r="BL34" t="str">
        <f ca="1">IF(OFFSET(cards[[#This Row],[1]],0,BL$5-1)="","",
  IF(COUNTIF(entities[entity_id],
OFFSET(cards[[#This Row],[1]],0,BL$5-1))&lt;&gt;1,
"missing",
IF(COUNTIF(cards[[#This Row],[1]:[25]],OFFSET(cards[[#This Row],[1]],0,BL$5-1))&gt;1,"duplicate","ok")))</f>
        <v/>
      </c>
      <c r="BM34" t="str">
        <f ca="1">IF(OFFSET(cards[[#This Row],[1]],0,BM$5-1)="","",
  IF(COUNTIF(entities[entity_id],
OFFSET(cards[[#This Row],[1]],0,BM$5-1))&lt;&gt;1,
"missing",
IF(COUNTIF(cards[[#This Row],[1]:[25]],OFFSET(cards[[#This Row],[1]],0,BM$5-1))&gt;1,"duplicate","ok")))</f>
        <v/>
      </c>
      <c r="BN34" t="str">
        <f ca="1">IF(OFFSET(cards[[#This Row],[1]],0,BN$5-1)="","",
  IF(COUNTIF(entities[entity_id],
OFFSET(cards[[#This Row],[1]],0,BN$5-1))&lt;&gt;1,
"missing",
IF(COUNTIF(cards[[#This Row],[1]:[25]],OFFSET(cards[[#This Row],[1]],0,BN$5-1))&gt;1,"duplicate","ok")))</f>
        <v/>
      </c>
      <c r="BO34" s="4" t="str">
        <f>IF(cards[[#This Row],[First space]]-cards[[#This Row],[Entities count]]=1,"ok","Check entitiy names")</f>
        <v>ok</v>
      </c>
      <c r="BP34" s="4" t="str">
        <f ca="1">IF(COUNTIF(cards[[#This Row],[C1]:[C25]],"missing")=0,"ok","some entities missing from Entities tab")</f>
        <v>ok</v>
      </c>
      <c r="BQ34" s="4" t="str">
        <f ca="1">IF(COUNTIF(cards[[#This Row],[C1]:[C25]],"duplicate")=0,"ok","some duplicates")</f>
        <v>ok</v>
      </c>
      <c r="BR34" s="4" t="str">
        <f>"group."&amp;cards[[#This Row],[object_id]]</f>
        <v>group.living_room_view</v>
      </c>
    </row>
    <row r="35" spans="2:70" x14ac:dyDescent="0.25">
      <c r="B35">
        <v>28</v>
      </c>
      <c r="C35" t="s">
        <v>344</v>
      </c>
      <c r="E35" t="s">
        <v>833</v>
      </c>
      <c r="F35" t="s">
        <v>348</v>
      </c>
      <c r="H35" t="s">
        <v>86</v>
      </c>
      <c r="I35" t="s">
        <v>713</v>
      </c>
      <c r="AG35" s="4">
        <f>ROW(cards[[#This Row],[object_id order]])-ROW(cards[])+1</f>
        <v>28</v>
      </c>
      <c r="AH35" s="4" t="str">
        <f ca="1">IF(OFFSET(cards[[#This Row],[object_id]],0,1)&lt;&gt;"",1,"")</f>
        <v/>
      </c>
      <c r="AI35" s="4">
        <f ca="1">IF(OFFSET(cards[[#This Row],[object_id]],0,2)&lt;&gt;"",2,"")</f>
        <v>2</v>
      </c>
      <c r="AJ35" s="4">
        <f ca="1">IF(OFFSET(cards[[#This Row],[object_id]],0,3)&lt;&gt;"",3,"")</f>
        <v>3</v>
      </c>
      <c r="AK35" s="4" t="str">
        <f ca="1">IF(OFFSET(cards[[#This Row],[object_id]],0,4)&lt;&gt;"",4,"")</f>
        <v/>
      </c>
      <c r="AL35" s="4" t="str">
        <f ca="1">CONCATENATE(cards[[#This Row],[A1]],cards[[#This Row],[A2]],cards[[#This Row],[A3]],cards[[#This Row],[A4]])</f>
        <v>23</v>
      </c>
      <c r="AM35" s="4">
        <f ca="1">LEN(cards[[#This Row],[Attribute Index]])</f>
        <v>2</v>
      </c>
      <c r="AN35" s="4">
        <f>COUNTA(cards[[#This Row],[1]:[25]])</f>
        <v>2</v>
      </c>
      <c r="AO35" s="4">
        <f>MATCH(TRUE,INDEX(ISBLANK(cards[[#This Row],[1]:[25]]),0,0),0)</f>
        <v>3</v>
      </c>
      <c r="AP35" t="str">
        <f ca="1">IF(OFFSET(cards[[#This Row],[1]],0,AP$5-1)="","",
  IF(COUNTIF(entities[entity_id],
OFFSET(cards[[#This Row],[1]],0,AP$5-1))&lt;&gt;1,
"missing",
IF(COUNTIF(cards[[#This Row],[1]:[25]],OFFSET(cards[[#This Row],[1]],0,AP$5-1))&gt;1,"duplicate","ok")))</f>
        <v>ok</v>
      </c>
      <c r="AQ35" t="str">
        <f ca="1">IF(OFFSET(cards[[#This Row],[1]],0,AQ$5-1)="","",
  IF(COUNTIF(entities[entity_id],
OFFSET(cards[[#This Row],[1]],0,AQ$5-1))&lt;&gt;1,
"missing",
IF(COUNTIF(cards[[#This Row],[1]:[25]],OFFSET(cards[[#This Row],[1]],0,AQ$5-1))&gt;1,"duplicate","ok")))</f>
        <v>ok</v>
      </c>
      <c r="AR35" t="str">
        <f ca="1">IF(OFFSET(cards[[#This Row],[1]],0,AR$5-1)="","",
  IF(COUNTIF(entities[entity_id],
OFFSET(cards[[#This Row],[1]],0,AR$5-1))&lt;&gt;1,
"missing",
IF(COUNTIF(cards[[#This Row],[1]:[25]],OFFSET(cards[[#This Row],[1]],0,AR$5-1))&gt;1,"duplicate","ok")))</f>
        <v/>
      </c>
      <c r="AS35" t="str">
        <f ca="1">IF(OFFSET(cards[[#This Row],[1]],0,AS$5-1)="","",
  IF(COUNTIF(entities[entity_id],
OFFSET(cards[[#This Row],[1]],0,AS$5-1))&lt;&gt;1,
"missing",
IF(COUNTIF(cards[[#This Row],[1]:[25]],OFFSET(cards[[#This Row],[1]],0,AS$5-1))&gt;1,"duplicate","ok")))</f>
        <v/>
      </c>
      <c r="AT35" t="str">
        <f ca="1">IF(OFFSET(cards[[#This Row],[1]],0,AT$5-1)="","",
  IF(COUNTIF(entities[entity_id],
OFFSET(cards[[#This Row],[1]],0,AT$5-1))&lt;&gt;1,
"missing",
IF(COUNTIF(cards[[#This Row],[1]:[25]],OFFSET(cards[[#This Row],[1]],0,AT$5-1))&gt;1,"duplicate","ok")))</f>
        <v/>
      </c>
      <c r="AU35" t="str">
        <f ca="1">IF(OFFSET(cards[[#This Row],[1]],0,AU$5-1)="","",
  IF(COUNTIF(entities[entity_id],
OFFSET(cards[[#This Row],[1]],0,AU$5-1))&lt;&gt;1,
"missing",
IF(COUNTIF(cards[[#This Row],[1]:[25]],OFFSET(cards[[#This Row],[1]],0,AU$5-1))&gt;1,"duplicate","ok")))</f>
        <v/>
      </c>
      <c r="AV35" t="str">
        <f ca="1">IF(OFFSET(cards[[#This Row],[1]],0,AV$5-1)="","",
  IF(COUNTIF(entities[entity_id],
OFFSET(cards[[#This Row],[1]],0,AV$5-1))&lt;&gt;1,
"missing",
IF(COUNTIF(cards[[#This Row],[1]:[25]],OFFSET(cards[[#This Row],[1]],0,AV$5-1))&gt;1,"duplicate","ok")))</f>
        <v/>
      </c>
      <c r="AW35" t="str">
        <f ca="1">IF(OFFSET(cards[[#This Row],[1]],0,AW$5-1)="","",
  IF(COUNTIF(entities[entity_id],
OFFSET(cards[[#This Row],[1]],0,AW$5-1))&lt;&gt;1,
"missing",
IF(COUNTIF(cards[[#This Row],[1]:[25]],OFFSET(cards[[#This Row],[1]],0,AW$5-1))&gt;1,"duplicate","ok")))</f>
        <v/>
      </c>
      <c r="AX35" t="str">
        <f ca="1">IF(OFFSET(cards[[#This Row],[1]],0,AX$5-1)="","",
  IF(COUNTIF(entities[entity_id],
OFFSET(cards[[#This Row],[1]],0,AX$5-1))&lt;&gt;1,
"missing",
IF(COUNTIF(cards[[#This Row],[1]:[25]],OFFSET(cards[[#This Row],[1]],0,AX$5-1))&gt;1,"duplicate","ok")))</f>
        <v/>
      </c>
      <c r="AY35" t="str">
        <f ca="1">IF(OFFSET(cards[[#This Row],[1]],0,AY$5-1)="","",
  IF(COUNTIF(entities[entity_id],
OFFSET(cards[[#This Row],[1]],0,AY$5-1))&lt;&gt;1,
"missing",
IF(COUNTIF(cards[[#This Row],[1]:[25]],OFFSET(cards[[#This Row],[1]],0,AY$5-1))&gt;1,"duplicate","ok")))</f>
        <v/>
      </c>
      <c r="AZ35" t="str">
        <f ca="1">IF(OFFSET(cards[[#This Row],[1]],0,AZ$5-1)="","",
  IF(COUNTIF(entities[entity_id],
OFFSET(cards[[#This Row],[1]],0,AZ$5-1))&lt;&gt;1,
"missing",
IF(COUNTIF(cards[[#This Row],[1]:[25]],OFFSET(cards[[#This Row],[1]],0,AZ$5-1))&gt;1,"duplicate","ok")))</f>
        <v/>
      </c>
      <c r="BA35" t="str">
        <f ca="1">IF(OFFSET(cards[[#This Row],[1]],0,BA$5-1)="","",
  IF(COUNTIF(entities[entity_id],
OFFSET(cards[[#This Row],[1]],0,BA$5-1))&lt;&gt;1,
"missing",
IF(COUNTIF(cards[[#This Row],[1]:[25]],OFFSET(cards[[#This Row],[1]],0,BA$5-1))&gt;1,"duplicate","ok")))</f>
        <v/>
      </c>
      <c r="BB35" t="str">
        <f ca="1">IF(OFFSET(cards[[#This Row],[1]],0,BB$5-1)="","",
  IF(COUNTIF(entities[entity_id],
OFFSET(cards[[#This Row],[1]],0,BB$5-1))&lt;&gt;1,
"missing",
IF(COUNTIF(cards[[#This Row],[1]:[25]],OFFSET(cards[[#This Row],[1]],0,BB$5-1))&gt;1,"duplicate","ok")))</f>
        <v/>
      </c>
      <c r="BC35" t="str">
        <f ca="1">IF(OFFSET(cards[[#This Row],[1]],0,BC$5-1)="","",
  IF(COUNTIF(entities[entity_id],
OFFSET(cards[[#This Row],[1]],0,BC$5-1))&lt;&gt;1,
"missing",
IF(COUNTIF(cards[[#This Row],[1]:[25]],OFFSET(cards[[#This Row],[1]],0,BC$5-1))&gt;1,"duplicate","ok")))</f>
        <v/>
      </c>
      <c r="BD35" t="str">
        <f ca="1">IF(OFFSET(cards[[#This Row],[1]],0,BD$5-1)="","",
  IF(COUNTIF(entities[entity_id],
OFFSET(cards[[#This Row],[1]],0,BD$5-1))&lt;&gt;1,
"missing",
IF(COUNTIF(cards[[#This Row],[1]:[25]],OFFSET(cards[[#This Row],[1]],0,BD$5-1))&gt;1,"duplicate","ok")))</f>
        <v/>
      </c>
      <c r="BE35" t="str">
        <f ca="1">IF(OFFSET(cards[[#This Row],[1]],0,BE$5-1)="","",
  IF(COUNTIF(entities[entity_id],
OFFSET(cards[[#This Row],[1]],0,BE$5-1))&lt;&gt;1,
"missing",
IF(COUNTIF(cards[[#This Row],[1]:[25]],OFFSET(cards[[#This Row],[1]],0,BE$5-1))&gt;1,"duplicate","ok")))</f>
        <v/>
      </c>
      <c r="BF35" t="str">
        <f ca="1">IF(OFFSET(cards[[#This Row],[1]],0,BF$5-1)="","",
  IF(COUNTIF(entities[entity_id],
OFFSET(cards[[#This Row],[1]],0,BF$5-1))&lt;&gt;1,
"missing",
IF(COUNTIF(cards[[#This Row],[1]:[25]],OFFSET(cards[[#This Row],[1]],0,BF$5-1))&gt;1,"duplicate","ok")))</f>
        <v/>
      </c>
      <c r="BG35" t="str">
        <f ca="1">IF(OFFSET(cards[[#This Row],[1]],0,BG$5-1)="","",
  IF(COUNTIF(entities[entity_id],
OFFSET(cards[[#This Row],[1]],0,BG$5-1))&lt;&gt;1,
"missing",
IF(COUNTIF(cards[[#This Row],[1]:[25]],OFFSET(cards[[#This Row],[1]],0,BG$5-1))&gt;1,"duplicate","ok")))</f>
        <v/>
      </c>
      <c r="BH35" t="str">
        <f ca="1">IF(OFFSET(cards[[#This Row],[1]],0,BH$5-1)="","",
  IF(COUNTIF(entities[entity_id],
OFFSET(cards[[#This Row],[1]],0,BH$5-1))&lt;&gt;1,
"missing",
IF(COUNTIF(cards[[#This Row],[1]:[25]],OFFSET(cards[[#This Row],[1]],0,BH$5-1))&gt;1,"duplicate","ok")))</f>
        <v/>
      </c>
      <c r="BI35" t="str">
        <f ca="1">IF(OFFSET(cards[[#This Row],[1]],0,BI$5-1)="","",
  IF(COUNTIF(entities[entity_id],
OFFSET(cards[[#This Row],[1]],0,BI$5-1))&lt;&gt;1,
"missing",
IF(COUNTIF(cards[[#This Row],[1]:[25]],OFFSET(cards[[#This Row],[1]],0,BI$5-1))&gt;1,"duplicate","ok")))</f>
        <v/>
      </c>
      <c r="BJ35" t="str">
        <f ca="1">IF(OFFSET(cards[[#This Row],[1]],0,BJ$5-1)="","",
  IF(COUNTIF(entities[entity_id],
OFFSET(cards[[#This Row],[1]],0,BJ$5-1))&lt;&gt;1,
"missing",
IF(COUNTIF(cards[[#This Row],[1]:[25]],OFFSET(cards[[#This Row],[1]],0,BJ$5-1))&gt;1,"duplicate","ok")))</f>
        <v/>
      </c>
      <c r="BK35" t="str">
        <f ca="1">IF(OFFSET(cards[[#This Row],[1]],0,BK$5-1)="","",
  IF(COUNTIF(entities[entity_id],
OFFSET(cards[[#This Row],[1]],0,BK$5-1))&lt;&gt;1,
"missing",
IF(COUNTIF(cards[[#This Row],[1]:[25]],OFFSET(cards[[#This Row],[1]],0,BK$5-1))&gt;1,"duplicate","ok")))</f>
        <v/>
      </c>
      <c r="BL35" t="str">
        <f ca="1">IF(OFFSET(cards[[#This Row],[1]],0,BL$5-1)="","",
  IF(COUNTIF(entities[entity_id],
OFFSET(cards[[#This Row],[1]],0,BL$5-1))&lt;&gt;1,
"missing",
IF(COUNTIF(cards[[#This Row],[1]:[25]],OFFSET(cards[[#This Row],[1]],0,BL$5-1))&gt;1,"duplicate","ok")))</f>
        <v/>
      </c>
      <c r="BM35" t="str">
        <f ca="1">IF(OFFSET(cards[[#This Row],[1]],0,BM$5-1)="","",
  IF(COUNTIF(entities[entity_id],
OFFSET(cards[[#This Row],[1]],0,BM$5-1))&lt;&gt;1,
"missing",
IF(COUNTIF(cards[[#This Row],[1]:[25]],OFFSET(cards[[#This Row],[1]],0,BM$5-1))&gt;1,"duplicate","ok")))</f>
        <v/>
      </c>
      <c r="BN35" t="str">
        <f ca="1">IF(OFFSET(cards[[#This Row],[1]],0,BN$5-1)="","",
  IF(COUNTIF(entities[entity_id],
OFFSET(cards[[#This Row],[1]],0,BN$5-1))&lt;&gt;1,
"missing",
IF(COUNTIF(cards[[#This Row],[1]:[25]],OFFSET(cards[[#This Row],[1]],0,BN$5-1))&gt;1,"duplicate","ok")))</f>
        <v/>
      </c>
      <c r="BO35" s="4" t="str">
        <f>IF(cards[[#This Row],[First space]]-cards[[#This Row],[Entities count]]=1,"ok","Check entitiy names")</f>
        <v>ok</v>
      </c>
      <c r="BP35" s="4" t="str">
        <f ca="1">IF(COUNTIF(cards[[#This Row],[C1]:[C25]],"missing")=0,"ok","some entities missing from Entities tab")</f>
        <v>ok</v>
      </c>
      <c r="BQ35" s="4" t="str">
        <f ca="1">IF(COUNTIF(cards[[#This Row],[C1]:[C25]],"duplicate")=0,"ok","some duplicates")</f>
        <v>ok</v>
      </c>
      <c r="BR35" s="4" t="str">
        <f>"group."&amp;cards[[#This Row],[object_id]]</f>
        <v>group.environment_view</v>
      </c>
    </row>
    <row r="36" spans="2:70" x14ac:dyDescent="0.25">
      <c r="B36">
        <v>29</v>
      </c>
      <c r="C36" t="s">
        <v>345</v>
      </c>
      <c r="E36" t="s">
        <v>833</v>
      </c>
      <c r="F36" t="s">
        <v>347</v>
      </c>
      <c r="H36" t="s">
        <v>96</v>
      </c>
      <c r="I36" t="s">
        <v>95</v>
      </c>
      <c r="J36" t="s">
        <v>94</v>
      </c>
      <c r="K36" t="s">
        <v>91</v>
      </c>
      <c r="L36" t="s">
        <v>92</v>
      </c>
      <c r="M36" t="s">
        <v>90</v>
      </c>
      <c r="AG36" s="4">
        <f>ROW(cards[[#This Row],[object_id order]])-ROW(cards[])+1</f>
        <v>29</v>
      </c>
      <c r="AH36" s="4" t="str">
        <f ca="1">IF(OFFSET(cards[[#This Row],[object_id]],0,1)&lt;&gt;"",1,"")</f>
        <v/>
      </c>
      <c r="AI36" s="4">
        <f ca="1">IF(OFFSET(cards[[#This Row],[object_id]],0,2)&lt;&gt;"",2,"")</f>
        <v>2</v>
      </c>
      <c r="AJ36" s="4">
        <f ca="1">IF(OFFSET(cards[[#This Row],[object_id]],0,3)&lt;&gt;"",3,"")</f>
        <v>3</v>
      </c>
      <c r="AK36" s="4" t="str">
        <f ca="1">IF(OFFSET(cards[[#This Row],[object_id]],0,4)&lt;&gt;"",4,"")</f>
        <v/>
      </c>
      <c r="AL36" s="4" t="str">
        <f ca="1">CONCATENATE(cards[[#This Row],[A1]],cards[[#This Row],[A2]],cards[[#This Row],[A3]],cards[[#This Row],[A4]])</f>
        <v>23</v>
      </c>
      <c r="AM36" s="4">
        <f ca="1">LEN(cards[[#This Row],[Attribute Index]])</f>
        <v>2</v>
      </c>
      <c r="AN36" s="4">
        <f>COUNTA(cards[[#This Row],[1]:[25]])</f>
        <v>6</v>
      </c>
      <c r="AO36" s="4">
        <f>MATCH(TRUE,INDEX(ISBLANK(cards[[#This Row],[1]:[25]]),0,0),0)</f>
        <v>7</v>
      </c>
      <c r="AP36" t="str">
        <f ca="1">IF(OFFSET(cards[[#This Row],[1]],0,AP$5-1)="","",
  IF(COUNTIF(entities[entity_id],
OFFSET(cards[[#This Row],[1]],0,AP$5-1))&lt;&gt;1,
"missing",
IF(COUNTIF(cards[[#This Row],[1]:[25]],OFFSET(cards[[#This Row],[1]],0,AP$5-1))&gt;1,"duplicate","ok")))</f>
        <v>ok</v>
      </c>
      <c r="AQ36" t="str">
        <f ca="1">IF(OFFSET(cards[[#This Row],[1]],0,AQ$5-1)="","",
  IF(COUNTIF(entities[entity_id],
OFFSET(cards[[#This Row],[1]],0,AQ$5-1))&lt;&gt;1,
"missing",
IF(COUNTIF(cards[[#This Row],[1]:[25]],OFFSET(cards[[#This Row],[1]],0,AQ$5-1))&gt;1,"duplicate","ok")))</f>
        <v>ok</v>
      </c>
      <c r="AR36" t="str">
        <f ca="1">IF(OFFSET(cards[[#This Row],[1]],0,AR$5-1)="","",
  IF(COUNTIF(entities[entity_id],
OFFSET(cards[[#This Row],[1]],0,AR$5-1))&lt;&gt;1,
"missing",
IF(COUNTIF(cards[[#This Row],[1]:[25]],OFFSET(cards[[#This Row],[1]],0,AR$5-1))&gt;1,"duplicate","ok")))</f>
        <v>ok</v>
      </c>
      <c r="AS36" t="str">
        <f ca="1">IF(OFFSET(cards[[#This Row],[1]],0,AS$5-1)="","",
  IF(COUNTIF(entities[entity_id],
OFFSET(cards[[#This Row],[1]],0,AS$5-1))&lt;&gt;1,
"missing",
IF(COUNTIF(cards[[#This Row],[1]:[25]],OFFSET(cards[[#This Row],[1]],0,AS$5-1))&gt;1,"duplicate","ok")))</f>
        <v>ok</v>
      </c>
      <c r="AT36" t="str">
        <f ca="1">IF(OFFSET(cards[[#This Row],[1]],0,AT$5-1)="","",
  IF(COUNTIF(entities[entity_id],
OFFSET(cards[[#This Row],[1]],0,AT$5-1))&lt;&gt;1,
"missing",
IF(COUNTIF(cards[[#This Row],[1]:[25]],OFFSET(cards[[#This Row],[1]],0,AT$5-1))&gt;1,"duplicate","ok")))</f>
        <v>ok</v>
      </c>
      <c r="AU36" t="str">
        <f ca="1">IF(OFFSET(cards[[#This Row],[1]],0,AU$5-1)="","",
  IF(COUNTIF(entities[entity_id],
OFFSET(cards[[#This Row],[1]],0,AU$5-1))&lt;&gt;1,
"missing",
IF(COUNTIF(cards[[#This Row],[1]:[25]],OFFSET(cards[[#This Row],[1]],0,AU$5-1))&gt;1,"duplicate","ok")))</f>
        <v>ok</v>
      </c>
      <c r="AV36" t="str">
        <f ca="1">IF(OFFSET(cards[[#This Row],[1]],0,AV$5-1)="","",
  IF(COUNTIF(entities[entity_id],
OFFSET(cards[[#This Row],[1]],0,AV$5-1))&lt;&gt;1,
"missing",
IF(COUNTIF(cards[[#This Row],[1]:[25]],OFFSET(cards[[#This Row],[1]],0,AV$5-1))&gt;1,"duplicate","ok")))</f>
        <v/>
      </c>
      <c r="AW36" t="str">
        <f ca="1">IF(OFFSET(cards[[#This Row],[1]],0,AW$5-1)="","",
  IF(COUNTIF(entities[entity_id],
OFFSET(cards[[#This Row],[1]],0,AW$5-1))&lt;&gt;1,
"missing",
IF(COUNTIF(cards[[#This Row],[1]:[25]],OFFSET(cards[[#This Row],[1]],0,AW$5-1))&gt;1,"duplicate","ok")))</f>
        <v/>
      </c>
      <c r="AX36" t="str">
        <f ca="1">IF(OFFSET(cards[[#This Row],[1]],0,AX$5-1)="","",
  IF(COUNTIF(entities[entity_id],
OFFSET(cards[[#This Row],[1]],0,AX$5-1))&lt;&gt;1,
"missing",
IF(COUNTIF(cards[[#This Row],[1]:[25]],OFFSET(cards[[#This Row],[1]],0,AX$5-1))&gt;1,"duplicate","ok")))</f>
        <v/>
      </c>
      <c r="AY36" t="str">
        <f ca="1">IF(OFFSET(cards[[#This Row],[1]],0,AY$5-1)="","",
  IF(COUNTIF(entities[entity_id],
OFFSET(cards[[#This Row],[1]],0,AY$5-1))&lt;&gt;1,
"missing",
IF(COUNTIF(cards[[#This Row],[1]:[25]],OFFSET(cards[[#This Row],[1]],0,AY$5-1))&gt;1,"duplicate","ok")))</f>
        <v/>
      </c>
      <c r="AZ36" t="str">
        <f ca="1">IF(OFFSET(cards[[#This Row],[1]],0,AZ$5-1)="","",
  IF(COUNTIF(entities[entity_id],
OFFSET(cards[[#This Row],[1]],0,AZ$5-1))&lt;&gt;1,
"missing",
IF(COUNTIF(cards[[#This Row],[1]:[25]],OFFSET(cards[[#This Row],[1]],0,AZ$5-1))&gt;1,"duplicate","ok")))</f>
        <v/>
      </c>
      <c r="BA36" t="str">
        <f ca="1">IF(OFFSET(cards[[#This Row],[1]],0,BA$5-1)="","",
  IF(COUNTIF(entities[entity_id],
OFFSET(cards[[#This Row],[1]],0,BA$5-1))&lt;&gt;1,
"missing",
IF(COUNTIF(cards[[#This Row],[1]:[25]],OFFSET(cards[[#This Row],[1]],0,BA$5-1))&gt;1,"duplicate","ok")))</f>
        <v/>
      </c>
      <c r="BB36" t="str">
        <f ca="1">IF(OFFSET(cards[[#This Row],[1]],0,BB$5-1)="","",
  IF(COUNTIF(entities[entity_id],
OFFSET(cards[[#This Row],[1]],0,BB$5-1))&lt;&gt;1,
"missing",
IF(COUNTIF(cards[[#This Row],[1]:[25]],OFFSET(cards[[#This Row],[1]],0,BB$5-1))&gt;1,"duplicate","ok")))</f>
        <v/>
      </c>
      <c r="BC36" t="str">
        <f ca="1">IF(OFFSET(cards[[#This Row],[1]],0,BC$5-1)="","",
  IF(COUNTIF(entities[entity_id],
OFFSET(cards[[#This Row],[1]],0,BC$5-1))&lt;&gt;1,
"missing",
IF(COUNTIF(cards[[#This Row],[1]:[25]],OFFSET(cards[[#This Row],[1]],0,BC$5-1))&gt;1,"duplicate","ok")))</f>
        <v/>
      </c>
      <c r="BD36" t="str">
        <f ca="1">IF(OFFSET(cards[[#This Row],[1]],0,BD$5-1)="","",
  IF(COUNTIF(entities[entity_id],
OFFSET(cards[[#This Row],[1]],0,BD$5-1))&lt;&gt;1,
"missing",
IF(COUNTIF(cards[[#This Row],[1]:[25]],OFFSET(cards[[#This Row],[1]],0,BD$5-1))&gt;1,"duplicate","ok")))</f>
        <v/>
      </c>
      <c r="BE36" t="str">
        <f ca="1">IF(OFFSET(cards[[#This Row],[1]],0,BE$5-1)="","",
  IF(COUNTIF(entities[entity_id],
OFFSET(cards[[#This Row],[1]],0,BE$5-1))&lt;&gt;1,
"missing",
IF(COUNTIF(cards[[#This Row],[1]:[25]],OFFSET(cards[[#This Row],[1]],0,BE$5-1))&gt;1,"duplicate","ok")))</f>
        <v/>
      </c>
      <c r="BF36" t="str">
        <f ca="1">IF(OFFSET(cards[[#This Row],[1]],0,BF$5-1)="","",
  IF(COUNTIF(entities[entity_id],
OFFSET(cards[[#This Row],[1]],0,BF$5-1))&lt;&gt;1,
"missing",
IF(COUNTIF(cards[[#This Row],[1]:[25]],OFFSET(cards[[#This Row],[1]],0,BF$5-1))&gt;1,"duplicate","ok")))</f>
        <v/>
      </c>
      <c r="BG36" t="str">
        <f ca="1">IF(OFFSET(cards[[#This Row],[1]],0,BG$5-1)="","",
  IF(COUNTIF(entities[entity_id],
OFFSET(cards[[#This Row],[1]],0,BG$5-1))&lt;&gt;1,
"missing",
IF(COUNTIF(cards[[#This Row],[1]:[25]],OFFSET(cards[[#This Row],[1]],0,BG$5-1))&gt;1,"duplicate","ok")))</f>
        <v/>
      </c>
      <c r="BH36" t="str">
        <f ca="1">IF(OFFSET(cards[[#This Row],[1]],0,BH$5-1)="","",
  IF(COUNTIF(entities[entity_id],
OFFSET(cards[[#This Row],[1]],0,BH$5-1))&lt;&gt;1,
"missing",
IF(COUNTIF(cards[[#This Row],[1]:[25]],OFFSET(cards[[#This Row],[1]],0,BH$5-1))&gt;1,"duplicate","ok")))</f>
        <v/>
      </c>
      <c r="BI36" t="str">
        <f ca="1">IF(OFFSET(cards[[#This Row],[1]],0,BI$5-1)="","",
  IF(COUNTIF(entities[entity_id],
OFFSET(cards[[#This Row],[1]],0,BI$5-1))&lt;&gt;1,
"missing",
IF(COUNTIF(cards[[#This Row],[1]:[25]],OFFSET(cards[[#This Row],[1]],0,BI$5-1))&gt;1,"duplicate","ok")))</f>
        <v/>
      </c>
      <c r="BJ36" t="str">
        <f ca="1">IF(OFFSET(cards[[#This Row],[1]],0,BJ$5-1)="","",
  IF(COUNTIF(entities[entity_id],
OFFSET(cards[[#This Row],[1]],0,BJ$5-1))&lt;&gt;1,
"missing",
IF(COUNTIF(cards[[#This Row],[1]:[25]],OFFSET(cards[[#This Row],[1]],0,BJ$5-1))&gt;1,"duplicate","ok")))</f>
        <v/>
      </c>
      <c r="BK36" t="str">
        <f ca="1">IF(OFFSET(cards[[#This Row],[1]],0,BK$5-1)="","",
  IF(COUNTIF(entities[entity_id],
OFFSET(cards[[#This Row],[1]],0,BK$5-1))&lt;&gt;1,
"missing",
IF(COUNTIF(cards[[#This Row],[1]:[25]],OFFSET(cards[[#This Row],[1]],0,BK$5-1))&gt;1,"duplicate","ok")))</f>
        <v/>
      </c>
      <c r="BL36" t="str">
        <f ca="1">IF(OFFSET(cards[[#This Row],[1]],0,BL$5-1)="","",
  IF(COUNTIF(entities[entity_id],
OFFSET(cards[[#This Row],[1]],0,BL$5-1))&lt;&gt;1,
"missing",
IF(COUNTIF(cards[[#This Row],[1]:[25]],OFFSET(cards[[#This Row],[1]],0,BL$5-1))&gt;1,"duplicate","ok")))</f>
        <v/>
      </c>
      <c r="BM36" t="str">
        <f ca="1">IF(OFFSET(cards[[#This Row],[1]],0,BM$5-1)="","",
  IF(COUNTIF(entities[entity_id],
OFFSET(cards[[#This Row],[1]],0,BM$5-1))&lt;&gt;1,
"missing",
IF(COUNTIF(cards[[#This Row],[1]:[25]],OFFSET(cards[[#This Row],[1]],0,BM$5-1))&gt;1,"duplicate","ok")))</f>
        <v/>
      </c>
      <c r="BN36" t="str">
        <f ca="1">IF(OFFSET(cards[[#This Row],[1]],0,BN$5-1)="","",
  IF(COUNTIF(entities[entity_id],
OFFSET(cards[[#This Row],[1]],0,BN$5-1))&lt;&gt;1,
"missing",
IF(COUNTIF(cards[[#This Row],[1]:[25]],OFFSET(cards[[#This Row],[1]],0,BN$5-1))&gt;1,"duplicate","ok")))</f>
        <v/>
      </c>
      <c r="BO36" s="4" t="str">
        <f>IF(cards[[#This Row],[First space]]-cards[[#This Row],[Entities count]]=1,"ok","Check entitiy names")</f>
        <v>ok</v>
      </c>
      <c r="BP36" s="4" t="str">
        <f ca="1">IF(COUNTIF(cards[[#This Row],[C1]:[C25]],"missing")=0,"ok","some entities missing from Entities tab")</f>
        <v>ok</v>
      </c>
      <c r="BQ36" s="4" t="str">
        <f ca="1">IF(COUNTIF(cards[[#This Row],[C1]:[C25]],"duplicate")=0,"ok","some duplicates")</f>
        <v>ok</v>
      </c>
      <c r="BR36" s="4" t="str">
        <f>"group."&amp;cards[[#This Row],[object_id]]</f>
        <v>group.network_view</v>
      </c>
    </row>
  </sheetData>
  <conditionalFormatting sqref="H8:AF36">
    <cfRule type="expression" dxfId="45" priority="1">
      <formula>OFFSET(H8,0,34)="duplicate"</formula>
    </cfRule>
    <cfRule type="expression" dxfId="44" priority="6">
      <formula>OFFSET(H8,0,34)="missing"</formula>
    </cfRule>
  </conditionalFormatting>
  <conditionalFormatting sqref="BO8:BQ36">
    <cfRule type="expression" dxfId="43" priority="5">
      <formula>BO8&lt;&gt;"ok"</formula>
    </cfRule>
  </conditionalFormatting>
  <pageMargins left="0.7" right="0.7" top="0.75" bottom="0.75" header="0.3" footer="0.3"/>
  <pageSetup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P506"/>
  <sheetViews>
    <sheetView showGridLines="0" zoomScaleNormal="100" workbookViewId="0"/>
  </sheetViews>
  <sheetFormatPr defaultRowHeight="15" outlineLevelCol="1" x14ac:dyDescent="0.25"/>
  <cols>
    <col min="1" max="1" width="2.42578125" customWidth="1"/>
    <col min="2" max="2" width="6.140625" bestFit="1" customWidth="1"/>
    <col min="3" max="3" width="14.7109375" hidden="1" customWidth="1" outlineLevel="1"/>
    <col min="4" max="4" width="10.28515625" hidden="1" customWidth="1" outlineLevel="1"/>
    <col min="5" max="5" width="14.7109375" hidden="1" customWidth="1" outlineLevel="1"/>
    <col min="6" max="6" width="13.42578125" hidden="1" customWidth="1" outlineLevel="1"/>
    <col min="7" max="9" width="20.85546875" hidden="1" customWidth="1" outlineLevel="1"/>
    <col min="10" max="10" width="69.28515625" bestFit="1" customWidth="1" collapsed="1"/>
    <col min="11" max="11" width="11.28515625" bestFit="1" customWidth="1"/>
    <col min="12" max="12" width="2.85546875" customWidth="1"/>
    <col min="13" max="13" width="14.7109375" hidden="1" customWidth="1" outlineLevel="1"/>
    <col min="14" max="14" width="21.42578125" hidden="1" customWidth="1" outlineLevel="1"/>
    <col min="15" max="15" width="22.28515625" hidden="1" customWidth="1" outlineLevel="1"/>
    <col min="16" max="16" width="9.140625" collapsed="1"/>
  </cols>
  <sheetData>
    <row r="1" spans="1:16" ht="21" x14ac:dyDescent="0.35">
      <c r="A1" s="1" t="s">
        <v>638</v>
      </c>
      <c r="P1" s="12" t="s">
        <v>836</v>
      </c>
    </row>
    <row r="3" spans="1:16" x14ac:dyDescent="0.25">
      <c r="A3" s="12" t="s">
        <v>606</v>
      </c>
    </row>
    <row r="5" spans="1:16" x14ac:dyDescent="0.25">
      <c r="C5" t="s">
        <v>804</v>
      </c>
      <c r="D5" t="s">
        <v>805</v>
      </c>
      <c r="E5" t="s">
        <v>807</v>
      </c>
      <c r="F5" t="s">
        <v>806</v>
      </c>
    </row>
    <row r="6" spans="1:16" x14ac:dyDescent="0.25">
      <c r="B6" s="38" t="s">
        <v>14</v>
      </c>
      <c r="C6" s="38" t="s">
        <v>298</v>
      </c>
      <c r="D6" s="38" t="s">
        <v>803</v>
      </c>
      <c r="E6" s="38" t="s">
        <v>814</v>
      </c>
      <c r="F6" s="38" t="s">
        <v>815</v>
      </c>
      <c r="G6" s="38" t="s">
        <v>308</v>
      </c>
      <c r="H6" s="38" t="s">
        <v>801</v>
      </c>
      <c r="I6" s="38" t="s">
        <v>802</v>
      </c>
      <c r="J6" s="38" t="s">
        <v>684</v>
      </c>
      <c r="K6" s="38" t="s">
        <v>602</v>
      </c>
      <c r="M6" s="16" t="s">
        <v>609</v>
      </c>
      <c r="N6" s="17"/>
      <c r="O6" s="17"/>
    </row>
    <row r="7" spans="1:16" x14ac:dyDescent="0.25">
      <c r="B7" s="13">
        <v>1</v>
      </c>
      <c r="C7" s="5"/>
      <c r="D7" s="5"/>
      <c r="E7" s="5"/>
      <c r="F7" s="5"/>
      <c r="G7" s="5"/>
      <c r="H7" s="5"/>
      <c r="I7" s="5"/>
      <c r="J7" s="13" t="s">
        <v>637</v>
      </c>
      <c r="K7" s="5"/>
      <c r="M7" s="8" t="s">
        <v>298</v>
      </c>
      <c r="N7" s="8" t="s">
        <v>302</v>
      </c>
      <c r="O7" s="8" t="s">
        <v>799</v>
      </c>
    </row>
    <row r="8" spans="1:16" x14ac:dyDescent="0.25">
      <c r="B8" s="5">
        <f>B7+1</f>
        <v>2</v>
      </c>
      <c r="C8" s="13"/>
      <c r="D8" s="13"/>
      <c r="E8" s="14"/>
      <c r="F8" s="13"/>
      <c r="G8" s="5"/>
      <c r="H8" s="5"/>
      <c r="I8" s="5"/>
      <c r="J8" s="6" t="s">
        <v>11</v>
      </c>
      <c r="K8" s="5" t="str">
        <f t="shared" ref="K8:K71" si="0">IF(AND(NOT(ISNA(D8)),ISNA(E8)),"END","")</f>
        <v/>
      </c>
      <c r="M8" s="5">
        <v>1</v>
      </c>
      <c r="N8" s="5" t="s">
        <v>153</v>
      </c>
      <c r="O8" s="6" t="s">
        <v>304</v>
      </c>
    </row>
    <row r="9" spans="1:16" x14ac:dyDescent="0.25">
      <c r="B9" s="5">
        <f t="shared" ref="B9:B72" si="1">B8+1</f>
        <v>3</v>
      </c>
      <c r="C9" s="13">
        <v>1</v>
      </c>
      <c r="D9" s="13">
        <v>0</v>
      </c>
      <c r="E9" s="14" t="str">
        <f>INDEX(entities[Attributes Index],MATCH('Customize code'!C9,entities[custom entity '#],0))</f>
        <v>1</v>
      </c>
      <c r="F9" s="14">
        <f t="shared" ref="F9:F72" si="2">IF(D9=0,0,  VALUE(MID(E9,D9,1)))</f>
        <v>0</v>
      </c>
      <c r="G9" s="5" t="str">
        <f>IF(D9&gt;0,"",
INDEX(entities[entity_id],MATCH('Customize code'!C9,entities[custom entity '#],0))&amp;":")</f>
        <v>automation.locaway_devices_in_bedroom_off_when_at_the_computer:</v>
      </c>
      <c r="H9" s="5" t="str">
        <f>IF(F9=0,"",VLOOKUP(F9,'Customize code'!$M$8:$O$13,3,FALSE))</f>
        <v/>
      </c>
      <c r="I9" s="5" t="str">
        <f>IF(F9=0, "",  INDEX(entities[[hidden]:[icon]],  MATCH(C9,entities[custom entity '#],0),  'Customize code'!F9)  )</f>
        <v/>
      </c>
      <c r="J9" s="5" t="str">
        <f>_xlfn.IFNA(  G9&amp;H9&amp;I9,  "")</f>
        <v>automation.locaway_devices_in_bedroom_off_when_at_the_computer:</v>
      </c>
      <c r="K9" s="5" t="str">
        <f t="shared" si="0"/>
        <v/>
      </c>
      <c r="M9" s="5">
        <v>2</v>
      </c>
      <c r="N9" s="5" t="s">
        <v>2</v>
      </c>
      <c r="O9" s="5" t="s">
        <v>305</v>
      </c>
    </row>
    <row r="10" spans="1:16" x14ac:dyDescent="0.25">
      <c r="B10" s="5">
        <f t="shared" si="1"/>
        <v>4</v>
      </c>
      <c r="C10" s="5">
        <f>IF(D9=LEN(E9),  C9+1,  C9)</f>
        <v>1</v>
      </c>
      <c r="D10" s="14">
        <f>IF(C9&lt;&gt;C10,  0,  D9+1)</f>
        <v>1</v>
      </c>
      <c r="E10" s="14" t="str">
        <f>INDEX(entities[Attributes Index],MATCH('Customize code'!C10,entities[custom entity '#],0))</f>
        <v>1</v>
      </c>
      <c r="F10" s="14">
        <f t="shared" si="2"/>
        <v>1</v>
      </c>
      <c r="G10" s="5" t="str">
        <f>IF(D10&gt;0,"",
INDEX(entities[entity_id],MATCH('Customize code'!C10,entities[custom entity '#],0))&amp;":")</f>
        <v/>
      </c>
      <c r="H10" s="5" t="str">
        <f>IF(F10=0,"",VLOOKUP(F10,'Customize code'!$M$8:$O$13,3,FALSE))</f>
        <v xml:space="preserve">  hidden: </v>
      </c>
      <c r="I10" s="5" t="str">
        <f>IF(F10=0, "",  INDEX(entities[[hidden]:[icon]],  MATCH(C10,entities[custom entity '#],0),  'Customize code'!F10)  )</f>
        <v>true</v>
      </c>
      <c r="J10" s="5" t="str">
        <f t="shared" ref="J10:J73" si="3">_xlfn.IFNA(  G10&amp;H10&amp;I10,  "")</f>
        <v xml:space="preserve">  hidden: true</v>
      </c>
      <c r="K10" s="5" t="str">
        <f t="shared" si="0"/>
        <v/>
      </c>
      <c r="M10" s="5">
        <v>3</v>
      </c>
      <c r="N10" s="5" t="s">
        <v>287</v>
      </c>
      <c r="O10" s="5" t="s">
        <v>306</v>
      </c>
    </row>
    <row r="11" spans="1:16" x14ac:dyDescent="0.25">
      <c r="B11" s="5">
        <f t="shared" si="1"/>
        <v>5</v>
      </c>
      <c r="C11" s="5">
        <f t="shared" ref="C11:C74" si="4">IF(D10=LEN(E10),  C10+1,  C10)</f>
        <v>2</v>
      </c>
      <c r="D11" s="14">
        <f t="shared" ref="D11:D74" si="5">IF(C10&lt;&gt;C11,  0,  D10+1)</f>
        <v>0</v>
      </c>
      <c r="E11" s="14" t="str">
        <f>INDEX(entities[Attributes Index],MATCH('Customize code'!C11,entities[custom entity '#],0))</f>
        <v>1</v>
      </c>
      <c r="F11" s="14">
        <f t="shared" si="2"/>
        <v>0</v>
      </c>
      <c r="G11" s="5" t="str">
        <f>IF(D11&gt;0,"",
INDEX(entities[entity_id],MATCH('Customize code'!C11,entities[custom entity '#],0))&amp;":")</f>
        <v>automation.locaway_devices_off_when_away:</v>
      </c>
      <c r="H11" s="5" t="str">
        <f>IF(F11=0,"",VLOOKUP(F11,'Customize code'!$M$8:$O$13,3,FALSE))</f>
        <v/>
      </c>
      <c r="I11" s="5" t="str">
        <f>IF(F11=0, "",  INDEX(entities[[hidden]:[icon]],  MATCH(C11,entities[custom entity '#],0),  'Customize code'!F11)  )</f>
        <v/>
      </c>
      <c r="J11" s="5" t="str">
        <f t="shared" si="3"/>
        <v>automation.locaway_devices_off_when_away:</v>
      </c>
      <c r="K11" s="5" t="str">
        <f t="shared" si="0"/>
        <v/>
      </c>
      <c r="M11" s="5">
        <v>4</v>
      </c>
      <c r="N11" s="5" t="s">
        <v>284</v>
      </c>
      <c r="O11" s="5" t="s">
        <v>303</v>
      </c>
    </row>
    <row r="12" spans="1:16" x14ac:dyDescent="0.25">
      <c r="B12" s="5">
        <f t="shared" si="1"/>
        <v>6</v>
      </c>
      <c r="C12" s="5">
        <f t="shared" si="4"/>
        <v>2</v>
      </c>
      <c r="D12" s="14">
        <f t="shared" si="5"/>
        <v>1</v>
      </c>
      <c r="E12" s="14" t="str">
        <f>INDEX(entities[Attributes Index],MATCH('Customize code'!C12,entities[custom entity '#],0))</f>
        <v>1</v>
      </c>
      <c r="F12" s="14">
        <f t="shared" si="2"/>
        <v>1</v>
      </c>
      <c r="G12" s="5" t="str">
        <f>IF(D12&gt;0,"",
INDEX(entities[entity_id],MATCH('Customize code'!C12,entities[custom entity '#],0))&amp;":")</f>
        <v/>
      </c>
      <c r="H12" s="5" t="str">
        <f>IF(F12=0,"",VLOOKUP(F12,'Customize code'!$M$8:$O$13,3,FALSE))</f>
        <v xml:space="preserve">  hidden: </v>
      </c>
      <c r="I12" s="5" t="str">
        <f>IF(F12=0, "",  INDEX(entities[[hidden]:[icon]],  MATCH(C12,entities[custom entity '#],0),  'Customize code'!F12)  )</f>
        <v>true</v>
      </c>
      <c r="J12" s="5" t="str">
        <f t="shared" si="3"/>
        <v xml:space="preserve">  hidden: true</v>
      </c>
      <c r="K12" s="5" t="str">
        <f t="shared" si="0"/>
        <v/>
      </c>
      <c r="M12" s="5">
        <v>5</v>
      </c>
      <c r="N12" s="5" t="s">
        <v>792</v>
      </c>
      <c r="O12" s="5" t="s">
        <v>794</v>
      </c>
    </row>
    <row r="13" spans="1:16" x14ac:dyDescent="0.25">
      <c r="B13" s="5">
        <f t="shared" si="1"/>
        <v>7</v>
      </c>
      <c r="C13" s="5">
        <f t="shared" si="4"/>
        <v>3</v>
      </c>
      <c r="D13" s="14">
        <f t="shared" si="5"/>
        <v>0</v>
      </c>
      <c r="E13" s="14" t="str">
        <f>INDEX(entities[Attributes Index],MATCH('Customize code'!C13,entities[custom entity '#],0))</f>
        <v>1</v>
      </c>
      <c r="F13" s="14">
        <f t="shared" si="2"/>
        <v>0</v>
      </c>
      <c r="G13" s="5" t="str">
        <f>IF(D13&gt;0,"",
INDEX(entities[entity_id],MATCH('Customize code'!C13,entities[custom entity '#],0))&amp;":")</f>
        <v>automation.locaway_devices_on_desk_off_when_leave_the_computer:</v>
      </c>
      <c r="H13" s="5" t="str">
        <f>IF(F13=0,"",VLOOKUP(F13,'Customize code'!$M$8:$O$13,3,FALSE))</f>
        <v/>
      </c>
      <c r="I13" s="5" t="str">
        <f>IF(F13=0, "",  INDEX(entities[[hidden]:[icon]],  MATCH(C13,entities[custom entity '#],0),  'Customize code'!F13)  )</f>
        <v/>
      </c>
      <c r="J13" s="5" t="str">
        <f t="shared" si="3"/>
        <v>automation.locaway_devices_on_desk_off_when_leave_the_computer:</v>
      </c>
      <c r="K13" s="5" t="str">
        <f t="shared" si="0"/>
        <v/>
      </c>
      <c r="M13" s="5">
        <v>6</v>
      </c>
      <c r="N13" s="5" t="s">
        <v>154</v>
      </c>
      <c r="O13" s="5" t="s">
        <v>307</v>
      </c>
    </row>
    <row r="14" spans="1:16" x14ac:dyDescent="0.25">
      <c r="B14" s="5">
        <f t="shared" si="1"/>
        <v>8</v>
      </c>
      <c r="C14" s="5">
        <f t="shared" si="4"/>
        <v>3</v>
      </c>
      <c r="D14" s="14">
        <f t="shared" si="5"/>
        <v>1</v>
      </c>
      <c r="E14" s="14" t="str">
        <f>INDEX(entities[Attributes Index],MATCH('Customize code'!C14,entities[custom entity '#],0))</f>
        <v>1</v>
      </c>
      <c r="F14" s="14">
        <f t="shared" si="2"/>
        <v>1</v>
      </c>
      <c r="G14" s="5" t="str">
        <f>IF(D14&gt;0,"",
INDEX(entities[entity_id],MATCH('Customize code'!C14,entities[custom entity '#],0))&amp;":")</f>
        <v/>
      </c>
      <c r="H14" s="5" t="str">
        <f>IF(F14=0,"",VLOOKUP(F14,'Customize code'!$M$8:$O$13,3,FALSE))</f>
        <v xml:space="preserve">  hidden: </v>
      </c>
      <c r="I14" s="5" t="str">
        <f>IF(F14=0, "",  INDEX(entities[[hidden]:[icon]],  MATCH(C14,entities[custom entity '#],0),  'Customize code'!F14)  )</f>
        <v>true</v>
      </c>
      <c r="J14" s="5" t="str">
        <f t="shared" si="3"/>
        <v xml:space="preserve">  hidden: true</v>
      </c>
      <c r="K14" s="5" t="str">
        <f t="shared" si="0"/>
        <v/>
      </c>
    </row>
    <row r="15" spans="1:16" x14ac:dyDescent="0.25">
      <c r="B15" s="5">
        <f t="shared" si="1"/>
        <v>9</v>
      </c>
      <c r="C15" s="5">
        <f t="shared" si="4"/>
        <v>4</v>
      </c>
      <c r="D15" s="14">
        <f t="shared" si="5"/>
        <v>0</v>
      </c>
      <c r="E15" s="14" t="str">
        <f>INDEX(entities[Attributes Index],MATCH('Customize code'!C15,entities[custom entity '#],0))</f>
        <v>1</v>
      </c>
      <c r="F15" s="14">
        <f t="shared" si="2"/>
        <v>0</v>
      </c>
      <c r="G15" s="5" t="str">
        <f>IF(D15&gt;0,"",
INDEX(entities[entity_id],MATCH('Customize code'!C15,entities[custom entity '#],0))&amp;":")</f>
        <v>automation.not_notification_when_multisensor_battery_is_low:</v>
      </c>
      <c r="H15" s="5" t="str">
        <f>IF(F15=0,"",VLOOKUP(F15,'Customize code'!$M$8:$O$13,3,FALSE))</f>
        <v/>
      </c>
      <c r="I15" s="5" t="str">
        <f>IF(F15=0, "",  INDEX(entities[[hidden]:[icon]],  MATCH(C15,entities[custom entity '#],0),  'Customize code'!F15)  )</f>
        <v/>
      </c>
      <c r="J15" s="5" t="str">
        <f t="shared" si="3"/>
        <v>automation.not_notification_when_multisensor_battery_is_low:</v>
      </c>
      <c r="K15" s="5" t="str">
        <f t="shared" si="0"/>
        <v/>
      </c>
    </row>
    <row r="16" spans="1:16" x14ac:dyDescent="0.25">
      <c r="B16" s="5">
        <f t="shared" si="1"/>
        <v>10</v>
      </c>
      <c r="C16" s="5">
        <f t="shared" si="4"/>
        <v>4</v>
      </c>
      <c r="D16" s="14">
        <f t="shared" si="5"/>
        <v>1</v>
      </c>
      <c r="E16" s="14" t="str">
        <f>INDEX(entities[Attributes Index],MATCH('Customize code'!C16,entities[custom entity '#],0))</f>
        <v>1</v>
      </c>
      <c r="F16" s="14">
        <f t="shared" si="2"/>
        <v>1</v>
      </c>
      <c r="G16" s="5" t="str">
        <f>IF(D16&gt;0,"",
INDEX(entities[entity_id],MATCH('Customize code'!C16,entities[custom entity '#],0))&amp;":")</f>
        <v/>
      </c>
      <c r="H16" s="5" t="str">
        <f>IF(F16=0,"",VLOOKUP(F16,'Customize code'!$M$8:$O$13,3,FALSE))</f>
        <v xml:space="preserve">  hidden: </v>
      </c>
      <c r="I16" s="5" t="str">
        <f>IF(F16=0, "",  INDEX(entities[[hidden]:[icon]],  MATCH(C16,entities[custom entity '#],0),  'Customize code'!F16)  )</f>
        <v>true</v>
      </c>
      <c r="J16" s="5" t="str">
        <f t="shared" si="3"/>
        <v xml:space="preserve">  hidden: true</v>
      </c>
      <c r="K16" s="5" t="str">
        <f t="shared" si="0"/>
        <v/>
      </c>
    </row>
    <row r="17" spans="2:11" x14ac:dyDescent="0.25">
      <c r="B17" s="5">
        <f t="shared" si="1"/>
        <v>11</v>
      </c>
      <c r="C17" s="5">
        <f t="shared" si="4"/>
        <v>5</v>
      </c>
      <c r="D17" s="14">
        <f t="shared" si="5"/>
        <v>0</v>
      </c>
      <c r="E17" s="14" t="str">
        <f>INDEX(entities[Attributes Index],MATCH('Customize code'!C17,entities[custom entity '#],0))</f>
        <v>1</v>
      </c>
      <c r="F17" s="14">
        <f t="shared" si="2"/>
        <v>0</v>
      </c>
      <c r="G17" s="5" t="str">
        <f>IF(D17&gt;0,"",
INDEX(entities[entity_id],MATCH('Customize code'!C17,entities[custom entity '#],0))&amp;":")</f>
        <v>automation.rmbd_fan_off_at_12_pm:</v>
      </c>
      <c r="H17" s="5" t="str">
        <f>IF(F17=0,"",VLOOKUP(F17,'Customize code'!$M$8:$O$13,3,FALSE))</f>
        <v/>
      </c>
      <c r="I17" s="5" t="str">
        <f>IF(F17=0, "",  INDEX(entities[[hidden]:[icon]],  MATCH(C17,entities[custom entity '#],0),  'Customize code'!F17)  )</f>
        <v/>
      </c>
      <c r="J17" s="5" t="str">
        <f t="shared" si="3"/>
        <v>automation.rmbd_fan_off_at_12_pm:</v>
      </c>
      <c r="K17" s="5" t="str">
        <f t="shared" si="0"/>
        <v/>
      </c>
    </row>
    <row r="18" spans="2:11" x14ac:dyDescent="0.25">
      <c r="B18" s="5">
        <f t="shared" si="1"/>
        <v>12</v>
      </c>
      <c r="C18" s="5">
        <f t="shared" si="4"/>
        <v>5</v>
      </c>
      <c r="D18" s="14">
        <f t="shared" si="5"/>
        <v>1</v>
      </c>
      <c r="E18" s="14" t="str">
        <f>INDEX(entities[Attributes Index],MATCH('Customize code'!C18,entities[custom entity '#],0))</f>
        <v>1</v>
      </c>
      <c r="F18" s="14">
        <f t="shared" si="2"/>
        <v>1</v>
      </c>
      <c r="G18" s="5" t="str">
        <f>IF(D18&gt;0,"",
INDEX(entities[entity_id],MATCH('Customize code'!C18,entities[custom entity '#],0))&amp;":")</f>
        <v/>
      </c>
      <c r="H18" s="5" t="str">
        <f>IF(F18=0,"",VLOOKUP(F18,'Customize code'!$M$8:$O$13,3,FALSE))</f>
        <v xml:space="preserve">  hidden: </v>
      </c>
      <c r="I18" s="5" t="str">
        <f>IF(F18=0, "",  INDEX(entities[[hidden]:[icon]],  MATCH(C18,entities[custom entity '#],0),  'Customize code'!F18)  )</f>
        <v>true</v>
      </c>
      <c r="J18" s="5" t="str">
        <f t="shared" si="3"/>
        <v xml:space="preserve">  hidden: true</v>
      </c>
      <c r="K18" s="5" t="str">
        <f t="shared" si="0"/>
        <v/>
      </c>
    </row>
    <row r="19" spans="2:11" x14ac:dyDescent="0.25">
      <c r="B19" s="5">
        <f t="shared" si="1"/>
        <v>13</v>
      </c>
      <c r="C19" s="5">
        <f t="shared" si="4"/>
        <v>6</v>
      </c>
      <c r="D19" s="14">
        <f t="shared" si="5"/>
        <v>0</v>
      </c>
      <c r="E19" s="14" t="str">
        <f>INDEX(entities[Attributes Index],MATCH('Customize code'!C19,entities[custom entity '#],0))</f>
        <v>1</v>
      </c>
      <c r="F19" s="14">
        <f t="shared" si="2"/>
        <v>0</v>
      </c>
      <c r="G19" s="5" t="str">
        <f>IF(D19&gt;0,"",
INDEX(entities[entity_id],MATCH('Customize code'!C19,entities[custom entity '#],0))&amp;":")</f>
        <v>automation.rmbd_one_bulb_off_at_sunset:</v>
      </c>
      <c r="H19" s="5" t="str">
        <f>IF(F19=0,"",VLOOKUP(F19,'Customize code'!$M$8:$O$13,3,FALSE))</f>
        <v/>
      </c>
      <c r="I19" s="5" t="str">
        <f>IF(F19=0, "",  INDEX(entities[[hidden]:[icon]],  MATCH(C19,entities[custom entity '#],0),  'Customize code'!F19)  )</f>
        <v/>
      </c>
      <c r="J19" s="5" t="str">
        <f t="shared" si="3"/>
        <v>automation.rmbd_one_bulb_off_at_sunset:</v>
      </c>
      <c r="K19" s="5" t="str">
        <f t="shared" si="0"/>
        <v/>
      </c>
    </row>
    <row r="20" spans="2:11" x14ac:dyDescent="0.25">
      <c r="B20" s="5">
        <f t="shared" si="1"/>
        <v>14</v>
      </c>
      <c r="C20" s="5">
        <f t="shared" si="4"/>
        <v>6</v>
      </c>
      <c r="D20" s="14">
        <f t="shared" si="5"/>
        <v>1</v>
      </c>
      <c r="E20" s="14" t="str">
        <f>INDEX(entities[Attributes Index],MATCH('Customize code'!C20,entities[custom entity '#],0))</f>
        <v>1</v>
      </c>
      <c r="F20" s="14">
        <f t="shared" si="2"/>
        <v>1</v>
      </c>
      <c r="G20" s="5" t="str">
        <f>IF(D20&gt;0,"",
INDEX(entities[entity_id],MATCH('Customize code'!C20,entities[custom entity '#],0))&amp;":")</f>
        <v/>
      </c>
      <c r="H20" s="5" t="str">
        <f>IF(F20=0,"",VLOOKUP(F20,'Customize code'!$M$8:$O$13,3,FALSE))</f>
        <v xml:space="preserve">  hidden: </v>
      </c>
      <c r="I20" s="5" t="str">
        <f>IF(F20=0, "",  INDEX(entities[[hidden]:[icon]],  MATCH(C20,entities[custom entity '#],0),  'Customize code'!F20)  )</f>
        <v>true</v>
      </c>
      <c r="J20" s="5" t="str">
        <f t="shared" si="3"/>
        <v xml:space="preserve">  hidden: true</v>
      </c>
      <c r="K20" s="5" t="str">
        <f t="shared" si="0"/>
        <v/>
      </c>
    </row>
    <row r="21" spans="2:11" x14ac:dyDescent="0.25">
      <c r="B21" s="5">
        <f t="shared" si="1"/>
        <v>15</v>
      </c>
      <c r="C21" s="5">
        <f t="shared" si="4"/>
        <v>7</v>
      </c>
      <c r="D21" s="14">
        <f t="shared" si="5"/>
        <v>0</v>
      </c>
      <c r="E21" s="14" t="str">
        <f>INDEX(entities[Attributes Index],MATCH('Customize code'!C21,entities[custom entity '#],0))</f>
        <v>1</v>
      </c>
      <c r="F21" s="14">
        <f t="shared" si="2"/>
        <v>0</v>
      </c>
      <c r="G21" s="5" t="str">
        <f>IF(D21&gt;0,"",
INDEX(entities[entity_id],MATCH('Customize code'!C21,entities[custom entity '#],0))&amp;":")</f>
        <v>automation.rmbd_one_bulb_on_with_switch_at_night:</v>
      </c>
      <c r="H21" s="5" t="str">
        <f>IF(F21=0,"",VLOOKUP(F21,'Customize code'!$M$8:$O$13,3,FALSE))</f>
        <v/>
      </c>
      <c r="I21" s="5" t="str">
        <f>IF(F21=0, "",  INDEX(entities[[hidden]:[icon]],  MATCH(C21,entities[custom entity '#],0),  'Customize code'!F21)  )</f>
        <v/>
      </c>
      <c r="J21" s="5" t="str">
        <f t="shared" si="3"/>
        <v>automation.rmbd_one_bulb_on_with_switch_at_night:</v>
      </c>
      <c r="K21" s="5" t="str">
        <f t="shared" si="0"/>
        <v/>
      </c>
    </row>
    <row r="22" spans="2:11" x14ac:dyDescent="0.25">
      <c r="B22" s="5">
        <f t="shared" si="1"/>
        <v>16</v>
      </c>
      <c r="C22" s="5">
        <f t="shared" si="4"/>
        <v>7</v>
      </c>
      <c r="D22" s="14">
        <f t="shared" si="5"/>
        <v>1</v>
      </c>
      <c r="E22" s="14" t="str">
        <f>INDEX(entities[Attributes Index],MATCH('Customize code'!C22,entities[custom entity '#],0))</f>
        <v>1</v>
      </c>
      <c r="F22" s="14">
        <f t="shared" si="2"/>
        <v>1</v>
      </c>
      <c r="G22" s="5" t="str">
        <f>IF(D22&gt;0,"",
INDEX(entities[entity_id],MATCH('Customize code'!C22,entities[custom entity '#],0))&amp;":")</f>
        <v/>
      </c>
      <c r="H22" s="5" t="str">
        <f>IF(F22=0,"",VLOOKUP(F22,'Customize code'!$M$8:$O$13,3,FALSE))</f>
        <v xml:space="preserve">  hidden: </v>
      </c>
      <c r="I22" s="5" t="str">
        <f>IF(F22=0, "",  INDEX(entities[[hidden]:[icon]],  MATCH(C22,entities[custom entity '#],0),  'Customize code'!F22)  )</f>
        <v>true</v>
      </c>
      <c r="J22" s="5" t="str">
        <f t="shared" si="3"/>
        <v xml:space="preserve">  hidden: true</v>
      </c>
      <c r="K22" s="5" t="str">
        <f t="shared" si="0"/>
        <v/>
      </c>
    </row>
    <row r="23" spans="2:11" x14ac:dyDescent="0.25">
      <c r="B23" s="5">
        <f t="shared" si="1"/>
        <v>17</v>
      </c>
      <c r="C23" s="5">
        <f t="shared" si="4"/>
        <v>8</v>
      </c>
      <c r="D23" s="14">
        <f t="shared" si="5"/>
        <v>0</v>
      </c>
      <c r="E23" s="14" t="str">
        <f>INDEX(entities[Attributes Index],MATCH('Customize code'!C23,entities[custom entity '#],0))</f>
        <v>1</v>
      </c>
      <c r="F23" s="14">
        <f t="shared" si="2"/>
        <v>0</v>
      </c>
      <c r="G23" s="5" t="str">
        <f>IF(D23&gt;0,"",
INDEX(entities[entity_id],MATCH('Customize code'!C23,entities[custom entity '#],0))&amp;":")</f>
        <v>automation.rmlv_amp_off_at_3_am:</v>
      </c>
      <c r="H23" s="5" t="str">
        <f>IF(F23=0,"",VLOOKUP(F23,'Customize code'!$M$8:$O$13,3,FALSE))</f>
        <v/>
      </c>
      <c r="I23" s="5" t="str">
        <f>IF(F23=0, "",  INDEX(entities[[hidden]:[icon]],  MATCH(C23,entities[custom entity '#],0),  'Customize code'!F23)  )</f>
        <v/>
      </c>
      <c r="J23" s="5" t="str">
        <f t="shared" si="3"/>
        <v>automation.rmlv_amp_off_at_3_am:</v>
      </c>
      <c r="K23" s="5" t="str">
        <f t="shared" si="0"/>
        <v/>
      </c>
    </row>
    <row r="24" spans="2:11" x14ac:dyDescent="0.25">
      <c r="B24" s="5">
        <f t="shared" si="1"/>
        <v>18</v>
      </c>
      <c r="C24" s="5">
        <f t="shared" si="4"/>
        <v>8</v>
      </c>
      <c r="D24" s="14">
        <f t="shared" si="5"/>
        <v>1</v>
      </c>
      <c r="E24" s="14" t="str">
        <f>INDEX(entities[Attributes Index],MATCH('Customize code'!C24,entities[custom entity '#],0))</f>
        <v>1</v>
      </c>
      <c r="F24" s="14">
        <f t="shared" si="2"/>
        <v>1</v>
      </c>
      <c r="G24" s="5" t="str">
        <f>IF(D24&gt;0,"",
INDEX(entities[entity_id],MATCH('Customize code'!C24,entities[custom entity '#],0))&amp;":")</f>
        <v/>
      </c>
      <c r="H24" s="5" t="str">
        <f>IF(F24=0,"",VLOOKUP(F24,'Customize code'!$M$8:$O$13,3,FALSE))</f>
        <v xml:space="preserve">  hidden: </v>
      </c>
      <c r="I24" s="5" t="str">
        <f>IF(F24=0, "",  INDEX(entities[[hidden]:[icon]],  MATCH(C24,entities[custom entity '#],0),  'Customize code'!F24)  )</f>
        <v>true</v>
      </c>
      <c r="J24" s="5" t="str">
        <f t="shared" si="3"/>
        <v xml:space="preserve">  hidden: true</v>
      </c>
      <c r="K24" s="5" t="str">
        <f t="shared" si="0"/>
        <v/>
      </c>
    </row>
    <row r="25" spans="2:11" x14ac:dyDescent="0.25">
      <c r="B25" s="5">
        <f t="shared" si="1"/>
        <v>19</v>
      </c>
      <c r="C25" s="5">
        <f t="shared" si="4"/>
        <v>9</v>
      </c>
      <c r="D25" s="14">
        <f t="shared" si="5"/>
        <v>0</v>
      </c>
      <c r="E25" s="14" t="str">
        <f>INDEX(entities[Attributes Index],MATCH('Customize code'!C25,entities[custom entity '#],0))</f>
        <v>1</v>
      </c>
      <c r="F25" s="14">
        <f t="shared" si="2"/>
        <v>0</v>
      </c>
      <c r="G25" s="5" t="str">
        <f>IF(D25&gt;0,"",
INDEX(entities[entity_id],MATCH('Customize code'!C25,entities[custom entity '#],0))&amp;":")</f>
        <v>automation.rmlv_amp_off_with_humvee:</v>
      </c>
      <c r="H25" s="5" t="str">
        <f>IF(F25=0,"",VLOOKUP(F25,'Customize code'!$M$8:$O$13,3,FALSE))</f>
        <v/>
      </c>
      <c r="I25" s="5" t="str">
        <f>IF(F25=0, "",  INDEX(entities[[hidden]:[icon]],  MATCH(C25,entities[custom entity '#],0),  'Customize code'!F25)  )</f>
        <v/>
      </c>
      <c r="J25" s="5" t="str">
        <f t="shared" si="3"/>
        <v>automation.rmlv_amp_off_with_humvee:</v>
      </c>
      <c r="K25" s="5" t="str">
        <f t="shared" si="0"/>
        <v/>
      </c>
    </row>
    <row r="26" spans="2:11" x14ac:dyDescent="0.25">
      <c r="B26" s="5">
        <f t="shared" si="1"/>
        <v>20</v>
      </c>
      <c r="C26" s="5">
        <f t="shared" si="4"/>
        <v>9</v>
      </c>
      <c r="D26" s="14">
        <f t="shared" si="5"/>
        <v>1</v>
      </c>
      <c r="E26" s="14" t="str">
        <f>INDEX(entities[Attributes Index],MATCH('Customize code'!C26,entities[custom entity '#],0))</f>
        <v>1</v>
      </c>
      <c r="F26" s="14">
        <f t="shared" si="2"/>
        <v>1</v>
      </c>
      <c r="G26" s="5" t="str">
        <f>IF(D26&gt;0,"",
INDEX(entities[entity_id],MATCH('Customize code'!C26,entities[custom entity '#],0))&amp;":")</f>
        <v/>
      </c>
      <c r="H26" s="5" t="str">
        <f>IF(F26=0,"",VLOOKUP(F26,'Customize code'!$M$8:$O$13,3,FALSE))</f>
        <v xml:space="preserve">  hidden: </v>
      </c>
      <c r="I26" s="5" t="str">
        <f>IF(F26=0, "",  INDEX(entities[[hidden]:[icon]],  MATCH(C26,entities[custom entity '#],0),  'Customize code'!F26)  )</f>
        <v>true</v>
      </c>
      <c r="J26" s="5" t="str">
        <f t="shared" si="3"/>
        <v xml:space="preserve">  hidden: true</v>
      </c>
      <c r="K26" s="5" t="str">
        <f t="shared" si="0"/>
        <v/>
      </c>
    </row>
    <row r="27" spans="2:11" x14ac:dyDescent="0.25">
      <c r="B27" s="5">
        <f t="shared" si="1"/>
        <v>21</v>
      </c>
      <c r="C27" s="5">
        <f t="shared" si="4"/>
        <v>10</v>
      </c>
      <c r="D27" s="14">
        <f t="shared" si="5"/>
        <v>0</v>
      </c>
      <c r="E27" s="14" t="str">
        <f>INDEX(entities[Attributes Index],MATCH('Customize code'!C27,entities[custom entity '#],0))</f>
        <v>1</v>
      </c>
      <c r="F27" s="14">
        <f t="shared" si="2"/>
        <v>0</v>
      </c>
      <c r="G27" s="5" t="str">
        <f>IF(D27&gt;0,"",
INDEX(entities[entity_id],MATCH('Customize code'!C27,entities[custom entity '#],0))&amp;":")</f>
        <v>automation.rmlvtv_chromecast_volume_to_4_on_start:</v>
      </c>
      <c r="H27" s="5" t="str">
        <f>IF(F27=0,"",VLOOKUP(F27,'Customize code'!$M$8:$O$13,3,FALSE))</f>
        <v/>
      </c>
      <c r="I27" s="5" t="str">
        <f>IF(F27=0, "",  INDEX(entities[[hidden]:[icon]],  MATCH(C27,entities[custom entity '#],0),  'Customize code'!F27)  )</f>
        <v/>
      </c>
      <c r="J27" s="5" t="str">
        <f t="shared" si="3"/>
        <v>automation.rmlvtv_chromecast_volume_to_4_on_start:</v>
      </c>
      <c r="K27" s="5" t="str">
        <f t="shared" si="0"/>
        <v/>
      </c>
    </row>
    <row r="28" spans="2:11" x14ac:dyDescent="0.25">
      <c r="B28" s="5">
        <f t="shared" si="1"/>
        <v>22</v>
      </c>
      <c r="C28" s="5">
        <f t="shared" si="4"/>
        <v>10</v>
      </c>
      <c r="D28" s="14">
        <f t="shared" si="5"/>
        <v>1</v>
      </c>
      <c r="E28" s="14" t="str">
        <f>INDEX(entities[Attributes Index],MATCH('Customize code'!C28,entities[custom entity '#],0))</f>
        <v>1</v>
      </c>
      <c r="F28" s="14">
        <f t="shared" si="2"/>
        <v>1</v>
      </c>
      <c r="G28" s="5" t="str">
        <f>IF(D28&gt;0,"",
INDEX(entities[entity_id],MATCH('Customize code'!C28,entities[custom entity '#],0))&amp;":")</f>
        <v/>
      </c>
      <c r="H28" s="5" t="str">
        <f>IF(F28=0,"",VLOOKUP(F28,'Customize code'!$M$8:$O$13,3,FALSE))</f>
        <v xml:space="preserve">  hidden: </v>
      </c>
      <c r="I28" s="5" t="str">
        <f>IF(F28=0, "",  INDEX(entities[[hidden]:[icon]],  MATCH(C28,entities[custom entity '#],0),  'Customize code'!F28)  )</f>
        <v>true</v>
      </c>
      <c r="J28" s="5" t="str">
        <f t="shared" si="3"/>
        <v xml:space="preserve">  hidden: true</v>
      </c>
      <c r="K28" s="5" t="str">
        <f t="shared" si="0"/>
        <v/>
      </c>
    </row>
    <row r="29" spans="2:11" x14ac:dyDescent="0.25">
      <c r="B29" s="5">
        <f t="shared" si="1"/>
        <v>23</v>
      </c>
      <c r="C29" s="5">
        <f t="shared" si="4"/>
        <v>11</v>
      </c>
      <c r="D29" s="14">
        <f t="shared" si="5"/>
        <v>0</v>
      </c>
      <c r="E29" s="14" t="str">
        <f>INDEX(entities[Attributes Index],MATCH('Customize code'!C29,entities[custom entity '#],0))</f>
        <v>1</v>
      </c>
      <c r="F29" s="14">
        <f t="shared" si="2"/>
        <v>0</v>
      </c>
      <c r="G29" s="5" t="str">
        <f>IF(D29&gt;0,"",
INDEX(entities[entity_id],MATCH('Customize code'!C29,entities[custom entity '#],0))&amp;":")</f>
        <v>automation.rmlvtv_tv_off_with_chromecast_from_idle:</v>
      </c>
      <c r="H29" s="5" t="str">
        <f>IF(F29=0,"",VLOOKUP(F29,'Customize code'!$M$8:$O$13,3,FALSE))</f>
        <v/>
      </c>
      <c r="I29" s="5" t="str">
        <f>IF(F29=0, "",  INDEX(entities[[hidden]:[icon]],  MATCH(C29,entities[custom entity '#],0),  'Customize code'!F29)  )</f>
        <v/>
      </c>
      <c r="J29" s="5" t="str">
        <f t="shared" si="3"/>
        <v>automation.rmlvtv_tv_off_with_chromecast_from_idle:</v>
      </c>
      <c r="K29" s="5" t="str">
        <f t="shared" si="0"/>
        <v/>
      </c>
    </row>
    <row r="30" spans="2:11" x14ac:dyDescent="0.25">
      <c r="B30" s="5">
        <f t="shared" si="1"/>
        <v>24</v>
      </c>
      <c r="C30" s="5">
        <f t="shared" si="4"/>
        <v>11</v>
      </c>
      <c r="D30" s="14">
        <f t="shared" si="5"/>
        <v>1</v>
      </c>
      <c r="E30" s="14" t="str">
        <f>INDEX(entities[Attributes Index],MATCH('Customize code'!C30,entities[custom entity '#],0))</f>
        <v>1</v>
      </c>
      <c r="F30" s="14">
        <f t="shared" si="2"/>
        <v>1</v>
      </c>
      <c r="G30" s="5" t="str">
        <f>IF(D30&gt;0,"",
INDEX(entities[entity_id],MATCH('Customize code'!C30,entities[custom entity '#],0))&amp;":")</f>
        <v/>
      </c>
      <c r="H30" s="5" t="str">
        <f>IF(F30=0,"",VLOOKUP(F30,'Customize code'!$M$8:$O$13,3,FALSE))</f>
        <v xml:space="preserve">  hidden: </v>
      </c>
      <c r="I30" s="5" t="str">
        <f>IF(F30=0, "",  INDEX(entities[[hidden]:[icon]],  MATCH(C30,entities[custom entity '#],0),  'Customize code'!F30)  )</f>
        <v>true</v>
      </c>
      <c r="J30" s="5" t="str">
        <f t="shared" si="3"/>
        <v xml:space="preserve">  hidden: true</v>
      </c>
      <c r="K30" s="5" t="str">
        <f t="shared" si="0"/>
        <v/>
      </c>
    </row>
    <row r="31" spans="2:11" x14ac:dyDescent="0.25">
      <c r="B31" s="5">
        <f t="shared" si="1"/>
        <v>25</v>
      </c>
      <c r="C31" s="5">
        <f t="shared" si="4"/>
        <v>12</v>
      </c>
      <c r="D31" s="14">
        <f t="shared" si="5"/>
        <v>0</v>
      </c>
      <c r="E31" s="14" t="str">
        <f>INDEX(entities[Attributes Index],MATCH('Customize code'!C31,entities[custom entity '#],0))</f>
        <v>1</v>
      </c>
      <c r="F31" s="14">
        <f t="shared" si="2"/>
        <v>0</v>
      </c>
      <c r="G31" s="5" t="str">
        <f>IF(D31&gt;0,"",
INDEX(entities[entity_id],MATCH('Customize code'!C31,entities[custom entity '#],0))&amp;":")</f>
        <v>automation.rmlvtv_tv_off_with_chromecast_from_paused:</v>
      </c>
      <c r="H31" s="5" t="str">
        <f>IF(F31=0,"",VLOOKUP(F31,'Customize code'!$M$8:$O$13,3,FALSE))</f>
        <v/>
      </c>
      <c r="I31" s="5" t="str">
        <f>IF(F31=0, "",  INDEX(entities[[hidden]:[icon]],  MATCH(C31,entities[custom entity '#],0),  'Customize code'!F31)  )</f>
        <v/>
      </c>
      <c r="J31" s="5" t="str">
        <f t="shared" si="3"/>
        <v>automation.rmlvtv_tv_off_with_chromecast_from_paused:</v>
      </c>
      <c r="K31" s="5" t="str">
        <f t="shared" si="0"/>
        <v/>
      </c>
    </row>
    <row r="32" spans="2:11" x14ac:dyDescent="0.25">
      <c r="B32" s="5">
        <f t="shared" si="1"/>
        <v>26</v>
      </c>
      <c r="C32" s="5">
        <f t="shared" si="4"/>
        <v>12</v>
      </c>
      <c r="D32" s="14">
        <f t="shared" si="5"/>
        <v>1</v>
      </c>
      <c r="E32" s="14" t="str">
        <f>INDEX(entities[Attributes Index],MATCH('Customize code'!C32,entities[custom entity '#],0))</f>
        <v>1</v>
      </c>
      <c r="F32" s="14">
        <f t="shared" si="2"/>
        <v>1</v>
      </c>
      <c r="G32" s="5" t="str">
        <f>IF(D32&gt;0,"",
INDEX(entities[entity_id],MATCH('Customize code'!C32,entities[custom entity '#],0))&amp;":")</f>
        <v/>
      </c>
      <c r="H32" s="5" t="str">
        <f>IF(F32=0,"",VLOOKUP(F32,'Customize code'!$M$8:$O$13,3,FALSE))</f>
        <v xml:space="preserve">  hidden: </v>
      </c>
      <c r="I32" s="5" t="str">
        <f>IF(F32=0, "",  INDEX(entities[[hidden]:[icon]],  MATCH(C32,entities[custom entity '#],0),  'Customize code'!F32)  )</f>
        <v>true</v>
      </c>
      <c r="J32" s="5" t="str">
        <f t="shared" si="3"/>
        <v xml:space="preserve">  hidden: true</v>
      </c>
      <c r="K32" s="5" t="str">
        <f t="shared" si="0"/>
        <v/>
      </c>
    </row>
    <row r="33" spans="2:11" x14ac:dyDescent="0.25">
      <c r="B33" s="5">
        <f t="shared" si="1"/>
        <v>27</v>
      </c>
      <c r="C33" s="5">
        <f t="shared" si="4"/>
        <v>13</v>
      </c>
      <c r="D33" s="14">
        <f t="shared" si="5"/>
        <v>0</v>
      </c>
      <c r="E33" s="14" t="str">
        <f>INDEX(entities[Attributes Index],MATCH('Customize code'!C33,entities[custom entity '#],0))</f>
        <v>1</v>
      </c>
      <c r="F33" s="14">
        <f t="shared" si="2"/>
        <v>0</v>
      </c>
      <c r="G33" s="5" t="str">
        <f>IF(D33&gt;0,"",
INDEX(entities[entity_id],MATCH('Customize code'!C33,entities[custom entity '#],0))&amp;":")</f>
        <v>automation.rmlvtv_tv_off_with_chromecast_from_playing:</v>
      </c>
      <c r="H33" s="5" t="str">
        <f>IF(F33=0,"",VLOOKUP(F33,'Customize code'!$M$8:$O$13,3,FALSE))</f>
        <v/>
      </c>
      <c r="I33" s="5" t="str">
        <f>IF(F33=0, "",  INDEX(entities[[hidden]:[icon]],  MATCH(C33,entities[custom entity '#],0),  'Customize code'!F33)  )</f>
        <v/>
      </c>
      <c r="J33" s="5" t="str">
        <f t="shared" si="3"/>
        <v>automation.rmlvtv_tv_off_with_chromecast_from_playing:</v>
      </c>
      <c r="K33" s="5" t="str">
        <f t="shared" si="0"/>
        <v/>
      </c>
    </row>
    <row r="34" spans="2:11" x14ac:dyDescent="0.25">
      <c r="B34" s="5">
        <f t="shared" si="1"/>
        <v>28</v>
      </c>
      <c r="C34" s="5">
        <f t="shared" si="4"/>
        <v>13</v>
      </c>
      <c r="D34" s="14">
        <f t="shared" si="5"/>
        <v>1</v>
      </c>
      <c r="E34" s="14" t="str">
        <f>INDEX(entities[Attributes Index],MATCH('Customize code'!C34,entities[custom entity '#],0))</f>
        <v>1</v>
      </c>
      <c r="F34" s="14">
        <f t="shared" si="2"/>
        <v>1</v>
      </c>
      <c r="G34" s="5" t="str">
        <f>IF(D34&gt;0,"",
INDEX(entities[entity_id],MATCH('Customize code'!C34,entities[custom entity '#],0))&amp;":")</f>
        <v/>
      </c>
      <c r="H34" s="5" t="str">
        <f>IF(F34=0,"",VLOOKUP(F34,'Customize code'!$M$8:$O$13,3,FALSE))</f>
        <v xml:space="preserve">  hidden: </v>
      </c>
      <c r="I34" s="5" t="str">
        <f>IF(F34=0, "",  INDEX(entities[[hidden]:[icon]],  MATCH(C34,entities[custom entity '#],0),  'Customize code'!F34)  )</f>
        <v>true</v>
      </c>
      <c r="J34" s="5" t="str">
        <f t="shared" si="3"/>
        <v xml:space="preserve">  hidden: true</v>
      </c>
      <c r="K34" s="5" t="str">
        <f t="shared" si="0"/>
        <v/>
      </c>
    </row>
    <row r="35" spans="2:11" x14ac:dyDescent="0.25">
      <c r="B35" s="5">
        <f t="shared" si="1"/>
        <v>29</v>
      </c>
      <c r="C35" s="5">
        <f t="shared" si="4"/>
        <v>14</v>
      </c>
      <c r="D35" s="14">
        <f t="shared" si="5"/>
        <v>0</v>
      </c>
      <c r="E35" s="14" t="str">
        <f>INDEX(entities[Attributes Index],MATCH('Customize code'!C35,entities[custom entity '#],0))</f>
        <v>1</v>
      </c>
      <c r="F35" s="14">
        <f t="shared" si="2"/>
        <v>0</v>
      </c>
      <c r="G35" s="5" t="str">
        <f>IF(D35&gt;0,"",
INDEX(entities[entity_id],MATCH('Customize code'!C35,entities[custom entity '#],0))&amp;":")</f>
        <v>automation.rmlvtv_tv_on_with_chromecast:</v>
      </c>
      <c r="H35" s="5" t="str">
        <f>IF(F35=0,"",VLOOKUP(F35,'Customize code'!$M$8:$O$13,3,FALSE))</f>
        <v/>
      </c>
      <c r="I35" s="5" t="str">
        <f>IF(F35=0, "",  INDEX(entities[[hidden]:[icon]],  MATCH(C35,entities[custom entity '#],0),  'Customize code'!F35)  )</f>
        <v/>
      </c>
      <c r="J35" s="5" t="str">
        <f t="shared" si="3"/>
        <v>automation.rmlvtv_tv_on_with_chromecast:</v>
      </c>
      <c r="K35" s="5" t="str">
        <f t="shared" si="0"/>
        <v/>
      </c>
    </row>
    <row r="36" spans="2:11" x14ac:dyDescent="0.25">
      <c r="B36" s="5">
        <f t="shared" si="1"/>
        <v>30</v>
      </c>
      <c r="C36" s="5">
        <f t="shared" si="4"/>
        <v>14</v>
      </c>
      <c r="D36" s="14">
        <f t="shared" si="5"/>
        <v>1</v>
      </c>
      <c r="E36" s="14" t="str">
        <f>INDEX(entities[Attributes Index],MATCH('Customize code'!C36,entities[custom entity '#],0))</f>
        <v>1</v>
      </c>
      <c r="F36" s="14">
        <f t="shared" si="2"/>
        <v>1</v>
      </c>
      <c r="G36" s="5" t="str">
        <f>IF(D36&gt;0,"",
INDEX(entities[entity_id],MATCH('Customize code'!C36,entities[custom entity '#],0))&amp;":")</f>
        <v/>
      </c>
      <c r="H36" s="5" t="str">
        <f>IF(F36=0,"",VLOOKUP(F36,'Customize code'!$M$8:$O$13,3,FALSE))</f>
        <v xml:space="preserve">  hidden: </v>
      </c>
      <c r="I36" s="5" t="str">
        <f>IF(F36=0, "",  INDEX(entities[[hidden]:[icon]],  MATCH(C36,entities[custom entity '#],0),  'Customize code'!F36)  )</f>
        <v>true</v>
      </c>
      <c r="J36" s="5" t="str">
        <f t="shared" si="3"/>
        <v xml:space="preserve">  hidden: true</v>
      </c>
      <c r="K36" s="5" t="str">
        <f t="shared" si="0"/>
        <v/>
      </c>
    </row>
    <row r="37" spans="2:11" x14ac:dyDescent="0.25">
      <c r="B37" s="5">
        <f t="shared" si="1"/>
        <v>31</v>
      </c>
      <c r="C37" s="5">
        <f t="shared" si="4"/>
        <v>15</v>
      </c>
      <c r="D37" s="14">
        <f t="shared" si="5"/>
        <v>0</v>
      </c>
      <c r="E37" s="14" t="str">
        <f>INDEX(entities[Attributes Index],MATCH('Customize code'!C37,entities[custom entity '#],0))</f>
        <v>1</v>
      </c>
      <c r="F37" s="14">
        <f t="shared" si="2"/>
        <v>0</v>
      </c>
      <c r="G37" s="5" t="str">
        <f>IF(D37&gt;0,"",
INDEX(entities[entity_id],MATCH('Customize code'!C37,entities[custom entity '#],0))&amp;":")</f>
        <v>automation.statfriend_friend_visiting_off_from_device_tracker:</v>
      </c>
      <c r="H37" s="5" t="str">
        <f>IF(F37=0,"",VLOOKUP(F37,'Customize code'!$M$8:$O$13,3,FALSE))</f>
        <v/>
      </c>
      <c r="I37" s="5" t="str">
        <f>IF(F37=0, "",  INDEX(entities[[hidden]:[icon]],  MATCH(C37,entities[custom entity '#],0),  'Customize code'!F37)  )</f>
        <v/>
      </c>
      <c r="J37" s="5" t="str">
        <f t="shared" si="3"/>
        <v>automation.statfriend_friend_visiting_off_from_device_tracker:</v>
      </c>
      <c r="K37" s="5" t="str">
        <f t="shared" si="0"/>
        <v/>
      </c>
    </row>
    <row r="38" spans="2:11" x14ac:dyDescent="0.25">
      <c r="B38" s="5">
        <f t="shared" si="1"/>
        <v>32</v>
      </c>
      <c r="C38" s="5">
        <f t="shared" si="4"/>
        <v>15</v>
      </c>
      <c r="D38" s="14">
        <f t="shared" si="5"/>
        <v>1</v>
      </c>
      <c r="E38" s="14" t="str">
        <f>INDEX(entities[Attributes Index],MATCH('Customize code'!C38,entities[custom entity '#],0))</f>
        <v>1</v>
      </c>
      <c r="F38" s="14">
        <f t="shared" si="2"/>
        <v>1</v>
      </c>
      <c r="G38" s="5" t="str">
        <f>IF(D38&gt;0,"",
INDEX(entities[entity_id],MATCH('Customize code'!C38,entities[custom entity '#],0))&amp;":")</f>
        <v/>
      </c>
      <c r="H38" s="5" t="str">
        <f>IF(F38=0,"",VLOOKUP(F38,'Customize code'!$M$8:$O$13,3,FALSE))</f>
        <v xml:space="preserve">  hidden: </v>
      </c>
      <c r="I38" s="5" t="str">
        <f>IF(F38=0, "",  INDEX(entities[[hidden]:[icon]],  MATCH(C38,entities[custom entity '#],0),  'Customize code'!F38)  )</f>
        <v>true</v>
      </c>
      <c r="J38" s="5" t="str">
        <f t="shared" si="3"/>
        <v xml:space="preserve">  hidden: true</v>
      </c>
      <c r="K38" s="5" t="str">
        <f t="shared" si="0"/>
        <v/>
      </c>
    </row>
    <row r="39" spans="2:11" x14ac:dyDescent="0.25">
      <c r="B39" s="5">
        <f t="shared" si="1"/>
        <v>33</v>
      </c>
      <c r="C39" s="5">
        <f t="shared" si="4"/>
        <v>16</v>
      </c>
      <c r="D39" s="14">
        <f t="shared" si="5"/>
        <v>0</v>
      </c>
      <c r="E39" s="14" t="str">
        <f>INDEX(entities[Attributes Index],MATCH('Customize code'!C39,entities[custom entity '#],0))</f>
        <v>1</v>
      </c>
      <c r="F39" s="14">
        <f t="shared" si="2"/>
        <v>0</v>
      </c>
      <c r="G39" s="5" t="str">
        <f>IF(D39&gt;0,"",
INDEX(entities[entity_id],MATCH('Customize code'!C39,entities[custom entity '#],0))&amp;":")</f>
        <v>automation.statfriend_friend_visiting_on_from_device_tracker:</v>
      </c>
      <c r="H39" s="5" t="str">
        <f>IF(F39=0,"",VLOOKUP(F39,'Customize code'!$M$8:$O$13,3,FALSE))</f>
        <v/>
      </c>
      <c r="I39" s="5" t="str">
        <f>IF(F39=0, "",  INDEX(entities[[hidden]:[icon]],  MATCH(C39,entities[custom entity '#],0),  'Customize code'!F39)  )</f>
        <v/>
      </c>
      <c r="J39" s="5" t="str">
        <f t="shared" si="3"/>
        <v>automation.statfriend_friend_visiting_on_from_device_tracker:</v>
      </c>
      <c r="K39" s="5" t="str">
        <f t="shared" si="0"/>
        <v/>
      </c>
    </row>
    <row r="40" spans="2:11" x14ac:dyDescent="0.25">
      <c r="B40" s="5">
        <f t="shared" si="1"/>
        <v>34</v>
      </c>
      <c r="C40" s="5">
        <f t="shared" si="4"/>
        <v>16</v>
      </c>
      <c r="D40" s="14">
        <f t="shared" si="5"/>
        <v>1</v>
      </c>
      <c r="E40" s="14" t="str">
        <f>INDEX(entities[Attributes Index],MATCH('Customize code'!C40,entities[custom entity '#],0))</f>
        <v>1</v>
      </c>
      <c r="F40" s="14">
        <f t="shared" si="2"/>
        <v>1</v>
      </c>
      <c r="G40" s="5" t="str">
        <f>IF(D40&gt;0,"",
INDEX(entities[entity_id],MATCH('Customize code'!C40,entities[custom entity '#],0))&amp;":")</f>
        <v/>
      </c>
      <c r="H40" s="5" t="str">
        <f>IF(F40=0,"",VLOOKUP(F40,'Customize code'!$M$8:$O$13,3,FALSE))</f>
        <v xml:space="preserve">  hidden: </v>
      </c>
      <c r="I40" s="5" t="str">
        <f>IF(F40=0, "",  INDEX(entities[[hidden]:[icon]],  MATCH(C40,entities[custom entity '#],0),  'Customize code'!F40)  )</f>
        <v>true</v>
      </c>
      <c r="J40" s="5" t="str">
        <f t="shared" si="3"/>
        <v xml:space="preserve">  hidden: true</v>
      </c>
      <c r="K40" s="5" t="str">
        <f t="shared" si="0"/>
        <v/>
      </c>
    </row>
    <row r="41" spans="2:11" x14ac:dyDescent="0.25">
      <c r="B41" s="5">
        <f t="shared" si="1"/>
        <v>35</v>
      </c>
      <c r="C41" s="5">
        <f t="shared" si="4"/>
        <v>17</v>
      </c>
      <c r="D41" s="14">
        <f t="shared" si="5"/>
        <v>0</v>
      </c>
      <c r="E41" s="14" t="str">
        <f>INDEX(entities[Attributes Index],MATCH('Customize code'!C41,entities[custom entity '#],0))</f>
        <v>1</v>
      </c>
      <c r="F41" s="14">
        <f t="shared" si="2"/>
        <v>0</v>
      </c>
      <c r="G41" s="5" t="str">
        <f>IF(D41&gt;0,"",
INDEX(entities[entity_id],MATCH('Customize code'!C41,entities[custom entity '#],0))&amp;":")</f>
        <v>automation.statron_away_status_from_device_tracker:</v>
      </c>
      <c r="H41" s="5" t="str">
        <f>IF(F41=0,"",VLOOKUP(F41,'Customize code'!$M$8:$O$13,3,FALSE))</f>
        <v/>
      </c>
      <c r="I41" s="5" t="str">
        <f>IF(F41=0, "",  INDEX(entities[[hidden]:[icon]],  MATCH(C41,entities[custom entity '#],0),  'Customize code'!F41)  )</f>
        <v/>
      </c>
      <c r="J41" s="5" t="str">
        <f t="shared" si="3"/>
        <v>automation.statron_away_status_from_device_tracker:</v>
      </c>
      <c r="K41" s="5" t="str">
        <f t="shared" si="0"/>
        <v/>
      </c>
    </row>
    <row r="42" spans="2:11" x14ac:dyDescent="0.25">
      <c r="B42" s="5">
        <f t="shared" si="1"/>
        <v>36</v>
      </c>
      <c r="C42" s="5">
        <f t="shared" si="4"/>
        <v>17</v>
      </c>
      <c r="D42" s="14">
        <f t="shared" si="5"/>
        <v>1</v>
      </c>
      <c r="E42" s="14" t="str">
        <f>INDEX(entities[Attributes Index],MATCH('Customize code'!C42,entities[custom entity '#],0))</f>
        <v>1</v>
      </c>
      <c r="F42" s="14">
        <f t="shared" si="2"/>
        <v>1</v>
      </c>
      <c r="G42" s="5" t="str">
        <f>IF(D42&gt;0,"",
INDEX(entities[entity_id],MATCH('Customize code'!C42,entities[custom entity '#],0))&amp;":")</f>
        <v/>
      </c>
      <c r="H42" s="5" t="str">
        <f>IF(F42=0,"",VLOOKUP(F42,'Customize code'!$M$8:$O$13,3,FALSE))</f>
        <v xml:space="preserve">  hidden: </v>
      </c>
      <c r="I42" s="5" t="str">
        <f>IF(F42=0, "",  INDEX(entities[[hidden]:[icon]],  MATCH(C42,entities[custom entity '#],0),  'Customize code'!F42)  )</f>
        <v>true</v>
      </c>
      <c r="J42" s="5" t="str">
        <f t="shared" si="3"/>
        <v xml:space="preserve">  hidden: true</v>
      </c>
      <c r="K42" s="5" t="str">
        <f t="shared" si="0"/>
        <v/>
      </c>
    </row>
    <row r="43" spans="2:11" x14ac:dyDescent="0.25">
      <c r="B43" s="5">
        <f t="shared" si="1"/>
        <v>37</v>
      </c>
      <c r="C43" s="5">
        <f t="shared" si="4"/>
        <v>18</v>
      </c>
      <c r="D43" s="14">
        <f t="shared" si="5"/>
        <v>0</v>
      </c>
      <c r="E43" s="14" t="str">
        <f>INDEX(entities[Attributes Index],MATCH('Customize code'!C43,entities[custom entity '#],0))</f>
        <v>1</v>
      </c>
      <c r="F43" s="14">
        <f t="shared" si="2"/>
        <v>0</v>
      </c>
      <c r="G43" s="5" t="str">
        <f>IF(D43&gt;0,"",
INDEX(entities[entity_id],MATCH('Customize code'!C43,entities[custom entity '#],0))&amp;":")</f>
        <v>automation.statron_computer_status_from_monitor_status:</v>
      </c>
      <c r="H43" s="5" t="str">
        <f>IF(F43=0,"",VLOOKUP(F43,'Customize code'!$M$8:$O$13,3,FALSE))</f>
        <v/>
      </c>
      <c r="I43" s="5" t="str">
        <f>IF(F43=0, "",  INDEX(entities[[hidden]:[icon]],  MATCH(C43,entities[custom entity '#],0),  'Customize code'!F43)  )</f>
        <v/>
      </c>
      <c r="J43" s="5" t="str">
        <f t="shared" si="3"/>
        <v>automation.statron_computer_status_from_monitor_status:</v>
      </c>
      <c r="K43" s="5" t="str">
        <f t="shared" si="0"/>
        <v/>
      </c>
    </row>
    <row r="44" spans="2:11" x14ac:dyDescent="0.25">
      <c r="B44" s="5">
        <f t="shared" si="1"/>
        <v>38</v>
      </c>
      <c r="C44" s="5">
        <f t="shared" si="4"/>
        <v>18</v>
      </c>
      <c r="D44" s="14">
        <f t="shared" si="5"/>
        <v>1</v>
      </c>
      <c r="E44" s="14" t="str">
        <f>INDEX(entities[Attributes Index],MATCH('Customize code'!C44,entities[custom entity '#],0))</f>
        <v>1</v>
      </c>
      <c r="F44" s="14">
        <f t="shared" si="2"/>
        <v>1</v>
      </c>
      <c r="G44" s="5" t="str">
        <f>IF(D44&gt;0,"",
INDEX(entities[entity_id],MATCH('Customize code'!C44,entities[custom entity '#],0))&amp;":")</f>
        <v/>
      </c>
      <c r="H44" s="5" t="str">
        <f>IF(F44=0,"",VLOOKUP(F44,'Customize code'!$M$8:$O$13,3,FALSE))</f>
        <v xml:space="preserve">  hidden: </v>
      </c>
      <c r="I44" s="5" t="str">
        <f>IF(F44=0, "",  INDEX(entities[[hidden]:[icon]],  MATCH(C44,entities[custom entity '#],0),  'Customize code'!F44)  )</f>
        <v>true</v>
      </c>
      <c r="J44" s="5" t="str">
        <f t="shared" si="3"/>
        <v xml:space="preserve">  hidden: true</v>
      </c>
      <c r="K44" s="5" t="str">
        <f t="shared" si="0"/>
        <v/>
      </c>
    </row>
    <row r="45" spans="2:11" x14ac:dyDescent="0.25">
      <c r="B45" s="5">
        <f t="shared" si="1"/>
        <v>39</v>
      </c>
      <c r="C45" s="5">
        <f t="shared" si="4"/>
        <v>19</v>
      </c>
      <c r="D45" s="14">
        <f t="shared" si="5"/>
        <v>0</v>
      </c>
      <c r="E45" s="14" t="str">
        <f>INDEX(entities[Attributes Index],MATCH('Customize code'!C45,entities[custom entity '#],0))</f>
        <v>1</v>
      </c>
      <c r="F45" s="14">
        <f t="shared" si="2"/>
        <v>0</v>
      </c>
      <c r="G45" s="5" t="str">
        <f>IF(D45&gt;0,"",
INDEX(entities[entity_id],MATCH('Customize code'!C45,entities[custom entity '#],0))&amp;":")</f>
        <v>automation.statron_home_status_from_device_tracker:</v>
      </c>
      <c r="H45" s="5" t="str">
        <f>IF(F45=0,"",VLOOKUP(F45,'Customize code'!$M$8:$O$13,3,FALSE))</f>
        <v/>
      </c>
      <c r="I45" s="5" t="str">
        <f>IF(F45=0, "",  INDEX(entities[[hidden]:[icon]],  MATCH(C45,entities[custom entity '#],0),  'Customize code'!F45)  )</f>
        <v/>
      </c>
      <c r="J45" s="5" t="str">
        <f t="shared" si="3"/>
        <v>automation.statron_home_status_from_device_tracker:</v>
      </c>
      <c r="K45" s="5" t="str">
        <f t="shared" si="0"/>
        <v/>
      </c>
    </row>
    <row r="46" spans="2:11" x14ac:dyDescent="0.25">
      <c r="B46" s="5">
        <f t="shared" si="1"/>
        <v>40</v>
      </c>
      <c r="C46" s="5">
        <f t="shared" si="4"/>
        <v>19</v>
      </c>
      <c r="D46" s="14">
        <f t="shared" si="5"/>
        <v>1</v>
      </c>
      <c r="E46" s="14" t="str">
        <f>INDEX(entities[Attributes Index],MATCH('Customize code'!C46,entities[custom entity '#],0))</f>
        <v>1</v>
      </c>
      <c r="F46" s="14">
        <f t="shared" si="2"/>
        <v>1</v>
      </c>
      <c r="G46" s="5" t="str">
        <f>IF(D46&gt;0,"",
INDEX(entities[entity_id],MATCH('Customize code'!C46,entities[custom entity '#],0))&amp;":")</f>
        <v/>
      </c>
      <c r="H46" s="5" t="str">
        <f>IF(F46=0,"",VLOOKUP(F46,'Customize code'!$M$8:$O$13,3,FALSE))</f>
        <v xml:space="preserve">  hidden: </v>
      </c>
      <c r="I46" s="5" t="str">
        <f>IF(F46=0, "",  INDEX(entities[[hidden]:[icon]],  MATCH(C46,entities[custom entity '#],0),  'Customize code'!F46)  )</f>
        <v>true</v>
      </c>
      <c r="J46" s="5" t="str">
        <f t="shared" si="3"/>
        <v xml:space="preserve">  hidden: true</v>
      </c>
      <c r="K46" s="5" t="str">
        <f t="shared" si="0"/>
        <v/>
      </c>
    </row>
    <row r="47" spans="2:11" x14ac:dyDescent="0.25">
      <c r="B47" s="5">
        <f t="shared" si="1"/>
        <v>41</v>
      </c>
      <c r="C47" s="5">
        <f t="shared" si="4"/>
        <v>20</v>
      </c>
      <c r="D47" s="14">
        <f t="shared" si="5"/>
        <v>0</v>
      </c>
      <c r="E47" s="14" t="str">
        <f>INDEX(entities[Attributes Index],MATCH('Customize code'!C47,entities[custom entity '#],0))</f>
        <v>1</v>
      </c>
      <c r="F47" s="14">
        <f t="shared" si="2"/>
        <v>0</v>
      </c>
      <c r="G47" s="5" t="str">
        <f>IF(D47&gt;0,"",
INDEX(entities[entity_id],MATCH('Customize code'!C47,entities[custom entity '#],0))&amp;":")</f>
        <v>automation.statron_home_status_from_monitor_status:</v>
      </c>
      <c r="H47" s="5" t="str">
        <f>IF(F47=0,"",VLOOKUP(F47,'Customize code'!$M$8:$O$13,3,FALSE))</f>
        <v/>
      </c>
      <c r="I47" s="5" t="str">
        <f>IF(F47=0, "",  INDEX(entities[[hidden]:[icon]],  MATCH(C47,entities[custom entity '#],0),  'Customize code'!F47)  )</f>
        <v/>
      </c>
      <c r="J47" s="5" t="str">
        <f t="shared" si="3"/>
        <v>automation.statron_home_status_from_monitor_status:</v>
      </c>
      <c r="K47" s="5" t="str">
        <f t="shared" si="0"/>
        <v/>
      </c>
    </row>
    <row r="48" spans="2:11" x14ac:dyDescent="0.25">
      <c r="B48" s="5">
        <f t="shared" si="1"/>
        <v>42</v>
      </c>
      <c r="C48" s="5">
        <f t="shared" si="4"/>
        <v>20</v>
      </c>
      <c r="D48" s="14">
        <f t="shared" si="5"/>
        <v>1</v>
      </c>
      <c r="E48" s="14" t="str">
        <f>INDEX(entities[Attributes Index],MATCH('Customize code'!C48,entities[custom entity '#],0))</f>
        <v>1</v>
      </c>
      <c r="F48" s="14">
        <f t="shared" si="2"/>
        <v>1</v>
      </c>
      <c r="G48" s="5" t="str">
        <f>IF(D48&gt;0,"",
INDEX(entities[entity_id],MATCH('Customize code'!C48,entities[custom entity '#],0))&amp;":")</f>
        <v/>
      </c>
      <c r="H48" s="5" t="str">
        <f>IF(F48=0,"",VLOOKUP(F48,'Customize code'!$M$8:$O$13,3,FALSE))</f>
        <v xml:space="preserve">  hidden: </v>
      </c>
      <c r="I48" s="5" t="str">
        <f>IF(F48=0, "",  INDEX(entities[[hidden]:[icon]],  MATCH(C48,entities[custom entity '#],0),  'Customize code'!F48)  )</f>
        <v>true</v>
      </c>
      <c r="J48" s="5" t="str">
        <f t="shared" si="3"/>
        <v xml:space="preserve">  hidden: true</v>
      </c>
      <c r="K48" s="5" t="str">
        <f t="shared" si="0"/>
        <v/>
      </c>
    </row>
    <row r="49" spans="2:11" x14ac:dyDescent="0.25">
      <c r="B49" s="5">
        <f t="shared" si="1"/>
        <v>43</v>
      </c>
      <c r="C49" s="5">
        <f t="shared" si="4"/>
        <v>21</v>
      </c>
      <c r="D49" s="14">
        <f t="shared" si="5"/>
        <v>0</v>
      </c>
      <c r="E49" s="14" t="str">
        <f>INDEX(entities[Attributes Index],MATCH('Customize code'!C49,entities[custom entity '#],0))</f>
        <v>1</v>
      </c>
      <c r="F49" s="14">
        <f t="shared" si="2"/>
        <v>0</v>
      </c>
      <c r="G49" s="5" t="str">
        <f>IF(D49&gt;0,"",
INDEX(entities[entity_id],MATCH('Customize code'!C49,entities[custom entity '#],0))&amp;":")</f>
        <v>automation.statron_tv_status_from_chromecast:</v>
      </c>
      <c r="H49" s="5" t="str">
        <f>IF(F49=0,"",VLOOKUP(F49,'Customize code'!$M$8:$O$13,3,FALSE))</f>
        <v/>
      </c>
      <c r="I49" s="5" t="str">
        <f>IF(F49=0, "",  INDEX(entities[[hidden]:[icon]],  MATCH(C49,entities[custom entity '#],0),  'Customize code'!F49)  )</f>
        <v/>
      </c>
      <c r="J49" s="5" t="str">
        <f t="shared" si="3"/>
        <v>automation.statron_tv_status_from_chromecast:</v>
      </c>
      <c r="K49" s="5" t="str">
        <f t="shared" si="0"/>
        <v/>
      </c>
    </row>
    <row r="50" spans="2:11" x14ac:dyDescent="0.25">
      <c r="B50" s="5">
        <f t="shared" si="1"/>
        <v>44</v>
      </c>
      <c r="C50" s="5">
        <f t="shared" si="4"/>
        <v>21</v>
      </c>
      <c r="D50" s="14">
        <f t="shared" si="5"/>
        <v>1</v>
      </c>
      <c r="E50" s="14" t="str">
        <f>INDEX(entities[Attributes Index],MATCH('Customize code'!C50,entities[custom entity '#],0))</f>
        <v>1</v>
      </c>
      <c r="F50" s="14">
        <f t="shared" si="2"/>
        <v>1</v>
      </c>
      <c r="G50" s="5" t="str">
        <f>IF(D50&gt;0,"",
INDEX(entities[entity_id],MATCH('Customize code'!C50,entities[custom entity '#],0))&amp;":")</f>
        <v/>
      </c>
      <c r="H50" s="5" t="str">
        <f>IF(F50=0,"",VLOOKUP(F50,'Customize code'!$M$8:$O$13,3,FALSE))</f>
        <v xml:space="preserve">  hidden: </v>
      </c>
      <c r="I50" s="5" t="str">
        <f>IF(F50=0, "",  INDEX(entities[[hidden]:[icon]],  MATCH(C50,entities[custom entity '#],0),  'Customize code'!F50)  )</f>
        <v>true</v>
      </c>
      <c r="J50" s="5" t="str">
        <f t="shared" si="3"/>
        <v xml:space="preserve">  hidden: true</v>
      </c>
      <c r="K50" s="5" t="str">
        <f t="shared" si="0"/>
        <v/>
      </c>
    </row>
    <row r="51" spans="2:11" x14ac:dyDescent="0.25">
      <c r="B51" s="5">
        <f t="shared" si="1"/>
        <v>45</v>
      </c>
      <c r="C51" s="5">
        <f t="shared" si="4"/>
        <v>22</v>
      </c>
      <c r="D51" s="14">
        <f t="shared" si="5"/>
        <v>0</v>
      </c>
      <c r="E51" s="14" t="str">
        <f>INDEX(entities[Attributes Index],MATCH('Customize code'!C51,entities[custom entity '#],0))</f>
        <v>1</v>
      </c>
      <c r="F51" s="14">
        <f t="shared" si="2"/>
        <v>0</v>
      </c>
      <c r="G51" s="5" t="str">
        <f>IF(D51&gt;0,"",
INDEX(entities[entity_id],MATCH('Customize code'!C51,entities[custom entity '#],0))&amp;":")</f>
        <v>automation.statvac_vacation_lights_at_sunset_when_vacation_mode_on:</v>
      </c>
      <c r="H51" s="5" t="str">
        <f>IF(F51=0,"",VLOOKUP(F51,'Customize code'!$M$8:$O$13,3,FALSE))</f>
        <v/>
      </c>
      <c r="I51" s="5" t="str">
        <f>IF(F51=0, "",  INDEX(entities[[hidden]:[icon]],  MATCH(C51,entities[custom entity '#],0),  'Customize code'!F51)  )</f>
        <v/>
      </c>
      <c r="J51" s="5" t="str">
        <f t="shared" si="3"/>
        <v>automation.statvac_vacation_lights_at_sunset_when_vacation_mode_on:</v>
      </c>
      <c r="K51" s="5" t="str">
        <f t="shared" si="0"/>
        <v/>
      </c>
    </row>
    <row r="52" spans="2:11" x14ac:dyDescent="0.25">
      <c r="B52" s="5">
        <f t="shared" si="1"/>
        <v>46</v>
      </c>
      <c r="C52" s="5">
        <f t="shared" si="4"/>
        <v>22</v>
      </c>
      <c r="D52" s="14">
        <f t="shared" si="5"/>
        <v>1</v>
      </c>
      <c r="E52" s="14" t="str">
        <f>INDEX(entities[Attributes Index],MATCH('Customize code'!C52,entities[custom entity '#],0))</f>
        <v>1</v>
      </c>
      <c r="F52" s="14">
        <f t="shared" si="2"/>
        <v>1</v>
      </c>
      <c r="G52" s="5" t="str">
        <f>IF(D52&gt;0,"",
INDEX(entities[entity_id],MATCH('Customize code'!C52,entities[custom entity '#],0))&amp;":")</f>
        <v/>
      </c>
      <c r="H52" s="5" t="str">
        <f>IF(F52=0,"",VLOOKUP(F52,'Customize code'!$M$8:$O$13,3,FALSE))</f>
        <v xml:space="preserve">  hidden: </v>
      </c>
      <c r="I52" s="5" t="str">
        <f>IF(F52=0, "",  INDEX(entities[[hidden]:[icon]],  MATCH(C52,entities[custom entity '#],0),  'Customize code'!F52)  )</f>
        <v>true</v>
      </c>
      <c r="J52" s="5" t="str">
        <f t="shared" si="3"/>
        <v xml:space="preserve">  hidden: true</v>
      </c>
      <c r="K52" s="5" t="str">
        <f t="shared" si="0"/>
        <v/>
      </c>
    </row>
    <row r="53" spans="2:11" x14ac:dyDescent="0.25">
      <c r="B53" s="5">
        <f t="shared" si="1"/>
        <v>47</v>
      </c>
      <c r="C53" s="5">
        <f t="shared" si="4"/>
        <v>23</v>
      </c>
      <c r="D53" s="14">
        <f t="shared" si="5"/>
        <v>0</v>
      </c>
      <c r="E53" s="14" t="str">
        <f>INDEX(entities[Attributes Index],MATCH('Customize code'!C53,entities[custom entity '#],0))</f>
        <v>1</v>
      </c>
      <c r="F53" s="14">
        <f t="shared" si="2"/>
        <v>0</v>
      </c>
      <c r="G53" s="5" t="str">
        <f>IF(D53&gt;0,"",
INDEX(entities[entity_id],MATCH('Customize code'!C53,entities[custom entity '#],0))&amp;":")</f>
        <v>automation.statvac_vacation_mode_off_when_home:</v>
      </c>
      <c r="H53" s="5" t="str">
        <f>IF(F53=0,"",VLOOKUP(F53,'Customize code'!$M$8:$O$13,3,FALSE))</f>
        <v/>
      </c>
      <c r="I53" s="5" t="str">
        <f>IF(F53=0, "",  INDEX(entities[[hidden]:[icon]],  MATCH(C53,entities[custom entity '#],0),  'Customize code'!F53)  )</f>
        <v/>
      </c>
      <c r="J53" s="5" t="str">
        <f t="shared" si="3"/>
        <v>automation.statvac_vacation_mode_off_when_home:</v>
      </c>
      <c r="K53" s="5" t="str">
        <f t="shared" si="0"/>
        <v/>
      </c>
    </row>
    <row r="54" spans="2:11" x14ac:dyDescent="0.25">
      <c r="B54" s="5">
        <f t="shared" si="1"/>
        <v>48</v>
      </c>
      <c r="C54" s="5">
        <f t="shared" si="4"/>
        <v>23</v>
      </c>
      <c r="D54" s="14">
        <f t="shared" si="5"/>
        <v>1</v>
      </c>
      <c r="E54" s="14" t="str">
        <f>INDEX(entities[Attributes Index],MATCH('Customize code'!C54,entities[custom entity '#],0))</f>
        <v>1</v>
      </c>
      <c r="F54" s="14">
        <f t="shared" si="2"/>
        <v>1</v>
      </c>
      <c r="G54" s="5" t="str">
        <f>IF(D54&gt;0,"",
INDEX(entities[entity_id],MATCH('Customize code'!C54,entities[custom entity '#],0))&amp;":")</f>
        <v/>
      </c>
      <c r="H54" s="5" t="str">
        <f>IF(F54=0,"",VLOOKUP(F54,'Customize code'!$M$8:$O$13,3,FALSE))</f>
        <v xml:space="preserve">  hidden: </v>
      </c>
      <c r="I54" s="5" t="str">
        <f>IF(F54=0, "",  INDEX(entities[[hidden]:[icon]],  MATCH(C54,entities[custom entity '#],0),  'Customize code'!F54)  )</f>
        <v>true</v>
      </c>
      <c r="J54" s="5" t="str">
        <f t="shared" si="3"/>
        <v xml:space="preserve">  hidden: true</v>
      </c>
      <c r="K54" s="5" t="str">
        <f t="shared" si="0"/>
        <v/>
      </c>
    </row>
    <row r="55" spans="2:11" x14ac:dyDescent="0.25">
      <c r="B55" s="5">
        <f t="shared" si="1"/>
        <v>49</v>
      </c>
      <c r="C55" s="5">
        <f t="shared" si="4"/>
        <v>24</v>
      </c>
      <c r="D55" s="14">
        <f t="shared" si="5"/>
        <v>0</v>
      </c>
      <c r="E55" s="14" t="str">
        <f>INDEX(entities[Attributes Index],MATCH('Customize code'!C55,entities[custom entity '#],0))</f>
        <v>1</v>
      </c>
      <c r="F55" s="14">
        <f t="shared" si="2"/>
        <v>0</v>
      </c>
      <c r="G55" s="5" t="str">
        <f>IF(D55&gt;0,"",
INDEX(entities[entity_id],MATCH('Customize code'!C55,entities[custom entity '#],0))&amp;":")</f>
        <v>automation.statvac_vacation_mode_on_when_gone_24_hours:</v>
      </c>
      <c r="H55" s="5" t="str">
        <f>IF(F55=0,"",VLOOKUP(F55,'Customize code'!$M$8:$O$13,3,FALSE))</f>
        <v/>
      </c>
      <c r="I55" s="5" t="str">
        <f>IF(F55=0, "",  INDEX(entities[[hidden]:[icon]],  MATCH(C55,entities[custom entity '#],0),  'Customize code'!F55)  )</f>
        <v/>
      </c>
      <c r="J55" s="5" t="str">
        <f t="shared" si="3"/>
        <v>automation.statvac_vacation_mode_on_when_gone_24_hours:</v>
      </c>
      <c r="K55" s="5" t="str">
        <f t="shared" si="0"/>
        <v/>
      </c>
    </row>
    <row r="56" spans="2:11" x14ac:dyDescent="0.25">
      <c r="B56" s="5">
        <f t="shared" si="1"/>
        <v>50</v>
      </c>
      <c r="C56" s="5">
        <f t="shared" si="4"/>
        <v>24</v>
      </c>
      <c r="D56" s="14">
        <f t="shared" si="5"/>
        <v>1</v>
      </c>
      <c r="E56" s="14" t="str">
        <f>INDEX(entities[Attributes Index],MATCH('Customize code'!C56,entities[custom entity '#],0))</f>
        <v>1</v>
      </c>
      <c r="F56" s="14">
        <f t="shared" si="2"/>
        <v>1</v>
      </c>
      <c r="G56" s="5" t="str">
        <f>IF(D56&gt;0,"",
INDEX(entities[entity_id],MATCH('Customize code'!C56,entities[custom entity '#],0))&amp;":")</f>
        <v/>
      </c>
      <c r="H56" s="5" t="str">
        <f>IF(F56=0,"",VLOOKUP(F56,'Customize code'!$M$8:$O$13,3,FALSE))</f>
        <v xml:space="preserve">  hidden: </v>
      </c>
      <c r="I56" s="5" t="str">
        <f>IF(F56=0, "",  INDEX(entities[[hidden]:[icon]],  MATCH(C56,entities[custom entity '#],0),  'Customize code'!F56)  )</f>
        <v>true</v>
      </c>
      <c r="J56" s="5" t="str">
        <f t="shared" si="3"/>
        <v xml:space="preserve">  hidden: true</v>
      </c>
      <c r="K56" s="5" t="str">
        <f t="shared" si="0"/>
        <v/>
      </c>
    </row>
    <row r="57" spans="2:11" x14ac:dyDescent="0.25">
      <c r="B57" s="5">
        <f t="shared" si="1"/>
        <v>51</v>
      </c>
      <c r="C57" s="5">
        <f t="shared" si="4"/>
        <v>25</v>
      </c>
      <c r="D57" s="14">
        <f t="shared" si="5"/>
        <v>0</v>
      </c>
      <c r="E57" s="14" t="str">
        <f>INDEX(entities[Attributes Index],MATCH('Customize code'!C57,entities[custom entity '#],0))</f>
        <v>1</v>
      </c>
      <c r="F57" s="14">
        <f t="shared" si="2"/>
        <v>0</v>
      </c>
      <c r="G57" s="5" t="str">
        <f>IF(D57&gt;0,"",
INDEX(entities[entity_id],MATCH('Customize code'!C57,entities[custom entity '#],0))&amp;":")</f>
        <v>binary_sensor.humvee_monitor_status:</v>
      </c>
      <c r="H57" s="5" t="str">
        <f>IF(F57=0,"",VLOOKUP(F57,'Customize code'!$M$8:$O$13,3,FALSE))</f>
        <v/>
      </c>
      <c r="I57" s="5" t="str">
        <f>IF(F57=0, "",  INDEX(entities[[hidden]:[icon]],  MATCH(C57,entities[custom entity '#],0),  'Customize code'!F57)  )</f>
        <v/>
      </c>
      <c r="J57" s="5" t="str">
        <f t="shared" si="3"/>
        <v>binary_sensor.humvee_monitor_status:</v>
      </c>
      <c r="K57" s="5" t="str">
        <f t="shared" si="0"/>
        <v/>
      </c>
    </row>
    <row r="58" spans="2:11" x14ac:dyDescent="0.25">
      <c r="B58" s="5">
        <f t="shared" si="1"/>
        <v>52</v>
      </c>
      <c r="C58" s="5">
        <f t="shared" si="4"/>
        <v>25</v>
      </c>
      <c r="D58" s="14">
        <f t="shared" si="5"/>
        <v>1</v>
      </c>
      <c r="E58" s="14" t="str">
        <f>INDEX(entities[Attributes Index],MATCH('Customize code'!C58,entities[custom entity '#],0))</f>
        <v>1</v>
      </c>
      <c r="F58" s="14">
        <f t="shared" si="2"/>
        <v>1</v>
      </c>
      <c r="G58" s="5" t="str">
        <f>IF(D58&gt;0,"",
INDEX(entities[entity_id],MATCH('Customize code'!C58,entities[custom entity '#],0))&amp;":")</f>
        <v/>
      </c>
      <c r="H58" s="5" t="str">
        <f>IF(F58=0,"",VLOOKUP(F58,'Customize code'!$M$8:$O$13,3,FALSE))</f>
        <v xml:space="preserve">  hidden: </v>
      </c>
      <c r="I58" s="5" t="str">
        <f>IF(F58=0, "",  INDEX(entities[[hidden]:[icon]],  MATCH(C58,entities[custom entity '#],0),  'Customize code'!F58)  )</f>
        <v>true</v>
      </c>
      <c r="J58" s="5" t="str">
        <f t="shared" si="3"/>
        <v xml:space="preserve">  hidden: true</v>
      </c>
      <c r="K58" s="5" t="str">
        <f t="shared" si="0"/>
        <v/>
      </c>
    </row>
    <row r="59" spans="2:11" x14ac:dyDescent="0.25">
      <c r="B59" s="5">
        <f t="shared" si="1"/>
        <v>53</v>
      </c>
      <c r="C59" s="5">
        <f t="shared" si="4"/>
        <v>26</v>
      </c>
      <c r="D59" s="14">
        <f t="shared" si="5"/>
        <v>0</v>
      </c>
      <c r="E59" s="14" t="str">
        <f>INDEX(entities[Attributes Index],MATCH('Customize code'!C59,entities[custom entity '#],0))</f>
        <v>26</v>
      </c>
      <c r="F59" s="14">
        <f t="shared" si="2"/>
        <v>0</v>
      </c>
      <c r="G59" s="5" t="str">
        <f>IF(D59&gt;0,"",
INDEX(entities[entity_id],MATCH('Customize code'!C59,entities[custom entity '#],0))&amp;":")</f>
        <v>binary_sensor.multi_sensor_4:</v>
      </c>
      <c r="H59" s="5" t="str">
        <f>IF(F59=0,"",VLOOKUP(F59,'Customize code'!$M$8:$O$13,3,FALSE))</f>
        <v/>
      </c>
      <c r="I59" s="5" t="str">
        <f>IF(F59=0, "",  INDEX(entities[[hidden]:[icon]],  MATCH(C59,entities[custom entity '#],0),  'Customize code'!F59)  )</f>
        <v/>
      </c>
      <c r="J59" s="5" t="str">
        <f t="shared" si="3"/>
        <v>binary_sensor.multi_sensor_4:</v>
      </c>
      <c r="K59" s="5" t="str">
        <f t="shared" si="0"/>
        <v/>
      </c>
    </row>
    <row r="60" spans="2:11" x14ac:dyDescent="0.25">
      <c r="B60" s="5">
        <f t="shared" si="1"/>
        <v>54</v>
      </c>
      <c r="C60" s="5">
        <f t="shared" si="4"/>
        <v>26</v>
      </c>
      <c r="D60" s="14">
        <f t="shared" si="5"/>
        <v>1</v>
      </c>
      <c r="E60" s="14" t="str">
        <f>INDEX(entities[Attributes Index],MATCH('Customize code'!C60,entities[custom entity '#],0))</f>
        <v>26</v>
      </c>
      <c r="F60" s="14">
        <f t="shared" si="2"/>
        <v>2</v>
      </c>
      <c r="G60" s="5" t="str">
        <f>IF(D60&gt;0,"",
INDEX(entities[entity_id],MATCH('Customize code'!C60,entities[custom entity '#],0))&amp;":")</f>
        <v/>
      </c>
      <c r="H60" s="5" t="str">
        <f>IF(F60=0,"",VLOOKUP(F60,'Customize code'!$M$8:$O$13,3,FALSE))</f>
        <v xml:space="preserve">  friendly_name: </v>
      </c>
      <c r="I60" s="5" t="str">
        <f>IF(F60=0, "",  INDEX(entities[[hidden]:[icon]],  MATCH(C60,entities[custom entity '#],0),  'Customize code'!F60)  )</f>
        <v>Motion</v>
      </c>
      <c r="J60" s="5" t="str">
        <f t="shared" si="3"/>
        <v xml:space="preserve">  friendly_name: Motion</v>
      </c>
      <c r="K60" s="5" t="str">
        <f t="shared" si="0"/>
        <v/>
      </c>
    </row>
    <row r="61" spans="2:11" x14ac:dyDescent="0.25">
      <c r="B61" s="5">
        <f t="shared" si="1"/>
        <v>55</v>
      </c>
      <c r="C61" s="5">
        <f t="shared" si="4"/>
        <v>26</v>
      </c>
      <c r="D61" s="14">
        <f t="shared" si="5"/>
        <v>2</v>
      </c>
      <c r="E61" s="14" t="str">
        <f>INDEX(entities[Attributes Index],MATCH('Customize code'!C61,entities[custom entity '#],0))</f>
        <v>26</v>
      </c>
      <c r="F61" s="14">
        <f t="shared" si="2"/>
        <v>6</v>
      </c>
      <c r="G61" s="5" t="str">
        <f>IF(D61&gt;0,"",
INDEX(entities[entity_id],MATCH('Customize code'!C61,entities[custom entity '#],0))&amp;":")</f>
        <v/>
      </c>
      <c r="H61" s="5" t="str">
        <f>IF(F61=0,"",VLOOKUP(F61,'Customize code'!$M$8:$O$13,3,FALSE))</f>
        <v xml:space="preserve">  icon: </v>
      </c>
      <c r="I61" s="5" t="str">
        <f>IF(F61=0, "",  INDEX(entities[[hidden]:[icon]],  MATCH(C61,entities[custom entity '#],0),  'Customize code'!F61)  )</f>
        <v>mdi:account-switch</v>
      </c>
      <c r="J61" s="5" t="str">
        <f t="shared" si="3"/>
        <v xml:space="preserve">  icon: mdi:account-switch</v>
      </c>
      <c r="K61" s="5" t="str">
        <f t="shared" si="0"/>
        <v/>
      </c>
    </row>
    <row r="62" spans="2:11" x14ac:dyDescent="0.25">
      <c r="B62" s="5">
        <f t="shared" si="1"/>
        <v>56</v>
      </c>
      <c r="C62" s="5">
        <f t="shared" si="4"/>
        <v>27</v>
      </c>
      <c r="D62" s="14">
        <f t="shared" si="5"/>
        <v>0</v>
      </c>
      <c r="E62" s="14" t="str">
        <f>INDEX(entities[Attributes Index],MATCH('Customize code'!C62,entities[custom entity '#],0))</f>
        <v>1</v>
      </c>
      <c r="F62" s="14">
        <f t="shared" si="2"/>
        <v>0</v>
      </c>
      <c r="G62" s="5" t="str">
        <f>IF(D62&gt;0,"",
INDEX(entities[entity_id],MATCH('Customize code'!C62,entities[custom entity '#],0))&amp;":")</f>
        <v>binary_sensor.tv_status:</v>
      </c>
      <c r="H62" s="5" t="str">
        <f>IF(F62=0,"",VLOOKUP(F62,'Customize code'!$M$8:$O$13,3,FALSE))</f>
        <v/>
      </c>
      <c r="I62" s="5" t="str">
        <f>IF(F62=0, "",  INDEX(entities[[hidden]:[icon]],  MATCH(C62,entities[custom entity '#],0),  'Customize code'!F62)  )</f>
        <v/>
      </c>
      <c r="J62" s="5" t="str">
        <f t="shared" si="3"/>
        <v>binary_sensor.tv_status:</v>
      </c>
      <c r="K62" s="5" t="str">
        <f t="shared" si="0"/>
        <v/>
      </c>
    </row>
    <row r="63" spans="2:11" x14ac:dyDescent="0.25">
      <c r="B63" s="5">
        <f t="shared" si="1"/>
        <v>57</v>
      </c>
      <c r="C63" s="5">
        <f t="shared" si="4"/>
        <v>27</v>
      </c>
      <c r="D63" s="14">
        <f t="shared" si="5"/>
        <v>1</v>
      </c>
      <c r="E63" s="14" t="str">
        <f>INDEX(entities[Attributes Index],MATCH('Customize code'!C63,entities[custom entity '#],0))</f>
        <v>1</v>
      </c>
      <c r="F63" s="14">
        <f t="shared" si="2"/>
        <v>1</v>
      </c>
      <c r="G63" s="5" t="str">
        <f>IF(D63&gt;0,"",
INDEX(entities[entity_id],MATCH('Customize code'!C63,entities[custom entity '#],0))&amp;":")</f>
        <v/>
      </c>
      <c r="H63" s="5" t="str">
        <f>IF(F63=0,"",VLOOKUP(F63,'Customize code'!$M$8:$O$13,3,FALSE))</f>
        <v xml:space="preserve">  hidden: </v>
      </c>
      <c r="I63" s="5" t="str">
        <f>IF(F63=0, "",  INDEX(entities[[hidden]:[icon]],  MATCH(C63,entities[custom entity '#],0),  'Customize code'!F63)  )</f>
        <v>true</v>
      </c>
      <c r="J63" s="5" t="str">
        <f t="shared" si="3"/>
        <v xml:space="preserve">  hidden: true</v>
      </c>
      <c r="K63" s="5" t="str">
        <f t="shared" si="0"/>
        <v/>
      </c>
    </row>
    <row r="64" spans="2:11" x14ac:dyDescent="0.25">
      <c r="B64" s="5">
        <f t="shared" si="1"/>
        <v>58</v>
      </c>
      <c r="C64" s="5">
        <f t="shared" si="4"/>
        <v>28</v>
      </c>
      <c r="D64" s="14">
        <f t="shared" si="5"/>
        <v>0</v>
      </c>
      <c r="E64" s="14" t="str">
        <f>INDEX(entities[Attributes Index],MATCH('Customize code'!C64,entities[custom entity '#],0))</f>
        <v>6</v>
      </c>
      <c r="F64" s="14">
        <f t="shared" si="2"/>
        <v>0</v>
      </c>
      <c r="G64" s="5" t="str">
        <f>IF(D64&gt;0,"",
INDEX(entities[entity_id],MATCH('Customize code'!C64,entities[custom entity '#],0))&amp;":")</f>
        <v>device_tracker.bazooka:</v>
      </c>
      <c r="H64" s="5" t="str">
        <f>IF(F64=0,"",VLOOKUP(F64,'Customize code'!$M$8:$O$13,3,FALSE))</f>
        <v/>
      </c>
      <c r="I64" s="5" t="str">
        <f>IF(F64=0, "",  INDEX(entities[[hidden]:[icon]],  MATCH(C64,entities[custom entity '#],0),  'Customize code'!F64)  )</f>
        <v/>
      </c>
      <c r="J64" s="5" t="str">
        <f t="shared" si="3"/>
        <v>device_tracker.bazooka:</v>
      </c>
      <c r="K64" s="5" t="str">
        <f t="shared" si="0"/>
        <v/>
      </c>
    </row>
    <row r="65" spans="2:11" x14ac:dyDescent="0.25">
      <c r="B65" s="5">
        <f t="shared" si="1"/>
        <v>59</v>
      </c>
      <c r="C65" s="5">
        <f t="shared" si="4"/>
        <v>28</v>
      </c>
      <c r="D65" s="14">
        <f t="shared" si="5"/>
        <v>1</v>
      </c>
      <c r="E65" s="14" t="str">
        <f>INDEX(entities[Attributes Index],MATCH('Customize code'!C65,entities[custom entity '#],0))</f>
        <v>6</v>
      </c>
      <c r="F65" s="14">
        <f t="shared" si="2"/>
        <v>6</v>
      </c>
      <c r="G65" s="5" t="str">
        <f>IF(D65&gt;0,"",
INDEX(entities[entity_id],MATCH('Customize code'!C65,entities[custom entity '#],0))&amp;":")</f>
        <v/>
      </c>
      <c r="H65" s="5" t="str">
        <f>IF(F65=0,"",VLOOKUP(F65,'Customize code'!$M$8:$O$13,3,FALSE))</f>
        <v xml:space="preserve">  icon: </v>
      </c>
      <c r="I65" s="5" t="str">
        <f>IF(F65=0, "",  INDEX(entities[[hidden]:[icon]],  MATCH(C65,entities[custom entity '#],0),  'Customize code'!F65)  )</f>
        <v>mdi:tablet-android</v>
      </c>
      <c r="J65" s="5" t="str">
        <f t="shared" si="3"/>
        <v xml:space="preserve">  icon: mdi:tablet-android</v>
      </c>
      <c r="K65" s="5" t="str">
        <f t="shared" si="0"/>
        <v/>
      </c>
    </row>
    <row r="66" spans="2:11" x14ac:dyDescent="0.25">
      <c r="B66" s="5">
        <f t="shared" si="1"/>
        <v>60</v>
      </c>
      <c r="C66" s="5">
        <f t="shared" si="4"/>
        <v>29</v>
      </c>
      <c r="D66" s="14">
        <f t="shared" si="5"/>
        <v>0</v>
      </c>
      <c r="E66" s="14" t="str">
        <f>INDEX(entities[Attributes Index],MATCH('Customize code'!C66,entities[custom entity '#],0))</f>
        <v>6</v>
      </c>
      <c r="F66" s="14">
        <f t="shared" si="2"/>
        <v>0</v>
      </c>
      <c r="G66" s="5" t="str">
        <f>IF(D66&gt;0,"",
INDEX(entities[entity_id],MATCH('Customize code'!C66,entities[custom entity '#],0))&amp;":")</f>
        <v>device_tracker.carolyn_phone:</v>
      </c>
      <c r="H66" s="5" t="str">
        <f>IF(F66=0,"",VLOOKUP(F66,'Customize code'!$M$8:$O$13,3,FALSE))</f>
        <v/>
      </c>
      <c r="I66" s="5" t="str">
        <f>IF(F66=0, "",  INDEX(entities[[hidden]:[icon]],  MATCH(C66,entities[custom entity '#],0),  'Customize code'!F66)  )</f>
        <v/>
      </c>
      <c r="J66" s="5" t="str">
        <f t="shared" si="3"/>
        <v>device_tracker.carolyn_phone:</v>
      </c>
      <c r="K66" s="5" t="str">
        <f t="shared" si="0"/>
        <v/>
      </c>
    </row>
    <row r="67" spans="2:11" x14ac:dyDescent="0.25">
      <c r="B67" s="5">
        <f t="shared" si="1"/>
        <v>61</v>
      </c>
      <c r="C67" s="5">
        <f t="shared" si="4"/>
        <v>29</v>
      </c>
      <c r="D67" s="14">
        <f t="shared" si="5"/>
        <v>1</v>
      </c>
      <c r="E67" s="14" t="str">
        <f>INDEX(entities[Attributes Index],MATCH('Customize code'!C67,entities[custom entity '#],0))</f>
        <v>6</v>
      </c>
      <c r="F67" s="14">
        <f t="shared" si="2"/>
        <v>6</v>
      </c>
      <c r="G67" s="5" t="str">
        <f>IF(D67&gt;0,"",
INDEX(entities[entity_id],MATCH('Customize code'!C67,entities[custom entity '#],0))&amp;":")</f>
        <v/>
      </c>
      <c r="H67" s="5" t="str">
        <f>IF(F67=0,"",VLOOKUP(F67,'Customize code'!$M$8:$O$13,3,FALSE))</f>
        <v xml:space="preserve">  icon: </v>
      </c>
      <c r="I67" s="5" t="str">
        <f>IF(F67=0, "",  INDEX(entities[[hidden]:[icon]],  MATCH(C67,entities[custom entity '#],0),  'Customize code'!F67)  )</f>
        <v>mdi:cellphone-iphone</v>
      </c>
      <c r="J67" s="5" t="str">
        <f t="shared" si="3"/>
        <v xml:space="preserve">  icon: mdi:cellphone-iphone</v>
      </c>
      <c r="K67" s="5" t="str">
        <f t="shared" si="0"/>
        <v/>
      </c>
    </row>
    <row r="68" spans="2:11" x14ac:dyDescent="0.25">
      <c r="B68" s="5">
        <f t="shared" si="1"/>
        <v>62</v>
      </c>
      <c r="C68" s="5">
        <f t="shared" si="4"/>
        <v>30</v>
      </c>
      <c r="D68" s="14">
        <f t="shared" si="5"/>
        <v>0</v>
      </c>
      <c r="E68" s="14" t="str">
        <f>INDEX(entities[Attributes Index],MATCH('Customize code'!C68,entities[custom entity '#],0))</f>
        <v>6</v>
      </c>
      <c r="F68" s="14">
        <f t="shared" si="2"/>
        <v>0</v>
      </c>
      <c r="G68" s="5" t="str">
        <f>IF(D68&gt;0,"",
INDEX(entities[entity_id],MATCH('Customize code'!C68,entities[custom entity '#],0))&amp;":")</f>
        <v>device_tracker.carolyn_tablet:</v>
      </c>
      <c r="H68" s="5" t="str">
        <f>IF(F68=0,"",VLOOKUP(F68,'Customize code'!$M$8:$O$13,3,FALSE))</f>
        <v/>
      </c>
      <c r="I68" s="5" t="str">
        <f>IF(F68=0, "",  INDEX(entities[[hidden]:[icon]],  MATCH(C68,entities[custom entity '#],0),  'Customize code'!F68)  )</f>
        <v/>
      </c>
      <c r="J68" s="5" t="str">
        <f t="shared" si="3"/>
        <v>device_tracker.carolyn_tablet:</v>
      </c>
      <c r="K68" s="5" t="str">
        <f t="shared" si="0"/>
        <v/>
      </c>
    </row>
    <row r="69" spans="2:11" x14ac:dyDescent="0.25">
      <c r="B69" s="5">
        <f t="shared" si="1"/>
        <v>63</v>
      </c>
      <c r="C69" s="5">
        <f t="shared" si="4"/>
        <v>30</v>
      </c>
      <c r="D69" s="14">
        <f t="shared" si="5"/>
        <v>1</v>
      </c>
      <c r="E69" s="14" t="str">
        <f>INDEX(entities[Attributes Index],MATCH('Customize code'!C69,entities[custom entity '#],0))</f>
        <v>6</v>
      </c>
      <c r="F69" s="14">
        <f t="shared" si="2"/>
        <v>6</v>
      </c>
      <c r="G69" s="5" t="str">
        <f>IF(D69&gt;0,"",
INDEX(entities[entity_id],MATCH('Customize code'!C69,entities[custom entity '#],0))&amp;":")</f>
        <v/>
      </c>
      <c r="H69" s="5" t="str">
        <f>IF(F69=0,"",VLOOKUP(F69,'Customize code'!$M$8:$O$13,3,FALSE))</f>
        <v xml:space="preserve">  icon: </v>
      </c>
      <c r="I69" s="5" t="str">
        <f>IF(F69=0, "",  INDEX(entities[[hidden]:[icon]],  MATCH(C69,entities[custom entity '#],0),  'Customize code'!F69)  )</f>
        <v>mdi:tablet-ipad</v>
      </c>
      <c r="J69" s="5" t="str">
        <f t="shared" si="3"/>
        <v xml:space="preserve">  icon: mdi:tablet-ipad</v>
      </c>
      <c r="K69" s="5" t="str">
        <f t="shared" si="0"/>
        <v/>
      </c>
    </row>
    <row r="70" spans="2:11" x14ac:dyDescent="0.25">
      <c r="B70" s="5">
        <f t="shared" si="1"/>
        <v>64</v>
      </c>
      <c r="C70" s="5">
        <f t="shared" si="4"/>
        <v>31</v>
      </c>
      <c r="D70" s="14">
        <f t="shared" si="5"/>
        <v>0</v>
      </c>
      <c r="E70" s="14" t="str">
        <f>INDEX(entities[Attributes Index],MATCH('Customize code'!C70,entities[custom entity '#],0))</f>
        <v>6</v>
      </c>
      <c r="F70" s="14">
        <f t="shared" si="2"/>
        <v>0</v>
      </c>
      <c r="G70" s="5" t="str">
        <f>IF(D70&gt;0,"",
INDEX(entities[entity_id],MATCH('Customize code'!C70,entities[custom entity '#],0))&amp;":")</f>
        <v>device_tracker.carolynsair:</v>
      </c>
      <c r="H70" s="5" t="str">
        <f>IF(F70=0,"",VLOOKUP(F70,'Customize code'!$M$8:$O$13,3,FALSE))</f>
        <v/>
      </c>
      <c r="I70" s="5" t="str">
        <f>IF(F70=0, "",  INDEX(entities[[hidden]:[icon]],  MATCH(C70,entities[custom entity '#],0),  'Customize code'!F70)  )</f>
        <v/>
      </c>
      <c r="J70" s="5" t="str">
        <f t="shared" si="3"/>
        <v>device_tracker.carolynsair:</v>
      </c>
      <c r="K70" s="5" t="str">
        <f t="shared" si="0"/>
        <v/>
      </c>
    </row>
    <row r="71" spans="2:11" x14ac:dyDescent="0.25">
      <c r="B71" s="5">
        <f t="shared" si="1"/>
        <v>65</v>
      </c>
      <c r="C71" s="5">
        <f t="shared" si="4"/>
        <v>31</v>
      </c>
      <c r="D71" s="14">
        <f t="shared" si="5"/>
        <v>1</v>
      </c>
      <c r="E71" s="14" t="str">
        <f>INDEX(entities[Attributes Index],MATCH('Customize code'!C71,entities[custom entity '#],0))</f>
        <v>6</v>
      </c>
      <c r="F71" s="14">
        <f t="shared" si="2"/>
        <v>6</v>
      </c>
      <c r="G71" s="5" t="str">
        <f>IF(D71&gt;0,"",
INDEX(entities[entity_id],MATCH('Customize code'!C71,entities[custom entity '#],0))&amp;":")</f>
        <v/>
      </c>
      <c r="H71" s="5" t="str">
        <f>IF(F71=0,"",VLOOKUP(F71,'Customize code'!$M$8:$O$13,3,FALSE))</f>
        <v xml:space="preserve">  icon: </v>
      </c>
      <c r="I71" s="5" t="str">
        <f>IF(F71=0, "",  INDEX(entities[[hidden]:[icon]],  MATCH(C71,entities[custom entity '#],0),  'Customize code'!F71)  )</f>
        <v>mdi:laptop-mac</v>
      </c>
      <c r="J71" s="5" t="str">
        <f t="shared" si="3"/>
        <v xml:space="preserve">  icon: mdi:laptop-mac</v>
      </c>
      <c r="K71" s="5" t="str">
        <f t="shared" si="0"/>
        <v/>
      </c>
    </row>
    <row r="72" spans="2:11" x14ac:dyDescent="0.25">
      <c r="B72" s="5">
        <f t="shared" si="1"/>
        <v>66</v>
      </c>
      <c r="C72" s="5">
        <f t="shared" si="4"/>
        <v>32</v>
      </c>
      <c r="D72" s="14">
        <f t="shared" si="5"/>
        <v>0</v>
      </c>
      <c r="E72" s="14" t="str">
        <f>INDEX(entities[Attributes Index],MATCH('Customize code'!C72,entities[custom entity '#],0))</f>
        <v>6</v>
      </c>
      <c r="F72" s="14">
        <f t="shared" si="2"/>
        <v>0</v>
      </c>
      <c r="G72" s="5" t="str">
        <f>IF(D72&gt;0,"",
INDEX(entities[entity_id],MATCH('Customize code'!C72,entities[custom entity '#],0))&amp;":")</f>
        <v>device_tracker.chromecast:</v>
      </c>
      <c r="H72" s="5" t="str">
        <f>IF(F72=0,"",VLOOKUP(F72,'Customize code'!$M$8:$O$13,3,FALSE))</f>
        <v/>
      </c>
      <c r="I72" s="5" t="str">
        <f>IF(F72=0, "",  INDEX(entities[[hidden]:[icon]],  MATCH(C72,entities[custom entity '#],0),  'Customize code'!F72)  )</f>
        <v/>
      </c>
      <c r="J72" s="5" t="str">
        <f t="shared" si="3"/>
        <v>device_tracker.chromecast:</v>
      </c>
      <c r="K72" s="5" t="str">
        <f t="shared" ref="K72:K135" si="6">IF(AND(NOT(ISNA(D72)),ISNA(E72)),"END","")</f>
        <v/>
      </c>
    </row>
    <row r="73" spans="2:11" x14ac:dyDescent="0.25">
      <c r="B73" s="5">
        <f t="shared" ref="B73:B106" si="7">B72+1</f>
        <v>67</v>
      </c>
      <c r="C73" s="5">
        <f t="shared" si="4"/>
        <v>32</v>
      </c>
      <c r="D73" s="14">
        <f t="shared" si="5"/>
        <v>1</v>
      </c>
      <c r="E73" s="14" t="str">
        <f>INDEX(entities[Attributes Index],MATCH('Customize code'!C73,entities[custom entity '#],0))</f>
        <v>6</v>
      </c>
      <c r="F73" s="14">
        <f t="shared" ref="F73:F136" si="8">IF(D73=0,0,  VALUE(MID(E73,D73,1)))</f>
        <v>6</v>
      </c>
      <c r="G73" s="5" t="str">
        <f>IF(D73&gt;0,"",
INDEX(entities[entity_id],MATCH('Customize code'!C73,entities[custom entity '#],0))&amp;":")</f>
        <v/>
      </c>
      <c r="H73" s="5" t="str">
        <f>IF(F73=0,"",VLOOKUP(F73,'Customize code'!$M$8:$O$13,3,FALSE))</f>
        <v xml:space="preserve">  icon: </v>
      </c>
      <c r="I73" s="5" t="str">
        <f>IF(F73=0, "",  INDEX(entities[[hidden]:[icon]],  MATCH(C73,entities[custom entity '#],0),  'Customize code'!F73)  )</f>
        <v>mdi:google-chrome</v>
      </c>
      <c r="J73" s="5" t="str">
        <f t="shared" si="3"/>
        <v xml:space="preserve">  icon: mdi:google-chrome</v>
      </c>
      <c r="K73" s="5" t="str">
        <f t="shared" si="6"/>
        <v/>
      </c>
    </row>
    <row r="74" spans="2:11" x14ac:dyDescent="0.25">
      <c r="B74" s="5">
        <f t="shared" si="7"/>
        <v>68</v>
      </c>
      <c r="C74" s="5">
        <f t="shared" si="4"/>
        <v>33</v>
      </c>
      <c r="D74" s="14">
        <f t="shared" si="5"/>
        <v>0</v>
      </c>
      <c r="E74" s="14" t="str">
        <f>INDEX(entities[Attributes Index],MATCH('Customize code'!C74,entities[custom entity '#],0))</f>
        <v>6</v>
      </c>
      <c r="F74" s="14">
        <f t="shared" si="8"/>
        <v>0</v>
      </c>
      <c r="G74" s="5" t="str">
        <f>IF(D74&gt;0,"",
INDEX(entities[entity_id],MATCH('Customize code'!C74,entities[custom entity '#],0))&amp;":")</f>
        <v>device_tracker.chromecast_2:</v>
      </c>
      <c r="H74" s="5" t="str">
        <f>IF(F74=0,"",VLOOKUP(F74,'Customize code'!$M$8:$O$13,3,FALSE))</f>
        <v/>
      </c>
      <c r="I74" s="5" t="str">
        <f>IF(F74=0, "",  INDEX(entities[[hidden]:[icon]],  MATCH(C74,entities[custom entity '#],0),  'Customize code'!F74)  )</f>
        <v/>
      </c>
      <c r="J74" s="5" t="str">
        <f t="shared" ref="J74:J137" si="9">_xlfn.IFNA(  G74&amp;H74&amp;I74,  "")</f>
        <v>device_tracker.chromecast_2:</v>
      </c>
      <c r="K74" s="5" t="str">
        <f t="shared" si="6"/>
        <v/>
      </c>
    </row>
    <row r="75" spans="2:11" x14ac:dyDescent="0.25">
      <c r="B75" s="5">
        <f t="shared" si="7"/>
        <v>69</v>
      </c>
      <c r="C75" s="5">
        <f t="shared" ref="C75:C138" si="10">IF(D74=LEN(E74),  C74+1,  C74)</f>
        <v>33</v>
      </c>
      <c r="D75" s="14">
        <f t="shared" ref="D75:D138" si="11">IF(C74&lt;&gt;C75,  0,  D74+1)</f>
        <v>1</v>
      </c>
      <c r="E75" s="14" t="str">
        <f>INDEX(entities[Attributes Index],MATCH('Customize code'!C75,entities[custom entity '#],0))</f>
        <v>6</v>
      </c>
      <c r="F75" s="14">
        <f t="shared" si="8"/>
        <v>6</v>
      </c>
      <c r="G75" s="5" t="str">
        <f>IF(D75&gt;0,"",
INDEX(entities[entity_id],MATCH('Customize code'!C75,entities[custom entity '#],0))&amp;":")</f>
        <v/>
      </c>
      <c r="H75" s="5" t="str">
        <f>IF(F75=0,"",VLOOKUP(F75,'Customize code'!$M$8:$O$13,3,FALSE))</f>
        <v xml:space="preserve">  icon: </v>
      </c>
      <c r="I75" s="5" t="str">
        <f>IF(F75=0, "",  INDEX(entities[[hidden]:[icon]],  MATCH(C75,entities[custom entity '#],0),  'Customize code'!F75)  )</f>
        <v>mdi:google-chrome</v>
      </c>
      <c r="J75" s="5" t="str">
        <f t="shared" si="9"/>
        <v xml:space="preserve">  icon: mdi:google-chrome</v>
      </c>
      <c r="K75" s="5" t="str">
        <f t="shared" si="6"/>
        <v/>
      </c>
    </row>
    <row r="76" spans="2:11" x14ac:dyDescent="0.25">
      <c r="B76" s="5">
        <f t="shared" si="7"/>
        <v>70</v>
      </c>
      <c r="C76" s="5">
        <f t="shared" si="10"/>
        <v>34</v>
      </c>
      <c r="D76" s="14">
        <f t="shared" si="11"/>
        <v>0</v>
      </c>
      <c r="E76" s="14" t="str">
        <f>INDEX(entities[Attributes Index],MATCH('Customize code'!C76,entities[custom entity '#],0))</f>
        <v>6</v>
      </c>
      <c r="F76" s="14">
        <f t="shared" si="8"/>
        <v>0</v>
      </c>
      <c r="G76" s="5" t="str">
        <f>IF(D76&gt;0,"",
INDEX(entities[entity_id],MATCH('Customize code'!C76,entities[custom entity '#],0))&amp;":")</f>
        <v>device_tracker.daniel_br:</v>
      </c>
      <c r="H76" s="5" t="str">
        <f>IF(F76=0,"",VLOOKUP(F76,'Customize code'!$M$8:$O$13,3,FALSE))</f>
        <v/>
      </c>
      <c r="I76" s="5" t="str">
        <f>IF(F76=0, "",  INDEX(entities[[hidden]:[icon]],  MATCH(C76,entities[custom entity '#],0),  'Customize code'!F76)  )</f>
        <v/>
      </c>
      <c r="J76" s="5" t="str">
        <f t="shared" si="9"/>
        <v>device_tracker.daniel_br:</v>
      </c>
      <c r="K76" s="5" t="str">
        <f t="shared" si="6"/>
        <v/>
      </c>
    </row>
    <row r="77" spans="2:11" x14ac:dyDescent="0.25">
      <c r="B77" s="5">
        <f t="shared" si="7"/>
        <v>71</v>
      </c>
      <c r="C77" s="5">
        <f t="shared" si="10"/>
        <v>34</v>
      </c>
      <c r="D77" s="14">
        <f t="shared" si="11"/>
        <v>1</v>
      </c>
      <c r="E77" s="14" t="str">
        <f>INDEX(entities[Attributes Index],MATCH('Customize code'!C77,entities[custom entity '#],0))</f>
        <v>6</v>
      </c>
      <c r="F77" s="14">
        <f t="shared" si="8"/>
        <v>6</v>
      </c>
      <c r="G77" s="5" t="str">
        <f>IF(D77&gt;0,"",
INDEX(entities[entity_id],MATCH('Customize code'!C77,entities[custom entity '#],0))&amp;":")</f>
        <v/>
      </c>
      <c r="H77" s="5" t="str">
        <f>IF(F77=0,"",VLOOKUP(F77,'Customize code'!$M$8:$O$13,3,FALSE))</f>
        <v xml:space="preserve">  icon: </v>
      </c>
      <c r="I77" s="5" t="str">
        <f>IF(F77=0, "",  INDEX(entities[[hidden]:[icon]],  MATCH(C77,entities[custom entity '#],0),  'Customize code'!F77)  )</f>
        <v>mdi:disk</v>
      </c>
      <c r="J77" s="5" t="str">
        <f t="shared" si="9"/>
        <v xml:space="preserve">  icon: mdi:disk</v>
      </c>
      <c r="K77" s="5" t="str">
        <f t="shared" si="6"/>
        <v/>
      </c>
    </row>
    <row r="78" spans="2:11" x14ac:dyDescent="0.25">
      <c r="B78" s="5">
        <f t="shared" si="7"/>
        <v>72</v>
      </c>
      <c r="C78" s="5">
        <f t="shared" si="10"/>
        <v>35</v>
      </c>
      <c r="D78" s="14">
        <f t="shared" si="11"/>
        <v>0</v>
      </c>
      <c r="E78" s="14" t="str">
        <f>INDEX(entities[Attributes Index],MATCH('Customize code'!C78,entities[custom entity '#],0))</f>
        <v>6</v>
      </c>
      <c r="F78" s="14">
        <f t="shared" si="8"/>
        <v>0</v>
      </c>
      <c r="G78" s="5" t="str">
        <f>IF(D78&gt;0,"",
INDEX(entities[entity_id],MATCH('Customize code'!C78,entities[custom entity '#],0))&amp;":")</f>
        <v>device_tracker.daniel_laptop:</v>
      </c>
      <c r="H78" s="5" t="str">
        <f>IF(F78=0,"",VLOOKUP(F78,'Customize code'!$M$8:$O$13,3,FALSE))</f>
        <v/>
      </c>
      <c r="I78" s="5" t="str">
        <f>IF(F78=0, "",  INDEX(entities[[hidden]:[icon]],  MATCH(C78,entities[custom entity '#],0),  'Customize code'!F78)  )</f>
        <v/>
      </c>
      <c r="J78" s="5" t="str">
        <f t="shared" si="9"/>
        <v>device_tracker.daniel_laptop:</v>
      </c>
      <c r="K78" s="5" t="str">
        <f t="shared" si="6"/>
        <v/>
      </c>
    </row>
    <row r="79" spans="2:11" x14ac:dyDescent="0.25">
      <c r="B79" s="5">
        <f t="shared" si="7"/>
        <v>73</v>
      </c>
      <c r="C79" s="5">
        <f t="shared" si="10"/>
        <v>35</v>
      </c>
      <c r="D79" s="14">
        <f t="shared" si="11"/>
        <v>1</v>
      </c>
      <c r="E79" s="14" t="str">
        <f>INDEX(entities[Attributes Index],MATCH('Customize code'!C79,entities[custom entity '#],0))</f>
        <v>6</v>
      </c>
      <c r="F79" s="14">
        <f t="shared" si="8"/>
        <v>6</v>
      </c>
      <c r="G79" s="5" t="str">
        <f>IF(D79&gt;0,"",
INDEX(entities[entity_id],MATCH('Customize code'!C79,entities[custom entity '#],0))&amp;":")</f>
        <v/>
      </c>
      <c r="H79" s="5" t="str">
        <f>IF(F79=0,"",VLOOKUP(F79,'Customize code'!$M$8:$O$13,3,FALSE))</f>
        <v xml:space="preserve">  icon: </v>
      </c>
      <c r="I79" s="5" t="str">
        <f>IF(F79=0, "",  INDEX(entities[[hidden]:[icon]],  MATCH(C79,entities[custom entity '#],0),  'Customize code'!F79)  )</f>
        <v>mdi:laptop</v>
      </c>
      <c r="J79" s="5" t="str">
        <f t="shared" si="9"/>
        <v xml:space="preserve">  icon: mdi:laptop</v>
      </c>
      <c r="K79" s="5" t="str">
        <f t="shared" si="6"/>
        <v/>
      </c>
    </row>
    <row r="80" spans="2:11" x14ac:dyDescent="0.25">
      <c r="B80" s="5">
        <f t="shared" si="7"/>
        <v>74</v>
      </c>
      <c r="C80" s="5">
        <f t="shared" si="10"/>
        <v>36</v>
      </c>
      <c r="D80" s="14">
        <f t="shared" si="11"/>
        <v>0</v>
      </c>
      <c r="E80" s="14" t="str">
        <f>INDEX(entities[Attributes Index],MATCH('Customize code'!C80,entities[custom entity '#],0))</f>
        <v>6</v>
      </c>
      <c r="F80" s="14">
        <f t="shared" si="8"/>
        <v>0</v>
      </c>
      <c r="G80" s="5" t="str">
        <f>IF(D80&gt;0,"",
INDEX(entities[entity_id],MATCH('Customize code'!C80,entities[custom entity '#],0))&amp;":")</f>
        <v>device_tracker.daniel_phone:</v>
      </c>
      <c r="H80" s="5" t="str">
        <f>IF(F80=0,"",VLOOKUP(F80,'Customize code'!$M$8:$O$13,3,FALSE))</f>
        <v/>
      </c>
      <c r="I80" s="5" t="str">
        <f>IF(F80=0, "",  INDEX(entities[[hidden]:[icon]],  MATCH(C80,entities[custom entity '#],0),  'Customize code'!F80)  )</f>
        <v/>
      </c>
      <c r="J80" s="5" t="str">
        <f t="shared" si="9"/>
        <v>device_tracker.daniel_phone:</v>
      </c>
      <c r="K80" s="5" t="str">
        <f t="shared" si="6"/>
        <v/>
      </c>
    </row>
    <row r="81" spans="2:11" x14ac:dyDescent="0.25">
      <c r="B81" s="5">
        <f t="shared" si="7"/>
        <v>75</v>
      </c>
      <c r="C81" s="5">
        <f t="shared" si="10"/>
        <v>36</v>
      </c>
      <c r="D81" s="14">
        <f t="shared" si="11"/>
        <v>1</v>
      </c>
      <c r="E81" s="14" t="str">
        <f>INDEX(entities[Attributes Index],MATCH('Customize code'!C81,entities[custom entity '#],0))</f>
        <v>6</v>
      </c>
      <c r="F81" s="14">
        <f t="shared" si="8"/>
        <v>6</v>
      </c>
      <c r="G81" s="5" t="str">
        <f>IF(D81&gt;0,"",
INDEX(entities[entity_id],MATCH('Customize code'!C81,entities[custom entity '#],0))&amp;":")</f>
        <v/>
      </c>
      <c r="H81" s="5" t="str">
        <f>IF(F81=0,"",VLOOKUP(F81,'Customize code'!$M$8:$O$13,3,FALSE))</f>
        <v xml:space="preserve">  icon: </v>
      </c>
      <c r="I81" s="5" t="str">
        <f>IF(F81=0, "",  INDEX(entities[[hidden]:[icon]],  MATCH(C81,entities[custom entity '#],0),  'Customize code'!F81)  )</f>
        <v>mdi:cellphone-iphone</v>
      </c>
      <c r="J81" s="5" t="str">
        <f t="shared" si="9"/>
        <v xml:space="preserve">  icon: mdi:cellphone-iphone</v>
      </c>
      <c r="K81" s="5" t="str">
        <f t="shared" si="6"/>
        <v/>
      </c>
    </row>
    <row r="82" spans="2:11" x14ac:dyDescent="0.25">
      <c r="B82" s="5">
        <f t="shared" si="7"/>
        <v>76</v>
      </c>
      <c r="C82" s="5">
        <f t="shared" si="10"/>
        <v>37</v>
      </c>
      <c r="D82" s="14">
        <f t="shared" si="11"/>
        <v>0</v>
      </c>
      <c r="E82" s="14" t="str">
        <f>INDEX(entities[Attributes Index],MATCH('Customize code'!C82,entities[custom entity '#],0))</f>
        <v>6</v>
      </c>
      <c r="F82" s="14">
        <f t="shared" si="8"/>
        <v>0</v>
      </c>
      <c r="G82" s="5" t="str">
        <f>IF(D82&gt;0,"",
INDEX(entities[entity_id],MATCH('Customize code'!C82,entities[custom entity '#],0))&amp;":")</f>
        <v>device_tracker.echo_dot:</v>
      </c>
      <c r="H82" s="5" t="str">
        <f>IF(F82=0,"",VLOOKUP(F82,'Customize code'!$M$8:$O$13,3,FALSE))</f>
        <v/>
      </c>
      <c r="I82" s="5" t="str">
        <f>IF(F82=0, "",  INDEX(entities[[hidden]:[icon]],  MATCH(C82,entities[custom entity '#],0),  'Customize code'!F82)  )</f>
        <v/>
      </c>
      <c r="J82" s="5" t="str">
        <f t="shared" si="9"/>
        <v>device_tracker.echo_dot:</v>
      </c>
      <c r="K82" s="5" t="str">
        <f t="shared" si="6"/>
        <v/>
      </c>
    </row>
    <row r="83" spans="2:11" x14ac:dyDescent="0.25">
      <c r="B83" s="5">
        <f t="shared" si="7"/>
        <v>77</v>
      </c>
      <c r="C83" s="5">
        <f t="shared" si="10"/>
        <v>37</v>
      </c>
      <c r="D83" s="14">
        <f t="shared" si="11"/>
        <v>1</v>
      </c>
      <c r="E83" s="14" t="str">
        <f>INDEX(entities[Attributes Index],MATCH('Customize code'!C83,entities[custom entity '#],0))</f>
        <v>6</v>
      </c>
      <c r="F83" s="14">
        <f t="shared" si="8"/>
        <v>6</v>
      </c>
      <c r="G83" s="5" t="str">
        <f>IF(D83&gt;0,"",
INDEX(entities[entity_id],MATCH('Customize code'!C83,entities[custom entity '#],0))&amp;":")</f>
        <v/>
      </c>
      <c r="H83" s="5" t="str">
        <f>IF(F83=0,"",VLOOKUP(F83,'Customize code'!$M$8:$O$13,3,FALSE))</f>
        <v xml:space="preserve">  icon: </v>
      </c>
      <c r="I83" s="5" t="str">
        <f>IF(F83=0, "",  INDEX(entities[[hidden]:[icon]],  MATCH(C83,entities[custom entity '#],0),  'Customize code'!F83)  )</f>
        <v>mdi:amazon</v>
      </c>
      <c r="J83" s="5" t="str">
        <f t="shared" si="9"/>
        <v xml:space="preserve">  icon: mdi:amazon</v>
      </c>
      <c r="K83" s="5" t="str">
        <f t="shared" si="6"/>
        <v/>
      </c>
    </row>
    <row r="84" spans="2:11" x14ac:dyDescent="0.25">
      <c r="B84" s="5">
        <f t="shared" si="7"/>
        <v>78</v>
      </c>
      <c r="C84" s="5">
        <f t="shared" si="10"/>
        <v>38</v>
      </c>
      <c r="D84" s="14">
        <f t="shared" si="11"/>
        <v>0</v>
      </c>
      <c r="E84" s="14" t="str">
        <f>INDEX(entities[Attributes Index],MATCH('Customize code'!C84,entities[custom entity '#],0))</f>
        <v>6</v>
      </c>
      <c r="F84" s="14">
        <f t="shared" si="8"/>
        <v>0</v>
      </c>
      <c r="G84" s="5" t="str">
        <f>IF(D84&gt;0,"",
INDEX(entities[entity_id],MATCH('Customize code'!C84,entities[custom entity '#],0))&amp;":")</f>
        <v>device_tracker.echo_tap:</v>
      </c>
      <c r="H84" s="5" t="str">
        <f>IF(F84=0,"",VLOOKUP(F84,'Customize code'!$M$8:$O$13,3,FALSE))</f>
        <v/>
      </c>
      <c r="I84" s="5" t="str">
        <f>IF(F84=0, "",  INDEX(entities[[hidden]:[icon]],  MATCH(C84,entities[custom entity '#],0),  'Customize code'!F84)  )</f>
        <v/>
      </c>
      <c r="J84" s="5" t="str">
        <f t="shared" si="9"/>
        <v>device_tracker.echo_tap:</v>
      </c>
      <c r="K84" s="5" t="str">
        <f t="shared" si="6"/>
        <v/>
      </c>
    </row>
    <row r="85" spans="2:11" x14ac:dyDescent="0.25">
      <c r="B85" s="5">
        <f t="shared" si="7"/>
        <v>79</v>
      </c>
      <c r="C85" s="5">
        <f t="shared" si="10"/>
        <v>38</v>
      </c>
      <c r="D85" s="14">
        <f t="shared" si="11"/>
        <v>1</v>
      </c>
      <c r="E85" s="14" t="str">
        <f>INDEX(entities[Attributes Index],MATCH('Customize code'!C85,entities[custom entity '#],0))</f>
        <v>6</v>
      </c>
      <c r="F85" s="14">
        <f t="shared" si="8"/>
        <v>6</v>
      </c>
      <c r="G85" s="5" t="str">
        <f>IF(D85&gt;0,"",
INDEX(entities[entity_id],MATCH('Customize code'!C85,entities[custom entity '#],0))&amp;":")</f>
        <v/>
      </c>
      <c r="H85" s="5" t="str">
        <f>IF(F85=0,"",VLOOKUP(F85,'Customize code'!$M$8:$O$13,3,FALSE))</f>
        <v xml:space="preserve">  icon: </v>
      </c>
      <c r="I85" s="5" t="str">
        <f>IF(F85=0, "",  INDEX(entities[[hidden]:[icon]],  MATCH(C85,entities[custom entity '#],0),  'Customize code'!F85)  )</f>
        <v>mdi:amazon</v>
      </c>
      <c r="J85" s="5" t="str">
        <f t="shared" si="9"/>
        <v xml:space="preserve">  icon: mdi:amazon</v>
      </c>
      <c r="K85" s="5" t="str">
        <f t="shared" si="6"/>
        <v/>
      </c>
    </row>
    <row r="86" spans="2:11" x14ac:dyDescent="0.25">
      <c r="B86" s="5">
        <f t="shared" si="7"/>
        <v>80</v>
      </c>
      <c r="C86" s="5">
        <f t="shared" si="10"/>
        <v>39</v>
      </c>
      <c r="D86" s="14">
        <f t="shared" si="11"/>
        <v>0</v>
      </c>
      <c r="E86" s="14" t="str">
        <f>INDEX(entities[Attributes Index],MATCH('Customize code'!C86,entities[custom entity '#],0))</f>
        <v>6</v>
      </c>
      <c r="F86" s="14">
        <f t="shared" si="8"/>
        <v>0</v>
      </c>
      <c r="G86" s="5" t="str">
        <f>IF(D86&gt;0,"",
INDEX(entities[entity_id],MATCH('Customize code'!C86,entities[custom entity '#],0))&amp;":")</f>
        <v>device_tracker.growler:</v>
      </c>
      <c r="H86" s="5" t="str">
        <f>IF(F86=0,"",VLOOKUP(F86,'Customize code'!$M$8:$O$13,3,FALSE))</f>
        <v/>
      </c>
      <c r="I86" s="5" t="str">
        <f>IF(F86=0, "",  INDEX(entities[[hidden]:[icon]],  MATCH(C86,entities[custom entity '#],0),  'Customize code'!F86)  )</f>
        <v/>
      </c>
      <c r="J86" s="5" t="str">
        <f t="shared" si="9"/>
        <v>device_tracker.growler:</v>
      </c>
      <c r="K86" s="5" t="str">
        <f t="shared" si="6"/>
        <v/>
      </c>
    </row>
    <row r="87" spans="2:11" x14ac:dyDescent="0.25">
      <c r="B87" s="5">
        <f t="shared" si="7"/>
        <v>81</v>
      </c>
      <c r="C87" s="5">
        <f t="shared" si="10"/>
        <v>39</v>
      </c>
      <c r="D87" s="14">
        <f t="shared" si="11"/>
        <v>1</v>
      </c>
      <c r="E87" s="14" t="str">
        <f>INDEX(entities[Attributes Index],MATCH('Customize code'!C87,entities[custom entity '#],0))</f>
        <v>6</v>
      </c>
      <c r="F87" s="14">
        <f t="shared" si="8"/>
        <v>6</v>
      </c>
      <c r="G87" s="5" t="str">
        <f>IF(D87&gt;0,"",
INDEX(entities[entity_id],MATCH('Customize code'!C87,entities[custom entity '#],0))&amp;":")</f>
        <v/>
      </c>
      <c r="H87" s="5" t="str">
        <f>IF(F87=0,"",VLOOKUP(F87,'Customize code'!$M$8:$O$13,3,FALSE))</f>
        <v xml:space="preserve">  icon: </v>
      </c>
      <c r="I87" s="5" t="str">
        <f>IF(F87=0, "",  INDEX(entities[[hidden]:[icon]],  MATCH(C87,entities[custom entity '#],0),  'Customize code'!F87)  )</f>
        <v>mdi:laptop-windows</v>
      </c>
      <c r="J87" s="5" t="str">
        <f t="shared" si="9"/>
        <v xml:space="preserve">  icon: mdi:laptop-windows</v>
      </c>
      <c r="K87" s="5" t="str">
        <f t="shared" si="6"/>
        <v/>
      </c>
    </row>
    <row r="88" spans="2:11" x14ac:dyDescent="0.25">
      <c r="B88" s="5">
        <f t="shared" si="7"/>
        <v>82</v>
      </c>
      <c r="C88" s="5">
        <f t="shared" si="10"/>
        <v>40</v>
      </c>
      <c r="D88" s="14">
        <f t="shared" si="11"/>
        <v>0</v>
      </c>
      <c r="E88" s="14" t="str">
        <f>INDEX(entities[Attributes Index],MATCH('Customize code'!C88,entities[custom entity '#],0))</f>
        <v>6</v>
      </c>
      <c r="F88" s="14">
        <f t="shared" si="8"/>
        <v>0</v>
      </c>
      <c r="G88" s="5" t="str">
        <f>IF(D88&gt;0,"",
INDEX(entities[entity_id],MATCH('Customize code'!C88,entities[custom entity '#],0))&amp;":")</f>
        <v>device_tracker.humvee:</v>
      </c>
      <c r="H88" s="5" t="str">
        <f>IF(F88=0,"",VLOOKUP(F88,'Customize code'!$M$8:$O$13,3,FALSE))</f>
        <v/>
      </c>
      <c r="I88" s="5" t="str">
        <f>IF(F88=0, "",  INDEX(entities[[hidden]:[icon]],  MATCH(C88,entities[custom entity '#],0),  'Customize code'!F88)  )</f>
        <v/>
      </c>
      <c r="J88" s="5" t="str">
        <f t="shared" si="9"/>
        <v>device_tracker.humvee:</v>
      </c>
      <c r="K88" s="5" t="str">
        <f t="shared" si="6"/>
        <v/>
      </c>
    </row>
    <row r="89" spans="2:11" x14ac:dyDescent="0.25">
      <c r="B89" s="5">
        <f t="shared" si="7"/>
        <v>83</v>
      </c>
      <c r="C89" s="5">
        <f t="shared" si="10"/>
        <v>40</v>
      </c>
      <c r="D89" s="14">
        <f t="shared" si="11"/>
        <v>1</v>
      </c>
      <c r="E89" s="14" t="str">
        <f>INDEX(entities[Attributes Index],MATCH('Customize code'!C89,entities[custom entity '#],0))</f>
        <v>6</v>
      </c>
      <c r="F89" s="14">
        <f t="shared" si="8"/>
        <v>6</v>
      </c>
      <c r="G89" s="5" t="str">
        <f>IF(D89&gt;0,"",
INDEX(entities[entity_id],MATCH('Customize code'!C89,entities[custom entity '#],0))&amp;":")</f>
        <v/>
      </c>
      <c r="H89" s="5" t="str">
        <f>IF(F89=0,"",VLOOKUP(F89,'Customize code'!$M$8:$O$13,3,FALSE))</f>
        <v xml:space="preserve">  icon: </v>
      </c>
      <c r="I89" s="5" t="str">
        <f>IF(F89=0, "",  INDEX(entities[[hidden]:[icon]],  MATCH(C89,entities[custom entity '#],0),  'Customize code'!F89)  )</f>
        <v>mdi:desktop-tower</v>
      </c>
      <c r="J89" s="5" t="str">
        <f t="shared" si="9"/>
        <v xml:space="preserve">  icon: mdi:desktop-tower</v>
      </c>
      <c r="K89" s="5" t="str">
        <f t="shared" si="6"/>
        <v/>
      </c>
    </row>
    <row r="90" spans="2:11" x14ac:dyDescent="0.25">
      <c r="B90" s="5">
        <f t="shared" si="7"/>
        <v>84</v>
      </c>
      <c r="C90" s="5">
        <f t="shared" si="10"/>
        <v>41</v>
      </c>
      <c r="D90" s="14">
        <f t="shared" si="11"/>
        <v>0</v>
      </c>
      <c r="E90" s="14" t="str">
        <f>INDEX(entities[Attributes Index],MATCH('Customize code'!C90,entities[custom entity '#],0))</f>
        <v>6</v>
      </c>
      <c r="F90" s="14">
        <f t="shared" si="8"/>
        <v>0</v>
      </c>
      <c r="G90" s="5" t="str">
        <f>IF(D90&gt;0,"",
INDEX(entities[entity_id],MATCH('Customize code'!C90,entities[custom entity '#],0))&amp;":")</f>
        <v>device_tracker.jeep:</v>
      </c>
      <c r="H90" s="5" t="str">
        <f>IF(F90=0,"",VLOOKUP(F90,'Customize code'!$M$8:$O$13,3,FALSE))</f>
        <v/>
      </c>
      <c r="I90" s="5" t="str">
        <f>IF(F90=0, "",  INDEX(entities[[hidden]:[icon]],  MATCH(C90,entities[custom entity '#],0),  'Customize code'!F90)  )</f>
        <v/>
      </c>
      <c r="J90" s="5" t="str">
        <f t="shared" si="9"/>
        <v>device_tracker.jeep:</v>
      </c>
      <c r="K90" s="5" t="str">
        <f t="shared" si="6"/>
        <v/>
      </c>
    </row>
    <row r="91" spans="2:11" x14ac:dyDescent="0.25">
      <c r="B91" s="5">
        <f t="shared" si="7"/>
        <v>85</v>
      </c>
      <c r="C91" s="5">
        <f t="shared" si="10"/>
        <v>41</v>
      </c>
      <c r="D91" s="14">
        <f t="shared" si="11"/>
        <v>1</v>
      </c>
      <c r="E91" s="14" t="str">
        <f>INDEX(entities[Attributes Index],MATCH('Customize code'!C91,entities[custom entity '#],0))</f>
        <v>6</v>
      </c>
      <c r="F91" s="14">
        <f t="shared" si="8"/>
        <v>6</v>
      </c>
      <c r="G91" s="5" t="str">
        <f>IF(D91&gt;0,"",
INDEX(entities[entity_id],MATCH('Customize code'!C91,entities[custom entity '#],0))&amp;":")</f>
        <v/>
      </c>
      <c r="H91" s="5" t="str">
        <f>IF(F91=0,"",VLOOKUP(F91,'Customize code'!$M$8:$O$13,3,FALSE))</f>
        <v xml:space="preserve">  icon: </v>
      </c>
      <c r="I91" s="5" t="str">
        <f>IF(F91=0, "",  INDEX(entities[[hidden]:[icon]],  MATCH(C91,entities[custom entity '#],0),  'Customize code'!F91)  )</f>
        <v>mdi:laptop</v>
      </c>
      <c r="J91" s="5" t="str">
        <f t="shared" si="9"/>
        <v xml:space="preserve">  icon: mdi:laptop</v>
      </c>
      <c r="K91" s="5" t="str">
        <f t="shared" si="6"/>
        <v/>
      </c>
    </row>
    <row r="92" spans="2:11" x14ac:dyDescent="0.25">
      <c r="B92" s="5">
        <f t="shared" si="7"/>
        <v>86</v>
      </c>
      <c r="C92" s="5">
        <f t="shared" si="10"/>
        <v>42</v>
      </c>
      <c r="D92" s="14">
        <f t="shared" si="11"/>
        <v>0</v>
      </c>
      <c r="E92" s="14" t="str">
        <f>INDEX(entities[Attributes Index],MATCH('Customize code'!C92,entities[custom entity '#],0))</f>
        <v>6</v>
      </c>
      <c r="F92" s="14">
        <f t="shared" si="8"/>
        <v>0</v>
      </c>
      <c r="G92" s="5" t="str">
        <f>IF(D92&gt;0,"",
INDEX(entities[entity_id],MATCH('Customize code'!C92,entities[custom entity '#],0))&amp;":")</f>
        <v>device_tracker.jtac:</v>
      </c>
      <c r="H92" s="5" t="str">
        <f>IF(F92=0,"",VLOOKUP(F92,'Customize code'!$M$8:$O$13,3,FALSE))</f>
        <v/>
      </c>
      <c r="I92" s="5" t="str">
        <f>IF(F92=0, "",  INDEX(entities[[hidden]:[icon]],  MATCH(C92,entities[custom entity '#],0),  'Customize code'!F92)  )</f>
        <v/>
      </c>
      <c r="J92" s="5" t="str">
        <f t="shared" si="9"/>
        <v>device_tracker.jtac:</v>
      </c>
      <c r="K92" s="5" t="str">
        <f t="shared" si="6"/>
        <v/>
      </c>
    </row>
    <row r="93" spans="2:11" x14ac:dyDescent="0.25">
      <c r="B93" s="5">
        <f t="shared" si="7"/>
        <v>87</v>
      </c>
      <c r="C93" s="5">
        <f t="shared" si="10"/>
        <v>42</v>
      </c>
      <c r="D93" s="14">
        <f t="shared" si="11"/>
        <v>1</v>
      </c>
      <c r="E93" s="14" t="str">
        <f>INDEX(entities[Attributes Index],MATCH('Customize code'!C93,entities[custom entity '#],0))</f>
        <v>6</v>
      </c>
      <c r="F93" s="14">
        <f t="shared" si="8"/>
        <v>6</v>
      </c>
      <c r="G93" s="5" t="str">
        <f>IF(D93&gt;0,"",
INDEX(entities[entity_id],MATCH('Customize code'!C93,entities[custom entity '#],0))&amp;":")</f>
        <v/>
      </c>
      <c r="H93" s="5" t="str">
        <f>IF(F93=0,"",VLOOKUP(F93,'Customize code'!$M$8:$O$13,3,FALSE))</f>
        <v xml:space="preserve">  icon: </v>
      </c>
      <c r="I93" s="5" t="str">
        <f>IF(F93=0, "",  INDEX(entities[[hidden]:[icon]],  MATCH(C93,entities[custom entity '#],0),  'Customize code'!F93)  )</f>
        <v>mdi:pi</v>
      </c>
      <c r="J93" s="5" t="str">
        <f t="shared" si="9"/>
        <v xml:space="preserve">  icon: mdi:pi</v>
      </c>
      <c r="K93" s="5" t="str">
        <f t="shared" si="6"/>
        <v/>
      </c>
    </row>
    <row r="94" spans="2:11" x14ac:dyDescent="0.25">
      <c r="B94" s="5">
        <f t="shared" si="7"/>
        <v>88</v>
      </c>
      <c r="C94" s="5">
        <f t="shared" si="10"/>
        <v>43</v>
      </c>
      <c r="D94" s="14">
        <f t="shared" si="11"/>
        <v>0</v>
      </c>
      <c r="E94" s="14" t="str">
        <f>INDEX(entities[Attributes Index],MATCH('Customize code'!C94,entities[custom entity '#],0))</f>
        <v>6</v>
      </c>
      <c r="F94" s="14">
        <f t="shared" si="8"/>
        <v>0</v>
      </c>
      <c r="G94" s="5" t="str">
        <f>IF(D94&gt;0,"",
INDEX(entities[entity_id],MATCH('Customize code'!C94,entities[custom entity '#],0))&amp;":")</f>
        <v>device_tracker.raspi_vpn:</v>
      </c>
      <c r="H94" s="5" t="str">
        <f>IF(F94=0,"",VLOOKUP(F94,'Customize code'!$M$8:$O$13,3,FALSE))</f>
        <v/>
      </c>
      <c r="I94" s="5" t="str">
        <f>IF(F94=0, "",  INDEX(entities[[hidden]:[icon]],  MATCH(C94,entities[custom entity '#],0),  'Customize code'!F94)  )</f>
        <v/>
      </c>
      <c r="J94" s="5" t="str">
        <f t="shared" si="9"/>
        <v>device_tracker.raspi_vpn:</v>
      </c>
      <c r="K94" s="5" t="str">
        <f t="shared" si="6"/>
        <v/>
      </c>
    </row>
    <row r="95" spans="2:11" x14ac:dyDescent="0.25">
      <c r="B95" s="5">
        <f t="shared" si="7"/>
        <v>89</v>
      </c>
      <c r="C95" s="5">
        <f t="shared" si="10"/>
        <v>43</v>
      </c>
      <c r="D95" s="14">
        <f t="shared" si="11"/>
        <v>1</v>
      </c>
      <c r="E95" s="14" t="str">
        <f>INDEX(entities[Attributes Index],MATCH('Customize code'!C95,entities[custom entity '#],0))</f>
        <v>6</v>
      </c>
      <c r="F95" s="14">
        <f t="shared" si="8"/>
        <v>6</v>
      </c>
      <c r="G95" s="5" t="str">
        <f>IF(D95&gt;0,"",
INDEX(entities[entity_id],MATCH('Customize code'!C95,entities[custom entity '#],0))&amp;":")</f>
        <v/>
      </c>
      <c r="H95" s="5" t="str">
        <f>IF(F95=0,"",VLOOKUP(F95,'Customize code'!$M$8:$O$13,3,FALSE))</f>
        <v xml:space="preserve">  icon: </v>
      </c>
      <c r="I95" s="5" t="str">
        <f>IF(F95=0, "",  INDEX(entities[[hidden]:[icon]],  MATCH(C95,entities[custom entity '#],0),  'Customize code'!F95)  )</f>
        <v>mdi:vpn</v>
      </c>
      <c r="J95" s="5" t="str">
        <f t="shared" si="9"/>
        <v xml:space="preserve">  icon: mdi:vpn</v>
      </c>
      <c r="K95" s="5" t="str">
        <f t="shared" si="6"/>
        <v/>
      </c>
    </row>
    <row r="96" spans="2:11" x14ac:dyDescent="0.25">
      <c r="B96" s="5">
        <f t="shared" si="7"/>
        <v>90</v>
      </c>
      <c r="C96" s="5">
        <f t="shared" si="10"/>
        <v>44</v>
      </c>
      <c r="D96" s="14">
        <f t="shared" si="11"/>
        <v>0</v>
      </c>
      <c r="E96" s="14" t="str">
        <f>INDEX(entities[Attributes Index],MATCH('Customize code'!C96,entities[custom entity '#],0))</f>
        <v>6</v>
      </c>
      <c r="F96" s="14">
        <f t="shared" si="8"/>
        <v>0</v>
      </c>
      <c r="G96" s="5" t="str">
        <f>IF(D96&gt;0,"",
INDEX(entities[entity_id],MATCH('Customize code'!C96,entities[custom entity '#],0))&amp;":")</f>
        <v>device_tracker.ron_phone:</v>
      </c>
      <c r="H96" s="5" t="str">
        <f>IF(F96=0,"",VLOOKUP(F96,'Customize code'!$M$8:$O$13,3,FALSE))</f>
        <v/>
      </c>
      <c r="I96" s="5" t="str">
        <f>IF(F96=0, "",  INDEX(entities[[hidden]:[icon]],  MATCH(C96,entities[custom entity '#],0),  'Customize code'!F96)  )</f>
        <v/>
      </c>
      <c r="J96" s="5" t="str">
        <f t="shared" si="9"/>
        <v>device_tracker.ron_phone:</v>
      </c>
      <c r="K96" s="5" t="str">
        <f t="shared" si="6"/>
        <v/>
      </c>
    </row>
    <row r="97" spans="2:11" x14ac:dyDescent="0.25">
      <c r="B97" s="5">
        <f t="shared" si="7"/>
        <v>91</v>
      </c>
      <c r="C97" s="5">
        <f t="shared" si="10"/>
        <v>44</v>
      </c>
      <c r="D97" s="14">
        <f t="shared" si="11"/>
        <v>1</v>
      </c>
      <c r="E97" s="14" t="str">
        <f>INDEX(entities[Attributes Index],MATCH('Customize code'!C97,entities[custom entity '#],0))</f>
        <v>6</v>
      </c>
      <c r="F97" s="14">
        <f t="shared" si="8"/>
        <v>6</v>
      </c>
      <c r="G97" s="5" t="str">
        <f>IF(D97&gt;0,"",
INDEX(entities[entity_id],MATCH('Customize code'!C97,entities[custom entity '#],0))&amp;":")</f>
        <v/>
      </c>
      <c r="H97" s="5" t="str">
        <f>IF(F97=0,"",VLOOKUP(F97,'Customize code'!$M$8:$O$13,3,FALSE))</f>
        <v xml:space="preserve">  icon: </v>
      </c>
      <c r="I97" s="5" t="str">
        <f>IF(F97=0, "",  INDEX(entities[[hidden]:[icon]],  MATCH(C97,entities[custom entity '#],0),  'Customize code'!F97)  )</f>
        <v>mdi:cellphone-android</v>
      </c>
      <c r="J97" s="5" t="str">
        <f t="shared" si="9"/>
        <v xml:space="preserve">  icon: mdi:cellphone-android</v>
      </c>
      <c r="K97" s="5" t="str">
        <f t="shared" si="6"/>
        <v/>
      </c>
    </row>
    <row r="98" spans="2:11" x14ac:dyDescent="0.25">
      <c r="B98" s="5">
        <f t="shared" si="7"/>
        <v>92</v>
      </c>
      <c r="C98" s="5">
        <f t="shared" si="10"/>
        <v>45</v>
      </c>
      <c r="D98" s="14">
        <f t="shared" si="11"/>
        <v>0</v>
      </c>
      <c r="E98" s="14" t="str">
        <f>INDEX(entities[Attributes Index],MATCH('Customize code'!C98,entities[custom entity '#],0))</f>
        <v>6</v>
      </c>
      <c r="F98" s="14">
        <f t="shared" si="8"/>
        <v>0</v>
      </c>
      <c r="G98" s="5" t="str">
        <f>IF(D98&gt;0,"",
INDEX(entities[entity_id],MATCH('Customize code'!C98,entities[custom entity '#],0))&amp;":")</f>
        <v>device_tracker.tank:</v>
      </c>
      <c r="H98" s="5" t="str">
        <f>IF(F98=0,"",VLOOKUP(F98,'Customize code'!$M$8:$O$13,3,FALSE))</f>
        <v/>
      </c>
      <c r="I98" s="5" t="str">
        <f>IF(F98=0, "",  INDEX(entities[[hidden]:[icon]],  MATCH(C98,entities[custom entity '#],0),  'Customize code'!F98)  )</f>
        <v/>
      </c>
      <c r="J98" s="5" t="str">
        <f t="shared" si="9"/>
        <v>device_tracker.tank:</v>
      </c>
      <c r="K98" s="5" t="str">
        <f t="shared" si="6"/>
        <v/>
      </c>
    </row>
    <row r="99" spans="2:11" x14ac:dyDescent="0.25">
      <c r="B99" s="5">
        <f t="shared" si="7"/>
        <v>93</v>
      </c>
      <c r="C99" s="5">
        <f t="shared" si="10"/>
        <v>45</v>
      </c>
      <c r="D99" s="14">
        <f t="shared" si="11"/>
        <v>1</v>
      </c>
      <c r="E99" s="14" t="str">
        <f>INDEX(entities[Attributes Index],MATCH('Customize code'!C99,entities[custom entity '#],0))</f>
        <v>6</v>
      </c>
      <c r="F99" s="14">
        <f t="shared" si="8"/>
        <v>6</v>
      </c>
      <c r="G99" s="5" t="str">
        <f>IF(D99&gt;0,"",
INDEX(entities[entity_id],MATCH('Customize code'!C99,entities[custom entity '#],0))&amp;":")</f>
        <v/>
      </c>
      <c r="H99" s="5" t="str">
        <f>IF(F99=0,"",VLOOKUP(F99,'Customize code'!$M$8:$O$13,3,FALSE))</f>
        <v xml:space="preserve">  icon: </v>
      </c>
      <c r="I99" s="5" t="str">
        <f>IF(F99=0, "",  INDEX(entities[[hidden]:[icon]],  MATCH(C99,entities[custom entity '#],0),  'Customize code'!F99)  )</f>
        <v>mdi:server</v>
      </c>
      <c r="J99" s="5" t="str">
        <f t="shared" si="9"/>
        <v xml:space="preserve">  icon: mdi:server</v>
      </c>
      <c r="K99" s="5" t="str">
        <f t="shared" si="6"/>
        <v/>
      </c>
    </row>
    <row r="100" spans="2:11" x14ac:dyDescent="0.25">
      <c r="B100" s="5">
        <f t="shared" si="7"/>
        <v>94</v>
      </c>
      <c r="C100" s="5">
        <f t="shared" si="10"/>
        <v>46</v>
      </c>
      <c r="D100" s="14">
        <f t="shared" si="11"/>
        <v>0</v>
      </c>
      <c r="E100" s="14" t="str">
        <f>INDEX(entities[Attributes Index],MATCH('Customize code'!C100,entities[custom entity '#],0))</f>
        <v>6</v>
      </c>
      <c r="F100" s="14">
        <f t="shared" si="8"/>
        <v>0</v>
      </c>
      <c r="G100" s="5" t="str">
        <f>IF(D100&gt;0,"",
INDEX(entities[entity_id],MATCH('Customize code'!C100,entities[custom entity '#],0))&amp;":")</f>
        <v>device_tracker.wf2ir:</v>
      </c>
      <c r="H100" s="5" t="str">
        <f>IF(F100=0,"",VLOOKUP(F100,'Customize code'!$M$8:$O$13,3,FALSE))</f>
        <v/>
      </c>
      <c r="I100" s="5" t="str">
        <f>IF(F100=0, "",  INDEX(entities[[hidden]:[icon]],  MATCH(C100,entities[custom entity '#],0),  'Customize code'!F100)  )</f>
        <v/>
      </c>
      <c r="J100" s="5" t="str">
        <f t="shared" si="9"/>
        <v>device_tracker.wf2ir:</v>
      </c>
      <c r="K100" s="5" t="str">
        <f t="shared" si="6"/>
        <v/>
      </c>
    </row>
    <row r="101" spans="2:11" x14ac:dyDescent="0.25">
      <c r="B101" s="5">
        <f t="shared" si="7"/>
        <v>95</v>
      </c>
      <c r="C101" s="5">
        <f t="shared" si="10"/>
        <v>46</v>
      </c>
      <c r="D101" s="14">
        <f t="shared" si="11"/>
        <v>1</v>
      </c>
      <c r="E101" s="14" t="str">
        <f>INDEX(entities[Attributes Index],MATCH('Customize code'!C101,entities[custom entity '#],0))</f>
        <v>6</v>
      </c>
      <c r="F101" s="14">
        <f t="shared" si="8"/>
        <v>6</v>
      </c>
      <c r="G101" s="5" t="str">
        <f>IF(D101&gt;0,"",
INDEX(entities[entity_id],MATCH('Customize code'!C101,entities[custom entity '#],0))&amp;":")</f>
        <v/>
      </c>
      <c r="H101" s="5" t="str">
        <f>IF(F101=0,"",VLOOKUP(F101,'Customize code'!$M$8:$O$13,3,FALSE))</f>
        <v xml:space="preserve">  icon: </v>
      </c>
      <c r="I101" s="5" t="str">
        <f>IF(F101=0, "",  INDEX(entities[[hidden]:[icon]],  MATCH(C101,entities[custom entity '#],0),  'Customize code'!F101)  )</f>
        <v>mdi:remote</v>
      </c>
      <c r="J101" s="5" t="str">
        <f t="shared" si="9"/>
        <v xml:space="preserve">  icon: mdi:remote</v>
      </c>
      <c r="K101" s="5" t="str">
        <f t="shared" si="6"/>
        <v/>
      </c>
    </row>
    <row r="102" spans="2:11" x14ac:dyDescent="0.25">
      <c r="B102" s="5">
        <f t="shared" si="7"/>
        <v>96</v>
      </c>
      <c r="C102" s="5">
        <f t="shared" si="10"/>
        <v>47</v>
      </c>
      <c r="D102" s="14">
        <f t="shared" si="11"/>
        <v>0</v>
      </c>
      <c r="E102" s="14" t="str">
        <f>INDEX(entities[Attributes Index],MATCH('Customize code'!C102,entities[custom entity '#],0))</f>
        <v>6</v>
      </c>
      <c r="F102" s="14">
        <f t="shared" si="8"/>
        <v>0</v>
      </c>
      <c r="G102" s="5" t="str">
        <f>IF(D102&gt;0,"",
INDEX(entities[entity_id],MATCH('Customize code'!C102,entities[custom entity '#],0))&amp;":")</f>
        <v>device_tracker.withings_scale:</v>
      </c>
      <c r="H102" s="5" t="str">
        <f>IF(F102=0,"",VLOOKUP(F102,'Customize code'!$M$8:$O$13,3,FALSE))</f>
        <v/>
      </c>
      <c r="I102" s="5" t="str">
        <f>IF(F102=0, "",  INDEX(entities[[hidden]:[icon]],  MATCH(C102,entities[custom entity '#],0),  'Customize code'!F102)  )</f>
        <v/>
      </c>
      <c r="J102" s="5" t="str">
        <f t="shared" si="9"/>
        <v>device_tracker.withings_scale:</v>
      </c>
      <c r="K102" s="5" t="str">
        <f t="shared" si="6"/>
        <v/>
      </c>
    </row>
    <row r="103" spans="2:11" x14ac:dyDescent="0.25">
      <c r="B103" s="5">
        <f t="shared" si="7"/>
        <v>97</v>
      </c>
      <c r="C103" s="5">
        <f t="shared" si="10"/>
        <v>47</v>
      </c>
      <c r="D103" s="14">
        <f t="shared" si="11"/>
        <v>1</v>
      </c>
      <c r="E103" s="14" t="str">
        <f>INDEX(entities[Attributes Index],MATCH('Customize code'!C103,entities[custom entity '#],0))</f>
        <v>6</v>
      </c>
      <c r="F103" s="14">
        <f t="shared" si="8"/>
        <v>6</v>
      </c>
      <c r="G103" s="5" t="str">
        <f>IF(D103&gt;0,"",
INDEX(entities[entity_id],MATCH('Customize code'!C103,entities[custom entity '#],0))&amp;":")</f>
        <v/>
      </c>
      <c r="H103" s="5" t="str">
        <f>IF(F103=0,"",VLOOKUP(F103,'Customize code'!$M$8:$O$13,3,FALSE))</f>
        <v xml:space="preserve">  icon: </v>
      </c>
      <c r="I103" s="5" t="str">
        <f>IF(F103=0, "",  INDEX(entities[[hidden]:[icon]],  MATCH(C103,entities[custom entity '#],0),  'Customize code'!F103)  )</f>
        <v>mdi:scale-bathroom</v>
      </c>
      <c r="J103" s="5" t="str">
        <f t="shared" si="9"/>
        <v xml:space="preserve">  icon: mdi:scale-bathroom</v>
      </c>
      <c r="K103" s="5" t="str">
        <f t="shared" si="6"/>
        <v/>
      </c>
    </row>
    <row r="104" spans="2:11" x14ac:dyDescent="0.25">
      <c r="B104" s="5">
        <f t="shared" si="7"/>
        <v>98</v>
      </c>
      <c r="C104" s="5">
        <f t="shared" si="10"/>
        <v>48</v>
      </c>
      <c r="D104" s="14">
        <f t="shared" si="11"/>
        <v>0</v>
      </c>
      <c r="E104" s="14" t="str">
        <f>INDEX(entities[Attributes Index],MATCH('Customize code'!C104,entities[custom entity '#],0))</f>
        <v>1</v>
      </c>
      <c r="F104" s="14">
        <f t="shared" si="8"/>
        <v>0</v>
      </c>
      <c r="G104" s="5" t="str">
        <f>IF(D104&gt;0,"",
INDEX(entities[entity_id],MATCH('Customize code'!C104,entities[custom entity '#],0))&amp;":")</f>
        <v>group.automation_almclk:</v>
      </c>
      <c r="H104" s="5" t="str">
        <f>IF(F104=0,"",VLOOKUP(F104,'Customize code'!$M$8:$O$13,3,FALSE))</f>
        <v/>
      </c>
      <c r="I104" s="5" t="str">
        <f>IF(F104=0, "",  INDEX(entities[[hidden]:[icon]],  MATCH(C104,entities[custom entity '#],0),  'Customize code'!F104)  )</f>
        <v/>
      </c>
      <c r="J104" s="5" t="str">
        <f t="shared" si="9"/>
        <v>group.automation_almclk:</v>
      </c>
      <c r="K104" s="5" t="str">
        <f t="shared" si="6"/>
        <v/>
      </c>
    </row>
    <row r="105" spans="2:11" x14ac:dyDescent="0.25">
      <c r="B105" s="5">
        <f t="shared" si="7"/>
        <v>99</v>
      </c>
      <c r="C105" s="5">
        <f t="shared" si="10"/>
        <v>48</v>
      </c>
      <c r="D105" s="14">
        <f t="shared" si="11"/>
        <v>1</v>
      </c>
      <c r="E105" s="14" t="str">
        <f>INDEX(entities[Attributes Index],MATCH('Customize code'!C105,entities[custom entity '#],0))</f>
        <v>1</v>
      </c>
      <c r="F105" s="14">
        <f t="shared" si="8"/>
        <v>1</v>
      </c>
      <c r="G105" s="5" t="str">
        <f>IF(D105&gt;0,"",
INDEX(entities[entity_id],MATCH('Customize code'!C105,entities[custom entity '#],0))&amp;":")</f>
        <v/>
      </c>
      <c r="H105" s="5" t="str">
        <f>IF(F105=0,"",VLOOKUP(F105,'Customize code'!$M$8:$O$13,3,FALSE))</f>
        <v xml:space="preserve">  hidden: </v>
      </c>
      <c r="I105" s="5" t="str">
        <f>IF(F105=0, "",  INDEX(entities[[hidden]:[icon]],  MATCH(C105,entities[custom entity '#],0),  'Customize code'!F105)  )</f>
        <v>true</v>
      </c>
      <c r="J105" s="5" t="str">
        <f t="shared" si="9"/>
        <v xml:space="preserve">  hidden: true</v>
      </c>
      <c r="K105" s="5" t="str">
        <f t="shared" si="6"/>
        <v/>
      </c>
    </row>
    <row r="106" spans="2:11" x14ac:dyDescent="0.25">
      <c r="B106" s="5">
        <f t="shared" si="7"/>
        <v>100</v>
      </c>
      <c r="C106" s="5">
        <f t="shared" si="10"/>
        <v>49</v>
      </c>
      <c r="D106" s="14">
        <f t="shared" si="11"/>
        <v>0</v>
      </c>
      <c r="E106" s="14" t="str">
        <f>INDEX(entities[Attributes Index],MATCH('Customize code'!C106,entities[custom entity '#],0))</f>
        <v>1</v>
      </c>
      <c r="F106" s="14">
        <f t="shared" si="8"/>
        <v>0</v>
      </c>
      <c r="G106" s="5" t="str">
        <f>IF(D106&gt;0,"",
INDEX(entities[entity_id],MATCH('Customize code'!C106,entities[custom entity '#],0))&amp;":")</f>
        <v>group.automation_ifttt:</v>
      </c>
      <c r="H106" s="5" t="str">
        <f>IF(F106=0,"",VLOOKUP(F106,'Customize code'!$M$8:$O$13,3,FALSE))</f>
        <v/>
      </c>
      <c r="I106" s="5" t="str">
        <f>IF(F106=0, "",  INDEX(entities[[hidden]:[icon]],  MATCH(C106,entities[custom entity '#],0),  'Customize code'!F106)  )</f>
        <v/>
      </c>
      <c r="J106" s="5" t="str">
        <f t="shared" si="9"/>
        <v>group.automation_ifttt:</v>
      </c>
      <c r="K106" s="5" t="str">
        <f t="shared" si="6"/>
        <v/>
      </c>
    </row>
    <row r="107" spans="2:11" x14ac:dyDescent="0.25">
      <c r="B107" s="5">
        <f t="shared" ref="B107:B164" si="12">B106+1</f>
        <v>101</v>
      </c>
      <c r="C107" s="5">
        <f t="shared" si="10"/>
        <v>49</v>
      </c>
      <c r="D107" s="14">
        <f t="shared" si="11"/>
        <v>1</v>
      </c>
      <c r="E107" s="14" t="str">
        <f>INDEX(entities[Attributes Index],MATCH('Customize code'!C107,entities[custom entity '#],0))</f>
        <v>1</v>
      </c>
      <c r="F107" s="14">
        <f t="shared" si="8"/>
        <v>1</v>
      </c>
      <c r="G107" s="5" t="str">
        <f>IF(D107&gt;0,"",
INDEX(entities[entity_id],MATCH('Customize code'!C107,entities[custom entity '#],0))&amp;":")</f>
        <v/>
      </c>
      <c r="H107" s="5" t="str">
        <f>IF(F107=0,"",VLOOKUP(F107,'Customize code'!$M$8:$O$13,3,FALSE))</f>
        <v xml:space="preserve">  hidden: </v>
      </c>
      <c r="I107" s="5" t="str">
        <f>IF(F107=0, "",  INDEX(entities[[hidden]:[icon]],  MATCH(C107,entities[custom entity '#],0),  'Customize code'!F107)  )</f>
        <v>true</v>
      </c>
      <c r="J107" s="5" t="str">
        <f t="shared" si="9"/>
        <v xml:space="preserve">  hidden: true</v>
      </c>
      <c r="K107" s="5" t="str">
        <f t="shared" si="6"/>
        <v/>
      </c>
    </row>
    <row r="108" spans="2:11" x14ac:dyDescent="0.25">
      <c r="B108" s="5">
        <f t="shared" si="12"/>
        <v>102</v>
      </c>
      <c r="C108" s="5">
        <f t="shared" si="10"/>
        <v>50</v>
      </c>
      <c r="D108" s="14">
        <f t="shared" si="11"/>
        <v>0</v>
      </c>
      <c r="E108" s="14" t="str">
        <f>INDEX(entities[Attributes Index],MATCH('Customize code'!C108,entities[custom entity '#],0))</f>
        <v>1</v>
      </c>
      <c r="F108" s="14">
        <f t="shared" si="8"/>
        <v>0</v>
      </c>
      <c r="G108" s="5" t="str">
        <f>IF(D108&gt;0,"",
INDEX(entities[entity_id],MATCH('Customize code'!C108,entities[custom entity '#],0))&amp;":")</f>
        <v>group.automation_locaway:</v>
      </c>
      <c r="H108" s="5" t="str">
        <f>IF(F108=0,"",VLOOKUP(F108,'Customize code'!$M$8:$O$13,3,FALSE))</f>
        <v/>
      </c>
      <c r="I108" s="5" t="str">
        <f>IF(F108=0, "",  INDEX(entities[[hidden]:[icon]],  MATCH(C108,entities[custom entity '#],0),  'Customize code'!F108)  )</f>
        <v/>
      </c>
      <c r="J108" s="5" t="str">
        <f t="shared" si="9"/>
        <v>group.automation_locaway:</v>
      </c>
      <c r="K108" s="5" t="str">
        <f t="shared" si="6"/>
        <v/>
      </c>
    </row>
    <row r="109" spans="2:11" x14ac:dyDescent="0.25">
      <c r="B109" s="5">
        <f t="shared" si="12"/>
        <v>103</v>
      </c>
      <c r="C109" s="5">
        <f t="shared" si="10"/>
        <v>50</v>
      </c>
      <c r="D109" s="14">
        <f t="shared" si="11"/>
        <v>1</v>
      </c>
      <c r="E109" s="14" t="str">
        <f>INDEX(entities[Attributes Index],MATCH('Customize code'!C109,entities[custom entity '#],0))</f>
        <v>1</v>
      </c>
      <c r="F109" s="14">
        <f t="shared" si="8"/>
        <v>1</v>
      </c>
      <c r="G109" s="5" t="str">
        <f>IF(D109&gt;0,"",
INDEX(entities[entity_id],MATCH('Customize code'!C109,entities[custom entity '#],0))&amp;":")</f>
        <v/>
      </c>
      <c r="H109" s="5" t="str">
        <f>IF(F109=0,"",VLOOKUP(F109,'Customize code'!$M$8:$O$13,3,FALSE))</f>
        <v xml:space="preserve">  hidden: </v>
      </c>
      <c r="I109" s="5" t="str">
        <f>IF(F109=0, "",  INDEX(entities[[hidden]:[icon]],  MATCH(C109,entities[custom entity '#],0),  'Customize code'!F109)  )</f>
        <v>true</v>
      </c>
      <c r="J109" s="5" t="str">
        <f t="shared" si="9"/>
        <v xml:space="preserve">  hidden: true</v>
      </c>
      <c r="K109" s="5" t="str">
        <f t="shared" si="6"/>
        <v/>
      </c>
    </row>
    <row r="110" spans="2:11" x14ac:dyDescent="0.25">
      <c r="B110" s="5">
        <f t="shared" si="12"/>
        <v>104</v>
      </c>
      <c r="C110" s="5">
        <f t="shared" si="10"/>
        <v>51</v>
      </c>
      <c r="D110" s="14">
        <f t="shared" si="11"/>
        <v>0</v>
      </c>
      <c r="E110" s="14" t="str">
        <f>INDEX(entities[Attributes Index],MATCH('Customize code'!C110,entities[custom entity '#],0))</f>
        <v>1</v>
      </c>
      <c r="F110" s="14">
        <f t="shared" si="8"/>
        <v>0</v>
      </c>
      <c r="G110" s="5" t="str">
        <f>IF(D110&gt;0,"",
INDEX(entities[entity_id],MATCH('Customize code'!C110,entities[custom entity '#],0))&amp;":")</f>
        <v>group.automation_not:</v>
      </c>
      <c r="H110" s="5" t="str">
        <f>IF(F110=0,"",VLOOKUP(F110,'Customize code'!$M$8:$O$13,3,FALSE))</f>
        <v/>
      </c>
      <c r="I110" s="5" t="str">
        <f>IF(F110=0, "",  INDEX(entities[[hidden]:[icon]],  MATCH(C110,entities[custom entity '#],0),  'Customize code'!F110)  )</f>
        <v/>
      </c>
      <c r="J110" s="5" t="str">
        <f t="shared" si="9"/>
        <v>group.automation_not:</v>
      </c>
      <c r="K110" s="5" t="str">
        <f t="shared" si="6"/>
        <v/>
      </c>
    </row>
    <row r="111" spans="2:11" x14ac:dyDescent="0.25">
      <c r="B111" s="5">
        <f t="shared" si="12"/>
        <v>105</v>
      </c>
      <c r="C111" s="5">
        <f t="shared" si="10"/>
        <v>51</v>
      </c>
      <c r="D111" s="14">
        <f t="shared" si="11"/>
        <v>1</v>
      </c>
      <c r="E111" s="14" t="str">
        <f>INDEX(entities[Attributes Index],MATCH('Customize code'!C111,entities[custom entity '#],0))</f>
        <v>1</v>
      </c>
      <c r="F111" s="14">
        <f t="shared" si="8"/>
        <v>1</v>
      </c>
      <c r="G111" s="5" t="str">
        <f>IF(D111&gt;0,"",
INDEX(entities[entity_id],MATCH('Customize code'!C111,entities[custom entity '#],0))&amp;":")</f>
        <v/>
      </c>
      <c r="H111" s="5" t="str">
        <f>IF(F111=0,"",VLOOKUP(F111,'Customize code'!$M$8:$O$13,3,FALSE))</f>
        <v xml:space="preserve">  hidden: </v>
      </c>
      <c r="I111" s="5" t="str">
        <f>IF(F111=0, "",  INDEX(entities[[hidden]:[icon]],  MATCH(C111,entities[custom entity '#],0),  'Customize code'!F111)  )</f>
        <v>true</v>
      </c>
      <c r="J111" s="5" t="str">
        <f t="shared" si="9"/>
        <v xml:space="preserve">  hidden: true</v>
      </c>
      <c r="K111" s="5" t="str">
        <f t="shared" si="6"/>
        <v/>
      </c>
    </row>
    <row r="112" spans="2:11" x14ac:dyDescent="0.25">
      <c r="B112" s="5">
        <f t="shared" si="12"/>
        <v>106</v>
      </c>
      <c r="C112" s="5">
        <f t="shared" si="10"/>
        <v>52</v>
      </c>
      <c r="D112" s="14">
        <f t="shared" si="11"/>
        <v>0</v>
      </c>
      <c r="E112" s="14" t="str">
        <f>INDEX(entities[Attributes Index],MATCH('Customize code'!C112,entities[custom entity '#],0))</f>
        <v>1</v>
      </c>
      <c r="F112" s="14">
        <f t="shared" si="8"/>
        <v>0</v>
      </c>
      <c r="G112" s="5" t="str">
        <f>IF(D112&gt;0,"",
INDEX(entities[entity_id],MATCH('Customize code'!C112,entities[custom entity '#],0))&amp;":")</f>
        <v>group.automation_rmbd:</v>
      </c>
      <c r="H112" s="5" t="str">
        <f>IF(F112=0,"",VLOOKUP(F112,'Customize code'!$M$8:$O$13,3,FALSE))</f>
        <v/>
      </c>
      <c r="I112" s="5" t="str">
        <f>IF(F112=0, "",  INDEX(entities[[hidden]:[icon]],  MATCH(C112,entities[custom entity '#],0),  'Customize code'!F112)  )</f>
        <v/>
      </c>
      <c r="J112" s="5" t="str">
        <f t="shared" si="9"/>
        <v>group.automation_rmbd:</v>
      </c>
      <c r="K112" s="5" t="str">
        <f t="shared" si="6"/>
        <v/>
      </c>
    </row>
    <row r="113" spans="2:11" x14ac:dyDescent="0.25">
      <c r="B113" s="5">
        <f t="shared" si="12"/>
        <v>107</v>
      </c>
      <c r="C113" s="5">
        <f t="shared" si="10"/>
        <v>52</v>
      </c>
      <c r="D113" s="14">
        <f t="shared" si="11"/>
        <v>1</v>
      </c>
      <c r="E113" s="14" t="str">
        <f>INDEX(entities[Attributes Index],MATCH('Customize code'!C113,entities[custom entity '#],0))</f>
        <v>1</v>
      </c>
      <c r="F113" s="14">
        <f t="shared" si="8"/>
        <v>1</v>
      </c>
      <c r="G113" s="5" t="str">
        <f>IF(D113&gt;0,"",
INDEX(entities[entity_id],MATCH('Customize code'!C113,entities[custom entity '#],0))&amp;":")</f>
        <v/>
      </c>
      <c r="H113" s="5" t="str">
        <f>IF(F113=0,"",VLOOKUP(F113,'Customize code'!$M$8:$O$13,3,FALSE))</f>
        <v xml:space="preserve">  hidden: </v>
      </c>
      <c r="I113" s="5" t="str">
        <f>IF(F113=0, "",  INDEX(entities[[hidden]:[icon]],  MATCH(C113,entities[custom entity '#],0),  'Customize code'!F113)  )</f>
        <v>true</v>
      </c>
      <c r="J113" s="5" t="str">
        <f t="shared" si="9"/>
        <v xml:space="preserve">  hidden: true</v>
      </c>
      <c r="K113" s="5" t="str">
        <f t="shared" si="6"/>
        <v/>
      </c>
    </row>
    <row r="114" spans="2:11" x14ac:dyDescent="0.25">
      <c r="B114" s="5">
        <f t="shared" si="12"/>
        <v>108</v>
      </c>
      <c r="C114" s="5">
        <f t="shared" si="10"/>
        <v>53</v>
      </c>
      <c r="D114" s="14">
        <f t="shared" si="11"/>
        <v>0</v>
      </c>
      <c r="E114" s="14" t="str">
        <f>INDEX(entities[Attributes Index],MATCH('Customize code'!C114,entities[custom entity '#],0))</f>
        <v>1</v>
      </c>
      <c r="F114" s="14">
        <f t="shared" si="8"/>
        <v>0</v>
      </c>
      <c r="G114" s="5" t="str">
        <f>IF(D114&gt;0,"",
INDEX(entities[entity_id],MATCH('Customize code'!C114,entities[custom entity '#],0))&amp;":")</f>
        <v>group.automation_rmlv:</v>
      </c>
      <c r="H114" s="5" t="str">
        <f>IF(F114=0,"",VLOOKUP(F114,'Customize code'!$M$8:$O$13,3,FALSE))</f>
        <v/>
      </c>
      <c r="I114" s="5" t="str">
        <f>IF(F114=0, "",  INDEX(entities[[hidden]:[icon]],  MATCH(C114,entities[custom entity '#],0),  'Customize code'!F114)  )</f>
        <v/>
      </c>
      <c r="J114" s="5" t="str">
        <f t="shared" si="9"/>
        <v>group.automation_rmlv:</v>
      </c>
      <c r="K114" s="5" t="str">
        <f t="shared" si="6"/>
        <v/>
      </c>
    </row>
    <row r="115" spans="2:11" x14ac:dyDescent="0.25">
      <c r="B115" s="5">
        <f t="shared" si="12"/>
        <v>109</v>
      </c>
      <c r="C115" s="5">
        <f t="shared" si="10"/>
        <v>53</v>
      </c>
      <c r="D115" s="14">
        <f t="shared" si="11"/>
        <v>1</v>
      </c>
      <c r="E115" s="14" t="str">
        <f>INDEX(entities[Attributes Index],MATCH('Customize code'!C115,entities[custom entity '#],0))</f>
        <v>1</v>
      </c>
      <c r="F115" s="14">
        <f t="shared" si="8"/>
        <v>1</v>
      </c>
      <c r="G115" s="5" t="str">
        <f>IF(D115&gt;0,"",
INDEX(entities[entity_id],MATCH('Customize code'!C115,entities[custom entity '#],0))&amp;":")</f>
        <v/>
      </c>
      <c r="H115" s="5" t="str">
        <f>IF(F115=0,"",VLOOKUP(F115,'Customize code'!$M$8:$O$13,3,FALSE))</f>
        <v xml:space="preserve">  hidden: </v>
      </c>
      <c r="I115" s="5" t="str">
        <f>IF(F115=0, "",  INDEX(entities[[hidden]:[icon]],  MATCH(C115,entities[custom entity '#],0),  'Customize code'!F115)  )</f>
        <v>true</v>
      </c>
      <c r="J115" s="5" t="str">
        <f t="shared" si="9"/>
        <v xml:space="preserve">  hidden: true</v>
      </c>
      <c r="K115" s="5" t="str">
        <f t="shared" si="6"/>
        <v/>
      </c>
    </row>
    <row r="116" spans="2:11" x14ac:dyDescent="0.25">
      <c r="B116" s="5">
        <f t="shared" si="12"/>
        <v>110</v>
      </c>
      <c r="C116" s="5">
        <f t="shared" si="10"/>
        <v>54</v>
      </c>
      <c r="D116" s="14">
        <f t="shared" si="11"/>
        <v>0</v>
      </c>
      <c r="E116" s="14" t="str">
        <f>INDEX(entities[Attributes Index],MATCH('Customize code'!C116,entities[custom entity '#],0))</f>
        <v>1</v>
      </c>
      <c r="F116" s="14">
        <f t="shared" si="8"/>
        <v>0</v>
      </c>
      <c r="G116" s="5" t="str">
        <f>IF(D116&gt;0,"",
INDEX(entities[entity_id],MATCH('Customize code'!C116,entities[custom entity '#],0))&amp;":")</f>
        <v>group.automation_rmlvtv:</v>
      </c>
      <c r="H116" s="5" t="str">
        <f>IF(F116=0,"",VLOOKUP(F116,'Customize code'!$M$8:$O$13,3,FALSE))</f>
        <v/>
      </c>
      <c r="I116" s="5" t="str">
        <f>IF(F116=0, "",  INDEX(entities[[hidden]:[icon]],  MATCH(C116,entities[custom entity '#],0),  'Customize code'!F116)  )</f>
        <v/>
      </c>
      <c r="J116" s="5" t="str">
        <f t="shared" si="9"/>
        <v>group.automation_rmlvtv:</v>
      </c>
      <c r="K116" s="5" t="str">
        <f t="shared" si="6"/>
        <v/>
      </c>
    </row>
    <row r="117" spans="2:11" x14ac:dyDescent="0.25">
      <c r="B117" s="5">
        <f t="shared" si="12"/>
        <v>111</v>
      </c>
      <c r="C117" s="5">
        <f t="shared" si="10"/>
        <v>54</v>
      </c>
      <c r="D117" s="14">
        <f t="shared" si="11"/>
        <v>1</v>
      </c>
      <c r="E117" s="14" t="str">
        <f>INDEX(entities[Attributes Index],MATCH('Customize code'!C117,entities[custom entity '#],0))</f>
        <v>1</v>
      </c>
      <c r="F117" s="14">
        <f t="shared" si="8"/>
        <v>1</v>
      </c>
      <c r="G117" s="5" t="str">
        <f>IF(D117&gt;0,"",
INDEX(entities[entity_id],MATCH('Customize code'!C117,entities[custom entity '#],0))&amp;":")</f>
        <v/>
      </c>
      <c r="H117" s="5" t="str">
        <f>IF(F117=0,"",VLOOKUP(F117,'Customize code'!$M$8:$O$13,3,FALSE))</f>
        <v xml:space="preserve">  hidden: </v>
      </c>
      <c r="I117" s="5" t="str">
        <f>IF(F117=0, "",  INDEX(entities[[hidden]:[icon]],  MATCH(C117,entities[custom entity '#],0),  'Customize code'!F117)  )</f>
        <v>true</v>
      </c>
      <c r="J117" s="5" t="str">
        <f t="shared" si="9"/>
        <v xml:space="preserve">  hidden: true</v>
      </c>
      <c r="K117" s="5" t="str">
        <f t="shared" si="6"/>
        <v/>
      </c>
    </row>
    <row r="118" spans="2:11" x14ac:dyDescent="0.25">
      <c r="B118" s="5">
        <f t="shared" si="12"/>
        <v>112</v>
      </c>
      <c r="C118" s="5">
        <f t="shared" si="10"/>
        <v>55</v>
      </c>
      <c r="D118" s="14">
        <f t="shared" si="11"/>
        <v>0</v>
      </c>
      <c r="E118" s="14" t="str">
        <f>INDEX(entities[Attributes Index],MATCH('Customize code'!C118,entities[custom entity '#],0))</f>
        <v>1</v>
      </c>
      <c r="F118" s="14">
        <f t="shared" si="8"/>
        <v>0</v>
      </c>
      <c r="G118" s="5" t="str">
        <f>IF(D118&gt;0,"",
INDEX(entities[entity_id],MATCH('Customize code'!C118,entities[custom entity '#],0))&amp;":")</f>
        <v>group.automation_statfriend:</v>
      </c>
      <c r="H118" s="5" t="str">
        <f>IF(F118=0,"",VLOOKUP(F118,'Customize code'!$M$8:$O$13,3,FALSE))</f>
        <v/>
      </c>
      <c r="I118" s="5" t="str">
        <f>IF(F118=0, "",  INDEX(entities[[hidden]:[icon]],  MATCH(C118,entities[custom entity '#],0),  'Customize code'!F118)  )</f>
        <v/>
      </c>
      <c r="J118" s="5" t="str">
        <f t="shared" si="9"/>
        <v>group.automation_statfriend:</v>
      </c>
      <c r="K118" s="5" t="str">
        <f t="shared" si="6"/>
        <v/>
      </c>
    </row>
    <row r="119" spans="2:11" x14ac:dyDescent="0.25">
      <c r="B119" s="5">
        <f t="shared" si="12"/>
        <v>113</v>
      </c>
      <c r="C119" s="5">
        <f t="shared" si="10"/>
        <v>55</v>
      </c>
      <c r="D119" s="14">
        <f t="shared" si="11"/>
        <v>1</v>
      </c>
      <c r="E119" s="14" t="str">
        <f>INDEX(entities[Attributes Index],MATCH('Customize code'!C119,entities[custom entity '#],0))</f>
        <v>1</v>
      </c>
      <c r="F119" s="14">
        <f t="shared" si="8"/>
        <v>1</v>
      </c>
      <c r="G119" s="5" t="str">
        <f>IF(D119&gt;0,"",
INDEX(entities[entity_id],MATCH('Customize code'!C119,entities[custom entity '#],0))&amp;":")</f>
        <v/>
      </c>
      <c r="H119" s="5" t="str">
        <f>IF(F119=0,"",VLOOKUP(F119,'Customize code'!$M$8:$O$13,3,FALSE))</f>
        <v xml:space="preserve">  hidden: </v>
      </c>
      <c r="I119" s="5" t="str">
        <f>IF(F119=0, "",  INDEX(entities[[hidden]:[icon]],  MATCH(C119,entities[custom entity '#],0),  'Customize code'!F119)  )</f>
        <v>true</v>
      </c>
      <c r="J119" s="5" t="str">
        <f t="shared" si="9"/>
        <v xml:space="preserve">  hidden: true</v>
      </c>
      <c r="K119" s="5" t="str">
        <f t="shared" si="6"/>
        <v/>
      </c>
    </row>
    <row r="120" spans="2:11" x14ac:dyDescent="0.25">
      <c r="B120" s="5">
        <f t="shared" si="12"/>
        <v>114</v>
      </c>
      <c r="C120" s="5">
        <f t="shared" si="10"/>
        <v>56</v>
      </c>
      <c r="D120" s="14">
        <f t="shared" si="11"/>
        <v>0</v>
      </c>
      <c r="E120" s="14" t="str">
        <f>INDEX(entities[Attributes Index],MATCH('Customize code'!C120,entities[custom entity '#],0))</f>
        <v>1</v>
      </c>
      <c r="F120" s="14">
        <f t="shared" si="8"/>
        <v>0</v>
      </c>
      <c r="G120" s="5" t="str">
        <f>IF(D120&gt;0,"",
INDEX(entities[entity_id],MATCH('Customize code'!C120,entities[custom entity '#],0))&amp;":")</f>
        <v>group.automation_statron:</v>
      </c>
      <c r="H120" s="5" t="str">
        <f>IF(F120=0,"",VLOOKUP(F120,'Customize code'!$M$8:$O$13,3,FALSE))</f>
        <v/>
      </c>
      <c r="I120" s="5" t="str">
        <f>IF(F120=0, "",  INDEX(entities[[hidden]:[icon]],  MATCH(C120,entities[custom entity '#],0),  'Customize code'!F120)  )</f>
        <v/>
      </c>
      <c r="J120" s="5" t="str">
        <f t="shared" si="9"/>
        <v>group.automation_statron:</v>
      </c>
      <c r="K120" s="5" t="str">
        <f t="shared" si="6"/>
        <v/>
      </c>
    </row>
    <row r="121" spans="2:11" x14ac:dyDescent="0.25">
      <c r="B121" s="5">
        <f t="shared" si="12"/>
        <v>115</v>
      </c>
      <c r="C121" s="5">
        <f t="shared" si="10"/>
        <v>56</v>
      </c>
      <c r="D121" s="14">
        <f t="shared" si="11"/>
        <v>1</v>
      </c>
      <c r="E121" s="14" t="str">
        <f>INDEX(entities[Attributes Index],MATCH('Customize code'!C121,entities[custom entity '#],0))</f>
        <v>1</v>
      </c>
      <c r="F121" s="14">
        <f t="shared" si="8"/>
        <v>1</v>
      </c>
      <c r="G121" s="5" t="str">
        <f>IF(D121&gt;0,"",
INDEX(entities[entity_id],MATCH('Customize code'!C121,entities[custom entity '#],0))&amp;":")</f>
        <v/>
      </c>
      <c r="H121" s="5" t="str">
        <f>IF(F121=0,"",VLOOKUP(F121,'Customize code'!$M$8:$O$13,3,FALSE))</f>
        <v xml:space="preserve">  hidden: </v>
      </c>
      <c r="I121" s="5" t="str">
        <f>IF(F121=0, "",  INDEX(entities[[hidden]:[icon]],  MATCH(C121,entities[custom entity '#],0),  'Customize code'!F121)  )</f>
        <v>true</v>
      </c>
      <c r="J121" s="5" t="str">
        <f t="shared" si="9"/>
        <v xml:space="preserve">  hidden: true</v>
      </c>
      <c r="K121" s="5" t="str">
        <f t="shared" si="6"/>
        <v/>
      </c>
    </row>
    <row r="122" spans="2:11" x14ac:dyDescent="0.25">
      <c r="B122" s="5">
        <f t="shared" si="12"/>
        <v>116</v>
      </c>
      <c r="C122" s="5">
        <f t="shared" si="10"/>
        <v>57</v>
      </c>
      <c r="D122" s="14">
        <f t="shared" si="11"/>
        <v>0</v>
      </c>
      <c r="E122" s="14" t="str">
        <f>INDEX(entities[Attributes Index],MATCH('Customize code'!C122,entities[custom entity '#],0))</f>
        <v>1</v>
      </c>
      <c r="F122" s="14">
        <f t="shared" si="8"/>
        <v>0</v>
      </c>
      <c r="G122" s="5" t="str">
        <f>IF(D122&gt;0,"",
INDEX(entities[entity_id],MATCH('Customize code'!C122,entities[custom entity '#],0))&amp;":")</f>
        <v>group.automation_statvac:</v>
      </c>
      <c r="H122" s="5" t="str">
        <f>IF(F122=0,"",VLOOKUP(F122,'Customize code'!$M$8:$O$13,3,FALSE))</f>
        <v/>
      </c>
      <c r="I122" s="5" t="str">
        <f>IF(F122=0, "",  INDEX(entities[[hidden]:[icon]],  MATCH(C122,entities[custom entity '#],0),  'Customize code'!F122)  )</f>
        <v/>
      </c>
      <c r="J122" s="5" t="str">
        <f t="shared" si="9"/>
        <v>group.automation_statvac:</v>
      </c>
      <c r="K122" s="5" t="str">
        <f t="shared" si="6"/>
        <v/>
      </c>
    </row>
    <row r="123" spans="2:11" x14ac:dyDescent="0.25">
      <c r="B123" s="5">
        <f t="shared" si="12"/>
        <v>117</v>
      </c>
      <c r="C123" s="5">
        <f t="shared" si="10"/>
        <v>57</v>
      </c>
      <c r="D123" s="14">
        <f t="shared" si="11"/>
        <v>1</v>
      </c>
      <c r="E123" s="14" t="str">
        <f>INDEX(entities[Attributes Index],MATCH('Customize code'!C123,entities[custom entity '#],0))</f>
        <v>1</v>
      </c>
      <c r="F123" s="14">
        <f t="shared" si="8"/>
        <v>1</v>
      </c>
      <c r="G123" s="5" t="str">
        <f>IF(D123&gt;0,"",
INDEX(entities[entity_id],MATCH('Customize code'!C123,entities[custom entity '#],0))&amp;":")</f>
        <v/>
      </c>
      <c r="H123" s="5" t="str">
        <f>IF(F123=0,"",VLOOKUP(F123,'Customize code'!$M$8:$O$13,3,FALSE))</f>
        <v xml:space="preserve">  hidden: </v>
      </c>
      <c r="I123" s="5" t="str">
        <f>IF(F123=0, "",  INDEX(entities[[hidden]:[icon]],  MATCH(C123,entities[custom entity '#],0),  'Customize code'!F123)  )</f>
        <v>true</v>
      </c>
      <c r="J123" s="5" t="str">
        <f t="shared" si="9"/>
        <v xml:space="preserve">  hidden: true</v>
      </c>
      <c r="K123" s="5" t="str">
        <f t="shared" si="6"/>
        <v/>
      </c>
    </row>
    <row r="124" spans="2:11" x14ac:dyDescent="0.25">
      <c r="B124" s="5">
        <f t="shared" si="12"/>
        <v>118</v>
      </c>
      <c r="C124" s="5">
        <f t="shared" si="10"/>
        <v>58</v>
      </c>
      <c r="D124" s="14">
        <f t="shared" si="11"/>
        <v>0</v>
      </c>
      <c r="E124" s="14" t="str">
        <f>INDEX(entities[Attributes Index],MATCH('Customize code'!C124,entities[custom entity '#],0))</f>
        <v>26</v>
      </c>
      <c r="F124" s="14">
        <f t="shared" si="8"/>
        <v>0</v>
      </c>
      <c r="G124" s="5" t="str">
        <f>IF(D124&gt;0,"",
INDEX(entities[entity_id],MATCH('Customize code'!C124,entities[custom entity '#],0))&amp;":")</f>
        <v>input_boolean.alarm_clock_status:</v>
      </c>
      <c r="H124" s="5" t="str">
        <f>IF(F124=0,"",VLOOKUP(F124,'Customize code'!$M$8:$O$13,3,FALSE))</f>
        <v/>
      </c>
      <c r="I124" s="5" t="str">
        <f>IF(F124=0, "",  INDEX(entities[[hidden]:[icon]],  MATCH(C124,entities[custom entity '#],0),  'Customize code'!F124)  )</f>
        <v/>
      </c>
      <c r="J124" s="5" t="str">
        <f t="shared" si="9"/>
        <v>input_boolean.alarm_clock_status:</v>
      </c>
      <c r="K124" s="5" t="str">
        <f t="shared" si="6"/>
        <v/>
      </c>
    </row>
    <row r="125" spans="2:11" x14ac:dyDescent="0.25">
      <c r="B125" s="5">
        <f t="shared" si="12"/>
        <v>119</v>
      </c>
      <c r="C125" s="5">
        <f t="shared" si="10"/>
        <v>58</v>
      </c>
      <c r="D125" s="14">
        <f t="shared" si="11"/>
        <v>1</v>
      </c>
      <c r="E125" s="14" t="str">
        <f>INDEX(entities[Attributes Index],MATCH('Customize code'!C125,entities[custom entity '#],0))</f>
        <v>26</v>
      </c>
      <c r="F125" s="14">
        <f t="shared" si="8"/>
        <v>2</v>
      </c>
      <c r="G125" s="5" t="str">
        <f>IF(D125&gt;0,"",
INDEX(entities[entity_id],MATCH('Customize code'!C125,entities[custom entity '#],0))&amp;":")</f>
        <v/>
      </c>
      <c r="H125" s="5" t="str">
        <f>IF(F125=0,"",VLOOKUP(F125,'Customize code'!$M$8:$O$13,3,FALSE))</f>
        <v xml:space="preserve">  friendly_name: </v>
      </c>
      <c r="I125" s="5" t="str">
        <f>IF(F125=0, "",  INDEX(entities[[hidden]:[icon]],  MATCH(C125,entities[custom entity '#],0),  'Customize code'!F125)  )</f>
        <v>Alarm Clock Status</v>
      </c>
      <c r="J125" s="5" t="str">
        <f t="shared" si="9"/>
        <v xml:space="preserve">  friendly_name: Alarm Clock Status</v>
      </c>
      <c r="K125" s="5" t="str">
        <f t="shared" si="6"/>
        <v/>
      </c>
    </row>
    <row r="126" spans="2:11" x14ac:dyDescent="0.25">
      <c r="B126" s="5">
        <f t="shared" si="12"/>
        <v>120</v>
      </c>
      <c r="C126" s="5">
        <f t="shared" si="10"/>
        <v>58</v>
      </c>
      <c r="D126" s="14">
        <f t="shared" si="11"/>
        <v>2</v>
      </c>
      <c r="E126" s="14" t="str">
        <f>INDEX(entities[Attributes Index],MATCH('Customize code'!C126,entities[custom entity '#],0))</f>
        <v>26</v>
      </c>
      <c r="F126" s="14">
        <f t="shared" si="8"/>
        <v>6</v>
      </c>
      <c r="G126" s="5" t="str">
        <f>IF(D126&gt;0,"",
INDEX(entities[entity_id],MATCH('Customize code'!C126,entities[custom entity '#],0))&amp;":")</f>
        <v/>
      </c>
      <c r="H126" s="5" t="str">
        <f>IF(F126=0,"",VLOOKUP(F126,'Customize code'!$M$8:$O$13,3,FALSE))</f>
        <v xml:space="preserve">  icon: </v>
      </c>
      <c r="I126" s="5" t="str">
        <f>IF(F126=0, "",  INDEX(entities[[hidden]:[icon]],  MATCH(C126,entities[custom entity '#],0),  'Customize code'!F126)  )</f>
        <v>mdi:alarm-check</v>
      </c>
      <c r="J126" s="5" t="str">
        <f t="shared" si="9"/>
        <v xml:space="preserve">  icon: mdi:alarm-check</v>
      </c>
      <c r="K126" s="5" t="str">
        <f t="shared" si="6"/>
        <v/>
      </c>
    </row>
    <row r="127" spans="2:11" x14ac:dyDescent="0.25">
      <c r="B127" s="5">
        <f t="shared" si="12"/>
        <v>121</v>
      </c>
      <c r="C127" s="5">
        <f t="shared" si="10"/>
        <v>59</v>
      </c>
      <c r="D127" s="14">
        <f t="shared" si="11"/>
        <v>0</v>
      </c>
      <c r="E127" s="14" t="str">
        <f>INDEX(entities[Attributes Index],MATCH('Customize code'!C127,entities[custom entity '#],0))</f>
        <v>26</v>
      </c>
      <c r="F127" s="14">
        <f t="shared" si="8"/>
        <v>0</v>
      </c>
      <c r="G127" s="5" t="str">
        <f>IF(D127&gt;0,"",
INDEX(entities[entity_id],MATCH('Customize code'!C127,entities[custom entity '#],0))&amp;":")</f>
        <v>input_slider.alarm_clock_hour:</v>
      </c>
      <c r="H127" s="5" t="str">
        <f>IF(F127=0,"",VLOOKUP(F127,'Customize code'!$M$8:$O$13,3,FALSE))</f>
        <v/>
      </c>
      <c r="I127" s="5" t="str">
        <f>IF(F127=0, "",  INDEX(entities[[hidden]:[icon]],  MATCH(C127,entities[custom entity '#],0),  'Customize code'!F127)  )</f>
        <v/>
      </c>
      <c r="J127" s="5" t="str">
        <f t="shared" si="9"/>
        <v>input_slider.alarm_clock_hour:</v>
      </c>
      <c r="K127" s="5" t="str">
        <f t="shared" si="6"/>
        <v/>
      </c>
    </row>
    <row r="128" spans="2:11" x14ac:dyDescent="0.25">
      <c r="B128" s="5">
        <f t="shared" si="12"/>
        <v>122</v>
      </c>
      <c r="C128" s="5">
        <f t="shared" si="10"/>
        <v>59</v>
      </c>
      <c r="D128" s="14">
        <f t="shared" si="11"/>
        <v>1</v>
      </c>
      <c r="E128" s="14" t="str">
        <f>INDEX(entities[Attributes Index],MATCH('Customize code'!C128,entities[custom entity '#],0))</f>
        <v>26</v>
      </c>
      <c r="F128" s="14">
        <f t="shared" si="8"/>
        <v>2</v>
      </c>
      <c r="G128" s="5" t="str">
        <f>IF(D128&gt;0,"",
INDEX(entities[entity_id],MATCH('Customize code'!C128,entities[custom entity '#],0))&amp;":")</f>
        <v/>
      </c>
      <c r="H128" s="5" t="str">
        <f>IF(F128=0,"",VLOOKUP(F128,'Customize code'!$M$8:$O$13,3,FALSE))</f>
        <v xml:space="preserve">  friendly_name: </v>
      </c>
      <c r="I128" s="5" t="str">
        <f>IF(F128=0, "",  INDEX(entities[[hidden]:[icon]],  MATCH(C128,entities[custom entity '#],0),  'Customize code'!F128)  )</f>
        <v>Hour</v>
      </c>
      <c r="J128" s="5" t="str">
        <f t="shared" si="9"/>
        <v xml:space="preserve">  friendly_name: Hour</v>
      </c>
      <c r="K128" s="5" t="str">
        <f t="shared" si="6"/>
        <v/>
      </c>
    </row>
    <row r="129" spans="2:11" x14ac:dyDescent="0.25">
      <c r="B129" s="5">
        <f t="shared" si="12"/>
        <v>123</v>
      </c>
      <c r="C129" s="5">
        <f t="shared" si="10"/>
        <v>59</v>
      </c>
      <c r="D129" s="14">
        <f t="shared" si="11"/>
        <v>2</v>
      </c>
      <c r="E129" s="14" t="str">
        <f>INDEX(entities[Attributes Index],MATCH('Customize code'!C129,entities[custom entity '#],0))</f>
        <v>26</v>
      </c>
      <c r="F129" s="14">
        <f t="shared" si="8"/>
        <v>6</v>
      </c>
      <c r="G129" s="5" t="str">
        <f>IF(D129&gt;0,"",
INDEX(entities[entity_id],MATCH('Customize code'!C129,entities[custom entity '#],0))&amp;":")</f>
        <v/>
      </c>
      <c r="H129" s="5" t="str">
        <f>IF(F129=0,"",VLOOKUP(F129,'Customize code'!$M$8:$O$13,3,FALSE))</f>
        <v xml:space="preserve">  icon: </v>
      </c>
      <c r="I129" s="5" t="str">
        <f>IF(F129=0, "",  INDEX(entities[[hidden]:[icon]],  MATCH(C129,entities[custom entity '#],0),  'Customize code'!F129)  )</f>
        <v>mdi:timer</v>
      </c>
      <c r="J129" s="5" t="str">
        <f t="shared" si="9"/>
        <v xml:space="preserve">  icon: mdi:timer</v>
      </c>
      <c r="K129" s="5" t="str">
        <f t="shared" si="6"/>
        <v/>
      </c>
    </row>
    <row r="130" spans="2:11" x14ac:dyDescent="0.25">
      <c r="B130" s="5">
        <f t="shared" si="12"/>
        <v>124</v>
      </c>
      <c r="C130" s="5">
        <f t="shared" si="10"/>
        <v>60</v>
      </c>
      <c r="D130" s="14">
        <f t="shared" si="11"/>
        <v>0</v>
      </c>
      <c r="E130" s="14" t="str">
        <f>INDEX(entities[Attributes Index],MATCH('Customize code'!C130,entities[custom entity '#],0))</f>
        <v>26</v>
      </c>
      <c r="F130" s="14">
        <f t="shared" si="8"/>
        <v>0</v>
      </c>
      <c r="G130" s="5" t="str">
        <f>IF(D130&gt;0,"",
INDEX(entities[entity_id],MATCH('Customize code'!C130,entities[custom entity '#],0))&amp;":")</f>
        <v>input_slider.alarm_clock_minute:</v>
      </c>
      <c r="H130" s="5" t="str">
        <f>IF(F130=0,"",VLOOKUP(F130,'Customize code'!$M$8:$O$13,3,FALSE))</f>
        <v/>
      </c>
      <c r="I130" s="5" t="str">
        <f>IF(F130=0, "",  INDEX(entities[[hidden]:[icon]],  MATCH(C130,entities[custom entity '#],0),  'Customize code'!F130)  )</f>
        <v/>
      </c>
      <c r="J130" s="5" t="str">
        <f t="shared" si="9"/>
        <v>input_slider.alarm_clock_minute:</v>
      </c>
      <c r="K130" s="5" t="str">
        <f t="shared" si="6"/>
        <v/>
      </c>
    </row>
    <row r="131" spans="2:11" x14ac:dyDescent="0.25">
      <c r="B131" s="5">
        <f t="shared" si="12"/>
        <v>125</v>
      </c>
      <c r="C131" s="5">
        <f t="shared" si="10"/>
        <v>60</v>
      </c>
      <c r="D131" s="14">
        <f t="shared" si="11"/>
        <v>1</v>
      </c>
      <c r="E131" s="14" t="str">
        <f>INDEX(entities[Attributes Index],MATCH('Customize code'!C131,entities[custom entity '#],0))</f>
        <v>26</v>
      </c>
      <c r="F131" s="14">
        <f t="shared" si="8"/>
        <v>2</v>
      </c>
      <c r="G131" s="5" t="str">
        <f>IF(D131&gt;0,"",
INDEX(entities[entity_id],MATCH('Customize code'!C131,entities[custom entity '#],0))&amp;":")</f>
        <v/>
      </c>
      <c r="H131" s="5" t="str">
        <f>IF(F131=0,"",VLOOKUP(F131,'Customize code'!$M$8:$O$13,3,FALSE))</f>
        <v xml:space="preserve">  friendly_name: </v>
      </c>
      <c r="I131" s="5" t="str">
        <f>IF(F131=0, "",  INDEX(entities[[hidden]:[icon]],  MATCH(C131,entities[custom entity '#],0),  'Customize code'!F131)  )</f>
        <v>Minute</v>
      </c>
      <c r="J131" s="5" t="str">
        <f t="shared" si="9"/>
        <v xml:space="preserve">  friendly_name: Minute</v>
      </c>
      <c r="K131" s="5" t="str">
        <f t="shared" si="6"/>
        <v/>
      </c>
    </row>
    <row r="132" spans="2:11" x14ac:dyDescent="0.25">
      <c r="B132" s="5">
        <f t="shared" si="12"/>
        <v>126</v>
      </c>
      <c r="C132" s="5">
        <f t="shared" si="10"/>
        <v>60</v>
      </c>
      <c r="D132" s="14">
        <f t="shared" si="11"/>
        <v>2</v>
      </c>
      <c r="E132" s="14" t="str">
        <f>INDEX(entities[Attributes Index],MATCH('Customize code'!C132,entities[custom entity '#],0))</f>
        <v>26</v>
      </c>
      <c r="F132" s="14">
        <f t="shared" si="8"/>
        <v>6</v>
      </c>
      <c r="G132" s="5" t="str">
        <f>IF(D132&gt;0,"",
INDEX(entities[entity_id],MATCH('Customize code'!C132,entities[custom entity '#],0))&amp;":")</f>
        <v/>
      </c>
      <c r="H132" s="5" t="str">
        <f>IF(F132=0,"",VLOOKUP(F132,'Customize code'!$M$8:$O$13,3,FALSE))</f>
        <v xml:space="preserve">  icon: </v>
      </c>
      <c r="I132" s="5" t="str">
        <f>IF(F132=0, "",  INDEX(entities[[hidden]:[icon]],  MATCH(C132,entities[custom entity '#],0),  'Customize code'!F132)  )</f>
        <v>mdi:timer</v>
      </c>
      <c r="J132" s="5" t="str">
        <f t="shared" si="9"/>
        <v xml:space="preserve">  icon: mdi:timer</v>
      </c>
      <c r="K132" s="5" t="str">
        <f t="shared" si="6"/>
        <v/>
      </c>
    </row>
    <row r="133" spans="2:11" x14ac:dyDescent="0.25">
      <c r="B133" s="5">
        <f t="shared" si="12"/>
        <v>127</v>
      </c>
      <c r="C133" s="5">
        <f t="shared" si="10"/>
        <v>61</v>
      </c>
      <c r="D133" s="14">
        <f t="shared" si="11"/>
        <v>0</v>
      </c>
      <c r="E133" s="14" t="str">
        <f>INDEX(entities[Attributes Index],MATCH('Customize code'!C133,entities[custom entity '#],0))</f>
        <v>13</v>
      </c>
      <c r="F133" s="14">
        <f t="shared" si="8"/>
        <v>0</v>
      </c>
      <c r="G133" s="5" t="str">
        <f>IF(D133&gt;0,"",
INDEX(entities[entity_id],MATCH('Customize code'!C133,entities[custom entity '#],0))&amp;":")</f>
        <v>light.lux_lamp:</v>
      </c>
      <c r="H133" s="5" t="str">
        <f>IF(F133=0,"",VLOOKUP(F133,'Customize code'!$M$8:$O$13,3,FALSE))</f>
        <v/>
      </c>
      <c r="I133" s="5" t="str">
        <f>IF(F133=0, "",  INDEX(entities[[hidden]:[icon]],  MATCH(C133,entities[custom entity '#],0),  'Customize code'!F133)  )</f>
        <v/>
      </c>
      <c r="J133" s="5" t="str">
        <f t="shared" si="9"/>
        <v>light.lux_lamp:</v>
      </c>
      <c r="K133" s="5" t="str">
        <f t="shared" si="6"/>
        <v/>
      </c>
    </row>
    <row r="134" spans="2:11" x14ac:dyDescent="0.25">
      <c r="B134" s="5">
        <f t="shared" si="12"/>
        <v>128</v>
      </c>
      <c r="C134" s="5">
        <f t="shared" si="10"/>
        <v>61</v>
      </c>
      <c r="D134" s="14">
        <f t="shared" si="11"/>
        <v>1</v>
      </c>
      <c r="E134" s="14" t="str">
        <f>INDEX(entities[Attributes Index],MATCH('Customize code'!C134,entities[custom entity '#],0))</f>
        <v>13</v>
      </c>
      <c r="F134" s="14">
        <f t="shared" si="8"/>
        <v>1</v>
      </c>
      <c r="G134" s="5" t="str">
        <f>IF(D134&gt;0,"",
INDEX(entities[entity_id],MATCH('Customize code'!C134,entities[custom entity '#],0))&amp;":")</f>
        <v/>
      </c>
      <c r="H134" s="5" t="str">
        <f>IF(F134=0,"",VLOOKUP(F134,'Customize code'!$M$8:$O$13,3,FALSE))</f>
        <v xml:space="preserve">  hidden: </v>
      </c>
      <c r="I134" s="5" t="str">
        <f>IF(F134=0, "",  INDEX(entities[[hidden]:[icon]],  MATCH(C134,entities[custom entity '#],0),  'Customize code'!F134)  )</f>
        <v>true</v>
      </c>
      <c r="J134" s="5" t="str">
        <f t="shared" si="9"/>
        <v xml:space="preserve">  hidden: true</v>
      </c>
      <c r="K134" s="5" t="str">
        <f t="shared" si="6"/>
        <v/>
      </c>
    </row>
    <row r="135" spans="2:11" x14ac:dyDescent="0.25">
      <c r="B135" s="5">
        <f t="shared" si="12"/>
        <v>129</v>
      </c>
      <c r="C135" s="5">
        <f t="shared" si="10"/>
        <v>61</v>
      </c>
      <c r="D135" s="14">
        <f t="shared" si="11"/>
        <v>2</v>
      </c>
      <c r="E135" s="14" t="str">
        <f>INDEX(entities[Attributes Index],MATCH('Customize code'!C135,entities[custom entity '#],0))</f>
        <v>13</v>
      </c>
      <c r="F135" s="14">
        <f t="shared" si="8"/>
        <v>3</v>
      </c>
      <c r="G135" s="5" t="str">
        <f>IF(D135&gt;0,"",
INDEX(entities[entity_id],MATCH('Customize code'!C135,entities[custom entity '#],0))&amp;":")</f>
        <v/>
      </c>
      <c r="H135" s="5" t="str">
        <f>IF(F135=0,"",VLOOKUP(F135,'Customize code'!$M$8:$O$13,3,FALSE))</f>
        <v xml:space="preserve">  emulated_hue: </v>
      </c>
      <c r="I135" s="5" t="str">
        <f>IF(F135=0, "",  INDEX(entities[[hidden]:[icon]],  MATCH(C135,entities[custom entity '#],0),  'Customize code'!F135)  )</f>
        <v>false</v>
      </c>
      <c r="J135" s="5" t="str">
        <f t="shared" si="9"/>
        <v xml:space="preserve">  emulated_hue: false</v>
      </c>
      <c r="K135" s="5" t="str">
        <f t="shared" si="6"/>
        <v/>
      </c>
    </row>
    <row r="136" spans="2:11" x14ac:dyDescent="0.25">
      <c r="B136" s="5">
        <f t="shared" si="12"/>
        <v>130</v>
      </c>
      <c r="C136" s="5">
        <f t="shared" si="10"/>
        <v>62</v>
      </c>
      <c r="D136" s="14">
        <f t="shared" si="11"/>
        <v>0</v>
      </c>
      <c r="E136" s="14" t="str">
        <f>INDEX(entities[Attributes Index],MATCH('Customize code'!C136,entities[custom entity '#],0))</f>
        <v>13</v>
      </c>
      <c r="F136" s="14">
        <f t="shared" si="8"/>
        <v>0</v>
      </c>
      <c r="G136" s="5" t="str">
        <f>IF(D136&gt;0,"",
INDEX(entities[entity_id],MATCH('Customize code'!C136,entities[custom entity '#],0))&amp;":")</f>
        <v>light.lux_lamp_1:</v>
      </c>
      <c r="H136" s="5" t="str">
        <f>IF(F136=0,"",VLOOKUP(F136,'Customize code'!$M$8:$O$13,3,FALSE))</f>
        <v/>
      </c>
      <c r="I136" s="5" t="str">
        <f>IF(F136=0, "",  INDEX(entities[[hidden]:[icon]],  MATCH(C136,entities[custom entity '#],0),  'Customize code'!F136)  )</f>
        <v/>
      </c>
      <c r="J136" s="5" t="str">
        <f t="shared" si="9"/>
        <v>light.lux_lamp_1:</v>
      </c>
      <c r="K136" s="5" t="str">
        <f t="shared" ref="K136:K199" si="13">IF(AND(NOT(ISNA(D136)),ISNA(E136)),"END","")</f>
        <v/>
      </c>
    </row>
    <row r="137" spans="2:11" x14ac:dyDescent="0.25">
      <c r="B137" s="5">
        <f t="shared" si="12"/>
        <v>131</v>
      </c>
      <c r="C137" s="5">
        <f t="shared" si="10"/>
        <v>62</v>
      </c>
      <c r="D137" s="14">
        <f t="shared" si="11"/>
        <v>1</v>
      </c>
      <c r="E137" s="14" t="str">
        <f>INDEX(entities[Attributes Index],MATCH('Customize code'!C137,entities[custom entity '#],0))</f>
        <v>13</v>
      </c>
      <c r="F137" s="14">
        <f t="shared" ref="F137:F200" si="14">IF(D137=0,0,  VALUE(MID(E137,D137,1)))</f>
        <v>1</v>
      </c>
      <c r="G137" s="5" t="str">
        <f>IF(D137&gt;0,"",
INDEX(entities[entity_id],MATCH('Customize code'!C137,entities[custom entity '#],0))&amp;":")</f>
        <v/>
      </c>
      <c r="H137" s="5" t="str">
        <f>IF(F137=0,"",VLOOKUP(F137,'Customize code'!$M$8:$O$13,3,FALSE))</f>
        <v xml:space="preserve">  hidden: </v>
      </c>
      <c r="I137" s="5" t="str">
        <f>IF(F137=0, "",  INDEX(entities[[hidden]:[icon]],  MATCH(C137,entities[custom entity '#],0),  'Customize code'!F137)  )</f>
        <v>true</v>
      </c>
      <c r="J137" s="5" t="str">
        <f t="shared" si="9"/>
        <v xml:space="preserve">  hidden: true</v>
      </c>
      <c r="K137" s="5" t="str">
        <f t="shared" si="13"/>
        <v/>
      </c>
    </row>
    <row r="138" spans="2:11" x14ac:dyDescent="0.25">
      <c r="B138" s="5">
        <f t="shared" si="12"/>
        <v>132</v>
      </c>
      <c r="C138" s="5">
        <f t="shared" si="10"/>
        <v>62</v>
      </c>
      <c r="D138" s="14">
        <f t="shared" si="11"/>
        <v>2</v>
      </c>
      <c r="E138" s="14" t="str">
        <f>INDEX(entities[Attributes Index],MATCH('Customize code'!C138,entities[custom entity '#],0))</f>
        <v>13</v>
      </c>
      <c r="F138" s="14">
        <f t="shared" si="14"/>
        <v>3</v>
      </c>
      <c r="G138" s="5" t="str">
        <f>IF(D138&gt;0,"",
INDEX(entities[entity_id],MATCH('Customize code'!C138,entities[custom entity '#],0))&amp;":")</f>
        <v/>
      </c>
      <c r="H138" s="5" t="str">
        <f>IF(F138=0,"",VLOOKUP(F138,'Customize code'!$M$8:$O$13,3,FALSE))</f>
        <v xml:space="preserve">  emulated_hue: </v>
      </c>
      <c r="I138" s="5" t="str">
        <f>IF(F138=0, "",  INDEX(entities[[hidden]:[icon]],  MATCH(C138,entities[custom entity '#],0),  'Customize code'!F138)  )</f>
        <v>false</v>
      </c>
      <c r="J138" s="5" t="str">
        <f t="shared" ref="J138:J201" si="15">_xlfn.IFNA(  G138&amp;H138&amp;I138,  "")</f>
        <v xml:space="preserve">  emulated_hue: false</v>
      </c>
      <c r="K138" s="5" t="str">
        <f t="shared" si="13"/>
        <v/>
      </c>
    </row>
    <row r="139" spans="2:11" x14ac:dyDescent="0.25">
      <c r="B139" s="5">
        <f t="shared" si="12"/>
        <v>133</v>
      </c>
      <c r="C139" s="5">
        <f t="shared" ref="C139:C202" si="16">IF(D138=LEN(E138),  C138+1,  C138)</f>
        <v>63</v>
      </c>
      <c r="D139" s="14">
        <f t="shared" ref="D139:D202" si="17">IF(C138&lt;&gt;C139,  0,  D138+1)</f>
        <v>0</v>
      </c>
      <c r="E139" s="14" t="str">
        <f>INDEX(entities[Attributes Index],MATCH('Customize code'!C139,entities[custom entity '#],0))</f>
        <v>2</v>
      </c>
      <c r="F139" s="14">
        <f t="shared" si="14"/>
        <v>0</v>
      </c>
      <c r="G139" s="5" t="str">
        <f>IF(D139&gt;0,"",
INDEX(entities[entity_id],MATCH('Customize code'!C139,entities[custom entity '#],0))&amp;":")</f>
        <v>media_player.living_room_tv:</v>
      </c>
      <c r="H139" s="5" t="str">
        <f>IF(F139=0,"",VLOOKUP(F139,'Customize code'!$M$8:$O$13,3,FALSE))</f>
        <v/>
      </c>
      <c r="I139" s="5" t="str">
        <f>IF(F139=0, "",  INDEX(entities[[hidden]:[icon]],  MATCH(C139,entities[custom entity '#],0),  'Customize code'!F139)  )</f>
        <v/>
      </c>
      <c r="J139" s="5" t="str">
        <f t="shared" si="15"/>
        <v>media_player.living_room_tv:</v>
      </c>
      <c r="K139" s="5" t="str">
        <f t="shared" si="13"/>
        <v/>
      </c>
    </row>
    <row r="140" spans="2:11" x14ac:dyDescent="0.25">
      <c r="B140" s="5">
        <f t="shared" si="12"/>
        <v>134</v>
      </c>
      <c r="C140" s="5">
        <f t="shared" si="16"/>
        <v>63</v>
      </c>
      <c r="D140" s="14">
        <f t="shared" si="17"/>
        <v>1</v>
      </c>
      <c r="E140" s="14" t="str">
        <f>INDEX(entities[Attributes Index],MATCH('Customize code'!C140,entities[custom entity '#],0))</f>
        <v>2</v>
      </c>
      <c r="F140" s="14">
        <f t="shared" si="14"/>
        <v>2</v>
      </c>
      <c r="G140" s="5" t="str">
        <f>IF(D140&gt;0,"",
INDEX(entities[entity_id],MATCH('Customize code'!C140,entities[custom entity '#],0))&amp;":")</f>
        <v/>
      </c>
      <c r="H140" s="5" t="str">
        <f>IF(F140=0,"",VLOOKUP(F140,'Customize code'!$M$8:$O$13,3,FALSE))</f>
        <v xml:space="preserve">  friendly_name: </v>
      </c>
      <c r="I140" s="5" t="str">
        <f>IF(F140=0, "",  INDEX(entities[[hidden]:[icon]],  MATCH(C140,entities[custom entity '#],0),  'Customize code'!F140)  )</f>
        <v>TV</v>
      </c>
      <c r="J140" s="5" t="str">
        <f t="shared" si="15"/>
        <v xml:space="preserve">  friendly_name: TV</v>
      </c>
      <c r="K140" s="5" t="str">
        <f t="shared" si="13"/>
        <v/>
      </c>
    </row>
    <row r="141" spans="2:11" x14ac:dyDescent="0.25">
      <c r="B141" s="5">
        <f t="shared" si="12"/>
        <v>135</v>
      </c>
      <c r="C141" s="5">
        <f t="shared" si="16"/>
        <v>64</v>
      </c>
      <c r="D141" s="14">
        <f t="shared" si="17"/>
        <v>0</v>
      </c>
      <c r="E141" s="14" t="str">
        <f>INDEX(entities[Attributes Index],MATCH('Customize code'!C141,entities[custom entity '#],0))</f>
        <v>1236</v>
      </c>
      <c r="F141" s="14">
        <f t="shared" si="14"/>
        <v>0</v>
      </c>
      <c r="G141" s="5" t="str">
        <f>IF(D141&gt;0,"",
INDEX(entities[entity_id],MATCH('Customize code'!C141,entities[custom entity '#],0))&amp;":")</f>
        <v>script.all_off:</v>
      </c>
      <c r="H141" s="5" t="str">
        <f>IF(F141=0,"",VLOOKUP(F141,'Customize code'!$M$8:$O$13,3,FALSE))</f>
        <v/>
      </c>
      <c r="I141" s="5" t="str">
        <f>IF(F141=0, "",  INDEX(entities[[hidden]:[icon]],  MATCH(C141,entities[custom entity '#],0),  'Customize code'!F141)  )</f>
        <v/>
      </c>
      <c r="J141" s="5" t="str">
        <f t="shared" si="15"/>
        <v>script.all_off:</v>
      </c>
      <c r="K141" s="5" t="str">
        <f t="shared" si="13"/>
        <v/>
      </c>
    </row>
    <row r="142" spans="2:11" x14ac:dyDescent="0.25">
      <c r="B142" s="5">
        <f t="shared" si="12"/>
        <v>136</v>
      </c>
      <c r="C142" s="5">
        <f t="shared" si="16"/>
        <v>64</v>
      </c>
      <c r="D142" s="14">
        <f t="shared" si="17"/>
        <v>1</v>
      </c>
      <c r="E142" s="14" t="str">
        <f>INDEX(entities[Attributes Index],MATCH('Customize code'!C142,entities[custom entity '#],0))</f>
        <v>1236</v>
      </c>
      <c r="F142" s="14">
        <f t="shared" si="14"/>
        <v>1</v>
      </c>
      <c r="G142" s="5" t="str">
        <f>IF(D142&gt;0,"",
INDEX(entities[entity_id],MATCH('Customize code'!C142,entities[custom entity '#],0))&amp;":")</f>
        <v/>
      </c>
      <c r="H142" s="5" t="str">
        <f>IF(F142=0,"",VLOOKUP(F142,'Customize code'!$M$8:$O$13,3,FALSE))</f>
        <v xml:space="preserve">  hidden: </v>
      </c>
      <c r="I142" s="5" t="str">
        <f>IF(F142=0, "",  INDEX(entities[[hidden]:[icon]],  MATCH(C142,entities[custom entity '#],0),  'Customize code'!F142)  )</f>
        <v>false</v>
      </c>
      <c r="J142" s="5" t="str">
        <f t="shared" si="15"/>
        <v xml:space="preserve">  hidden: false</v>
      </c>
      <c r="K142" s="5" t="str">
        <f t="shared" si="13"/>
        <v/>
      </c>
    </row>
    <row r="143" spans="2:11" x14ac:dyDescent="0.25">
      <c r="B143" s="5">
        <f t="shared" si="12"/>
        <v>137</v>
      </c>
      <c r="C143" s="5">
        <f t="shared" si="16"/>
        <v>64</v>
      </c>
      <c r="D143" s="14">
        <f t="shared" si="17"/>
        <v>2</v>
      </c>
      <c r="E143" s="14" t="str">
        <f>INDEX(entities[Attributes Index],MATCH('Customize code'!C143,entities[custom entity '#],0))</f>
        <v>1236</v>
      </c>
      <c r="F143" s="14">
        <f t="shared" si="14"/>
        <v>2</v>
      </c>
      <c r="G143" s="5" t="str">
        <f>IF(D143&gt;0,"",
INDEX(entities[entity_id],MATCH('Customize code'!C143,entities[custom entity '#],0))&amp;":")</f>
        <v/>
      </c>
      <c r="H143" s="5" t="str">
        <f>IF(F143=0,"",VLOOKUP(F143,'Customize code'!$M$8:$O$13,3,FALSE))</f>
        <v xml:space="preserve">  friendly_name: </v>
      </c>
      <c r="I143" s="5" t="str">
        <f>IF(F143=0, "",  INDEX(entities[[hidden]:[icon]],  MATCH(C143,entities[custom entity '#],0),  'Customize code'!F143)  )</f>
        <v>All Off</v>
      </c>
      <c r="J143" s="5" t="str">
        <f t="shared" si="15"/>
        <v xml:space="preserve">  friendly_name: All Off</v>
      </c>
      <c r="K143" s="5" t="str">
        <f t="shared" si="13"/>
        <v/>
      </c>
    </row>
    <row r="144" spans="2:11" x14ac:dyDescent="0.25">
      <c r="B144" s="5">
        <f t="shared" si="12"/>
        <v>138</v>
      </c>
      <c r="C144" s="5">
        <f t="shared" si="16"/>
        <v>64</v>
      </c>
      <c r="D144" s="14">
        <f t="shared" si="17"/>
        <v>3</v>
      </c>
      <c r="E144" s="14" t="str">
        <f>INDEX(entities[Attributes Index],MATCH('Customize code'!C144,entities[custom entity '#],0))</f>
        <v>1236</v>
      </c>
      <c r="F144" s="14">
        <f t="shared" si="14"/>
        <v>3</v>
      </c>
      <c r="G144" s="5" t="str">
        <f>IF(D144&gt;0,"",
INDEX(entities[entity_id],MATCH('Customize code'!C144,entities[custom entity '#],0))&amp;":")</f>
        <v/>
      </c>
      <c r="H144" s="5" t="str">
        <f>IF(F144=0,"",VLOOKUP(F144,'Customize code'!$M$8:$O$13,3,FALSE))</f>
        <v xml:space="preserve">  emulated_hue: </v>
      </c>
      <c r="I144" s="5" t="str">
        <f>IF(F144=0, "",  INDEX(entities[[hidden]:[icon]],  MATCH(C144,entities[custom entity '#],0),  'Customize code'!F144)  )</f>
        <v>true</v>
      </c>
      <c r="J144" s="5" t="str">
        <f t="shared" si="15"/>
        <v xml:space="preserve">  emulated_hue: true</v>
      </c>
      <c r="K144" s="5" t="str">
        <f t="shared" si="13"/>
        <v/>
      </c>
    </row>
    <row r="145" spans="2:11" x14ac:dyDescent="0.25">
      <c r="B145" s="5">
        <f t="shared" si="12"/>
        <v>139</v>
      </c>
      <c r="C145" s="5">
        <f t="shared" si="16"/>
        <v>64</v>
      </c>
      <c r="D145" s="14">
        <f t="shared" si="17"/>
        <v>4</v>
      </c>
      <c r="E145" s="14" t="str">
        <f>INDEX(entities[Attributes Index],MATCH('Customize code'!C145,entities[custom entity '#],0))</f>
        <v>1236</v>
      </c>
      <c r="F145" s="14">
        <f t="shared" si="14"/>
        <v>6</v>
      </c>
      <c r="G145" s="5" t="str">
        <f>IF(D145&gt;0,"",
INDEX(entities[entity_id],MATCH('Customize code'!C145,entities[custom entity '#],0))&amp;":")</f>
        <v/>
      </c>
      <c r="H145" s="5" t="str">
        <f>IF(F145=0,"",VLOOKUP(F145,'Customize code'!$M$8:$O$13,3,FALSE))</f>
        <v xml:space="preserve">  icon: </v>
      </c>
      <c r="I145" s="5" t="str">
        <f>IF(F145=0, "",  INDEX(entities[[hidden]:[icon]],  MATCH(C145,entities[custom entity '#],0),  'Customize code'!F145)  )</f>
        <v>mdi:weather-night</v>
      </c>
      <c r="J145" s="5" t="str">
        <f t="shared" si="15"/>
        <v xml:space="preserve">  icon: mdi:weather-night</v>
      </c>
      <c r="K145" s="5" t="str">
        <f t="shared" si="13"/>
        <v/>
      </c>
    </row>
    <row r="146" spans="2:11" x14ac:dyDescent="0.25">
      <c r="B146" s="5">
        <f t="shared" si="12"/>
        <v>140</v>
      </c>
      <c r="C146" s="5">
        <f t="shared" si="16"/>
        <v>65</v>
      </c>
      <c r="D146" s="14">
        <f t="shared" si="17"/>
        <v>0</v>
      </c>
      <c r="E146" s="14" t="str">
        <f>INDEX(entities[Attributes Index],MATCH('Customize code'!C146,entities[custom entity '#],0))</f>
        <v>1236</v>
      </c>
      <c r="F146" s="14">
        <f t="shared" si="14"/>
        <v>0</v>
      </c>
      <c r="G146" s="5" t="str">
        <f>IF(D146&gt;0,"",
INDEX(entities[entity_id],MATCH('Customize code'!C146,entities[custom entity '#],0))&amp;":")</f>
        <v>script.bright:</v>
      </c>
      <c r="H146" s="5" t="str">
        <f>IF(F146=0,"",VLOOKUP(F146,'Customize code'!$M$8:$O$13,3,FALSE))</f>
        <v/>
      </c>
      <c r="I146" s="5" t="str">
        <f>IF(F146=0, "",  INDEX(entities[[hidden]:[icon]],  MATCH(C146,entities[custom entity '#],0),  'Customize code'!F146)  )</f>
        <v/>
      </c>
      <c r="J146" s="5" t="str">
        <f t="shared" si="15"/>
        <v>script.bright:</v>
      </c>
      <c r="K146" s="5" t="str">
        <f t="shared" si="13"/>
        <v/>
      </c>
    </row>
    <row r="147" spans="2:11" x14ac:dyDescent="0.25">
      <c r="B147" s="5">
        <f t="shared" si="12"/>
        <v>141</v>
      </c>
      <c r="C147" s="5">
        <f t="shared" si="16"/>
        <v>65</v>
      </c>
      <c r="D147" s="14">
        <f t="shared" si="17"/>
        <v>1</v>
      </c>
      <c r="E147" s="14" t="str">
        <f>INDEX(entities[Attributes Index],MATCH('Customize code'!C147,entities[custom entity '#],0))</f>
        <v>1236</v>
      </c>
      <c r="F147" s="14">
        <f t="shared" si="14"/>
        <v>1</v>
      </c>
      <c r="G147" s="5" t="str">
        <f>IF(D147&gt;0,"",
INDEX(entities[entity_id],MATCH('Customize code'!C147,entities[custom entity '#],0))&amp;":")</f>
        <v/>
      </c>
      <c r="H147" s="5" t="str">
        <f>IF(F147=0,"",VLOOKUP(F147,'Customize code'!$M$8:$O$13,3,FALSE))</f>
        <v xml:space="preserve">  hidden: </v>
      </c>
      <c r="I147" s="5" t="str">
        <f>IF(F147=0, "",  INDEX(entities[[hidden]:[icon]],  MATCH(C147,entities[custom entity '#],0),  'Customize code'!F147)  )</f>
        <v>false</v>
      </c>
      <c r="J147" s="5" t="str">
        <f t="shared" si="15"/>
        <v xml:space="preserve">  hidden: false</v>
      </c>
      <c r="K147" s="5" t="str">
        <f t="shared" si="13"/>
        <v/>
      </c>
    </row>
    <row r="148" spans="2:11" x14ac:dyDescent="0.25">
      <c r="B148" s="5">
        <f t="shared" si="12"/>
        <v>142</v>
      </c>
      <c r="C148" s="5">
        <f t="shared" si="16"/>
        <v>65</v>
      </c>
      <c r="D148" s="14">
        <f t="shared" si="17"/>
        <v>2</v>
      </c>
      <c r="E148" s="14" t="str">
        <f>INDEX(entities[Attributes Index],MATCH('Customize code'!C148,entities[custom entity '#],0))</f>
        <v>1236</v>
      </c>
      <c r="F148" s="14">
        <f t="shared" si="14"/>
        <v>2</v>
      </c>
      <c r="G148" s="5" t="str">
        <f>IF(D148&gt;0,"",
INDEX(entities[entity_id],MATCH('Customize code'!C148,entities[custom entity '#],0))&amp;":")</f>
        <v/>
      </c>
      <c r="H148" s="5" t="str">
        <f>IF(F148=0,"",VLOOKUP(F148,'Customize code'!$M$8:$O$13,3,FALSE))</f>
        <v xml:space="preserve">  friendly_name: </v>
      </c>
      <c r="I148" s="5" t="str">
        <f>IF(F148=0, "",  INDEX(entities[[hidden]:[icon]],  MATCH(C148,entities[custom entity '#],0),  'Customize code'!F148)  )</f>
        <v>Bright</v>
      </c>
      <c r="J148" s="5" t="str">
        <f t="shared" si="15"/>
        <v xml:space="preserve">  friendly_name: Bright</v>
      </c>
      <c r="K148" s="5" t="str">
        <f t="shared" si="13"/>
        <v/>
      </c>
    </row>
    <row r="149" spans="2:11" x14ac:dyDescent="0.25">
      <c r="B149" s="5">
        <f t="shared" si="12"/>
        <v>143</v>
      </c>
      <c r="C149" s="5">
        <f t="shared" si="16"/>
        <v>65</v>
      </c>
      <c r="D149" s="14">
        <f t="shared" si="17"/>
        <v>3</v>
      </c>
      <c r="E149" s="14" t="str">
        <f>INDEX(entities[Attributes Index],MATCH('Customize code'!C149,entities[custom entity '#],0))</f>
        <v>1236</v>
      </c>
      <c r="F149" s="14">
        <f t="shared" si="14"/>
        <v>3</v>
      </c>
      <c r="G149" s="5" t="str">
        <f>IF(D149&gt;0,"",
INDEX(entities[entity_id],MATCH('Customize code'!C149,entities[custom entity '#],0))&amp;":")</f>
        <v/>
      </c>
      <c r="H149" s="5" t="str">
        <f>IF(F149=0,"",VLOOKUP(F149,'Customize code'!$M$8:$O$13,3,FALSE))</f>
        <v xml:space="preserve">  emulated_hue: </v>
      </c>
      <c r="I149" s="5" t="str">
        <f>IF(F149=0, "",  INDEX(entities[[hidden]:[icon]],  MATCH(C149,entities[custom entity '#],0),  'Customize code'!F149)  )</f>
        <v>true</v>
      </c>
      <c r="J149" s="5" t="str">
        <f t="shared" si="15"/>
        <v xml:space="preserve">  emulated_hue: true</v>
      </c>
      <c r="K149" s="5" t="str">
        <f t="shared" si="13"/>
        <v/>
      </c>
    </row>
    <row r="150" spans="2:11" x14ac:dyDescent="0.25">
      <c r="B150" s="5">
        <f t="shared" si="12"/>
        <v>144</v>
      </c>
      <c r="C150" s="5">
        <f t="shared" si="16"/>
        <v>65</v>
      </c>
      <c r="D150" s="14">
        <f t="shared" si="17"/>
        <v>4</v>
      </c>
      <c r="E150" s="14" t="str">
        <f>INDEX(entities[Attributes Index],MATCH('Customize code'!C150,entities[custom entity '#],0))</f>
        <v>1236</v>
      </c>
      <c r="F150" s="14">
        <f t="shared" si="14"/>
        <v>6</v>
      </c>
      <c r="G150" s="5" t="str">
        <f>IF(D150&gt;0,"",
INDEX(entities[entity_id],MATCH('Customize code'!C150,entities[custom entity '#],0))&amp;":")</f>
        <v/>
      </c>
      <c r="H150" s="5" t="str">
        <f>IF(F150=0,"",VLOOKUP(F150,'Customize code'!$M$8:$O$13,3,FALSE))</f>
        <v xml:space="preserve">  icon: </v>
      </c>
      <c r="I150" s="5" t="str">
        <f>IF(F150=0, "",  INDEX(entities[[hidden]:[icon]],  MATCH(C150,entities[custom entity '#],0),  'Customize code'!F150)  )</f>
        <v>mdi:weather-sunny</v>
      </c>
      <c r="J150" s="5" t="str">
        <f t="shared" si="15"/>
        <v xml:space="preserve">  icon: mdi:weather-sunny</v>
      </c>
      <c r="K150" s="5" t="str">
        <f t="shared" si="13"/>
        <v/>
      </c>
    </row>
    <row r="151" spans="2:11" x14ac:dyDescent="0.25">
      <c r="B151" s="5">
        <f t="shared" si="12"/>
        <v>145</v>
      </c>
      <c r="C151" s="5">
        <f t="shared" si="16"/>
        <v>66</v>
      </c>
      <c r="D151" s="14">
        <f t="shared" si="17"/>
        <v>0</v>
      </c>
      <c r="E151" s="14" t="str">
        <f>INDEX(entities[Attributes Index],MATCH('Customize code'!C151,entities[custom entity '#],0))</f>
        <v>1236</v>
      </c>
      <c r="F151" s="14">
        <f t="shared" si="14"/>
        <v>0</v>
      </c>
      <c r="G151" s="5" t="str">
        <f>IF(D151&gt;0,"",
INDEX(entities[entity_id],MATCH('Customize code'!C151,entities[custom entity '#],0))&amp;":")</f>
        <v>script.dusk:</v>
      </c>
      <c r="H151" s="5" t="str">
        <f>IF(F151=0,"",VLOOKUP(F151,'Customize code'!$M$8:$O$13,3,FALSE))</f>
        <v/>
      </c>
      <c r="I151" s="5" t="str">
        <f>IF(F151=0, "",  INDEX(entities[[hidden]:[icon]],  MATCH(C151,entities[custom entity '#],0),  'Customize code'!F151)  )</f>
        <v/>
      </c>
      <c r="J151" s="5" t="str">
        <f t="shared" si="15"/>
        <v>script.dusk:</v>
      </c>
      <c r="K151" s="5" t="str">
        <f t="shared" si="13"/>
        <v/>
      </c>
    </row>
    <row r="152" spans="2:11" x14ac:dyDescent="0.25">
      <c r="B152" s="5">
        <f t="shared" si="12"/>
        <v>146</v>
      </c>
      <c r="C152" s="5">
        <f t="shared" si="16"/>
        <v>66</v>
      </c>
      <c r="D152" s="14">
        <f t="shared" si="17"/>
        <v>1</v>
      </c>
      <c r="E152" s="14" t="str">
        <f>INDEX(entities[Attributes Index],MATCH('Customize code'!C152,entities[custom entity '#],0))</f>
        <v>1236</v>
      </c>
      <c r="F152" s="14">
        <f t="shared" si="14"/>
        <v>1</v>
      </c>
      <c r="G152" s="5" t="str">
        <f>IF(D152&gt;0,"",
INDEX(entities[entity_id],MATCH('Customize code'!C152,entities[custom entity '#],0))&amp;":")</f>
        <v/>
      </c>
      <c r="H152" s="5" t="str">
        <f>IF(F152=0,"",VLOOKUP(F152,'Customize code'!$M$8:$O$13,3,FALSE))</f>
        <v xml:space="preserve">  hidden: </v>
      </c>
      <c r="I152" s="5" t="str">
        <f>IF(F152=0, "",  INDEX(entities[[hidden]:[icon]],  MATCH(C152,entities[custom entity '#],0),  'Customize code'!F152)  )</f>
        <v>false</v>
      </c>
      <c r="J152" s="5" t="str">
        <f t="shared" si="15"/>
        <v xml:space="preserve">  hidden: false</v>
      </c>
      <c r="K152" s="5" t="str">
        <f t="shared" si="13"/>
        <v/>
      </c>
    </row>
    <row r="153" spans="2:11" x14ac:dyDescent="0.25">
      <c r="B153" s="5">
        <f t="shared" si="12"/>
        <v>147</v>
      </c>
      <c r="C153" s="5">
        <f t="shared" si="16"/>
        <v>66</v>
      </c>
      <c r="D153" s="14">
        <f t="shared" si="17"/>
        <v>2</v>
      </c>
      <c r="E153" s="14" t="str">
        <f>INDEX(entities[Attributes Index],MATCH('Customize code'!C153,entities[custom entity '#],0))</f>
        <v>1236</v>
      </c>
      <c r="F153" s="14">
        <f t="shared" si="14"/>
        <v>2</v>
      </c>
      <c r="G153" s="5" t="str">
        <f>IF(D153&gt;0,"",
INDEX(entities[entity_id],MATCH('Customize code'!C153,entities[custom entity '#],0))&amp;":")</f>
        <v/>
      </c>
      <c r="H153" s="5" t="str">
        <f>IF(F153=0,"",VLOOKUP(F153,'Customize code'!$M$8:$O$13,3,FALSE))</f>
        <v xml:space="preserve">  friendly_name: </v>
      </c>
      <c r="I153" s="5" t="str">
        <f>IF(F153=0, "",  INDEX(entities[[hidden]:[icon]],  MATCH(C153,entities[custom entity '#],0),  'Customize code'!F153)  )</f>
        <v>Dusk</v>
      </c>
      <c r="J153" s="5" t="str">
        <f t="shared" si="15"/>
        <v xml:space="preserve">  friendly_name: Dusk</v>
      </c>
      <c r="K153" s="5" t="str">
        <f t="shared" si="13"/>
        <v/>
      </c>
    </row>
    <row r="154" spans="2:11" x14ac:dyDescent="0.25">
      <c r="B154" s="5">
        <f t="shared" si="12"/>
        <v>148</v>
      </c>
      <c r="C154" s="5">
        <f t="shared" si="16"/>
        <v>66</v>
      </c>
      <c r="D154" s="14">
        <f t="shared" si="17"/>
        <v>3</v>
      </c>
      <c r="E154" s="14" t="str">
        <f>INDEX(entities[Attributes Index],MATCH('Customize code'!C154,entities[custom entity '#],0))</f>
        <v>1236</v>
      </c>
      <c r="F154" s="14">
        <f t="shared" si="14"/>
        <v>3</v>
      </c>
      <c r="G154" s="5" t="str">
        <f>IF(D154&gt;0,"",
INDEX(entities[entity_id],MATCH('Customize code'!C154,entities[custom entity '#],0))&amp;":")</f>
        <v/>
      </c>
      <c r="H154" s="5" t="str">
        <f>IF(F154=0,"",VLOOKUP(F154,'Customize code'!$M$8:$O$13,3,FALSE))</f>
        <v xml:space="preserve">  emulated_hue: </v>
      </c>
      <c r="I154" s="5" t="str">
        <f>IF(F154=0, "",  INDEX(entities[[hidden]:[icon]],  MATCH(C154,entities[custom entity '#],0),  'Customize code'!F154)  )</f>
        <v>true</v>
      </c>
      <c r="J154" s="5" t="str">
        <f t="shared" si="15"/>
        <v xml:space="preserve">  emulated_hue: true</v>
      </c>
      <c r="K154" s="5" t="str">
        <f t="shared" si="13"/>
        <v/>
      </c>
    </row>
    <row r="155" spans="2:11" x14ac:dyDescent="0.25">
      <c r="B155" s="5">
        <f t="shared" si="12"/>
        <v>149</v>
      </c>
      <c r="C155" s="5">
        <f t="shared" si="16"/>
        <v>66</v>
      </c>
      <c r="D155" s="14">
        <f t="shared" si="17"/>
        <v>4</v>
      </c>
      <c r="E155" s="14" t="str">
        <f>INDEX(entities[Attributes Index],MATCH('Customize code'!C155,entities[custom entity '#],0))</f>
        <v>1236</v>
      </c>
      <c r="F155" s="14">
        <f t="shared" si="14"/>
        <v>6</v>
      </c>
      <c r="G155" s="5" t="str">
        <f>IF(D155&gt;0,"",
INDEX(entities[entity_id],MATCH('Customize code'!C155,entities[custom entity '#],0))&amp;":")</f>
        <v/>
      </c>
      <c r="H155" s="5" t="str">
        <f>IF(F155=0,"",VLOOKUP(F155,'Customize code'!$M$8:$O$13,3,FALSE))</f>
        <v xml:space="preserve">  icon: </v>
      </c>
      <c r="I155" s="5" t="str">
        <f>IF(F155=0, "",  INDEX(entities[[hidden]:[icon]],  MATCH(C155,entities[custom entity '#],0),  'Customize code'!F155)  )</f>
        <v>mdi:weather-sunset-down</v>
      </c>
      <c r="J155" s="5" t="str">
        <f t="shared" si="15"/>
        <v xml:space="preserve">  icon: mdi:weather-sunset-down</v>
      </c>
      <c r="K155" s="5" t="str">
        <f t="shared" si="13"/>
        <v/>
      </c>
    </row>
    <row r="156" spans="2:11" x14ac:dyDescent="0.25">
      <c r="B156" s="5">
        <f t="shared" si="12"/>
        <v>150</v>
      </c>
      <c r="C156" s="5">
        <f t="shared" si="16"/>
        <v>67</v>
      </c>
      <c r="D156" s="14">
        <f t="shared" si="17"/>
        <v>0</v>
      </c>
      <c r="E156" s="14" t="str">
        <f>INDEX(entities[Attributes Index],MATCH('Customize code'!C156,entities[custom entity '#],0))</f>
        <v>1</v>
      </c>
      <c r="F156" s="14">
        <f t="shared" si="14"/>
        <v>0</v>
      </c>
      <c r="G156" s="5" t="str">
        <f>IF(D156&gt;0,"",
INDEX(entities[entity_id],MATCH('Customize code'!C156,entities[custom entity '#],0))&amp;":")</f>
        <v>script.full_bright:</v>
      </c>
      <c r="H156" s="5" t="str">
        <f>IF(F156=0,"",VLOOKUP(F156,'Customize code'!$M$8:$O$13,3,FALSE))</f>
        <v/>
      </c>
      <c r="I156" s="5" t="str">
        <f>IF(F156=0, "",  INDEX(entities[[hidden]:[icon]],  MATCH(C156,entities[custom entity '#],0),  'Customize code'!F156)  )</f>
        <v/>
      </c>
      <c r="J156" s="5" t="str">
        <f t="shared" si="15"/>
        <v>script.full_bright:</v>
      </c>
      <c r="K156" s="5" t="str">
        <f t="shared" si="13"/>
        <v/>
      </c>
    </row>
    <row r="157" spans="2:11" x14ac:dyDescent="0.25">
      <c r="B157" s="5">
        <f t="shared" si="12"/>
        <v>151</v>
      </c>
      <c r="C157" s="5">
        <f t="shared" si="16"/>
        <v>67</v>
      </c>
      <c r="D157" s="14">
        <f t="shared" si="17"/>
        <v>1</v>
      </c>
      <c r="E157" s="14" t="str">
        <f>INDEX(entities[Attributes Index],MATCH('Customize code'!C157,entities[custom entity '#],0))</f>
        <v>1</v>
      </c>
      <c r="F157" s="14">
        <f t="shared" si="14"/>
        <v>1</v>
      </c>
      <c r="G157" s="5" t="str">
        <f>IF(D157&gt;0,"",
INDEX(entities[entity_id],MATCH('Customize code'!C157,entities[custom entity '#],0))&amp;":")</f>
        <v/>
      </c>
      <c r="H157" s="5" t="str">
        <f>IF(F157=0,"",VLOOKUP(F157,'Customize code'!$M$8:$O$13,3,FALSE))</f>
        <v xml:space="preserve">  hidden: </v>
      </c>
      <c r="I157" s="5" t="str">
        <f>IF(F157=0, "",  INDEX(entities[[hidden]:[icon]],  MATCH(C157,entities[custom entity '#],0),  'Customize code'!F157)  )</f>
        <v>true</v>
      </c>
      <c r="J157" s="5" t="str">
        <f t="shared" si="15"/>
        <v xml:space="preserve">  hidden: true</v>
      </c>
      <c r="K157" s="5" t="str">
        <f t="shared" si="13"/>
        <v/>
      </c>
    </row>
    <row r="158" spans="2:11" x14ac:dyDescent="0.25">
      <c r="B158" s="5">
        <f t="shared" si="12"/>
        <v>152</v>
      </c>
      <c r="C158" s="5">
        <f t="shared" si="16"/>
        <v>68</v>
      </c>
      <c r="D158" s="14">
        <f t="shared" si="17"/>
        <v>0</v>
      </c>
      <c r="E158" s="14" t="str">
        <f>INDEX(entities[Attributes Index],MATCH('Customize code'!C158,entities[custom entity '#],0))</f>
        <v>236</v>
      </c>
      <c r="F158" s="14">
        <f t="shared" si="14"/>
        <v>0</v>
      </c>
      <c r="G158" s="5" t="str">
        <f>IF(D158&gt;0,"",
INDEX(entities[entity_id],MATCH('Customize code'!C158,entities[custom entity '#],0))&amp;":")</f>
        <v>script.good_night:</v>
      </c>
      <c r="H158" s="5" t="str">
        <f>IF(F158=0,"",VLOOKUP(F158,'Customize code'!$M$8:$O$13,3,FALSE))</f>
        <v/>
      </c>
      <c r="I158" s="5" t="str">
        <f>IF(F158=0, "",  INDEX(entities[[hidden]:[icon]],  MATCH(C158,entities[custom entity '#],0),  'Customize code'!F158)  )</f>
        <v/>
      </c>
      <c r="J158" s="5" t="str">
        <f t="shared" si="15"/>
        <v>script.good_night:</v>
      </c>
      <c r="K158" s="5" t="str">
        <f t="shared" si="13"/>
        <v/>
      </c>
    </row>
    <row r="159" spans="2:11" x14ac:dyDescent="0.25">
      <c r="B159" s="5">
        <f t="shared" si="12"/>
        <v>153</v>
      </c>
      <c r="C159" s="5">
        <f t="shared" si="16"/>
        <v>68</v>
      </c>
      <c r="D159" s="14">
        <f t="shared" si="17"/>
        <v>1</v>
      </c>
      <c r="E159" s="14" t="str">
        <f>INDEX(entities[Attributes Index],MATCH('Customize code'!C159,entities[custom entity '#],0))</f>
        <v>236</v>
      </c>
      <c r="F159" s="14">
        <f t="shared" si="14"/>
        <v>2</v>
      </c>
      <c r="G159" s="5" t="str">
        <f>IF(D159&gt;0,"",
INDEX(entities[entity_id],MATCH('Customize code'!C159,entities[custom entity '#],0))&amp;":")</f>
        <v/>
      </c>
      <c r="H159" s="5" t="str">
        <f>IF(F159=0,"",VLOOKUP(F159,'Customize code'!$M$8:$O$13,3,FALSE))</f>
        <v xml:space="preserve">  friendly_name: </v>
      </c>
      <c r="I159" s="5" t="str">
        <f>IF(F159=0, "",  INDEX(entities[[hidden]:[icon]],  MATCH(C159,entities[custom entity '#],0),  'Customize code'!F159)  )</f>
        <v>Good Night</v>
      </c>
      <c r="J159" s="5" t="str">
        <f t="shared" si="15"/>
        <v xml:space="preserve">  friendly_name: Good Night</v>
      </c>
      <c r="K159" s="5" t="str">
        <f t="shared" si="13"/>
        <v/>
      </c>
    </row>
    <row r="160" spans="2:11" x14ac:dyDescent="0.25">
      <c r="B160" s="5">
        <f t="shared" si="12"/>
        <v>154</v>
      </c>
      <c r="C160" s="5">
        <f t="shared" si="16"/>
        <v>68</v>
      </c>
      <c r="D160" s="14">
        <f t="shared" si="17"/>
        <v>2</v>
      </c>
      <c r="E160" s="14" t="str">
        <f>INDEX(entities[Attributes Index],MATCH('Customize code'!C160,entities[custom entity '#],0))</f>
        <v>236</v>
      </c>
      <c r="F160" s="14">
        <f t="shared" si="14"/>
        <v>3</v>
      </c>
      <c r="G160" s="5" t="str">
        <f>IF(D160&gt;0,"",
INDEX(entities[entity_id],MATCH('Customize code'!C160,entities[custom entity '#],0))&amp;":")</f>
        <v/>
      </c>
      <c r="H160" s="5" t="str">
        <f>IF(F160=0,"",VLOOKUP(F160,'Customize code'!$M$8:$O$13,3,FALSE))</f>
        <v xml:space="preserve">  emulated_hue: </v>
      </c>
      <c r="I160" s="5" t="str">
        <f>IF(F160=0, "",  INDEX(entities[[hidden]:[icon]],  MATCH(C160,entities[custom entity '#],0),  'Customize code'!F160)  )</f>
        <v>true</v>
      </c>
      <c r="J160" s="5" t="str">
        <f t="shared" si="15"/>
        <v xml:space="preserve">  emulated_hue: true</v>
      </c>
      <c r="K160" s="5" t="str">
        <f t="shared" si="13"/>
        <v/>
      </c>
    </row>
    <row r="161" spans="2:11" x14ac:dyDescent="0.25">
      <c r="B161" s="5">
        <f t="shared" si="12"/>
        <v>155</v>
      </c>
      <c r="C161" s="5">
        <f t="shared" si="16"/>
        <v>68</v>
      </c>
      <c r="D161" s="14">
        <f t="shared" si="17"/>
        <v>3</v>
      </c>
      <c r="E161" s="14" t="str">
        <f>INDEX(entities[Attributes Index],MATCH('Customize code'!C161,entities[custom entity '#],0))</f>
        <v>236</v>
      </c>
      <c r="F161" s="14">
        <f t="shared" si="14"/>
        <v>6</v>
      </c>
      <c r="G161" s="5" t="str">
        <f>IF(D161&gt;0,"",
INDEX(entities[entity_id],MATCH('Customize code'!C161,entities[custom entity '#],0))&amp;":")</f>
        <v/>
      </c>
      <c r="H161" s="5" t="str">
        <f>IF(F161=0,"",VLOOKUP(F161,'Customize code'!$M$8:$O$13,3,FALSE))</f>
        <v xml:space="preserve">  icon: </v>
      </c>
      <c r="I161" s="5" t="str">
        <f>IF(F161=0, "",  INDEX(entities[[hidden]:[icon]],  MATCH(C161,entities[custom entity '#],0),  'Customize code'!F161)  )</f>
        <v>mdi:sleep</v>
      </c>
      <c r="J161" s="5" t="str">
        <f t="shared" si="15"/>
        <v xml:space="preserve">  icon: mdi:sleep</v>
      </c>
      <c r="K161" s="5" t="str">
        <f t="shared" si="13"/>
        <v/>
      </c>
    </row>
    <row r="162" spans="2:11" x14ac:dyDescent="0.25">
      <c r="B162" s="5">
        <f t="shared" si="12"/>
        <v>156</v>
      </c>
      <c r="C162" s="5">
        <f t="shared" si="16"/>
        <v>69</v>
      </c>
      <c r="D162" s="14">
        <f t="shared" si="17"/>
        <v>0</v>
      </c>
      <c r="E162" s="14" t="str">
        <f>INDEX(entities[Attributes Index],MATCH('Customize code'!C162,entities[custom entity '#],0))</f>
        <v>1</v>
      </c>
      <c r="F162" s="14">
        <f t="shared" si="14"/>
        <v>0</v>
      </c>
      <c r="G162" s="5" t="str">
        <f>IF(D162&gt;0,"",
INDEX(entities[entity_id],MATCH('Customize code'!C162,entities[custom entity '#],0))&amp;":")</f>
        <v>script.half_bright:</v>
      </c>
      <c r="H162" s="5" t="str">
        <f>IF(F162=0,"",VLOOKUP(F162,'Customize code'!$M$8:$O$13,3,FALSE))</f>
        <v/>
      </c>
      <c r="I162" s="5" t="str">
        <f>IF(F162=0, "",  INDEX(entities[[hidden]:[icon]],  MATCH(C162,entities[custom entity '#],0),  'Customize code'!F162)  )</f>
        <v/>
      </c>
      <c r="J162" s="5" t="str">
        <f t="shared" si="15"/>
        <v>script.half_bright:</v>
      </c>
      <c r="K162" s="5" t="str">
        <f t="shared" si="13"/>
        <v/>
      </c>
    </row>
    <row r="163" spans="2:11" x14ac:dyDescent="0.25">
      <c r="B163" s="5">
        <f t="shared" si="12"/>
        <v>157</v>
      </c>
      <c r="C163" s="5">
        <f t="shared" si="16"/>
        <v>69</v>
      </c>
      <c r="D163" s="14">
        <f t="shared" si="17"/>
        <v>1</v>
      </c>
      <c r="E163" s="14" t="str">
        <f>INDEX(entities[Attributes Index],MATCH('Customize code'!C163,entities[custom entity '#],0))</f>
        <v>1</v>
      </c>
      <c r="F163" s="14">
        <f t="shared" si="14"/>
        <v>1</v>
      </c>
      <c r="G163" s="5" t="str">
        <f>IF(D163&gt;0,"",
INDEX(entities[entity_id],MATCH('Customize code'!C163,entities[custom entity '#],0))&amp;":")</f>
        <v/>
      </c>
      <c r="H163" s="5" t="str">
        <f>IF(F163=0,"",VLOOKUP(F163,'Customize code'!$M$8:$O$13,3,FALSE))</f>
        <v xml:space="preserve">  hidden: </v>
      </c>
      <c r="I163" s="5" t="str">
        <f>IF(F163=0, "",  INDEX(entities[[hidden]:[icon]],  MATCH(C163,entities[custom entity '#],0),  'Customize code'!F163)  )</f>
        <v>true</v>
      </c>
      <c r="J163" s="5" t="str">
        <f t="shared" si="15"/>
        <v xml:space="preserve">  hidden: true</v>
      </c>
      <c r="K163" s="5" t="str">
        <f t="shared" si="13"/>
        <v/>
      </c>
    </row>
    <row r="164" spans="2:11" x14ac:dyDescent="0.25">
      <c r="B164" s="5">
        <f t="shared" si="12"/>
        <v>158</v>
      </c>
      <c r="C164" s="5">
        <f t="shared" si="16"/>
        <v>70</v>
      </c>
      <c r="D164" s="14">
        <f t="shared" si="17"/>
        <v>0</v>
      </c>
      <c r="E164" s="14" t="str">
        <f>INDEX(entities[Attributes Index],MATCH('Customize code'!C164,entities[custom entity '#],0))</f>
        <v>1</v>
      </c>
      <c r="F164" s="14">
        <f t="shared" si="14"/>
        <v>0</v>
      </c>
      <c r="G164" s="5" t="str">
        <f>IF(D164&gt;0,"",
INDEX(entities[entity_id],MATCH('Customize code'!C164,entities[custom entity '#],0))&amp;":")</f>
        <v>script.living_room_vol_to_4:</v>
      </c>
      <c r="H164" s="5" t="str">
        <f>IF(F164=0,"",VLOOKUP(F164,'Customize code'!$M$8:$O$13,3,FALSE))</f>
        <v/>
      </c>
      <c r="I164" s="5" t="str">
        <f>IF(F164=0, "",  INDEX(entities[[hidden]:[icon]],  MATCH(C164,entities[custom entity '#],0),  'Customize code'!F164)  )</f>
        <v/>
      </c>
      <c r="J164" s="5" t="str">
        <f t="shared" si="15"/>
        <v>script.living_room_vol_to_4:</v>
      </c>
      <c r="K164" s="5" t="str">
        <f t="shared" si="13"/>
        <v/>
      </c>
    </row>
    <row r="165" spans="2:11" x14ac:dyDescent="0.25">
      <c r="B165" s="5">
        <f t="shared" ref="B165:B199" si="18">B164+1</f>
        <v>159</v>
      </c>
      <c r="C165" s="5">
        <f t="shared" si="16"/>
        <v>70</v>
      </c>
      <c r="D165" s="14">
        <f t="shared" si="17"/>
        <v>1</v>
      </c>
      <c r="E165" s="14" t="str">
        <f>INDEX(entities[Attributes Index],MATCH('Customize code'!C165,entities[custom entity '#],0))</f>
        <v>1</v>
      </c>
      <c r="F165" s="14">
        <f t="shared" si="14"/>
        <v>1</v>
      </c>
      <c r="G165" s="5" t="str">
        <f>IF(D165&gt;0,"",
INDEX(entities[entity_id],MATCH('Customize code'!C165,entities[custom entity '#],0))&amp;":")</f>
        <v/>
      </c>
      <c r="H165" s="5" t="str">
        <f>IF(F165=0,"",VLOOKUP(F165,'Customize code'!$M$8:$O$13,3,FALSE))</f>
        <v xml:space="preserve">  hidden: </v>
      </c>
      <c r="I165" s="5" t="str">
        <f>IF(F165=0, "",  INDEX(entities[[hidden]:[icon]],  MATCH(C165,entities[custom entity '#],0),  'Customize code'!F165)  )</f>
        <v>true</v>
      </c>
      <c r="J165" s="5" t="str">
        <f t="shared" si="15"/>
        <v xml:space="preserve">  hidden: true</v>
      </c>
      <c r="K165" s="5" t="str">
        <f t="shared" si="13"/>
        <v/>
      </c>
    </row>
    <row r="166" spans="2:11" x14ac:dyDescent="0.25">
      <c r="B166" s="5">
        <f t="shared" si="18"/>
        <v>160</v>
      </c>
      <c r="C166" s="5">
        <f t="shared" si="16"/>
        <v>71</v>
      </c>
      <c r="D166" s="14">
        <f t="shared" si="17"/>
        <v>0</v>
      </c>
      <c r="E166" s="14" t="str">
        <f>INDEX(entities[Attributes Index],MATCH('Customize code'!C166,entities[custom entity '#],0))</f>
        <v>1236</v>
      </c>
      <c r="F166" s="14">
        <f t="shared" si="14"/>
        <v>0</v>
      </c>
      <c r="G166" s="5" t="str">
        <f>IF(D166&gt;0,"",
INDEX(entities[entity_id],MATCH('Customize code'!C166,entities[custom entity '#],0))&amp;":")</f>
        <v>script.reading:</v>
      </c>
      <c r="H166" s="5" t="str">
        <f>IF(F166=0,"",VLOOKUP(F166,'Customize code'!$M$8:$O$13,3,FALSE))</f>
        <v/>
      </c>
      <c r="I166" s="5" t="str">
        <f>IF(F166=0, "",  INDEX(entities[[hidden]:[icon]],  MATCH(C166,entities[custom entity '#],0),  'Customize code'!F166)  )</f>
        <v/>
      </c>
      <c r="J166" s="5" t="str">
        <f t="shared" si="15"/>
        <v>script.reading:</v>
      </c>
      <c r="K166" s="5" t="str">
        <f t="shared" si="13"/>
        <v/>
      </c>
    </row>
    <row r="167" spans="2:11" x14ac:dyDescent="0.25">
      <c r="B167" s="5">
        <f t="shared" si="18"/>
        <v>161</v>
      </c>
      <c r="C167" s="5">
        <f t="shared" si="16"/>
        <v>71</v>
      </c>
      <c r="D167" s="14">
        <f t="shared" si="17"/>
        <v>1</v>
      </c>
      <c r="E167" s="14" t="str">
        <f>INDEX(entities[Attributes Index],MATCH('Customize code'!C167,entities[custom entity '#],0))</f>
        <v>1236</v>
      </c>
      <c r="F167" s="14">
        <f t="shared" si="14"/>
        <v>1</v>
      </c>
      <c r="G167" s="5" t="str">
        <f>IF(D167&gt;0,"",
INDEX(entities[entity_id],MATCH('Customize code'!C167,entities[custom entity '#],0))&amp;":")</f>
        <v/>
      </c>
      <c r="H167" s="5" t="str">
        <f>IF(F167=0,"",VLOOKUP(F167,'Customize code'!$M$8:$O$13,3,FALSE))</f>
        <v xml:space="preserve">  hidden: </v>
      </c>
      <c r="I167" s="5" t="str">
        <f>IF(F167=0, "",  INDEX(entities[[hidden]:[icon]],  MATCH(C167,entities[custom entity '#],0),  'Customize code'!F167)  )</f>
        <v>false</v>
      </c>
      <c r="J167" s="5" t="str">
        <f t="shared" si="15"/>
        <v xml:space="preserve">  hidden: false</v>
      </c>
      <c r="K167" s="5" t="str">
        <f t="shared" si="13"/>
        <v/>
      </c>
    </row>
    <row r="168" spans="2:11" x14ac:dyDescent="0.25">
      <c r="B168" s="5">
        <f t="shared" si="18"/>
        <v>162</v>
      </c>
      <c r="C168" s="5">
        <f t="shared" si="16"/>
        <v>71</v>
      </c>
      <c r="D168" s="14">
        <f t="shared" si="17"/>
        <v>2</v>
      </c>
      <c r="E168" s="14" t="str">
        <f>INDEX(entities[Attributes Index],MATCH('Customize code'!C168,entities[custom entity '#],0))</f>
        <v>1236</v>
      </c>
      <c r="F168" s="14">
        <f t="shared" si="14"/>
        <v>2</v>
      </c>
      <c r="G168" s="5" t="str">
        <f>IF(D168&gt;0,"",
INDEX(entities[entity_id],MATCH('Customize code'!C168,entities[custom entity '#],0))&amp;":")</f>
        <v/>
      </c>
      <c r="H168" s="5" t="str">
        <f>IF(F168=0,"",VLOOKUP(F168,'Customize code'!$M$8:$O$13,3,FALSE))</f>
        <v xml:space="preserve">  friendly_name: </v>
      </c>
      <c r="I168" s="5" t="str">
        <f>IF(F168=0, "",  INDEX(entities[[hidden]:[icon]],  MATCH(C168,entities[custom entity '#],0),  'Customize code'!F168)  )</f>
        <v>Reading</v>
      </c>
      <c r="J168" s="5" t="str">
        <f t="shared" si="15"/>
        <v xml:space="preserve">  friendly_name: Reading</v>
      </c>
      <c r="K168" s="5" t="str">
        <f t="shared" si="13"/>
        <v/>
      </c>
    </row>
    <row r="169" spans="2:11" x14ac:dyDescent="0.25">
      <c r="B169" s="5">
        <f t="shared" si="18"/>
        <v>163</v>
      </c>
      <c r="C169" s="5">
        <f t="shared" si="16"/>
        <v>71</v>
      </c>
      <c r="D169" s="14">
        <f t="shared" si="17"/>
        <v>3</v>
      </c>
      <c r="E169" s="14" t="str">
        <f>INDEX(entities[Attributes Index],MATCH('Customize code'!C169,entities[custom entity '#],0))</f>
        <v>1236</v>
      </c>
      <c r="F169" s="14">
        <f t="shared" si="14"/>
        <v>3</v>
      </c>
      <c r="G169" s="5" t="str">
        <f>IF(D169&gt;0,"",
INDEX(entities[entity_id],MATCH('Customize code'!C169,entities[custom entity '#],0))&amp;":")</f>
        <v/>
      </c>
      <c r="H169" s="5" t="str">
        <f>IF(F169=0,"",VLOOKUP(F169,'Customize code'!$M$8:$O$13,3,FALSE))</f>
        <v xml:space="preserve">  emulated_hue: </v>
      </c>
      <c r="I169" s="5" t="str">
        <f>IF(F169=0, "",  INDEX(entities[[hidden]:[icon]],  MATCH(C169,entities[custom entity '#],0),  'Customize code'!F169)  )</f>
        <v>true</v>
      </c>
      <c r="J169" s="5" t="str">
        <f t="shared" si="15"/>
        <v xml:space="preserve">  emulated_hue: true</v>
      </c>
      <c r="K169" s="5" t="str">
        <f t="shared" si="13"/>
        <v/>
      </c>
    </row>
    <row r="170" spans="2:11" x14ac:dyDescent="0.25">
      <c r="B170" s="5">
        <f t="shared" si="18"/>
        <v>164</v>
      </c>
      <c r="C170" s="5">
        <f t="shared" si="16"/>
        <v>71</v>
      </c>
      <c r="D170" s="14">
        <f t="shared" si="17"/>
        <v>4</v>
      </c>
      <c r="E170" s="14" t="str">
        <f>INDEX(entities[Attributes Index],MATCH('Customize code'!C170,entities[custom entity '#],0))</f>
        <v>1236</v>
      </c>
      <c r="F170" s="14">
        <f t="shared" si="14"/>
        <v>6</v>
      </c>
      <c r="G170" s="5" t="str">
        <f>IF(D170&gt;0,"",
INDEX(entities[entity_id],MATCH('Customize code'!C170,entities[custom entity '#],0))&amp;":")</f>
        <v/>
      </c>
      <c r="H170" s="5" t="str">
        <f>IF(F170=0,"",VLOOKUP(F170,'Customize code'!$M$8:$O$13,3,FALSE))</f>
        <v xml:space="preserve">  icon: </v>
      </c>
      <c r="I170" s="5" t="str">
        <f>IF(F170=0, "",  INDEX(entities[[hidden]:[icon]],  MATCH(C170,entities[custom entity '#],0),  'Customize code'!F170)  )</f>
        <v>mdi:book-open-variant</v>
      </c>
      <c r="J170" s="5" t="str">
        <f t="shared" si="15"/>
        <v xml:space="preserve">  icon: mdi:book-open-variant</v>
      </c>
      <c r="K170" s="5" t="str">
        <f t="shared" si="13"/>
        <v/>
      </c>
    </row>
    <row r="171" spans="2:11" x14ac:dyDescent="0.25">
      <c r="B171" s="5">
        <f t="shared" si="18"/>
        <v>165</v>
      </c>
      <c r="C171" s="5">
        <f t="shared" si="16"/>
        <v>72</v>
      </c>
      <c r="D171" s="14">
        <f t="shared" si="17"/>
        <v>0</v>
      </c>
      <c r="E171" s="14" t="str">
        <f>INDEX(entities[Attributes Index],MATCH('Customize code'!C171,entities[custom entity '#],0))</f>
        <v>1236</v>
      </c>
      <c r="F171" s="14">
        <f t="shared" si="14"/>
        <v>0</v>
      </c>
      <c r="G171" s="5" t="str">
        <f>IF(D171&gt;0,"",
INDEX(entities[entity_id],MATCH('Customize code'!C171,entities[custom entity '#],0))&amp;":")</f>
        <v>script.twilight:</v>
      </c>
      <c r="H171" s="5" t="str">
        <f>IF(F171=0,"",VLOOKUP(F171,'Customize code'!$M$8:$O$13,3,FALSE))</f>
        <v/>
      </c>
      <c r="I171" s="5" t="str">
        <f>IF(F171=0, "",  INDEX(entities[[hidden]:[icon]],  MATCH(C171,entities[custom entity '#],0),  'Customize code'!F171)  )</f>
        <v/>
      </c>
      <c r="J171" s="5" t="str">
        <f t="shared" si="15"/>
        <v>script.twilight:</v>
      </c>
      <c r="K171" s="5" t="str">
        <f t="shared" si="13"/>
        <v/>
      </c>
    </row>
    <row r="172" spans="2:11" x14ac:dyDescent="0.25">
      <c r="B172" s="5">
        <f t="shared" si="18"/>
        <v>166</v>
      </c>
      <c r="C172" s="5">
        <f t="shared" si="16"/>
        <v>72</v>
      </c>
      <c r="D172" s="14">
        <f t="shared" si="17"/>
        <v>1</v>
      </c>
      <c r="E172" s="14" t="str">
        <f>INDEX(entities[Attributes Index],MATCH('Customize code'!C172,entities[custom entity '#],0))</f>
        <v>1236</v>
      </c>
      <c r="F172" s="14">
        <f t="shared" si="14"/>
        <v>1</v>
      </c>
      <c r="G172" s="5" t="str">
        <f>IF(D172&gt;0,"",
INDEX(entities[entity_id],MATCH('Customize code'!C172,entities[custom entity '#],0))&amp;":")</f>
        <v/>
      </c>
      <c r="H172" s="5" t="str">
        <f>IF(F172=0,"",VLOOKUP(F172,'Customize code'!$M$8:$O$13,3,FALSE))</f>
        <v xml:space="preserve">  hidden: </v>
      </c>
      <c r="I172" s="5" t="str">
        <f>IF(F172=0, "",  INDEX(entities[[hidden]:[icon]],  MATCH(C172,entities[custom entity '#],0),  'Customize code'!F172)  )</f>
        <v>false</v>
      </c>
      <c r="J172" s="5" t="str">
        <f t="shared" si="15"/>
        <v xml:space="preserve">  hidden: false</v>
      </c>
      <c r="K172" s="5" t="str">
        <f t="shared" si="13"/>
        <v/>
      </c>
    </row>
    <row r="173" spans="2:11" x14ac:dyDescent="0.25">
      <c r="B173" s="5">
        <f t="shared" si="18"/>
        <v>167</v>
      </c>
      <c r="C173" s="5">
        <f t="shared" si="16"/>
        <v>72</v>
      </c>
      <c r="D173" s="14">
        <f t="shared" si="17"/>
        <v>2</v>
      </c>
      <c r="E173" s="14" t="str">
        <f>INDEX(entities[Attributes Index],MATCH('Customize code'!C173,entities[custom entity '#],0))</f>
        <v>1236</v>
      </c>
      <c r="F173" s="14">
        <f t="shared" si="14"/>
        <v>2</v>
      </c>
      <c r="G173" s="5" t="str">
        <f>IF(D173&gt;0,"",
INDEX(entities[entity_id],MATCH('Customize code'!C173,entities[custom entity '#],0))&amp;":")</f>
        <v/>
      </c>
      <c r="H173" s="5" t="str">
        <f>IF(F173=0,"",VLOOKUP(F173,'Customize code'!$M$8:$O$13,3,FALSE))</f>
        <v xml:space="preserve">  friendly_name: </v>
      </c>
      <c r="I173" s="5" t="str">
        <f>IF(F173=0, "",  INDEX(entities[[hidden]:[icon]],  MATCH(C173,entities[custom entity '#],0),  'Customize code'!F173)  )</f>
        <v>Twilight</v>
      </c>
      <c r="J173" s="5" t="str">
        <f t="shared" si="15"/>
        <v xml:space="preserve">  friendly_name: Twilight</v>
      </c>
      <c r="K173" s="5" t="str">
        <f t="shared" si="13"/>
        <v/>
      </c>
    </row>
    <row r="174" spans="2:11" x14ac:dyDescent="0.25">
      <c r="B174" s="5">
        <f t="shared" si="18"/>
        <v>168</v>
      </c>
      <c r="C174" s="5">
        <f t="shared" si="16"/>
        <v>72</v>
      </c>
      <c r="D174" s="14">
        <f t="shared" si="17"/>
        <v>3</v>
      </c>
      <c r="E174" s="14" t="str">
        <f>INDEX(entities[Attributes Index],MATCH('Customize code'!C174,entities[custom entity '#],0))</f>
        <v>1236</v>
      </c>
      <c r="F174" s="14">
        <f t="shared" si="14"/>
        <v>3</v>
      </c>
      <c r="G174" s="5" t="str">
        <f>IF(D174&gt;0,"",
INDEX(entities[entity_id],MATCH('Customize code'!C174,entities[custom entity '#],0))&amp;":")</f>
        <v/>
      </c>
      <c r="H174" s="5" t="str">
        <f>IF(F174=0,"",VLOOKUP(F174,'Customize code'!$M$8:$O$13,3,FALSE))</f>
        <v xml:space="preserve">  emulated_hue: </v>
      </c>
      <c r="I174" s="5" t="str">
        <f>IF(F174=0, "",  INDEX(entities[[hidden]:[icon]],  MATCH(C174,entities[custom entity '#],0),  'Customize code'!F174)  )</f>
        <v>true</v>
      </c>
      <c r="J174" s="5" t="str">
        <f t="shared" si="15"/>
        <v xml:space="preserve">  emulated_hue: true</v>
      </c>
      <c r="K174" s="5" t="str">
        <f t="shared" si="13"/>
        <v/>
      </c>
    </row>
    <row r="175" spans="2:11" x14ac:dyDescent="0.25">
      <c r="B175" s="5">
        <f t="shared" si="18"/>
        <v>169</v>
      </c>
      <c r="C175" s="5">
        <f t="shared" si="16"/>
        <v>72</v>
      </c>
      <c r="D175" s="14">
        <f t="shared" si="17"/>
        <v>4</v>
      </c>
      <c r="E175" s="14" t="str">
        <f>INDEX(entities[Attributes Index],MATCH('Customize code'!C175,entities[custom entity '#],0))</f>
        <v>1236</v>
      </c>
      <c r="F175" s="14">
        <f t="shared" si="14"/>
        <v>6</v>
      </c>
      <c r="G175" s="5" t="str">
        <f>IF(D175&gt;0,"",
INDEX(entities[entity_id],MATCH('Customize code'!C175,entities[custom entity '#],0))&amp;":")</f>
        <v/>
      </c>
      <c r="H175" s="5" t="str">
        <f>IF(F175=0,"",VLOOKUP(F175,'Customize code'!$M$8:$O$13,3,FALSE))</f>
        <v xml:space="preserve">  icon: </v>
      </c>
      <c r="I175" s="5" t="str">
        <f>IF(F175=0, "",  INDEX(entities[[hidden]:[icon]],  MATCH(C175,entities[custom entity '#],0),  'Customize code'!F175)  )</f>
        <v>mdi:weather-sunset</v>
      </c>
      <c r="J175" s="5" t="str">
        <f t="shared" si="15"/>
        <v xml:space="preserve">  icon: mdi:weather-sunset</v>
      </c>
      <c r="K175" s="5" t="str">
        <f t="shared" si="13"/>
        <v/>
      </c>
    </row>
    <row r="176" spans="2:11" x14ac:dyDescent="0.25">
      <c r="B176" s="5">
        <f t="shared" si="18"/>
        <v>170</v>
      </c>
      <c r="C176" s="5">
        <f t="shared" si="16"/>
        <v>73</v>
      </c>
      <c r="D176" s="14">
        <f t="shared" si="17"/>
        <v>0</v>
      </c>
      <c r="E176" s="14" t="str">
        <f>INDEX(entities[Attributes Index],MATCH('Customize code'!C176,entities[custom entity '#],0))</f>
        <v>1</v>
      </c>
      <c r="F176" s="14">
        <f t="shared" si="14"/>
        <v>0</v>
      </c>
      <c r="G176" s="5" t="str">
        <f>IF(D176&gt;0,"",
INDEX(entities[entity_id],MATCH('Customize code'!C176,entities[custom entity '#],0))&amp;":")</f>
        <v>script.vacation_lights:</v>
      </c>
      <c r="H176" s="5" t="str">
        <f>IF(F176=0,"",VLOOKUP(F176,'Customize code'!$M$8:$O$13,3,FALSE))</f>
        <v/>
      </c>
      <c r="I176" s="5" t="str">
        <f>IF(F176=0, "",  INDEX(entities[[hidden]:[icon]],  MATCH(C176,entities[custom entity '#],0),  'Customize code'!F176)  )</f>
        <v/>
      </c>
      <c r="J176" s="5" t="str">
        <f t="shared" si="15"/>
        <v>script.vacation_lights:</v>
      </c>
      <c r="K176" s="5" t="str">
        <f t="shared" si="13"/>
        <v/>
      </c>
    </row>
    <row r="177" spans="2:11" x14ac:dyDescent="0.25">
      <c r="B177" s="5">
        <f t="shared" si="18"/>
        <v>171</v>
      </c>
      <c r="C177" s="5">
        <f t="shared" si="16"/>
        <v>73</v>
      </c>
      <c r="D177" s="14">
        <f t="shared" si="17"/>
        <v>1</v>
      </c>
      <c r="E177" s="14" t="str">
        <f>INDEX(entities[Attributes Index],MATCH('Customize code'!C177,entities[custom entity '#],0))</f>
        <v>1</v>
      </c>
      <c r="F177" s="14">
        <f t="shared" si="14"/>
        <v>1</v>
      </c>
      <c r="G177" s="5" t="str">
        <f>IF(D177&gt;0,"",
INDEX(entities[entity_id],MATCH('Customize code'!C177,entities[custom entity '#],0))&amp;":")</f>
        <v/>
      </c>
      <c r="H177" s="5" t="str">
        <f>IF(F177=0,"",VLOOKUP(F177,'Customize code'!$M$8:$O$13,3,FALSE))</f>
        <v xml:space="preserve">  hidden: </v>
      </c>
      <c r="I177" s="5" t="str">
        <f>IF(F177=0, "",  INDEX(entities[[hidden]:[icon]],  MATCH(C177,entities[custom entity '#],0),  'Customize code'!F177)  )</f>
        <v>true</v>
      </c>
      <c r="J177" s="5" t="str">
        <f t="shared" si="15"/>
        <v xml:space="preserve">  hidden: true</v>
      </c>
      <c r="K177" s="5" t="str">
        <f t="shared" si="13"/>
        <v/>
      </c>
    </row>
    <row r="178" spans="2:11" x14ac:dyDescent="0.25">
      <c r="B178" s="5">
        <f t="shared" si="18"/>
        <v>172</v>
      </c>
      <c r="C178" s="5">
        <f t="shared" si="16"/>
        <v>74</v>
      </c>
      <c r="D178" s="14">
        <f t="shared" si="17"/>
        <v>0</v>
      </c>
      <c r="E178" s="14" t="str">
        <f>INDEX(entities[Attributes Index],MATCH('Customize code'!C178,entities[custom entity '#],0))</f>
        <v>1</v>
      </c>
      <c r="F178" s="14">
        <f t="shared" si="14"/>
        <v>0</v>
      </c>
      <c r="G178" s="5" t="str">
        <f>IF(D178&gt;0,"",
INDEX(entities[entity_id],MATCH('Customize code'!C178,entities[custom entity '#],0))&amp;":")</f>
        <v>script.wake_up:</v>
      </c>
      <c r="H178" s="5" t="str">
        <f>IF(F178=0,"",VLOOKUP(F178,'Customize code'!$M$8:$O$13,3,FALSE))</f>
        <v/>
      </c>
      <c r="I178" s="5" t="str">
        <f>IF(F178=0, "",  INDEX(entities[[hidden]:[icon]],  MATCH(C178,entities[custom entity '#],0),  'Customize code'!F178)  )</f>
        <v/>
      </c>
      <c r="J178" s="5" t="str">
        <f t="shared" si="15"/>
        <v>script.wake_up:</v>
      </c>
      <c r="K178" s="5" t="str">
        <f t="shared" si="13"/>
        <v/>
      </c>
    </row>
    <row r="179" spans="2:11" x14ac:dyDescent="0.25">
      <c r="B179" s="5">
        <f t="shared" si="18"/>
        <v>173</v>
      </c>
      <c r="C179" s="5">
        <f t="shared" si="16"/>
        <v>74</v>
      </c>
      <c r="D179" s="14">
        <f t="shared" si="17"/>
        <v>1</v>
      </c>
      <c r="E179" s="14" t="str">
        <f>INDEX(entities[Attributes Index],MATCH('Customize code'!C179,entities[custom entity '#],0))</f>
        <v>1</v>
      </c>
      <c r="F179" s="14">
        <f t="shared" si="14"/>
        <v>1</v>
      </c>
      <c r="G179" s="5" t="str">
        <f>IF(D179&gt;0,"",
INDEX(entities[entity_id],MATCH('Customize code'!C179,entities[custom entity '#],0))&amp;":")</f>
        <v/>
      </c>
      <c r="H179" s="5" t="str">
        <f>IF(F179=0,"",VLOOKUP(F179,'Customize code'!$M$8:$O$13,3,FALSE))</f>
        <v xml:space="preserve">  hidden: </v>
      </c>
      <c r="I179" s="5" t="str">
        <f>IF(F179=0, "",  INDEX(entities[[hidden]:[icon]],  MATCH(C179,entities[custom entity '#],0),  'Customize code'!F179)  )</f>
        <v>true</v>
      </c>
      <c r="J179" s="5" t="str">
        <f t="shared" si="15"/>
        <v xml:space="preserve">  hidden: true</v>
      </c>
      <c r="K179" s="5" t="str">
        <f t="shared" si="13"/>
        <v/>
      </c>
    </row>
    <row r="180" spans="2:11" x14ac:dyDescent="0.25">
      <c r="B180" s="5">
        <f t="shared" si="18"/>
        <v>174</v>
      </c>
      <c r="C180" s="5">
        <f t="shared" si="16"/>
        <v>75</v>
      </c>
      <c r="D180" s="14">
        <f t="shared" si="17"/>
        <v>0</v>
      </c>
      <c r="E180" s="14" t="str">
        <f>INDEX(entities[Attributes Index],MATCH('Customize code'!C180,entities[custom entity '#],0))</f>
        <v>1</v>
      </c>
      <c r="F180" s="14">
        <f t="shared" si="14"/>
        <v>0</v>
      </c>
      <c r="G180" s="5" t="str">
        <f>IF(D180&gt;0,"",
INDEX(entities[entity_id],MATCH('Customize code'!C180,entities[custom entity '#],0))&amp;":")</f>
        <v>sensor.alarm_clock_hour:</v>
      </c>
      <c r="H180" s="5" t="str">
        <f>IF(F180=0,"",VLOOKUP(F180,'Customize code'!$M$8:$O$13,3,FALSE))</f>
        <v/>
      </c>
      <c r="I180" s="5" t="str">
        <f>IF(F180=0, "",  INDEX(entities[[hidden]:[icon]],  MATCH(C180,entities[custom entity '#],0),  'Customize code'!F180)  )</f>
        <v/>
      </c>
      <c r="J180" s="5" t="str">
        <f t="shared" si="15"/>
        <v>sensor.alarm_clock_hour:</v>
      </c>
      <c r="K180" s="5" t="str">
        <f t="shared" si="13"/>
        <v/>
      </c>
    </row>
    <row r="181" spans="2:11" x14ac:dyDescent="0.25">
      <c r="B181" s="5">
        <f t="shared" si="18"/>
        <v>175</v>
      </c>
      <c r="C181" s="5">
        <f t="shared" si="16"/>
        <v>75</v>
      </c>
      <c r="D181" s="14">
        <f t="shared" si="17"/>
        <v>1</v>
      </c>
      <c r="E181" s="14" t="str">
        <f>INDEX(entities[Attributes Index],MATCH('Customize code'!C181,entities[custom entity '#],0))</f>
        <v>1</v>
      </c>
      <c r="F181" s="14">
        <f t="shared" si="14"/>
        <v>1</v>
      </c>
      <c r="G181" s="5" t="str">
        <f>IF(D181&gt;0,"",
INDEX(entities[entity_id],MATCH('Customize code'!C181,entities[custom entity '#],0))&amp;":")</f>
        <v/>
      </c>
      <c r="H181" s="5" t="str">
        <f>IF(F181=0,"",VLOOKUP(F181,'Customize code'!$M$8:$O$13,3,FALSE))</f>
        <v xml:space="preserve">  hidden: </v>
      </c>
      <c r="I181" s="5" t="str">
        <f>IF(F181=0, "",  INDEX(entities[[hidden]:[icon]],  MATCH(C181,entities[custom entity '#],0),  'Customize code'!F181)  )</f>
        <v>true</v>
      </c>
      <c r="J181" s="5" t="str">
        <f t="shared" si="15"/>
        <v xml:space="preserve">  hidden: true</v>
      </c>
      <c r="K181" s="5" t="str">
        <f t="shared" si="13"/>
        <v/>
      </c>
    </row>
    <row r="182" spans="2:11" x14ac:dyDescent="0.25">
      <c r="B182" s="5">
        <f t="shared" si="18"/>
        <v>176</v>
      </c>
      <c r="C182" s="5">
        <f t="shared" si="16"/>
        <v>76</v>
      </c>
      <c r="D182" s="14">
        <f t="shared" si="17"/>
        <v>0</v>
      </c>
      <c r="E182" s="14" t="str">
        <f>INDEX(entities[Attributes Index],MATCH('Customize code'!C182,entities[custom entity '#],0))</f>
        <v>1</v>
      </c>
      <c r="F182" s="14">
        <f t="shared" si="14"/>
        <v>0</v>
      </c>
      <c r="G182" s="5" t="str">
        <f>IF(D182&gt;0,"",
INDEX(entities[entity_id],MATCH('Customize code'!C182,entities[custom entity '#],0))&amp;":")</f>
        <v>sensor.alarm_clock_minute:</v>
      </c>
      <c r="H182" s="5" t="str">
        <f>IF(F182=0,"",VLOOKUP(F182,'Customize code'!$M$8:$O$13,3,FALSE))</f>
        <v/>
      </c>
      <c r="I182" s="5" t="str">
        <f>IF(F182=0, "",  INDEX(entities[[hidden]:[icon]],  MATCH(C182,entities[custom entity '#],0),  'Customize code'!F182)  )</f>
        <v/>
      </c>
      <c r="J182" s="5" t="str">
        <f t="shared" si="15"/>
        <v>sensor.alarm_clock_minute:</v>
      </c>
      <c r="K182" s="5" t="str">
        <f t="shared" si="13"/>
        <v/>
      </c>
    </row>
    <row r="183" spans="2:11" x14ac:dyDescent="0.25">
      <c r="B183" s="5">
        <f t="shared" si="18"/>
        <v>177</v>
      </c>
      <c r="C183" s="5">
        <f t="shared" si="16"/>
        <v>76</v>
      </c>
      <c r="D183" s="14">
        <f t="shared" si="17"/>
        <v>1</v>
      </c>
      <c r="E183" s="14" t="str">
        <f>INDEX(entities[Attributes Index],MATCH('Customize code'!C183,entities[custom entity '#],0))</f>
        <v>1</v>
      </c>
      <c r="F183" s="14">
        <f t="shared" si="14"/>
        <v>1</v>
      </c>
      <c r="G183" s="5" t="str">
        <f>IF(D183&gt;0,"",
INDEX(entities[entity_id],MATCH('Customize code'!C183,entities[custom entity '#],0))&amp;":")</f>
        <v/>
      </c>
      <c r="H183" s="5" t="str">
        <f>IF(F183=0,"",VLOOKUP(F183,'Customize code'!$M$8:$O$13,3,FALSE))</f>
        <v xml:space="preserve">  hidden: </v>
      </c>
      <c r="I183" s="5" t="str">
        <f>IF(F183=0, "",  INDEX(entities[[hidden]:[icon]],  MATCH(C183,entities[custom entity '#],0),  'Customize code'!F183)  )</f>
        <v>true</v>
      </c>
      <c r="J183" s="5" t="str">
        <f t="shared" si="15"/>
        <v xml:space="preserve">  hidden: true</v>
      </c>
      <c r="K183" s="5" t="str">
        <f t="shared" si="13"/>
        <v/>
      </c>
    </row>
    <row r="184" spans="2:11" x14ac:dyDescent="0.25">
      <c r="B184" s="5">
        <f t="shared" si="18"/>
        <v>178</v>
      </c>
      <c r="C184" s="5">
        <f t="shared" si="16"/>
        <v>77</v>
      </c>
      <c r="D184" s="14">
        <f t="shared" si="17"/>
        <v>0</v>
      </c>
      <c r="E184" s="14" t="str">
        <f>INDEX(entities[Attributes Index],MATCH('Customize code'!C184,entities[custom entity '#],0))</f>
        <v>2</v>
      </c>
      <c r="F184" s="14">
        <f t="shared" si="14"/>
        <v>0</v>
      </c>
      <c r="G184" s="5" t="str">
        <f>IF(D184&gt;0,"",
INDEX(entities[entity_id],MATCH('Customize code'!C184,entities[custom entity '#],0))&amp;":")</f>
        <v>sensor.alarm_clock_time:</v>
      </c>
      <c r="H184" s="5" t="str">
        <f>IF(F184=0,"",VLOOKUP(F184,'Customize code'!$M$8:$O$13,3,FALSE))</f>
        <v/>
      </c>
      <c r="I184" s="5" t="str">
        <f>IF(F184=0, "",  INDEX(entities[[hidden]:[icon]],  MATCH(C184,entities[custom entity '#],0),  'Customize code'!F184)  )</f>
        <v/>
      </c>
      <c r="J184" s="5" t="str">
        <f t="shared" si="15"/>
        <v>sensor.alarm_clock_time:</v>
      </c>
      <c r="K184" s="5" t="str">
        <f t="shared" si="13"/>
        <v/>
      </c>
    </row>
    <row r="185" spans="2:11" x14ac:dyDescent="0.25">
      <c r="B185" s="5">
        <f t="shared" si="18"/>
        <v>179</v>
      </c>
      <c r="C185" s="5">
        <f t="shared" si="16"/>
        <v>77</v>
      </c>
      <c r="D185" s="14">
        <f t="shared" si="17"/>
        <v>1</v>
      </c>
      <c r="E185" s="14" t="str">
        <f>INDEX(entities[Attributes Index],MATCH('Customize code'!C185,entities[custom entity '#],0))</f>
        <v>2</v>
      </c>
      <c r="F185" s="14">
        <f t="shared" si="14"/>
        <v>2</v>
      </c>
      <c r="G185" s="5" t="str">
        <f>IF(D185&gt;0,"",
INDEX(entities[entity_id],MATCH('Customize code'!C185,entities[custom entity '#],0))&amp;":")</f>
        <v/>
      </c>
      <c r="H185" s="5" t="str">
        <f>IF(F185=0,"",VLOOKUP(F185,'Customize code'!$M$8:$O$13,3,FALSE))</f>
        <v xml:space="preserve">  friendly_name: </v>
      </c>
      <c r="I185" s="5" t="str">
        <f>IF(F185=0, "",  INDEX(entities[[hidden]:[icon]],  MATCH(C185,entities[custom entity '#],0),  'Customize code'!F185)  )</f>
        <v>Alarm Clock Setting</v>
      </c>
      <c r="J185" s="5" t="str">
        <f t="shared" si="15"/>
        <v xml:space="preserve">  friendly_name: Alarm Clock Setting</v>
      </c>
      <c r="K185" s="5" t="str">
        <f t="shared" si="13"/>
        <v/>
      </c>
    </row>
    <row r="186" spans="2:11" x14ac:dyDescent="0.25">
      <c r="B186" s="5">
        <f t="shared" si="18"/>
        <v>180</v>
      </c>
      <c r="C186" s="5">
        <f t="shared" si="16"/>
        <v>78</v>
      </c>
      <c r="D186" s="14">
        <f t="shared" si="17"/>
        <v>0</v>
      </c>
      <c r="E186" s="14" t="str">
        <f>INDEX(entities[Attributes Index],MATCH('Customize code'!C186,entities[custom entity '#],0))</f>
        <v>1</v>
      </c>
      <c r="F186" s="14">
        <f t="shared" si="14"/>
        <v>0</v>
      </c>
      <c r="G186" s="5" t="str">
        <f>IF(D186&gt;0,"",
INDEX(entities[entity_id],MATCH('Customize code'!C186,entities[custom entity '#],0))&amp;":")</f>
        <v>sensor.alarm_clock_time_long:</v>
      </c>
      <c r="H186" s="5" t="str">
        <f>IF(F186=0,"",VLOOKUP(F186,'Customize code'!$M$8:$O$13,3,FALSE))</f>
        <v/>
      </c>
      <c r="I186" s="5" t="str">
        <f>IF(F186=0, "",  INDEX(entities[[hidden]:[icon]],  MATCH(C186,entities[custom entity '#],0),  'Customize code'!F186)  )</f>
        <v/>
      </c>
      <c r="J186" s="5" t="str">
        <f t="shared" si="15"/>
        <v>sensor.alarm_clock_time_long:</v>
      </c>
      <c r="K186" s="5" t="str">
        <f t="shared" si="13"/>
        <v/>
      </c>
    </row>
    <row r="187" spans="2:11" x14ac:dyDescent="0.25">
      <c r="B187" s="5">
        <f t="shared" si="18"/>
        <v>181</v>
      </c>
      <c r="C187" s="5">
        <f t="shared" si="16"/>
        <v>78</v>
      </c>
      <c r="D187" s="14">
        <f t="shared" si="17"/>
        <v>1</v>
      </c>
      <c r="E187" s="14" t="str">
        <f>INDEX(entities[Attributes Index],MATCH('Customize code'!C187,entities[custom entity '#],0))</f>
        <v>1</v>
      </c>
      <c r="F187" s="14">
        <f t="shared" si="14"/>
        <v>1</v>
      </c>
      <c r="G187" s="5" t="str">
        <f>IF(D187&gt;0,"",
INDEX(entities[entity_id],MATCH('Customize code'!C187,entities[custom entity '#],0))&amp;":")</f>
        <v/>
      </c>
      <c r="H187" s="5" t="str">
        <f>IF(F187=0,"",VLOOKUP(F187,'Customize code'!$M$8:$O$13,3,FALSE))</f>
        <v xml:space="preserve">  hidden: </v>
      </c>
      <c r="I187" s="5" t="str">
        <f>IF(F187=0, "",  INDEX(entities[[hidden]:[icon]],  MATCH(C187,entities[custom entity '#],0),  'Customize code'!F187)  )</f>
        <v>true</v>
      </c>
      <c r="J187" s="5" t="str">
        <f t="shared" si="15"/>
        <v xml:space="preserve">  hidden: true</v>
      </c>
      <c r="K187" s="5" t="str">
        <f t="shared" si="13"/>
        <v/>
      </c>
    </row>
    <row r="188" spans="2:11" x14ac:dyDescent="0.25">
      <c r="B188" s="5">
        <f t="shared" si="18"/>
        <v>182</v>
      </c>
      <c r="C188" s="5">
        <f t="shared" si="16"/>
        <v>79</v>
      </c>
      <c r="D188" s="14">
        <f t="shared" si="17"/>
        <v>0</v>
      </c>
      <c r="E188" s="14" t="str">
        <f>INDEX(entities[Attributes Index],MATCH('Customize code'!C188,entities[custom entity '#],0))</f>
        <v>2</v>
      </c>
      <c r="F188" s="14">
        <f t="shared" si="14"/>
        <v>0</v>
      </c>
      <c r="G188" s="5" t="str">
        <f>IF(D188&gt;0,"",
INDEX(entities[entity_id],MATCH('Customize code'!C188,entities[custom entity '#],0))&amp;":")</f>
        <v>sensor.dark_sky_apparent_temperature:</v>
      </c>
      <c r="H188" s="5" t="str">
        <f>IF(F188=0,"",VLOOKUP(F188,'Customize code'!$M$8:$O$13,3,FALSE))</f>
        <v/>
      </c>
      <c r="I188" s="5" t="str">
        <f>IF(F188=0, "",  INDEX(entities[[hidden]:[icon]],  MATCH(C188,entities[custom entity '#],0),  'Customize code'!F188)  )</f>
        <v/>
      </c>
      <c r="J188" s="5" t="str">
        <f t="shared" si="15"/>
        <v>sensor.dark_sky_apparent_temperature:</v>
      </c>
      <c r="K188" s="5" t="str">
        <f t="shared" si="13"/>
        <v/>
      </c>
    </row>
    <row r="189" spans="2:11" x14ac:dyDescent="0.25">
      <c r="B189" s="5">
        <f t="shared" si="18"/>
        <v>183</v>
      </c>
      <c r="C189" s="5">
        <f t="shared" si="16"/>
        <v>79</v>
      </c>
      <c r="D189" s="14">
        <f t="shared" si="17"/>
        <v>1</v>
      </c>
      <c r="E189" s="14" t="str">
        <f>INDEX(entities[Attributes Index],MATCH('Customize code'!C189,entities[custom entity '#],0))</f>
        <v>2</v>
      </c>
      <c r="F189" s="14">
        <f t="shared" si="14"/>
        <v>2</v>
      </c>
      <c r="G189" s="5" t="str">
        <f>IF(D189&gt;0,"",
INDEX(entities[entity_id],MATCH('Customize code'!C189,entities[custom entity '#],0))&amp;":")</f>
        <v/>
      </c>
      <c r="H189" s="5" t="str">
        <f>IF(F189=0,"",VLOOKUP(F189,'Customize code'!$M$8:$O$13,3,FALSE))</f>
        <v xml:space="preserve">  friendly_name: </v>
      </c>
      <c r="I189" s="5" t="str">
        <f>IF(F189=0, "",  INDEX(entities[[hidden]:[icon]],  MATCH(C189,entities[custom entity '#],0),  'Customize code'!F189)  )</f>
        <v>Feels Like</v>
      </c>
      <c r="J189" s="5" t="str">
        <f t="shared" si="15"/>
        <v xml:space="preserve">  friendly_name: Feels Like</v>
      </c>
      <c r="K189" s="5" t="str">
        <f t="shared" si="13"/>
        <v/>
      </c>
    </row>
    <row r="190" spans="2:11" x14ac:dyDescent="0.25">
      <c r="B190" s="5">
        <f t="shared" si="18"/>
        <v>184</v>
      </c>
      <c r="C190" s="5">
        <f t="shared" si="16"/>
        <v>80</v>
      </c>
      <c r="D190" s="14">
        <f t="shared" si="17"/>
        <v>0</v>
      </c>
      <c r="E190" s="14" t="str">
        <f>INDEX(entities[Attributes Index],MATCH('Customize code'!C190,entities[custom entity '#],0))</f>
        <v>2</v>
      </c>
      <c r="F190" s="14">
        <f t="shared" si="14"/>
        <v>0</v>
      </c>
      <c r="G190" s="5" t="str">
        <f>IF(D190&gt;0,"",
INDEX(entities[entity_id],MATCH('Customize code'!C190,entities[custom entity '#],0))&amp;":")</f>
        <v>sensor.dark_sky_daily_summary:</v>
      </c>
      <c r="H190" s="5" t="str">
        <f>IF(F190=0,"",VLOOKUP(F190,'Customize code'!$M$8:$O$13,3,FALSE))</f>
        <v/>
      </c>
      <c r="I190" s="5" t="str">
        <f>IF(F190=0, "",  INDEX(entities[[hidden]:[icon]],  MATCH(C190,entities[custom entity '#],0),  'Customize code'!F190)  )</f>
        <v/>
      </c>
      <c r="J190" s="5" t="str">
        <f t="shared" si="15"/>
        <v>sensor.dark_sky_daily_summary:</v>
      </c>
      <c r="K190" s="5" t="str">
        <f t="shared" si="13"/>
        <v/>
      </c>
    </row>
    <row r="191" spans="2:11" x14ac:dyDescent="0.25">
      <c r="B191" s="5">
        <f t="shared" si="18"/>
        <v>185</v>
      </c>
      <c r="C191" s="5">
        <f t="shared" si="16"/>
        <v>80</v>
      </c>
      <c r="D191" s="14">
        <f t="shared" si="17"/>
        <v>1</v>
      </c>
      <c r="E191" s="14" t="str">
        <f>INDEX(entities[Attributes Index],MATCH('Customize code'!C191,entities[custom entity '#],0))</f>
        <v>2</v>
      </c>
      <c r="F191" s="14">
        <f t="shared" si="14"/>
        <v>2</v>
      </c>
      <c r="G191" s="5" t="str">
        <f>IF(D191&gt;0,"",
INDEX(entities[entity_id],MATCH('Customize code'!C191,entities[custom entity '#],0))&amp;":")</f>
        <v/>
      </c>
      <c r="H191" s="5" t="str">
        <f>IF(F191=0,"",VLOOKUP(F191,'Customize code'!$M$8:$O$13,3,FALSE))</f>
        <v xml:space="preserve">  friendly_name: </v>
      </c>
      <c r="I191" s="5" t="str">
        <f>IF(F191=0, "",  INDEX(entities[[hidden]:[icon]],  MATCH(C191,entities[custom entity '#],0),  'Customize code'!F191)  )</f>
        <v>Week</v>
      </c>
      <c r="J191" s="5" t="str">
        <f t="shared" si="15"/>
        <v xml:space="preserve">  friendly_name: Week</v>
      </c>
      <c r="K191" s="5" t="str">
        <f t="shared" si="13"/>
        <v/>
      </c>
    </row>
    <row r="192" spans="2:11" x14ac:dyDescent="0.25">
      <c r="B192" s="5">
        <f t="shared" si="18"/>
        <v>186</v>
      </c>
      <c r="C192" s="5">
        <f t="shared" si="16"/>
        <v>81</v>
      </c>
      <c r="D192" s="14">
        <f t="shared" si="17"/>
        <v>0</v>
      </c>
      <c r="E192" s="14" t="str">
        <f>INDEX(entities[Attributes Index],MATCH('Customize code'!C192,entities[custom entity '#],0))</f>
        <v>2</v>
      </c>
      <c r="F192" s="14">
        <f t="shared" si="14"/>
        <v>0</v>
      </c>
      <c r="G192" s="5" t="str">
        <f>IF(D192&gt;0,"",
INDEX(entities[entity_id],MATCH('Customize code'!C192,entities[custom entity '#],0))&amp;":")</f>
        <v>sensor.dark_sky_hourly_summary:</v>
      </c>
      <c r="H192" s="5" t="str">
        <f>IF(F192=0,"",VLOOKUP(F192,'Customize code'!$M$8:$O$13,3,FALSE))</f>
        <v/>
      </c>
      <c r="I192" s="5" t="str">
        <f>IF(F192=0, "",  INDEX(entities[[hidden]:[icon]],  MATCH(C192,entities[custom entity '#],0),  'Customize code'!F192)  )</f>
        <v/>
      </c>
      <c r="J192" s="5" t="str">
        <f t="shared" si="15"/>
        <v>sensor.dark_sky_hourly_summary:</v>
      </c>
      <c r="K192" s="5" t="str">
        <f t="shared" si="13"/>
        <v/>
      </c>
    </row>
    <row r="193" spans="2:11" x14ac:dyDescent="0.25">
      <c r="B193" s="5">
        <f t="shared" si="18"/>
        <v>187</v>
      </c>
      <c r="C193" s="5">
        <f t="shared" si="16"/>
        <v>81</v>
      </c>
      <c r="D193" s="14">
        <f t="shared" si="17"/>
        <v>1</v>
      </c>
      <c r="E193" s="14" t="str">
        <f>INDEX(entities[Attributes Index],MATCH('Customize code'!C193,entities[custom entity '#],0))</f>
        <v>2</v>
      </c>
      <c r="F193" s="14">
        <f t="shared" si="14"/>
        <v>2</v>
      </c>
      <c r="G193" s="5" t="str">
        <f>IF(D193&gt;0,"",
INDEX(entities[entity_id],MATCH('Customize code'!C193,entities[custom entity '#],0))&amp;":")</f>
        <v/>
      </c>
      <c r="H193" s="5" t="str">
        <f>IF(F193=0,"",VLOOKUP(F193,'Customize code'!$M$8:$O$13,3,FALSE))</f>
        <v xml:space="preserve">  friendly_name: </v>
      </c>
      <c r="I193" s="5" t="str">
        <f>IF(F193=0, "",  INDEX(entities[[hidden]:[icon]],  MATCH(C193,entities[custom entity '#],0),  'Customize code'!F193)  )</f>
        <v>Today</v>
      </c>
      <c r="J193" s="5" t="str">
        <f t="shared" si="15"/>
        <v xml:space="preserve">  friendly_name: Today</v>
      </c>
      <c r="K193" s="5" t="str">
        <f t="shared" si="13"/>
        <v/>
      </c>
    </row>
    <row r="194" spans="2:11" x14ac:dyDescent="0.25">
      <c r="B194" s="5">
        <f t="shared" si="18"/>
        <v>188</v>
      </c>
      <c r="C194" s="5">
        <f t="shared" si="16"/>
        <v>82</v>
      </c>
      <c r="D194" s="14">
        <f t="shared" si="17"/>
        <v>0</v>
      </c>
      <c r="E194" s="14" t="str">
        <f>INDEX(entities[Attributes Index],MATCH('Customize code'!C194,entities[custom entity '#],0))</f>
        <v>2</v>
      </c>
      <c r="F194" s="14">
        <f t="shared" si="14"/>
        <v>0</v>
      </c>
      <c r="G194" s="5" t="str">
        <f>IF(D194&gt;0,"",
INDEX(entities[entity_id],MATCH('Customize code'!C194,entities[custom entity '#],0))&amp;":")</f>
        <v>sensor.dark_sky_minutely_summary:</v>
      </c>
      <c r="H194" s="5" t="str">
        <f>IF(F194=0,"",VLOOKUP(F194,'Customize code'!$M$8:$O$13,3,FALSE))</f>
        <v/>
      </c>
      <c r="I194" s="5" t="str">
        <f>IF(F194=0, "",  INDEX(entities[[hidden]:[icon]],  MATCH(C194,entities[custom entity '#],0),  'Customize code'!F194)  )</f>
        <v/>
      </c>
      <c r="J194" s="5" t="str">
        <f t="shared" si="15"/>
        <v>sensor.dark_sky_minutely_summary:</v>
      </c>
      <c r="K194" s="5" t="str">
        <f t="shared" si="13"/>
        <v/>
      </c>
    </row>
    <row r="195" spans="2:11" x14ac:dyDescent="0.25">
      <c r="B195" s="5">
        <f t="shared" si="18"/>
        <v>189</v>
      </c>
      <c r="C195" s="5">
        <f t="shared" si="16"/>
        <v>82</v>
      </c>
      <c r="D195" s="14">
        <f t="shared" si="17"/>
        <v>1</v>
      </c>
      <c r="E195" s="14" t="str">
        <f>INDEX(entities[Attributes Index],MATCH('Customize code'!C195,entities[custom entity '#],0))</f>
        <v>2</v>
      </c>
      <c r="F195" s="14">
        <f t="shared" si="14"/>
        <v>2</v>
      </c>
      <c r="G195" s="5" t="str">
        <f>IF(D195&gt;0,"",
INDEX(entities[entity_id],MATCH('Customize code'!C195,entities[custom entity '#],0))&amp;":")</f>
        <v/>
      </c>
      <c r="H195" s="5" t="str">
        <f>IF(F195=0,"",VLOOKUP(F195,'Customize code'!$M$8:$O$13,3,FALSE))</f>
        <v xml:space="preserve">  friendly_name: </v>
      </c>
      <c r="I195" s="5" t="str">
        <f>IF(F195=0, "",  INDEX(entities[[hidden]:[icon]],  MATCH(C195,entities[custom entity '#],0),  'Customize code'!F195)  )</f>
        <v>Now</v>
      </c>
      <c r="J195" s="5" t="str">
        <f t="shared" si="15"/>
        <v xml:space="preserve">  friendly_name: Now</v>
      </c>
      <c r="K195" s="5" t="str">
        <f t="shared" si="13"/>
        <v/>
      </c>
    </row>
    <row r="196" spans="2:11" x14ac:dyDescent="0.25">
      <c r="B196" s="5">
        <f t="shared" si="18"/>
        <v>190</v>
      </c>
      <c r="C196" s="5">
        <f t="shared" si="16"/>
        <v>83</v>
      </c>
      <c r="D196" s="14">
        <f t="shared" si="17"/>
        <v>0</v>
      </c>
      <c r="E196" s="14" t="str">
        <f>INDEX(entities[Attributes Index],MATCH('Customize code'!C196,entities[custom entity '#],0))</f>
        <v>2</v>
      </c>
      <c r="F196" s="14">
        <f t="shared" si="14"/>
        <v>0</v>
      </c>
      <c r="G196" s="5" t="str">
        <f>IF(D196&gt;0,"",
INDEX(entities[entity_id],MATCH('Customize code'!C196,entities[custom entity '#],0))&amp;":")</f>
        <v>sensor.dark_sky_precip_probability:</v>
      </c>
      <c r="H196" s="5" t="str">
        <f>IF(F196=0,"",VLOOKUP(F196,'Customize code'!$M$8:$O$13,3,FALSE))</f>
        <v/>
      </c>
      <c r="I196" s="5" t="str">
        <f>IF(F196=0, "",  INDEX(entities[[hidden]:[icon]],  MATCH(C196,entities[custom entity '#],0),  'Customize code'!F196)  )</f>
        <v/>
      </c>
      <c r="J196" s="5" t="str">
        <f t="shared" si="15"/>
        <v>sensor.dark_sky_precip_probability:</v>
      </c>
      <c r="K196" s="5" t="str">
        <f t="shared" si="13"/>
        <v/>
      </c>
    </row>
    <row r="197" spans="2:11" x14ac:dyDescent="0.25">
      <c r="B197" s="5">
        <f t="shared" si="18"/>
        <v>191</v>
      </c>
      <c r="C197" s="5">
        <f t="shared" si="16"/>
        <v>83</v>
      </c>
      <c r="D197" s="14">
        <f t="shared" si="17"/>
        <v>1</v>
      </c>
      <c r="E197" s="14" t="str">
        <f>INDEX(entities[Attributes Index],MATCH('Customize code'!C197,entities[custom entity '#],0))</f>
        <v>2</v>
      </c>
      <c r="F197" s="14">
        <f t="shared" si="14"/>
        <v>2</v>
      </c>
      <c r="G197" s="5" t="str">
        <f>IF(D197&gt;0,"",
INDEX(entities[entity_id],MATCH('Customize code'!C197,entities[custom entity '#],0))&amp;":")</f>
        <v/>
      </c>
      <c r="H197" s="5" t="str">
        <f>IF(F197=0,"",VLOOKUP(F197,'Customize code'!$M$8:$O$13,3,FALSE))</f>
        <v xml:space="preserve">  friendly_name: </v>
      </c>
      <c r="I197" s="5" t="str">
        <f>IF(F197=0, "",  INDEX(entities[[hidden]:[icon]],  MATCH(C197,entities[custom entity '#],0),  'Customize code'!F197)  )</f>
        <v>Precip Chance</v>
      </c>
      <c r="J197" s="5" t="str">
        <f t="shared" si="15"/>
        <v xml:space="preserve">  friendly_name: Precip Chance</v>
      </c>
      <c r="K197" s="5" t="str">
        <f t="shared" si="13"/>
        <v/>
      </c>
    </row>
    <row r="198" spans="2:11" x14ac:dyDescent="0.25">
      <c r="B198" s="5">
        <f t="shared" si="18"/>
        <v>192</v>
      </c>
      <c r="C198" s="5">
        <f t="shared" si="16"/>
        <v>84</v>
      </c>
      <c r="D198" s="14">
        <f t="shared" si="17"/>
        <v>0</v>
      </c>
      <c r="E198" s="14" t="str">
        <f>INDEX(entities[Attributes Index],MATCH('Customize code'!C198,entities[custom entity '#],0))</f>
        <v>2</v>
      </c>
      <c r="F198" s="14">
        <f t="shared" si="14"/>
        <v>0</v>
      </c>
      <c r="G198" s="5" t="str">
        <f>IF(D198&gt;0,"",
INDEX(entities[entity_id],MATCH('Customize code'!C198,entities[custom entity '#],0))&amp;":")</f>
        <v>sensor.dark_sky_temperature:</v>
      </c>
      <c r="H198" s="5" t="str">
        <f>IF(F198=0,"",VLOOKUP(F198,'Customize code'!$M$8:$O$13,3,FALSE))</f>
        <v/>
      </c>
      <c r="I198" s="5" t="str">
        <f>IF(F198=0, "",  INDEX(entities[[hidden]:[icon]],  MATCH(C198,entities[custom entity '#],0),  'Customize code'!F198)  )</f>
        <v/>
      </c>
      <c r="J198" s="5" t="str">
        <f t="shared" si="15"/>
        <v>sensor.dark_sky_temperature:</v>
      </c>
      <c r="K198" s="5" t="str">
        <f t="shared" si="13"/>
        <v/>
      </c>
    </row>
    <row r="199" spans="2:11" x14ac:dyDescent="0.25">
      <c r="B199" s="5">
        <f t="shared" si="18"/>
        <v>193</v>
      </c>
      <c r="C199" s="5">
        <f t="shared" si="16"/>
        <v>84</v>
      </c>
      <c r="D199" s="14">
        <f t="shared" si="17"/>
        <v>1</v>
      </c>
      <c r="E199" s="14" t="str">
        <f>INDEX(entities[Attributes Index],MATCH('Customize code'!C199,entities[custom entity '#],0))</f>
        <v>2</v>
      </c>
      <c r="F199" s="14">
        <f t="shared" si="14"/>
        <v>2</v>
      </c>
      <c r="G199" s="5" t="str">
        <f>IF(D199&gt;0,"",
INDEX(entities[entity_id],MATCH('Customize code'!C199,entities[custom entity '#],0))&amp;":")</f>
        <v/>
      </c>
      <c r="H199" s="5" t="str">
        <f>IF(F199=0,"",VLOOKUP(F199,'Customize code'!$M$8:$O$13,3,FALSE))</f>
        <v xml:space="preserve">  friendly_name: </v>
      </c>
      <c r="I199" s="5" t="str">
        <f>IF(F199=0, "",  INDEX(entities[[hidden]:[icon]],  MATCH(C199,entities[custom entity '#],0),  'Customize code'!F199)  )</f>
        <v>Temp</v>
      </c>
      <c r="J199" s="5" t="str">
        <f t="shared" si="15"/>
        <v xml:space="preserve">  friendly_name: Temp</v>
      </c>
      <c r="K199" s="5" t="str">
        <f t="shared" si="13"/>
        <v/>
      </c>
    </row>
    <row r="200" spans="2:11" x14ac:dyDescent="0.25">
      <c r="B200" s="5">
        <f t="shared" ref="B200:B263" si="19">B199+1</f>
        <v>194</v>
      </c>
      <c r="C200" s="5">
        <f t="shared" si="16"/>
        <v>85</v>
      </c>
      <c r="D200" s="14">
        <f t="shared" si="17"/>
        <v>0</v>
      </c>
      <c r="E200" s="14" t="str">
        <f>INDEX(entities[Attributes Index],MATCH('Customize code'!C200,entities[custom entity '#],0))</f>
        <v>1</v>
      </c>
      <c r="F200" s="14">
        <f t="shared" si="14"/>
        <v>0</v>
      </c>
      <c r="G200" s="5" t="str">
        <f>IF(D200&gt;0,"",
INDEX(entities[entity_id],MATCH('Customize code'!C200,entities[custom entity '#],0))&amp;":")</f>
        <v>sensor.date:</v>
      </c>
      <c r="H200" s="5" t="str">
        <f>IF(F200=0,"",VLOOKUP(F200,'Customize code'!$M$8:$O$13,3,FALSE))</f>
        <v/>
      </c>
      <c r="I200" s="5" t="str">
        <f>IF(F200=0, "",  INDEX(entities[[hidden]:[icon]],  MATCH(C200,entities[custom entity '#],0),  'Customize code'!F200)  )</f>
        <v/>
      </c>
      <c r="J200" s="5" t="str">
        <f t="shared" si="15"/>
        <v>sensor.date:</v>
      </c>
      <c r="K200" s="5" t="str">
        <f t="shared" ref="K200:K245" si="20">IF(AND(NOT(ISNA(D200)),ISNA(E200)),"END","")</f>
        <v/>
      </c>
    </row>
    <row r="201" spans="2:11" x14ac:dyDescent="0.25">
      <c r="B201" s="5">
        <f t="shared" si="19"/>
        <v>195</v>
      </c>
      <c r="C201" s="5">
        <f t="shared" si="16"/>
        <v>85</v>
      </c>
      <c r="D201" s="14">
        <f t="shared" si="17"/>
        <v>1</v>
      </c>
      <c r="E201" s="14" t="str">
        <f>INDEX(entities[Attributes Index],MATCH('Customize code'!C201,entities[custom entity '#],0))</f>
        <v>1</v>
      </c>
      <c r="F201" s="14">
        <f t="shared" ref="F201:F264" si="21">IF(D201=0,0,  VALUE(MID(E201,D201,1)))</f>
        <v>1</v>
      </c>
      <c r="G201" s="5" t="str">
        <f>IF(D201&gt;0,"",
INDEX(entities[entity_id],MATCH('Customize code'!C201,entities[custom entity '#],0))&amp;":")</f>
        <v/>
      </c>
      <c r="H201" s="5" t="str">
        <f>IF(F201=0,"",VLOOKUP(F201,'Customize code'!$M$8:$O$13,3,FALSE))</f>
        <v xml:space="preserve">  hidden: </v>
      </c>
      <c r="I201" s="5" t="str">
        <f>IF(F201=0, "",  INDEX(entities[[hidden]:[icon]],  MATCH(C201,entities[custom entity '#],0),  'Customize code'!F201)  )</f>
        <v>true</v>
      </c>
      <c r="J201" s="5" t="str">
        <f t="shared" si="15"/>
        <v xml:space="preserve">  hidden: true</v>
      </c>
      <c r="K201" s="5" t="str">
        <f t="shared" si="20"/>
        <v/>
      </c>
    </row>
    <row r="202" spans="2:11" x14ac:dyDescent="0.25">
      <c r="B202" s="5">
        <f t="shared" si="19"/>
        <v>196</v>
      </c>
      <c r="C202" s="5">
        <f t="shared" si="16"/>
        <v>86</v>
      </c>
      <c r="D202" s="14">
        <f t="shared" si="17"/>
        <v>0</v>
      </c>
      <c r="E202" s="14" t="str">
        <f>INDEX(entities[Attributes Index],MATCH('Customize code'!C202,entities[custom entity '#],0))</f>
        <v>1</v>
      </c>
      <c r="F202" s="14">
        <f t="shared" si="21"/>
        <v>0</v>
      </c>
      <c r="G202" s="5" t="str">
        <f>IF(D202&gt;0,"",
INDEX(entities[entity_id],MATCH('Customize code'!C202,entities[custom entity '#],0))&amp;":")</f>
        <v>sensor.date_odd:</v>
      </c>
      <c r="H202" s="5" t="str">
        <f>IF(F202=0,"",VLOOKUP(F202,'Customize code'!$M$8:$O$13,3,FALSE))</f>
        <v/>
      </c>
      <c r="I202" s="5" t="str">
        <f>IF(F202=0, "",  INDEX(entities[[hidden]:[icon]],  MATCH(C202,entities[custom entity '#],0),  'Customize code'!F202)  )</f>
        <v/>
      </c>
      <c r="J202" s="5" t="str">
        <f t="shared" ref="J202:J265" si="22">_xlfn.IFNA(  G202&amp;H202&amp;I202,  "")</f>
        <v>sensor.date_odd:</v>
      </c>
      <c r="K202" s="5" t="str">
        <f t="shared" si="20"/>
        <v/>
      </c>
    </row>
    <row r="203" spans="2:11" x14ac:dyDescent="0.25">
      <c r="B203" s="5">
        <f t="shared" si="19"/>
        <v>197</v>
      </c>
      <c r="C203" s="5">
        <f t="shared" ref="C203:C266" si="23">IF(D202=LEN(E202),  C202+1,  C202)</f>
        <v>86</v>
      </c>
      <c r="D203" s="14">
        <f t="shared" ref="D203:D266" si="24">IF(C202&lt;&gt;C203,  0,  D202+1)</f>
        <v>1</v>
      </c>
      <c r="E203" s="14" t="str">
        <f>INDEX(entities[Attributes Index],MATCH('Customize code'!C203,entities[custom entity '#],0))</f>
        <v>1</v>
      </c>
      <c r="F203" s="14">
        <f t="shared" si="21"/>
        <v>1</v>
      </c>
      <c r="G203" s="5" t="str">
        <f>IF(D203&gt;0,"",
INDEX(entities[entity_id],MATCH('Customize code'!C203,entities[custom entity '#],0))&amp;":")</f>
        <v/>
      </c>
      <c r="H203" s="5" t="str">
        <f>IF(F203=0,"",VLOOKUP(F203,'Customize code'!$M$8:$O$13,3,FALSE))</f>
        <v xml:space="preserve">  hidden: </v>
      </c>
      <c r="I203" s="5" t="str">
        <f>IF(F203=0, "",  INDEX(entities[[hidden]:[icon]],  MATCH(C203,entities[custom entity '#],0),  'Customize code'!F203)  )</f>
        <v>true</v>
      </c>
      <c r="J203" s="5" t="str">
        <f t="shared" si="22"/>
        <v xml:space="preserve">  hidden: true</v>
      </c>
      <c r="K203" s="5" t="str">
        <f t="shared" si="20"/>
        <v/>
      </c>
    </row>
    <row r="204" spans="2:11" x14ac:dyDescent="0.25">
      <c r="B204" s="5">
        <f t="shared" si="19"/>
        <v>198</v>
      </c>
      <c r="C204" s="5">
        <f t="shared" si="23"/>
        <v>87</v>
      </c>
      <c r="D204" s="14">
        <f t="shared" si="24"/>
        <v>0</v>
      </c>
      <c r="E204" s="14" t="str">
        <f>INDEX(entities[Attributes Index],MATCH('Customize code'!C204,entities[custom entity '#],0))</f>
        <v>26</v>
      </c>
      <c r="F204" s="14">
        <f t="shared" si="21"/>
        <v>0</v>
      </c>
      <c r="G204" s="5" t="str">
        <f>IF(D204&gt;0,"",
INDEX(entities[entity_id],MATCH('Customize code'!C204,entities[custom entity '#],0))&amp;":")</f>
        <v>sensor.humidity_sensor_14:</v>
      </c>
      <c r="H204" s="5" t="str">
        <f>IF(F204=0,"",VLOOKUP(F204,'Customize code'!$M$8:$O$13,3,FALSE))</f>
        <v/>
      </c>
      <c r="I204" s="5" t="str">
        <f>IF(F204=0, "",  INDEX(entities[[hidden]:[icon]],  MATCH(C204,entities[custom entity '#],0),  'Customize code'!F204)  )</f>
        <v/>
      </c>
      <c r="J204" s="5" t="str">
        <f t="shared" si="22"/>
        <v>sensor.humidity_sensor_14:</v>
      </c>
      <c r="K204" s="5" t="str">
        <f t="shared" si="20"/>
        <v/>
      </c>
    </row>
    <row r="205" spans="2:11" x14ac:dyDescent="0.25">
      <c r="B205" s="5">
        <f t="shared" si="19"/>
        <v>199</v>
      </c>
      <c r="C205" s="5">
        <f t="shared" si="23"/>
        <v>87</v>
      </c>
      <c r="D205" s="14">
        <f t="shared" si="24"/>
        <v>1</v>
      </c>
      <c r="E205" s="14" t="str">
        <f>INDEX(entities[Attributes Index],MATCH('Customize code'!C205,entities[custom entity '#],0))</f>
        <v>26</v>
      </c>
      <c r="F205" s="14">
        <f t="shared" si="21"/>
        <v>2</v>
      </c>
      <c r="G205" s="5" t="str">
        <f>IF(D205&gt;0,"",
INDEX(entities[entity_id],MATCH('Customize code'!C205,entities[custom entity '#],0))&amp;":")</f>
        <v/>
      </c>
      <c r="H205" s="5" t="str">
        <f>IF(F205=0,"",VLOOKUP(F205,'Customize code'!$M$8:$O$13,3,FALSE))</f>
        <v xml:space="preserve">  friendly_name: </v>
      </c>
      <c r="I205" s="5" t="str">
        <f>IF(F205=0, "",  INDEX(entities[[hidden]:[icon]],  MATCH(C205,entities[custom entity '#],0),  'Customize code'!F205)  )</f>
        <v>Humidity</v>
      </c>
      <c r="J205" s="5" t="str">
        <f t="shared" si="22"/>
        <v xml:space="preserve">  friendly_name: Humidity</v>
      </c>
      <c r="K205" s="5" t="str">
        <f t="shared" si="20"/>
        <v/>
      </c>
    </row>
    <row r="206" spans="2:11" x14ac:dyDescent="0.25">
      <c r="B206" s="5">
        <f t="shared" si="19"/>
        <v>200</v>
      </c>
      <c r="C206" s="5">
        <f t="shared" si="23"/>
        <v>87</v>
      </c>
      <c r="D206" s="14">
        <f t="shared" si="24"/>
        <v>2</v>
      </c>
      <c r="E206" s="14" t="str">
        <f>INDEX(entities[Attributes Index],MATCH('Customize code'!C206,entities[custom entity '#],0))</f>
        <v>26</v>
      </c>
      <c r="F206" s="14">
        <f t="shared" si="21"/>
        <v>6</v>
      </c>
      <c r="G206" s="5" t="str">
        <f>IF(D206&gt;0,"",
INDEX(entities[entity_id],MATCH('Customize code'!C206,entities[custom entity '#],0))&amp;":")</f>
        <v/>
      </c>
      <c r="H206" s="5" t="str">
        <f>IF(F206=0,"",VLOOKUP(F206,'Customize code'!$M$8:$O$13,3,FALSE))</f>
        <v xml:space="preserve">  icon: </v>
      </c>
      <c r="I206" s="5" t="str">
        <f>IF(F206=0, "",  INDEX(entities[[hidden]:[icon]],  MATCH(C206,entities[custom entity '#],0),  'Customize code'!F206)  )</f>
        <v>mdi:water-percent</v>
      </c>
      <c r="J206" s="5" t="str">
        <f t="shared" si="22"/>
        <v xml:space="preserve">  icon: mdi:water-percent</v>
      </c>
      <c r="K206" s="5" t="str">
        <f t="shared" si="20"/>
        <v/>
      </c>
    </row>
    <row r="207" spans="2:11" x14ac:dyDescent="0.25">
      <c r="B207" s="5">
        <f t="shared" si="19"/>
        <v>201</v>
      </c>
      <c r="C207" s="5">
        <f t="shared" si="23"/>
        <v>88</v>
      </c>
      <c r="D207" s="14">
        <f t="shared" si="24"/>
        <v>0</v>
      </c>
      <c r="E207" s="14" t="str">
        <f>INDEX(entities[Attributes Index],MATCH('Customize code'!C207,entities[custom entity '#],0))</f>
        <v>26</v>
      </c>
      <c r="F207" s="14">
        <f t="shared" si="21"/>
        <v>0</v>
      </c>
      <c r="G207" s="5" t="str">
        <f>IF(D207&gt;0,"",
INDEX(entities[entity_id],MATCH('Customize code'!C207,entities[custom entity '#],0))&amp;":")</f>
        <v>sensor.light_sensor_13:</v>
      </c>
      <c r="H207" s="5" t="str">
        <f>IF(F207=0,"",VLOOKUP(F207,'Customize code'!$M$8:$O$13,3,FALSE))</f>
        <v/>
      </c>
      <c r="I207" s="5" t="str">
        <f>IF(F207=0, "",  INDEX(entities[[hidden]:[icon]],  MATCH(C207,entities[custom entity '#],0),  'Customize code'!F207)  )</f>
        <v/>
      </c>
      <c r="J207" s="5" t="str">
        <f t="shared" si="22"/>
        <v>sensor.light_sensor_13:</v>
      </c>
      <c r="K207" s="5" t="str">
        <f t="shared" si="20"/>
        <v/>
      </c>
    </row>
    <row r="208" spans="2:11" x14ac:dyDescent="0.25">
      <c r="B208" s="5">
        <f t="shared" si="19"/>
        <v>202</v>
      </c>
      <c r="C208" s="5">
        <f t="shared" si="23"/>
        <v>88</v>
      </c>
      <c r="D208" s="14">
        <f t="shared" si="24"/>
        <v>1</v>
      </c>
      <c r="E208" s="14" t="str">
        <f>INDEX(entities[Attributes Index],MATCH('Customize code'!C208,entities[custom entity '#],0))</f>
        <v>26</v>
      </c>
      <c r="F208" s="14">
        <f t="shared" si="21"/>
        <v>2</v>
      </c>
      <c r="G208" s="5" t="str">
        <f>IF(D208&gt;0,"",
INDEX(entities[entity_id],MATCH('Customize code'!C208,entities[custom entity '#],0))&amp;":")</f>
        <v/>
      </c>
      <c r="H208" s="5" t="str">
        <f>IF(F208=0,"",VLOOKUP(F208,'Customize code'!$M$8:$O$13,3,FALSE))</f>
        <v xml:space="preserve">  friendly_name: </v>
      </c>
      <c r="I208" s="5" t="str">
        <f>IF(F208=0, "",  INDEX(entities[[hidden]:[icon]],  MATCH(C208,entities[custom entity '#],0),  'Customize code'!F208)  )</f>
        <v>Light</v>
      </c>
      <c r="J208" s="5" t="str">
        <f t="shared" si="22"/>
        <v xml:space="preserve">  friendly_name: Light</v>
      </c>
      <c r="K208" s="5" t="str">
        <f t="shared" si="20"/>
        <v/>
      </c>
    </row>
    <row r="209" spans="2:11" x14ac:dyDescent="0.25">
      <c r="B209" s="5">
        <f t="shared" si="19"/>
        <v>203</v>
      </c>
      <c r="C209" s="5">
        <f t="shared" si="23"/>
        <v>88</v>
      </c>
      <c r="D209" s="14">
        <f t="shared" si="24"/>
        <v>2</v>
      </c>
      <c r="E209" s="14" t="str">
        <f>INDEX(entities[Attributes Index],MATCH('Customize code'!C209,entities[custom entity '#],0))</f>
        <v>26</v>
      </c>
      <c r="F209" s="14">
        <f t="shared" si="21"/>
        <v>6</v>
      </c>
      <c r="G209" s="5" t="str">
        <f>IF(D209&gt;0,"",
INDEX(entities[entity_id],MATCH('Customize code'!C209,entities[custom entity '#],0))&amp;":")</f>
        <v/>
      </c>
      <c r="H209" s="5" t="str">
        <f>IF(F209=0,"",VLOOKUP(F209,'Customize code'!$M$8:$O$13,3,FALSE))</f>
        <v xml:space="preserve">  icon: </v>
      </c>
      <c r="I209" s="5" t="str">
        <f>IF(F209=0, "",  INDEX(entities[[hidden]:[icon]],  MATCH(C209,entities[custom entity '#],0),  'Customize code'!F209)  )</f>
        <v>mdi:candle</v>
      </c>
      <c r="J209" s="5" t="str">
        <f t="shared" si="22"/>
        <v xml:space="preserve">  icon: mdi:candle</v>
      </c>
      <c r="K209" s="5" t="str">
        <f t="shared" si="20"/>
        <v/>
      </c>
    </row>
    <row r="210" spans="2:11" x14ac:dyDescent="0.25">
      <c r="B210" s="5">
        <f t="shared" si="19"/>
        <v>204</v>
      </c>
      <c r="C210" s="5">
        <f t="shared" si="23"/>
        <v>89</v>
      </c>
      <c r="D210" s="14">
        <f t="shared" si="24"/>
        <v>0</v>
      </c>
      <c r="E210" s="14" t="str">
        <f>INDEX(entities[Attributes Index],MATCH('Customize code'!C210,entities[custom entity '#],0))</f>
        <v>6</v>
      </c>
      <c r="F210" s="14">
        <f t="shared" si="21"/>
        <v>0</v>
      </c>
      <c r="G210" s="5" t="str">
        <f>IF(D210&gt;0,"",
INDEX(entities[entity_id],MATCH('Customize code'!C210,entities[custom entity '#],0))&amp;":")</f>
        <v>sensor.ram_free:</v>
      </c>
      <c r="H210" s="5" t="str">
        <f>IF(F210=0,"",VLOOKUP(F210,'Customize code'!$M$8:$O$13,3,FALSE))</f>
        <v/>
      </c>
      <c r="I210" s="5" t="str">
        <f>IF(F210=0, "",  INDEX(entities[[hidden]:[icon]],  MATCH(C210,entities[custom entity '#],0),  'Customize code'!F210)  )</f>
        <v/>
      </c>
      <c r="J210" s="5" t="str">
        <f t="shared" si="22"/>
        <v>sensor.ram_free:</v>
      </c>
      <c r="K210" s="5" t="str">
        <f t="shared" si="20"/>
        <v/>
      </c>
    </row>
    <row r="211" spans="2:11" x14ac:dyDescent="0.25">
      <c r="B211" s="5">
        <f t="shared" si="19"/>
        <v>205</v>
      </c>
      <c r="C211" s="5">
        <f t="shared" si="23"/>
        <v>89</v>
      </c>
      <c r="D211" s="14">
        <f t="shared" si="24"/>
        <v>1</v>
      </c>
      <c r="E211" s="14" t="str">
        <f>INDEX(entities[Attributes Index],MATCH('Customize code'!C211,entities[custom entity '#],0))</f>
        <v>6</v>
      </c>
      <c r="F211" s="14">
        <f t="shared" si="21"/>
        <v>6</v>
      </c>
      <c r="G211" s="5" t="str">
        <f>IF(D211&gt;0,"",
INDEX(entities[entity_id],MATCH('Customize code'!C211,entities[custom entity '#],0))&amp;":")</f>
        <v/>
      </c>
      <c r="H211" s="5" t="str">
        <f>IF(F211=0,"",VLOOKUP(F211,'Customize code'!$M$8:$O$13,3,FALSE))</f>
        <v xml:space="preserve">  icon: </v>
      </c>
      <c r="I211" s="5" t="str">
        <f>IF(F211=0, "",  INDEX(entities[[hidden]:[icon]],  MATCH(C211,entities[custom entity '#],0),  'Customize code'!F211)  )</f>
        <v>mdi:raspberrypi</v>
      </c>
      <c r="J211" s="5" t="str">
        <f t="shared" si="22"/>
        <v xml:space="preserve">  icon: mdi:raspberrypi</v>
      </c>
      <c r="K211" s="5" t="str">
        <f t="shared" si="20"/>
        <v/>
      </c>
    </row>
    <row r="212" spans="2:11" x14ac:dyDescent="0.25">
      <c r="B212" s="5">
        <f t="shared" si="19"/>
        <v>206</v>
      </c>
      <c r="C212" s="5">
        <f t="shared" si="23"/>
        <v>90</v>
      </c>
      <c r="D212" s="14">
        <f t="shared" si="24"/>
        <v>0</v>
      </c>
      <c r="E212" s="14" t="str">
        <f>INDEX(entities[Attributes Index],MATCH('Customize code'!C212,entities[custom entity '#],0))</f>
        <v>6</v>
      </c>
      <c r="F212" s="14">
        <f t="shared" si="21"/>
        <v>0</v>
      </c>
      <c r="G212" s="5" t="str">
        <f>IF(D212&gt;0,"",
INDEX(entities[entity_id],MATCH('Customize code'!C212,entities[custom entity '#],0))&amp;":")</f>
        <v>sensor.speedtest_download:</v>
      </c>
      <c r="H212" s="5" t="str">
        <f>IF(F212=0,"",VLOOKUP(F212,'Customize code'!$M$8:$O$13,3,FALSE))</f>
        <v/>
      </c>
      <c r="I212" s="5" t="str">
        <f>IF(F212=0, "",  INDEX(entities[[hidden]:[icon]],  MATCH(C212,entities[custom entity '#],0),  'Customize code'!F212)  )</f>
        <v/>
      </c>
      <c r="J212" s="5" t="str">
        <f t="shared" si="22"/>
        <v>sensor.speedtest_download:</v>
      </c>
      <c r="K212" s="5" t="str">
        <f t="shared" si="20"/>
        <v/>
      </c>
    </row>
    <row r="213" spans="2:11" x14ac:dyDescent="0.25">
      <c r="B213" s="5">
        <f t="shared" si="19"/>
        <v>207</v>
      </c>
      <c r="C213" s="5">
        <f t="shared" si="23"/>
        <v>90</v>
      </c>
      <c r="D213" s="14">
        <f t="shared" si="24"/>
        <v>1</v>
      </c>
      <c r="E213" s="14" t="str">
        <f>INDEX(entities[Attributes Index],MATCH('Customize code'!C213,entities[custom entity '#],0))</f>
        <v>6</v>
      </c>
      <c r="F213" s="14">
        <f t="shared" si="21"/>
        <v>6</v>
      </c>
      <c r="G213" s="5" t="str">
        <f>IF(D213&gt;0,"",
INDEX(entities[entity_id],MATCH('Customize code'!C213,entities[custom entity '#],0))&amp;":")</f>
        <v/>
      </c>
      <c r="H213" s="5" t="str">
        <f>IF(F213=0,"",VLOOKUP(F213,'Customize code'!$M$8:$O$13,3,FALSE))</f>
        <v xml:space="preserve">  icon: </v>
      </c>
      <c r="I213" s="5" t="str">
        <f>IF(F213=0, "",  INDEX(entities[[hidden]:[icon]],  MATCH(C213,entities[custom entity '#],0),  'Customize code'!F213)  )</f>
        <v>mdi:download</v>
      </c>
      <c r="J213" s="5" t="str">
        <f t="shared" si="22"/>
        <v xml:space="preserve">  icon: mdi:download</v>
      </c>
      <c r="K213" s="5" t="str">
        <f t="shared" si="20"/>
        <v/>
      </c>
    </row>
    <row r="214" spans="2:11" x14ac:dyDescent="0.25">
      <c r="B214" s="5">
        <f t="shared" si="19"/>
        <v>208</v>
      </c>
      <c r="C214" s="5">
        <f t="shared" si="23"/>
        <v>91</v>
      </c>
      <c r="D214" s="14">
        <f t="shared" si="24"/>
        <v>0</v>
      </c>
      <c r="E214" s="14" t="str">
        <f>INDEX(entities[Attributes Index],MATCH('Customize code'!C214,entities[custom entity '#],0))</f>
        <v>6</v>
      </c>
      <c r="F214" s="14">
        <f t="shared" si="21"/>
        <v>0</v>
      </c>
      <c r="G214" s="5" t="str">
        <f>IF(D214&gt;0,"",
INDEX(entities[entity_id],MATCH('Customize code'!C214,entities[custom entity '#],0))&amp;":")</f>
        <v>sensor.speedtest_ping:</v>
      </c>
      <c r="H214" s="5" t="str">
        <f>IF(F214=0,"",VLOOKUP(F214,'Customize code'!$M$8:$O$13,3,FALSE))</f>
        <v/>
      </c>
      <c r="I214" s="5" t="str">
        <f>IF(F214=0, "",  INDEX(entities[[hidden]:[icon]],  MATCH(C214,entities[custom entity '#],0),  'Customize code'!F214)  )</f>
        <v/>
      </c>
      <c r="J214" s="5" t="str">
        <f t="shared" si="22"/>
        <v>sensor.speedtest_ping:</v>
      </c>
      <c r="K214" s="5" t="str">
        <f t="shared" si="20"/>
        <v/>
      </c>
    </row>
    <row r="215" spans="2:11" x14ac:dyDescent="0.25">
      <c r="B215" s="5">
        <f t="shared" si="19"/>
        <v>209</v>
      </c>
      <c r="C215" s="5">
        <f t="shared" si="23"/>
        <v>91</v>
      </c>
      <c r="D215" s="14">
        <f t="shared" si="24"/>
        <v>1</v>
      </c>
      <c r="E215" s="14" t="str">
        <f>INDEX(entities[Attributes Index],MATCH('Customize code'!C215,entities[custom entity '#],0))</f>
        <v>6</v>
      </c>
      <c r="F215" s="14">
        <f t="shared" si="21"/>
        <v>6</v>
      </c>
      <c r="G215" s="5" t="str">
        <f>IF(D215&gt;0,"",
INDEX(entities[entity_id],MATCH('Customize code'!C215,entities[custom entity '#],0))&amp;":")</f>
        <v/>
      </c>
      <c r="H215" s="5" t="str">
        <f>IF(F215=0,"",VLOOKUP(F215,'Customize code'!$M$8:$O$13,3,FALSE))</f>
        <v xml:space="preserve">  icon: </v>
      </c>
      <c r="I215" s="5" t="str">
        <f>IF(F215=0, "",  INDEX(entities[[hidden]:[icon]],  MATCH(C215,entities[custom entity '#],0),  'Customize code'!F215)  )</f>
        <v>mdi:lan-connect</v>
      </c>
      <c r="J215" s="5" t="str">
        <f t="shared" si="22"/>
        <v xml:space="preserve">  icon: mdi:lan-connect</v>
      </c>
      <c r="K215" s="5" t="str">
        <f t="shared" si="20"/>
        <v/>
      </c>
    </row>
    <row r="216" spans="2:11" x14ac:dyDescent="0.25">
      <c r="B216" s="5">
        <f t="shared" si="19"/>
        <v>210</v>
      </c>
      <c r="C216" s="5">
        <f t="shared" si="23"/>
        <v>92</v>
      </c>
      <c r="D216" s="14">
        <f t="shared" si="24"/>
        <v>0</v>
      </c>
      <c r="E216" s="14" t="str">
        <f>INDEX(entities[Attributes Index],MATCH('Customize code'!C216,entities[custom entity '#],0))</f>
        <v>6</v>
      </c>
      <c r="F216" s="14">
        <f t="shared" si="21"/>
        <v>0</v>
      </c>
      <c r="G216" s="5" t="str">
        <f>IF(D216&gt;0,"",
INDEX(entities[entity_id],MATCH('Customize code'!C216,entities[custom entity '#],0))&amp;":")</f>
        <v>sensor.speedtest_upload:</v>
      </c>
      <c r="H216" s="5" t="str">
        <f>IF(F216=0,"",VLOOKUP(F216,'Customize code'!$M$8:$O$13,3,FALSE))</f>
        <v/>
      </c>
      <c r="I216" s="5" t="str">
        <f>IF(F216=0, "",  INDEX(entities[[hidden]:[icon]],  MATCH(C216,entities[custom entity '#],0),  'Customize code'!F216)  )</f>
        <v/>
      </c>
      <c r="J216" s="5" t="str">
        <f t="shared" si="22"/>
        <v>sensor.speedtest_upload:</v>
      </c>
      <c r="K216" s="5" t="str">
        <f t="shared" si="20"/>
        <v/>
      </c>
    </row>
    <row r="217" spans="2:11" x14ac:dyDescent="0.25">
      <c r="B217" s="5">
        <f t="shared" si="19"/>
        <v>211</v>
      </c>
      <c r="C217" s="5">
        <f t="shared" si="23"/>
        <v>92</v>
      </c>
      <c r="D217" s="14">
        <f t="shared" si="24"/>
        <v>1</v>
      </c>
      <c r="E217" s="14" t="str">
        <f>INDEX(entities[Attributes Index],MATCH('Customize code'!C217,entities[custom entity '#],0))</f>
        <v>6</v>
      </c>
      <c r="F217" s="14">
        <f t="shared" si="21"/>
        <v>6</v>
      </c>
      <c r="G217" s="5" t="str">
        <f>IF(D217&gt;0,"",
INDEX(entities[entity_id],MATCH('Customize code'!C217,entities[custom entity '#],0))&amp;":")</f>
        <v/>
      </c>
      <c r="H217" s="5" t="str">
        <f>IF(F217=0,"",VLOOKUP(F217,'Customize code'!$M$8:$O$13,3,FALSE))</f>
        <v xml:space="preserve">  icon: </v>
      </c>
      <c r="I217" s="5" t="str">
        <f>IF(F217=0, "",  INDEX(entities[[hidden]:[icon]],  MATCH(C217,entities[custom entity '#],0),  'Customize code'!F217)  )</f>
        <v>mdi:upload</v>
      </c>
      <c r="J217" s="5" t="str">
        <f t="shared" si="22"/>
        <v xml:space="preserve">  icon: mdi:upload</v>
      </c>
      <c r="K217" s="5" t="str">
        <f t="shared" si="20"/>
        <v/>
      </c>
    </row>
    <row r="218" spans="2:11" x14ac:dyDescent="0.25">
      <c r="B218" s="5">
        <f t="shared" si="19"/>
        <v>212</v>
      </c>
      <c r="C218" s="5">
        <f t="shared" si="23"/>
        <v>93</v>
      </c>
      <c r="D218" s="14">
        <f t="shared" si="24"/>
        <v>0</v>
      </c>
      <c r="E218" s="14" t="str">
        <f>INDEX(entities[Attributes Index],MATCH('Customize code'!C218,entities[custom entity '#],0))</f>
        <v>2</v>
      </c>
      <c r="F218" s="14">
        <f t="shared" si="21"/>
        <v>0</v>
      </c>
      <c r="G218" s="5" t="str">
        <f>IF(D218&gt;0,"",
INDEX(entities[entity_id],MATCH('Customize code'!C218,entities[custom entity '#],0))&amp;":")</f>
        <v>sensor.temperature_sensor_12:</v>
      </c>
      <c r="H218" s="5" t="str">
        <f>IF(F218=0,"",VLOOKUP(F218,'Customize code'!$M$8:$O$13,3,FALSE))</f>
        <v/>
      </c>
      <c r="I218" s="5" t="str">
        <f>IF(F218=0, "",  INDEX(entities[[hidden]:[icon]],  MATCH(C218,entities[custom entity '#],0),  'Customize code'!F218)  )</f>
        <v/>
      </c>
      <c r="J218" s="5" t="str">
        <f t="shared" si="22"/>
        <v>sensor.temperature_sensor_12:</v>
      </c>
      <c r="K218" s="5" t="str">
        <f t="shared" si="20"/>
        <v/>
      </c>
    </row>
    <row r="219" spans="2:11" x14ac:dyDescent="0.25">
      <c r="B219" s="5">
        <f t="shared" si="19"/>
        <v>213</v>
      </c>
      <c r="C219" s="5">
        <f t="shared" si="23"/>
        <v>93</v>
      </c>
      <c r="D219" s="14">
        <f t="shared" si="24"/>
        <v>1</v>
      </c>
      <c r="E219" s="14" t="str">
        <f>INDEX(entities[Attributes Index],MATCH('Customize code'!C219,entities[custom entity '#],0))</f>
        <v>2</v>
      </c>
      <c r="F219" s="14">
        <f t="shared" si="21"/>
        <v>2</v>
      </c>
      <c r="G219" s="5" t="str">
        <f>IF(D219&gt;0,"",
INDEX(entities[entity_id],MATCH('Customize code'!C219,entities[custom entity '#],0))&amp;":")</f>
        <v/>
      </c>
      <c r="H219" s="5" t="str">
        <f>IF(F219=0,"",VLOOKUP(F219,'Customize code'!$M$8:$O$13,3,FALSE))</f>
        <v xml:space="preserve">  friendly_name: </v>
      </c>
      <c r="I219" s="5" t="str">
        <f>IF(F219=0, "",  INDEX(entities[[hidden]:[icon]],  MATCH(C219,entities[custom entity '#],0),  'Customize code'!F219)  )</f>
        <v>Temp</v>
      </c>
      <c r="J219" s="5" t="str">
        <f t="shared" si="22"/>
        <v xml:space="preserve">  friendly_name: Temp</v>
      </c>
      <c r="K219" s="5" t="str">
        <f t="shared" si="20"/>
        <v/>
      </c>
    </row>
    <row r="220" spans="2:11" x14ac:dyDescent="0.25">
      <c r="B220" s="5">
        <f t="shared" si="19"/>
        <v>214</v>
      </c>
      <c r="C220" s="5">
        <f t="shared" si="23"/>
        <v>94</v>
      </c>
      <c r="D220" s="14">
        <f t="shared" si="24"/>
        <v>0</v>
      </c>
      <c r="E220" s="14" t="str">
        <f>INDEX(entities[Attributes Index],MATCH('Customize code'!C220,entities[custom entity '#],0))</f>
        <v>1</v>
      </c>
      <c r="F220" s="14">
        <f t="shared" si="21"/>
        <v>0</v>
      </c>
      <c r="G220" s="5" t="str">
        <f>IF(D220&gt;0,"",
INDEX(entities[entity_id],MATCH('Customize code'!C220,entities[custom entity '#],0))&amp;":")</f>
        <v>sensor.time:</v>
      </c>
      <c r="H220" s="5" t="str">
        <f>IF(F220=0,"",VLOOKUP(F220,'Customize code'!$M$8:$O$13,3,FALSE))</f>
        <v/>
      </c>
      <c r="I220" s="5" t="str">
        <f>IF(F220=0, "",  INDEX(entities[[hidden]:[icon]],  MATCH(C220,entities[custom entity '#],0),  'Customize code'!F220)  )</f>
        <v/>
      </c>
      <c r="J220" s="5" t="str">
        <f t="shared" si="22"/>
        <v>sensor.time:</v>
      </c>
      <c r="K220" s="5" t="str">
        <f t="shared" si="20"/>
        <v/>
      </c>
    </row>
    <row r="221" spans="2:11" x14ac:dyDescent="0.25">
      <c r="B221" s="5">
        <f t="shared" si="19"/>
        <v>215</v>
      </c>
      <c r="C221" s="5">
        <f t="shared" si="23"/>
        <v>94</v>
      </c>
      <c r="D221" s="14">
        <f t="shared" si="24"/>
        <v>1</v>
      </c>
      <c r="E221" s="14" t="str">
        <f>INDEX(entities[Attributes Index],MATCH('Customize code'!C221,entities[custom entity '#],0))</f>
        <v>1</v>
      </c>
      <c r="F221" s="14">
        <f t="shared" si="21"/>
        <v>1</v>
      </c>
      <c r="G221" s="5" t="str">
        <f>IF(D221&gt;0,"",
INDEX(entities[entity_id],MATCH('Customize code'!C221,entities[custom entity '#],0))&amp;":")</f>
        <v/>
      </c>
      <c r="H221" s="5" t="str">
        <f>IF(F221=0,"",VLOOKUP(F221,'Customize code'!$M$8:$O$13,3,FALSE))</f>
        <v xml:space="preserve">  hidden: </v>
      </c>
      <c r="I221" s="5" t="str">
        <f>IF(F221=0, "",  INDEX(entities[[hidden]:[icon]],  MATCH(C221,entities[custom entity '#],0),  'Customize code'!F221)  )</f>
        <v>true</v>
      </c>
      <c r="J221" s="5" t="str">
        <f t="shared" si="22"/>
        <v xml:space="preserve">  hidden: true</v>
      </c>
      <c r="K221" s="5" t="str">
        <f t="shared" si="20"/>
        <v/>
      </c>
    </row>
    <row r="222" spans="2:11" x14ac:dyDescent="0.25">
      <c r="B222" s="5">
        <f t="shared" si="19"/>
        <v>216</v>
      </c>
      <c r="C222" s="5">
        <f t="shared" si="23"/>
        <v>95</v>
      </c>
      <c r="D222" s="14">
        <f t="shared" si="24"/>
        <v>0</v>
      </c>
      <c r="E222" s="14" t="str">
        <f>INDEX(entities[Attributes Index],MATCH('Customize code'!C222,entities[custom entity '#],0))</f>
        <v>236</v>
      </c>
      <c r="F222" s="14">
        <f t="shared" si="21"/>
        <v>0</v>
      </c>
      <c r="G222" s="5" t="str">
        <f>IF(D222&gt;0,"",
INDEX(entities[entity_id],MATCH('Customize code'!C222,entities[custom entity '#],0))&amp;":")</f>
        <v>switch.amp:</v>
      </c>
      <c r="H222" s="5" t="str">
        <f>IF(F222=0,"",VLOOKUP(F222,'Customize code'!$M$8:$O$13,3,FALSE))</f>
        <v/>
      </c>
      <c r="I222" s="5" t="str">
        <f>IF(F222=0, "",  INDEX(entities[[hidden]:[icon]],  MATCH(C222,entities[custom entity '#],0),  'Customize code'!F222)  )</f>
        <v/>
      </c>
      <c r="J222" s="5" t="str">
        <f t="shared" si="22"/>
        <v>switch.amp:</v>
      </c>
      <c r="K222" s="5" t="str">
        <f t="shared" si="20"/>
        <v/>
      </c>
    </row>
    <row r="223" spans="2:11" x14ac:dyDescent="0.25">
      <c r="B223" s="5">
        <f t="shared" si="19"/>
        <v>217</v>
      </c>
      <c r="C223" s="5">
        <f t="shared" si="23"/>
        <v>95</v>
      </c>
      <c r="D223" s="14">
        <f t="shared" si="24"/>
        <v>1</v>
      </c>
      <c r="E223" s="14" t="str">
        <f>INDEX(entities[Attributes Index],MATCH('Customize code'!C223,entities[custom entity '#],0))</f>
        <v>236</v>
      </c>
      <c r="F223" s="14">
        <f t="shared" si="21"/>
        <v>2</v>
      </c>
      <c r="G223" s="5" t="str">
        <f>IF(D223&gt;0,"",
INDEX(entities[entity_id],MATCH('Customize code'!C223,entities[custom entity '#],0))&amp;":")</f>
        <v/>
      </c>
      <c r="H223" s="5" t="str">
        <f>IF(F223=0,"",VLOOKUP(F223,'Customize code'!$M$8:$O$13,3,FALSE))</f>
        <v xml:space="preserve">  friendly_name: </v>
      </c>
      <c r="I223" s="5" t="str">
        <f>IF(F223=0, "",  INDEX(entities[[hidden]:[icon]],  MATCH(C223,entities[custom entity '#],0),  'Customize code'!F223)  )</f>
        <v>Headphone Amp</v>
      </c>
      <c r="J223" s="5" t="str">
        <f t="shared" si="22"/>
        <v xml:space="preserve">  friendly_name: Headphone Amp</v>
      </c>
      <c r="K223" s="5" t="str">
        <f t="shared" si="20"/>
        <v/>
      </c>
    </row>
    <row r="224" spans="2:11" x14ac:dyDescent="0.25">
      <c r="B224" s="5">
        <f t="shared" si="19"/>
        <v>218</v>
      </c>
      <c r="C224" s="5">
        <f t="shared" si="23"/>
        <v>95</v>
      </c>
      <c r="D224" s="14">
        <f t="shared" si="24"/>
        <v>2</v>
      </c>
      <c r="E224" s="14" t="str">
        <f>INDEX(entities[Attributes Index],MATCH('Customize code'!C224,entities[custom entity '#],0))</f>
        <v>236</v>
      </c>
      <c r="F224" s="14">
        <f t="shared" si="21"/>
        <v>3</v>
      </c>
      <c r="G224" s="5" t="str">
        <f>IF(D224&gt;0,"",
INDEX(entities[entity_id],MATCH('Customize code'!C224,entities[custom entity '#],0))&amp;":")</f>
        <v/>
      </c>
      <c r="H224" s="5" t="str">
        <f>IF(F224=0,"",VLOOKUP(F224,'Customize code'!$M$8:$O$13,3,FALSE))</f>
        <v xml:space="preserve">  emulated_hue: </v>
      </c>
      <c r="I224" s="5" t="str">
        <f>IF(F224=0, "",  INDEX(entities[[hidden]:[icon]],  MATCH(C224,entities[custom entity '#],0),  'Customize code'!F224)  )</f>
        <v>true</v>
      </c>
      <c r="J224" s="5" t="str">
        <f t="shared" si="22"/>
        <v xml:space="preserve">  emulated_hue: true</v>
      </c>
      <c r="K224" s="5" t="str">
        <f t="shared" si="20"/>
        <v/>
      </c>
    </row>
    <row r="225" spans="2:11" x14ac:dyDescent="0.25">
      <c r="B225" s="5">
        <f t="shared" si="19"/>
        <v>219</v>
      </c>
      <c r="C225" s="5">
        <f t="shared" si="23"/>
        <v>95</v>
      </c>
      <c r="D225" s="14">
        <f t="shared" si="24"/>
        <v>3</v>
      </c>
      <c r="E225" s="14" t="str">
        <f>INDEX(entities[Attributes Index],MATCH('Customize code'!C225,entities[custom entity '#],0))</f>
        <v>236</v>
      </c>
      <c r="F225" s="14">
        <f t="shared" si="21"/>
        <v>6</v>
      </c>
      <c r="G225" s="5" t="str">
        <f>IF(D225&gt;0,"",
INDEX(entities[entity_id],MATCH('Customize code'!C225,entities[custom entity '#],0))&amp;":")</f>
        <v/>
      </c>
      <c r="H225" s="5" t="str">
        <f>IF(F225=0,"",VLOOKUP(F225,'Customize code'!$M$8:$O$13,3,FALSE))</f>
        <v xml:space="preserve">  icon: </v>
      </c>
      <c r="I225" s="5" t="str">
        <f>IF(F225=0, "",  INDEX(entities[[hidden]:[icon]],  MATCH(C225,entities[custom entity '#],0),  'Customize code'!F225)  )</f>
        <v>mdi:amplifier</v>
      </c>
      <c r="J225" s="5" t="str">
        <f t="shared" si="22"/>
        <v xml:space="preserve">  icon: mdi:amplifier</v>
      </c>
      <c r="K225" s="5" t="str">
        <f t="shared" si="20"/>
        <v/>
      </c>
    </row>
    <row r="226" spans="2:11" x14ac:dyDescent="0.25">
      <c r="B226" s="5">
        <f t="shared" si="19"/>
        <v>220</v>
      </c>
      <c r="C226" s="5">
        <f t="shared" si="23"/>
        <v>96</v>
      </c>
      <c r="D226" s="14">
        <f t="shared" si="24"/>
        <v>0</v>
      </c>
      <c r="E226" s="14" t="str">
        <f>INDEX(entities[Attributes Index],MATCH('Customize code'!C226,entities[custom entity '#],0))</f>
        <v>236</v>
      </c>
      <c r="F226" s="14">
        <f t="shared" si="21"/>
        <v>0</v>
      </c>
      <c r="G226" s="5" t="str">
        <f>IF(D226&gt;0,"",
INDEX(entities[entity_id],MATCH('Customize code'!C226,entities[custom entity '#],0))&amp;":")</f>
        <v>switch.bedroom_fan:</v>
      </c>
      <c r="H226" s="5" t="str">
        <f>IF(F226=0,"",VLOOKUP(F226,'Customize code'!$M$8:$O$13,3,FALSE))</f>
        <v/>
      </c>
      <c r="I226" s="5" t="str">
        <f>IF(F226=0, "",  INDEX(entities[[hidden]:[icon]],  MATCH(C226,entities[custom entity '#],0),  'Customize code'!F226)  )</f>
        <v/>
      </c>
      <c r="J226" s="5" t="str">
        <f t="shared" si="22"/>
        <v>switch.bedroom_fan:</v>
      </c>
      <c r="K226" s="5" t="str">
        <f t="shared" si="20"/>
        <v/>
      </c>
    </row>
    <row r="227" spans="2:11" x14ac:dyDescent="0.25">
      <c r="B227" s="5">
        <f t="shared" si="19"/>
        <v>221</v>
      </c>
      <c r="C227" s="5">
        <f t="shared" si="23"/>
        <v>96</v>
      </c>
      <c r="D227" s="14">
        <f t="shared" si="24"/>
        <v>1</v>
      </c>
      <c r="E227" s="14" t="str">
        <f>INDEX(entities[Attributes Index],MATCH('Customize code'!C227,entities[custom entity '#],0))</f>
        <v>236</v>
      </c>
      <c r="F227" s="14">
        <f t="shared" si="21"/>
        <v>2</v>
      </c>
      <c r="G227" s="5" t="str">
        <f>IF(D227&gt;0,"",
INDEX(entities[entity_id],MATCH('Customize code'!C227,entities[custom entity '#],0))&amp;":")</f>
        <v/>
      </c>
      <c r="H227" s="5" t="str">
        <f>IF(F227=0,"",VLOOKUP(F227,'Customize code'!$M$8:$O$13,3,FALSE))</f>
        <v xml:space="preserve">  friendly_name: </v>
      </c>
      <c r="I227" s="5" t="str">
        <f>IF(F227=0, "",  INDEX(entities[[hidden]:[icon]],  MATCH(C227,entities[custom entity '#],0),  'Customize code'!F227)  )</f>
        <v>Bedroom Fan</v>
      </c>
      <c r="J227" s="5" t="str">
        <f t="shared" si="22"/>
        <v xml:space="preserve">  friendly_name: Bedroom Fan</v>
      </c>
      <c r="K227" s="5" t="str">
        <f t="shared" si="20"/>
        <v/>
      </c>
    </row>
    <row r="228" spans="2:11" x14ac:dyDescent="0.25">
      <c r="B228" s="5">
        <f t="shared" si="19"/>
        <v>222</v>
      </c>
      <c r="C228" s="5">
        <f t="shared" si="23"/>
        <v>96</v>
      </c>
      <c r="D228" s="14">
        <f t="shared" si="24"/>
        <v>2</v>
      </c>
      <c r="E228" s="14" t="str">
        <f>INDEX(entities[Attributes Index],MATCH('Customize code'!C228,entities[custom entity '#],0))</f>
        <v>236</v>
      </c>
      <c r="F228" s="14">
        <f t="shared" si="21"/>
        <v>3</v>
      </c>
      <c r="G228" s="5" t="str">
        <f>IF(D228&gt;0,"",
INDEX(entities[entity_id],MATCH('Customize code'!C228,entities[custom entity '#],0))&amp;":")</f>
        <v/>
      </c>
      <c r="H228" s="5" t="str">
        <f>IF(F228=0,"",VLOOKUP(F228,'Customize code'!$M$8:$O$13,3,FALSE))</f>
        <v xml:space="preserve">  emulated_hue: </v>
      </c>
      <c r="I228" s="5" t="str">
        <f>IF(F228=0, "",  INDEX(entities[[hidden]:[icon]],  MATCH(C228,entities[custom entity '#],0),  'Customize code'!F228)  )</f>
        <v>true</v>
      </c>
      <c r="J228" s="5" t="str">
        <f t="shared" si="22"/>
        <v xml:space="preserve">  emulated_hue: true</v>
      </c>
      <c r="K228" s="5" t="str">
        <f t="shared" si="20"/>
        <v/>
      </c>
    </row>
    <row r="229" spans="2:11" x14ac:dyDescent="0.25">
      <c r="B229" s="5">
        <f t="shared" si="19"/>
        <v>223</v>
      </c>
      <c r="C229" s="5">
        <f t="shared" si="23"/>
        <v>96</v>
      </c>
      <c r="D229" s="14">
        <f t="shared" si="24"/>
        <v>3</v>
      </c>
      <c r="E229" s="14" t="str">
        <f>INDEX(entities[Attributes Index],MATCH('Customize code'!C229,entities[custom entity '#],0))</f>
        <v>236</v>
      </c>
      <c r="F229" s="14">
        <f t="shared" si="21"/>
        <v>6</v>
      </c>
      <c r="G229" s="5" t="str">
        <f>IF(D229&gt;0,"",
INDEX(entities[entity_id],MATCH('Customize code'!C229,entities[custom entity '#],0))&amp;":")</f>
        <v/>
      </c>
      <c r="H229" s="5" t="str">
        <f>IF(F229=0,"",VLOOKUP(F229,'Customize code'!$M$8:$O$13,3,FALSE))</f>
        <v xml:space="preserve">  icon: </v>
      </c>
      <c r="I229" s="5" t="str">
        <f>IF(F229=0, "",  INDEX(entities[[hidden]:[icon]],  MATCH(C229,entities[custom entity '#],0),  'Customize code'!F229)  )</f>
        <v>mdi:fan</v>
      </c>
      <c r="J229" s="5" t="str">
        <f t="shared" si="22"/>
        <v xml:space="preserve">  icon: mdi:fan</v>
      </c>
      <c r="K229" s="5" t="str">
        <f t="shared" si="20"/>
        <v/>
      </c>
    </row>
    <row r="230" spans="2:11" x14ac:dyDescent="0.25">
      <c r="B230" s="5">
        <f t="shared" si="19"/>
        <v>224</v>
      </c>
      <c r="C230" s="5">
        <f t="shared" si="23"/>
        <v>97</v>
      </c>
      <c r="D230" s="14">
        <f t="shared" si="24"/>
        <v>0</v>
      </c>
      <c r="E230" s="14" t="str">
        <f>INDEX(entities[Attributes Index],MATCH('Customize code'!C230,entities[custom entity '#],0))</f>
        <v>2346</v>
      </c>
      <c r="F230" s="14">
        <f t="shared" si="21"/>
        <v>0</v>
      </c>
      <c r="G230" s="5" t="str">
        <f>IF(D230&gt;0,"",
INDEX(entities[entity_id],MATCH('Customize code'!C230,entities[custom entity '#],0))&amp;":")</f>
        <v>switch.bedroom_nightstand:</v>
      </c>
      <c r="H230" s="5" t="str">
        <f>IF(F230=0,"",VLOOKUP(F230,'Customize code'!$M$8:$O$13,3,FALSE))</f>
        <v/>
      </c>
      <c r="I230" s="5" t="str">
        <f>IF(F230=0, "",  INDEX(entities[[hidden]:[icon]],  MATCH(C230,entities[custom entity '#],0),  'Customize code'!F230)  )</f>
        <v/>
      </c>
      <c r="J230" s="5" t="str">
        <f t="shared" si="22"/>
        <v>switch.bedroom_nightstand:</v>
      </c>
      <c r="K230" s="5" t="str">
        <f t="shared" si="20"/>
        <v/>
      </c>
    </row>
    <row r="231" spans="2:11" x14ac:dyDescent="0.25">
      <c r="B231" s="5">
        <f t="shared" si="19"/>
        <v>225</v>
      </c>
      <c r="C231" s="5">
        <f t="shared" si="23"/>
        <v>97</v>
      </c>
      <c r="D231" s="14">
        <f t="shared" si="24"/>
        <v>1</v>
      </c>
      <c r="E231" s="14" t="str">
        <f>INDEX(entities[Attributes Index],MATCH('Customize code'!C231,entities[custom entity '#],0))</f>
        <v>2346</v>
      </c>
      <c r="F231" s="14">
        <f t="shared" si="21"/>
        <v>2</v>
      </c>
      <c r="G231" s="5" t="str">
        <f>IF(D231&gt;0,"",
INDEX(entities[entity_id],MATCH('Customize code'!C231,entities[custom entity '#],0))&amp;":")</f>
        <v/>
      </c>
      <c r="H231" s="5" t="str">
        <f>IF(F231=0,"",VLOOKUP(F231,'Customize code'!$M$8:$O$13,3,FALSE))</f>
        <v xml:space="preserve">  friendly_name: </v>
      </c>
      <c r="I231" s="5" t="str">
        <f>IF(F231=0, "",  INDEX(entities[[hidden]:[icon]],  MATCH(C231,entities[custom entity '#],0),  'Customize code'!F231)  )</f>
        <v>Nightstand Light</v>
      </c>
      <c r="J231" s="5" t="str">
        <f t="shared" si="22"/>
        <v xml:space="preserve">  friendly_name: Nightstand Light</v>
      </c>
      <c r="K231" s="5" t="str">
        <f t="shared" si="20"/>
        <v/>
      </c>
    </row>
    <row r="232" spans="2:11" x14ac:dyDescent="0.25">
      <c r="B232" s="5">
        <f t="shared" si="19"/>
        <v>226</v>
      </c>
      <c r="C232" s="5">
        <f t="shared" si="23"/>
        <v>97</v>
      </c>
      <c r="D232" s="14">
        <f t="shared" si="24"/>
        <v>2</v>
      </c>
      <c r="E232" s="14" t="str">
        <f>INDEX(entities[Attributes Index],MATCH('Customize code'!C232,entities[custom entity '#],0))</f>
        <v>2346</v>
      </c>
      <c r="F232" s="14">
        <f t="shared" si="21"/>
        <v>3</v>
      </c>
      <c r="G232" s="5" t="str">
        <f>IF(D232&gt;0,"",
INDEX(entities[entity_id],MATCH('Customize code'!C232,entities[custom entity '#],0))&amp;":")</f>
        <v/>
      </c>
      <c r="H232" s="5" t="str">
        <f>IF(F232=0,"",VLOOKUP(F232,'Customize code'!$M$8:$O$13,3,FALSE))</f>
        <v xml:space="preserve">  emulated_hue: </v>
      </c>
      <c r="I232" s="5" t="str">
        <f>IF(F232=0, "",  INDEX(entities[[hidden]:[icon]],  MATCH(C232,entities[custom entity '#],0),  'Customize code'!F232)  )</f>
        <v>true</v>
      </c>
      <c r="J232" s="5" t="str">
        <f t="shared" si="22"/>
        <v xml:space="preserve">  emulated_hue: true</v>
      </c>
      <c r="K232" s="5" t="str">
        <f t="shared" si="20"/>
        <v/>
      </c>
    </row>
    <row r="233" spans="2:11" x14ac:dyDescent="0.25">
      <c r="B233" s="5">
        <f t="shared" si="19"/>
        <v>227</v>
      </c>
      <c r="C233" s="5">
        <f t="shared" si="23"/>
        <v>97</v>
      </c>
      <c r="D233" s="14">
        <f t="shared" si="24"/>
        <v>3</v>
      </c>
      <c r="E233" s="14" t="str">
        <f>INDEX(entities[Attributes Index],MATCH('Customize code'!C233,entities[custom entity '#],0))</f>
        <v>2346</v>
      </c>
      <c r="F233" s="14">
        <f t="shared" si="21"/>
        <v>4</v>
      </c>
      <c r="G233" s="5" t="str">
        <f>IF(D233&gt;0,"",
INDEX(entities[entity_id],MATCH('Customize code'!C233,entities[custom entity '#],0))&amp;":")</f>
        <v/>
      </c>
      <c r="H233" s="5" t="str">
        <f>IF(F233=0,"",VLOOKUP(F233,'Customize code'!$M$8:$O$13,3,FALSE))</f>
        <v xml:space="preserve">  emulated_hue_name: </v>
      </c>
      <c r="I233" s="5" t="str">
        <f>IF(F233=0, "",  INDEX(entities[[hidden]:[icon]],  MATCH(C233,entities[custom entity '#],0),  'Customize code'!F233)  )</f>
        <v>Nightstand</v>
      </c>
      <c r="J233" s="5" t="str">
        <f t="shared" si="22"/>
        <v xml:space="preserve">  emulated_hue_name: Nightstand</v>
      </c>
      <c r="K233" s="5" t="str">
        <f t="shared" si="20"/>
        <v/>
      </c>
    </row>
    <row r="234" spans="2:11" x14ac:dyDescent="0.25">
      <c r="B234" s="5">
        <f t="shared" si="19"/>
        <v>228</v>
      </c>
      <c r="C234" s="5">
        <f t="shared" si="23"/>
        <v>97</v>
      </c>
      <c r="D234" s="14">
        <f t="shared" si="24"/>
        <v>4</v>
      </c>
      <c r="E234" s="14" t="str">
        <f>INDEX(entities[Attributes Index],MATCH('Customize code'!C234,entities[custom entity '#],0))</f>
        <v>2346</v>
      </c>
      <c r="F234" s="14">
        <f t="shared" si="21"/>
        <v>6</v>
      </c>
      <c r="G234" s="5" t="str">
        <f>IF(D234&gt;0,"",
INDEX(entities[entity_id],MATCH('Customize code'!C234,entities[custom entity '#],0))&amp;":")</f>
        <v/>
      </c>
      <c r="H234" s="5" t="str">
        <f>IF(F234=0,"",VLOOKUP(F234,'Customize code'!$M$8:$O$13,3,FALSE))</f>
        <v xml:space="preserve">  icon: </v>
      </c>
      <c r="I234" s="5" t="str">
        <f>IF(F234=0, "",  INDEX(entities[[hidden]:[icon]],  MATCH(C234,entities[custom entity '#],0),  'Customize code'!F234)  )</f>
        <v>mdi:lamp</v>
      </c>
      <c r="J234" s="5" t="str">
        <f t="shared" si="22"/>
        <v xml:space="preserve">  icon: mdi:lamp</v>
      </c>
      <c r="K234" s="5" t="str">
        <f t="shared" si="20"/>
        <v/>
      </c>
    </row>
    <row r="235" spans="2:11" x14ac:dyDescent="0.25">
      <c r="B235" s="5">
        <f t="shared" si="19"/>
        <v>229</v>
      </c>
      <c r="C235" s="5">
        <f t="shared" si="23"/>
        <v>98</v>
      </c>
      <c r="D235" s="14">
        <f t="shared" si="24"/>
        <v>0</v>
      </c>
      <c r="E235" s="14" t="str">
        <f>INDEX(entities[Attributes Index],MATCH('Customize code'!C235,entities[custom entity '#],0))</f>
        <v>26</v>
      </c>
      <c r="F235" s="14">
        <f t="shared" si="21"/>
        <v>0</v>
      </c>
      <c r="G235" s="5" t="str">
        <f>IF(D235&gt;0,"",
INDEX(entities[entity_id],MATCH('Customize code'!C235,entities[custom entity '#],0))&amp;":")</f>
        <v>switch.multi_sensor_4:</v>
      </c>
      <c r="H235" s="5" t="str">
        <f>IF(F235=0,"",VLOOKUP(F235,'Customize code'!$M$8:$O$13,3,FALSE))</f>
        <v/>
      </c>
      <c r="I235" s="5" t="str">
        <f>IF(F235=0, "",  INDEX(entities[[hidden]:[icon]],  MATCH(C235,entities[custom entity '#],0),  'Customize code'!F235)  )</f>
        <v/>
      </c>
      <c r="J235" s="5" t="str">
        <f t="shared" si="22"/>
        <v>switch.multi_sensor_4:</v>
      </c>
      <c r="K235" s="5" t="str">
        <f t="shared" si="20"/>
        <v/>
      </c>
    </row>
    <row r="236" spans="2:11" x14ac:dyDescent="0.25">
      <c r="B236" s="5">
        <f t="shared" si="19"/>
        <v>230</v>
      </c>
      <c r="C236" s="5">
        <f t="shared" si="23"/>
        <v>98</v>
      </c>
      <c r="D236" s="14">
        <f t="shared" si="24"/>
        <v>1</v>
      </c>
      <c r="E236" s="14" t="str">
        <f>INDEX(entities[Attributes Index],MATCH('Customize code'!C236,entities[custom entity '#],0))</f>
        <v>26</v>
      </c>
      <c r="F236" s="14">
        <f t="shared" si="21"/>
        <v>2</v>
      </c>
      <c r="G236" s="5" t="str">
        <f>IF(D236&gt;0,"",
INDEX(entities[entity_id],MATCH('Customize code'!C236,entities[custom entity '#],0))&amp;":")</f>
        <v/>
      </c>
      <c r="H236" s="5" t="str">
        <f>IF(F236=0,"",VLOOKUP(F236,'Customize code'!$M$8:$O$13,3,FALSE))</f>
        <v xml:space="preserve">  friendly_name: </v>
      </c>
      <c r="I236" s="5" t="str">
        <f>IF(F236=0, "",  INDEX(entities[[hidden]:[icon]],  MATCH(C236,entities[custom entity '#],0),  'Customize code'!F236)  )</f>
        <v>Multi-Sensor</v>
      </c>
      <c r="J236" s="5" t="str">
        <f t="shared" si="22"/>
        <v xml:space="preserve">  friendly_name: Multi-Sensor</v>
      </c>
      <c r="K236" s="5" t="str">
        <f t="shared" si="20"/>
        <v/>
      </c>
    </row>
    <row r="237" spans="2:11" x14ac:dyDescent="0.25">
      <c r="B237" s="5">
        <f t="shared" si="19"/>
        <v>231</v>
      </c>
      <c r="C237" s="5">
        <f t="shared" si="23"/>
        <v>98</v>
      </c>
      <c r="D237" s="14">
        <f t="shared" si="24"/>
        <v>2</v>
      </c>
      <c r="E237" s="14" t="str">
        <f>INDEX(entities[Attributes Index],MATCH('Customize code'!C237,entities[custom entity '#],0))</f>
        <v>26</v>
      </c>
      <c r="F237" s="14">
        <f t="shared" si="21"/>
        <v>6</v>
      </c>
      <c r="G237" s="5" t="str">
        <f>IF(D237&gt;0,"",
INDEX(entities[entity_id],MATCH('Customize code'!C237,entities[custom entity '#],0))&amp;":")</f>
        <v/>
      </c>
      <c r="H237" s="5" t="str">
        <f>IF(F237=0,"",VLOOKUP(F237,'Customize code'!$M$8:$O$13,3,FALSE))</f>
        <v xml:space="preserve">  icon: </v>
      </c>
      <c r="I237" s="5" t="str">
        <f>IF(F237=0, "",  INDEX(entities[[hidden]:[icon]],  MATCH(C237,entities[custom entity '#],0),  'Customize code'!F237)  )</f>
        <v>mdi:toggle-switch</v>
      </c>
      <c r="J237" s="5" t="str">
        <f t="shared" si="22"/>
        <v xml:space="preserve">  icon: mdi:toggle-switch</v>
      </c>
      <c r="K237" s="5" t="str">
        <f t="shared" si="20"/>
        <v/>
      </c>
    </row>
    <row r="238" spans="2:11" x14ac:dyDescent="0.25">
      <c r="B238" s="5">
        <f t="shared" si="19"/>
        <v>232</v>
      </c>
      <c r="C238" s="5">
        <f t="shared" si="23"/>
        <v>99</v>
      </c>
      <c r="D238" s="14">
        <f t="shared" si="24"/>
        <v>0</v>
      </c>
      <c r="E238" s="14" t="str">
        <f>INDEX(entities[Attributes Index],MATCH('Customize code'!C238,entities[custom entity '#],0))</f>
        <v>2</v>
      </c>
      <c r="F238" s="14">
        <f t="shared" si="21"/>
        <v>0</v>
      </c>
      <c r="G238" s="5" t="str">
        <f>IF(D238&gt;0,"",
INDEX(entities[entity_id],MATCH('Customize code'!C238,entities[custom entity '#],0))&amp;":")</f>
        <v>switch.smart_switch1_3:</v>
      </c>
      <c r="H238" s="5" t="str">
        <f>IF(F238=0,"",VLOOKUP(F238,'Customize code'!$M$8:$O$13,3,FALSE))</f>
        <v/>
      </c>
      <c r="I238" s="5" t="str">
        <f>IF(F238=0, "",  INDEX(entities[[hidden]:[icon]],  MATCH(C238,entities[custom entity '#],0),  'Customize code'!F238)  )</f>
        <v/>
      </c>
      <c r="J238" s="5" t="str">
        <f t="shared" si="22"/>
        <v>switch.smart_switch1_3:</v>
      </c>
      <c r="K238" s="5" t="str">
        <f t="shared" si="20"/>
        <v/>
      </c>
    </row>
    <row r="239" spans="2:11" x14ac:dyDescent="0.25">
      <c r="B239" s="5">
        <f t="shared" si="19"/>
        <v>233</v>
      </c>
      <c r="C239" s="5">
        <f t="shared" si="23"/>
        <v>99</v>
      </c>
      <c r="D239" s="14">
        <f t="shared" si="24"/>
        <v>1</v>
      </c>
      <c r="E239" s="14" t="str">
        <f>INDEX(entities[Attributes Index],MATCH('Customize code'!C239,entities[custom entity '#],0))</f>
        <v>2</v>
      </c>
      <c r="F239" s="14">
        <f t="shared" si="21"/>
        <v>2</v>
      </c>
      <c r="G239" s="5" t="str">
        <f>IF(D239&gt;0,"",
INDEX(entities[entity_id],MATCH('Customize code'!C239,entities[custom entity '#],0))&amp;":")</f>
        <v/>
      </c>
      <c r="H239" s="5" t="str">
        <f>IF(F239=0,"",VLOOKUP(F239,'Customize code'!$M$8:$O$13,3,FALSE))</f>
        <v xml:space="preserve">  friendly_name: </v>
      </c>
      <c r="I239" s="5" t="str">
        <f>IF(F239=0, "",  INDEX(entities[[hidden]:[icon]],  MATCH(C239,entities[custom entity '#],0),  'Customize code'!F239)  )</f>
        <v>tv_master</v>
      </c>
      <c r="J239" s="5" t="str">
        <f t="shared" si="22"/>
        <v xml:space="preserve">  friendly_name: tv_master</v>
      </c>
      <c r="K239" s="5" t="str">
        <f t="shared" si="20"/>
        <v/>
      </c>
    </row>
    <row r="240" spans="2:11" x14ac:dyDescent="0.25">
      <c r="B240" s="5">
        <f t="shared" si="19"/>
        <v>234</v>
      </c>
      <c r="C240" s="5">
        <f t="shared" si="23"/>
        <v>100</v>
      </c>
      <c r="D240" s="14">
        <f t="shared" si="24"/>
        <v>0</v>
      </c>
      <c r="E240" s="14" t="str">
        <f>INDEX(entities[Attributes Index],MATCH('Customize code'!C240,entities[custom entity '#],0))</f>
        <v>2</v>
      </c>
      <c r="F240" s="14">
        <f t="shared" si="21"/>
        <v>0</v>
      </c>
      <c r="G240" s="5" t="str">
        <f>IF(D240&gt;0,"",
INDEX(entities[entity_id],MATCH('Customize code'!C240,entities[custom entity '#],0))&amp;":")</f>
        <v>switch.smart_switch2_7:</v>
      </c>
      <c r="H240" s="5" t="str">
        <f>IF(F240=0,"",VLOOKUP(F240,'Customize code'!$M$8:$O$13,3,FALSE))</f>
        <v/>
      </c>
      <c r="I240" s="5" t="str">
        <f>IF(F240=0, "",  INDEX(entities[[hidden]:[icon]],  MATCH(C240,entities[custom entity '#],0),  'Customize code'!F240)  )</f>
        <v/>
      </c>
      <c r="J240" s="5" t="str">
        <f t="shared" si="22"/>
        <v>switch.smart_switch2_7:</v>
      </c>
      <c r="K240" s="5" t="str">
        <f t="shared" si="20"/>
        <v/>
      </c>
    </row>
    <row r="241" spans="2:11" x14ac:dyDescent="0.25">
      <c r="B241" s="5">
        <f t="shared" si="19"/>
        <v>235</v>
      </c>
      <c r="C241" s="5">
        <f t="shared" si="23"/>
        <v>100</v>
      </c>
      <c r="D241" s="14">
        <f t="shared" si="24"/>
        <v>1</v>
      </c>
      <c r="E241" s="14" t="str">
        <f>INDEX(entities[Attributes Index],MATCH('Customize code'!C241,entities[custom entity '#],0))</f>
        <v>2</v>
      </c>
      <c r="F241" s="14">
        <f t="shared" si="21"/>
        <v>2</v>
      </c>
      <c r="G241" s="5" t="str">
        <f>IF(D241&gt;0,"",
INDEX(entities[entity_id],MATCH('Customize code'!C241,entities[custom entity '#],0))&amp;":")</f>
        <v/>
      </c>
      <c r="H241" s="5" t="str">
        <f>IF(F241=0,"",VLOOKUP(F241,'Customize code'!$M$8:$O$13,3,FALSE))</f>
        <v xml:space="preserve">  friendly_name: </v>
      </c>
      <c r="I241" s="5" t="str">
        <f>IF(F241=0, "",  INDEX(entities[[hidden]:[icon]],  MATCH(C241,entities[custom entity '#],0),  'Customize code'!F241)  )</f>
        <v>humvee_monitor</v>
      </c>
      <c r="J241" s="5" t="str">
        <f t="shared" si="22"/>
        <v xml:space="preserve">  friendly_name: humvee_monitor</v>
      </c>
      <c r="K241" s="5" t="str">
        <f t="shared" si="20"/>
        <v/>
      </c>
    </row>
    <row r="242" spans="2:11" x14ac:dyDescent="0.25">
      <c r="B242" s="5">
        <f t="shared" si="19"/>
        <v>236</v>
      </c>
      <c r="C242" s="5">
        <f t="shared" si="23"/>
        <v>101</v>
      </c>
      <c r="D242" s="14">
        <f t="shared" si="24"/>
        <v>0</v>
      </c>
      <c r="E242" s="14" t="str">
        <f>INDEX(entities[Attributes Index],MATCH('Customize code'!C242,entities[custom entity '#],0))</f>
        <v>1</v>
      </c>
      <c r="F242" s="14">
        <f t="shared" si="21"/>
        <v>0</v>
      </c>
      <c r="G242" s="5" t="str">
        <f>IF(D242&gt;0,"",
INDEX(entities[entity_id],MATCH('Customize code'!C242,entities[custom entity '#],0))&amp;":")</f>
        <v>switch.switch4:</v>
      </c>
      <c r="H242" s="5" t="str">
        <f>IF(F242=0,"",VLOOKUP(F242,'Customize code'!$M$8:$O$13,3,FALSE))</f>
        <v/>
      </c>
      <c r="I242" s="5" t="str">
        <f>IF(F242=0, "",  INDEX(entities[[hidden]:[icon]],  MATCH(C242,entities[custom entity '#],0),  'Customize code'!F242)  )</f>
        <v/>
      </c>
      <c r="J242" s="5" t="str">
        <f t="shared" si="22"/>
        <v>switch.switch4:</v>
      </c>
      <c r="K242" s="5" t="str">
        <f t="shared" si="20"/>
        <v/>
      </c>
    </row>
    <row r="243" spans="2:11" x14ac:dyDescent="0.25">
      <c r="B243" s="5">
        <f t="shared" si="19"/>
        <v>237</v>
      </c>
      <c r="C243" s="5">
        <f t="shared" si="23"/>
        <v>101</v>
      </c>
      <c r="D243" s="14">
        <f t="shared" si="24"/>
        <v>1</v>
      </c>
      <c r="E243" s="14" t="str">
        <f>INDEX(entities[Attributes Index],MATCH('Customize code'!C243,entities[custom entity '#],0))</f>
        <v>1</v>
      </c>
      <c r="F243" s="14">
        <f t="shared" si="21"/>
        <v>1</v>
      </c>
      <c r="G243" s="5" t="str">
        <f>IF(D243&gt;0,"",
INDEX(entities[entity_id],MATCH('Customize code'!C243,entities[custom entity '#],0))&amp;":")</f>
        <v/>
      </c>
      <c r="H243" s="5" t="str">
        <f>IF(F243=0,"",VLOOKUP(F243,'Customize code'!$M$8:$O$13,3,FALSE))</f>
        <v xml:space="preserve">  hidden: </v>
      </c>
      <c r="I243" s="5" t="str">
        <f>IF(F243=0, "",  INDEX(entities[[hidden]:[icon]],  MATCH(C243,entities[custom entity '#],0),  'Customize code'!F243)  )</f>
        <v>true</v>
      </c>
      <c r="J243" s="5" t="str">
        <f t="shared" si="22"/>
        <v xml:space="preserve">  hidden: true</v>
      </c>
      <c r="K243" s="5" t="str">
        <f t="shared" si="20"/>
        <v/>
      </c>
    </row>
    <row r="244" spans="2:11" x14ac:dyDescent="0.25">
      <c r="B244" s="5">
        <f t="shared" si="19"/>
        <v>238</v>
      </c>
      <c r="C244" s="5">
        <f t="shared" si="23"/>
        <v>102</v>
      </c>
      <c r="D244" s="14">
        <f t="shared" si="24"/>
        <v>0</v>
      </c>
      <c r="E244" s="14" t="str">
        <f>INDEX(entities[Attributes Index],MATCH('Customize code'!C244,entities[custom entity '#],0))</f>
        <v>1</v>
      </c>
      <c r="F244" s="14">
        <f t="shared" si="21"/>
        <v>0</v>
      </c>
      <c r="G244" s="5" t="str">
        <f>IF(D244&gt;0,"",
INDEX(entities[entity_id],MATCH('Customize code'!C244,entities[custom entity '#],0))&amp;":")</f>
        <v>switch.switch5:</v>
      </c>
      <c r="H244" s="5" t="str">
        <f>IF(F244=0,"",VLOOKUP(F244,'Customize code'!$M$8:$O$13,3,FALSE))</f>
        <v/>
      </c>
      <c r="I244" s="5" t="str">
        <f>IF(F244=0, "",  INDEX(entities[[hidden]:[icon]],  MATCH(C244,entities[custom entity '#],0),  'Customize code'!F244)  )</f>
        <v/>
      </c>
      <c r="J244" s="5" t="str">
        <f t="shared" si="22"/>
        <v>switch.switch5:</v>
      </c>
      <c r="K244" s="5" t="str">
        <f t="shared" si="20"/>
        <v/>
      </c>
    </row>
    <row r="245" spans="2:11" x14ac:dyDescent="0.25">
      <c r="B245" s="5">
        <f t="shared" si="19"/>
        <v>239</v>
      </c>
      <c r="C245" s="5">
        <f t="shared" si="23"/>
        <v>102</v>
      </c>
      <c r="D245" s="14">
        <f t="shared" si="24"/>
        <v>1</v>
      </c>
      <c r="E245" s="14" t="str">
        <f>INDEX(entities[Attributes Index],MATCH('Customize code'!C245,entities[custom entity '#],0))</f>
        <v>1</v>
      </c>
      <c r="F245" s="14">
        <f t="shared" si="21"/>
        <v>1</v>
      </c>
      <c r="G245" s="5" t="str">
        <f>IF(D245&gt;0,"",
INDEX(entities[entity_id],MATCH('Customize code'!C245,entities[custom entity '#],0))&amp;":")</f>
        <v/>
      </c>
      <c r="H245" s="5" t="str">
        <f>IF(F245=0,"",VLOOKUP(F245,'Customize code'!$M$8:$O$13,3,FALSE))</f>
        <v xml:space="preserve">  hidden: </v>
      </c>
      <c r="I245" s="5" t="str">
        <f>IF(F245=0, "",  INDEX(entities[[hidden]:[icon]],  MATCH(C245,entities[custom entity '#],0),  'Customize code'!F245)  )</f>
        <v>true</v>
      </c>
      <c r="J245" s="5" t="str">
        <f t="shared" si="22"/>
        <v xml:space="preserve">  hidden: true</v>
      </c>
      <c r="K245" s="5" t="str">
        <f t="shared" si="20"/>
        <v/>
      </c>
    </row>
    <row r="246" spans="2:11" x14ac:dyDescent="0.25">
      <c r="B246" s="5">
        <f t="shared" si="19"/>
        <v>240</v>
      </c>
      <c r="C246" s="5">
        <f t="shared" si="23"/>
        <v>103</v>
      </c>
      <c r="D246" s="14">
        <f t="shared" si="24"/>
        <v>0</v>
      </c>
      <c r="E246" s="14" t="e">
        <f>INDEX(entities[Attributes Index],MATCH('Customize code'!C246,entities[custom entity '#],0))</f>
        <v>#N/A</v>
      </c>
      <c r="F246" s="14">
        <f t="shared" si="21"/>
        <v>0</v>
      </c>
      <c r="G246" s="5" t="e">
        <f>IF(D246&gt;0,"",
INDEX(entities[entity_id],MATCH('Customize code'!C246,entities[custom entity '#],0))&amp;":")</f>
        <v>#N/A</v>
      </c>
      <c r="H246" s="5" t="str">
        <f>IF(F246=0,"",VLOOKUP(F246,'Customize code'!$M$8:$O$13,3,FALSE))</f>
        <v/>
      </c>
      <c r="I246" s="5" t="str">
        <f>IF(F246=0, "",  INDEX(entities[[hidden]:[icon]],  MATCH(C246,entities[custom entity '#],0),  'Customize code'!F246)  )</f>
        <v/>
      </c>
      <c r="J246" s="5" t="str">
        <f t="shared" si="22"/>
        <v/>
      </c>
      <c r="K246" s="5" t="str">
        <f>IF(AND(NOT(ISNA(D246)),ISNA(E246)),"END","")</f>
        <v>END</v>
      </c>
    </row>
    <row r="247" spans="2:11" x14ac:dyDescent="0.25">
      <c r="B247" s="5">
        <f t="shared" si="19"/>
        <v>241</v>
      </c>
      <c r="C247" s="5" t="e">
        <f t="shared" si="23"/>
        <v>#N/A</v>
      </c>
      <c r="D247" s="14" t="e">
        <f t="shared" si="24"/>
        <v>#N/A</v>
      </c>
      <c r="E247" s="14" t="e">
        <f>INDEX(entities[Attributes Index],MATCH('Customize code'!C247,entities[custom entity '#],0))</f>
        <v>#N/A</v>
      </c>
      <c r="F247" s="14" t="e">
        <f t="shared" si="21"/>
        <v>#N/A</v>
      </c>
      <c r="G247" s="5" t="e">
        <f>IF(D247&gt;0,"",
INDEX(entities[entity_id],MATCH('Customize code'!C247,entities[custom entity '#],0))&amp;":")</f>
        <v>#N/A</v>
      </c>
      <c r="H247" s="5" t="e">
        <f>IF(F247=0,"",VLOOKUP(F247,'Customize code'!$M$8:$O$13,3,FALSE))</f>
        <v>#N/A</v>
      </c>
      <c r="I247" s="5" t="e">
        <f>IF(F247=0, "",  INDEX(entities[[hidden]:[icon]],  MATCH(C247,entities[custom entity '#],0),  'Customize code'!F247)  )</f>
        <v>#N/A</v>
      </c>
      <c r="J247" s="5" t="str">
        <f t="shared" si="22"/>
        <v/>
      </c>
      <c r="K247" s="5" t="str">
        <f t="shared" ref="K247:K310" si="25">IF(AND(NOT(ISNA(D247)),ISNA(E247)),"END","")</f>
        <v/>
      </c>
    </row>
    <row r="248" spans="2:11" x14ac:dyDescent="0.25">
      <c r="B248" s="5">
        <f t="shared" si="19"/>
        <v>242</v>
      </c>
      <c r="C248" s="5" t="e">
        <f t="shared" si="23"/>
        <v>#N/A</v>
      </c>
      <c r="D248" s="14" t="e">
        <f t="shared" si="24"/>
        <v>#N/A</v>
      </c>
      <c r="E248" s="14" t="e">
        <f>INDEX(entities[Attributes Index],MATCH('Customize code'!C248,entities[custom entity '#],0))</f>
        <v>#N/A</v>
      </c>
      <c r="F248" s="14" t="e">
        <f t="shared" si="21"/>
        <v>#N/A</v>
      </c>
      <c r="G248" s="5" t="e">
        <f>IF(D248&gt;0,"",
INDEX(entities[entity_id],MATCH('Customize code'!C248,entities[custom entity '#],0))&amp;":")</f>
        <v>#N/A</v>
      </c>
      <c r="H248" s="5" t="e">
        <f>IF(F248=0,"",VLOOKUP(F248,'Customize code'!$M$8:$O$13,3,FALSE))</f>
        <v>#N/A</v>
      </c>
      <c r="I248" s="5" t="e">
        <f>IF(F248=0, "",  INDEX(entities[[hidden]:[icon]],  MATCH(C248,entities[custom entity '#],0),  'Customize code'!F248)  )</f>
        <v>#N/A</v>
      </c>
      <c r="J248" s="5" t="str">
        <f t="shared" si="22"/>
        <v/>
      </c>
      <c r="K248" s="5" t="str">
        <f t="shared" si="25"/>
        <v/>
      </c>
    </row>
    <row r="249" spans="2:11" x14ac:dyDescent="0.25">
      <c r="B249" s="5">
        <f t="shared" si="19"/>
        <v>243</v>
      </c>
      <c r="C249" s="5" t="e">
        <f t="shared" si="23"/>
        <v>#N/A</v>
      </c>
      <c r="D249" s="14" t="e">
        <f t="shared" si="24"/>
        <v>#N/A</v>
      </c>
      <c r="E249" s="14" t="e">
        <f>INDEX(entities[Attributes Index],MATCH('Customize code'!C249,entities[custom entity '#],0))</f>
        <v>#N/A</v>
      </c>
      <c r="F249" s="14" t="e">
        <f t="shared" si="21"/>
        <v>#N/A</v>
      </c>
      <c r="G249" s="5" t="e">
        <f>IF(D249&gt;0,"",
INDEX(entities[entity_id],MATCH('Customize code'!C249,entities[custom entity '#],0))&amp;":")</f>
        <v>#N/A</v>
      </c>
      <c r="H249" s="5" t="e">
        <f>IF(F249=0,"",VLOOKUP(F249,'Customize code'!$M$8:$O$13,3,FALSE))</f>
        <v>#N/A</v>
      </c>
      <c r="I249" s="5" t="e">
        <f>IF(F249=0, "",  INDEX(entities[[hidden]:[icon]],  MATCH(C249,entities[custom entity '#],0),  'Customize code'!F249)  )</f>
        <v>#N/A</v>
      </c>
      <c r="J249" s="5" t="str">
        <f t="shared" si="22"/>
        <v/>
      </c>
      <c r="K249" s="5" t="str">
        <f t="shared" si="25"/>
        <v/>
      </c>
    </row>
    <row r="250" spans="2:11" x14ac:dyDescent="0.25">
      <c r="B250" s="5">
        <f t="shared" si="19"/>
        <v>244</v>
      </c>
      <c r="C250" s="5" t="e">
        <f t="shared" si="23"/>
        <v>#N/A</v>
      </c>
      <c r="D250" s="14" t="e">
        <f t="shared" si="24"/>
        <v>#N/A</v>
      </c>
      <c r="E250" s="14" t="e">
        <f>INDEX(entities[Attributes Index],MATCH('Customize code'!C250,entities[custom entity '#],0))</f>
        <v>#N/A</v>
      </c>
      <c r="F250" s="14" t="e">
        <f t="shared" si="21"/>
        <v>#N/A</v>
      </c>
      <c r="G250" s="5" t="e">
        <f>IF(D250&gt;0,"",
INDEX(entities[entity_id],MATCH('Customize code'!C250,entities[custom entity '#],0))&amp;":")</f>
        <v>#N/A</v>
      </c>
      <c r="H250" s="5" t="e">
        <f>IF(F250=0,"",VLOOKUP(F250,'Customize code'!$M$8:$O$13,3,FALSE))</f>
        <v>#N/A</v>
      </c>
      <c r="I250" s="5" t="e">
        <f>IF(F250=0, "",  INDEX(entities[[hidden]:[icon]],  MATCH(C250,entities[custom entity '#],0),  'Customize code'!F250)  )</f>
        <v>#N/A</v>
      </c>
      <c r="J250" s="5" t="str">
        <f t="shared" si="22"/>
        <v/>
      </c>
      <c r="K250" s="5" t="str">
        <f t="shared" si="25"/>
        <v/>
      </c>
    </row>
    <row r="251" spans="2:11" x14ac:dyDescent="0.25">
      <c r="B251" s="5">
        <f t="shared" si="19"/>
        <v>245</v>
      </c>
      <c r="C251" s="5" t="e">
        <f t="shared" si="23"/>
        <v>#N/A</v>
      </c>
      <c r="D251" s="14" t="e">
        <f t="shared" si="24"/>
        <v>#N/A</v>
      </c>
      <c r="E251" s="14" t="e">
        <f>INDEX(entities[Attributes Index],MATCH('Customize code'!C251,entities[custom entity '#],0))</f>
        <v>#N/A</v>
      </c>
      <c r="F251" s="14" t="e">
        <f t="shared" si="21"/>
        <v>#N/A</v>
      </c>
      <c r="G251" s="5" t="e">
        <f>IF(D251&gt;0,"",
INDEX(entities[entity_id],MATCH('Customize code'!C251,entities[custom entity '#],0))&amp;":")</f>
        <v>#N/A</v>
      </c>
      <c r="H251" s="5" t="e">
        <f>IF(F251=0,"",VLOOKUP(F251,'Customize code'!$M$8:$O$13,3,FALSE))</f>
        <v>#N/A</v>
      </c>
      <c r="I251" s="5" t="e">
        <f>IF(F251=0, "",  INDEX(entities[[hidden]:[icon]],  MATCH(C251,entities[custom entity '#],0),  'Customize code'!F251)  )</f>
        <v>#N/A</v>
      </c>
      <c r="J251" s="5" t="str">
        <f t="shared" si="22"/>
        <v/>
      </c>
      <c r="K251" s="5" t="str">
        <f t="shared" si="25"/>
        <v/>
      </c>
    </row>
    <row r="252" spans="2:11" x14ac:dyDescent="0.25">
      <c r="B252" s="5">
        <f t="shared" si="19"/>
        <v>246</v>
      </c>
      <c r="C252" s="5" t="e">
        <f t="shared" si="23"/>
        <v>#N/A</v>
      </c>
      <c r="D252" s="14" t="e">
        <f t="shared" si="24"/>
        <v>#N/A</v>
      </c>
      <c r="E252" s="14" t="e">
        <f>INDEX(entities[Attributes Index],MATCH('Customize code'!C252,entities[custom entity '#],0))</f>
        <v>#N/A</v>
      </c>
      <c r="F252" s="14" t="e">
        <f t="shared" si="21"/>
        <v>#N/A</v>
      </c>
      <c r="G252" s="5" t="e">
        <f>IF(D252&gt;0,"",
INDEX(entities[entity_id],MATCH('Customize code'!C252,entities[custom entity '#],0))&amp;":")</f>
        <v>#N/A</v>
      </c>
      <c r="H252" s="5" t="e">
        <f>IF(F252=0,"",VLOOKUP(F252,'Customize code'!$M$8:$O$13,3,FALSE))</f>
        <v>#N/A</v>
      </c>
      <c r="I252" s="5" t="e">
        <f>IF(F252=0, "",  INDEX(entities[[hidden]:[icon]],  MATCH(C252,entities[custom entity '#],0),  'Customize code'!F252)  )</f>
        <v>#N/A</v>
      </c>
      <c r="J252" s="5" t="str">
        <f t="shared" si="22"/>
        <v/>
      </c>
      <c r="K252" s="5" t="str">
        <f t="shared" si="25"/>
        <v/>
      </c>
    </row>
    <row r="253" spans="2:11" x14ac:dyDescent="0.25">
      <c r="B253" s="5">
        <f t="shared" si="19"/>
        <v>247</v>
      </c>
      <c r="C253" s="5" t="e">
        <f t="shared" si="23"/>
        <v>#N/A</v>
      </c>
      <c r="D253" s="14" t="e">
        <f t="shared" si="24"/>
        <v>#N/A</v>
      </c>
      <c r="E253" s="14" t="e">
        <f>INDEX(entities[Attributes Index],MATCH('Customize code'!C253,entities[custom entity '#],0))</f>
        <v>#N/A</v>
      </c>
      <c r="F253" s="14" t="e">
        <f t="shared" si="21"/>
        <v>#N/A</v>
      </c>
      <c r="G253" s="5" t="e">
        <f>IF(D253&gt;0,"",
INDEX(entities[entity_id],MATCH('Customize code'!C253,entities[custom entity '#],0))&amp;":")</f>
        <v>#N/A</v>
      </c>
      <c r="H253" s="5" t="e">
        <f>IF(F253=0,"",VLOOKUP(F253,'Customize code'!$M$8:$O$13,3,FALSE))</f>
        <v>#N/A</v>
      </c>
      <c r="I253" s="5" t="e">
        <f>IF(F253=0, "",  INDEX(entities[[hidden]:[icon]],  MATCH(C253,entities[custom entity '#],0),  'Customize code'!F253)  )</f>
        <v>#N/A</v>
      </c>
      <c r="J253" s="5" t="str">
        <f t="shared" si="22"/>
        <v/>
      </c>
      <c r="K253" s="5" t="str">
        <f t="shared" si="25"/>
        <v/>
      </c>
    </row>
    <row r="254" spans="2:11" x14ac:dyDescent="0.25">
      <c r="B254" s="5">
        <f t="shared" si="19"/>
        <v>248</v>
      </c>
      <c r="C254" s="5" t="e">
        <f t="shared" si="23"/>
        <v>#N/A</v>
      </c>
      <c r="D254" s="14" t="e">
        <f t="shared" si="24"/>
        <v>#N/A</v>
      </c>
      <c r="E254" s="14" t="e">
        <f>INDEX(entities[Attributes Index],MATCH('Customize code'!C254,entities[custom entity '#],0))</f>
        <v>#N/A</v>
      </c>
      <c r="F254" s="14" t="e">
        <f t="shared" si="21"/>
        <v>#N/A</v>
      </c>
      <c r="G254" s="5" t="e">
        <f>IF(D254&gt;0,"",
INDEX(entities[entity_id],MATCH('Customize code'!C254,entities[custom entity '#],0))&amp;":")</f>
        <v>#N/A</v>
      </c>
      <c r="H254" s="5" t="e">
        <f>IF(F254=0,"",VLOOKUP(F254,'Customize code'!$M$8:$O$13,3,FALSE))</f>
        <v>#N/A</v>
      </c>
      <c r="I254" s="5" t="e">
        <f>IF(F254=0, "",  INDEX(entities[[hidden]:[icon]],  MATCH(C254,entities[custom entity '#],0),  'Customize code'!F254)  )</f>
        <v>#N/A</v>
      </c>
      <c r="J254" s="5" t="str">
        <f t="shared" si="22"/>
        <v/>
      </c>
      <c r="K254" s="5" t="str">
        <f t="shared" si="25"/>
        <v/>
      </c>
    </row>
    <row r="255" spans="2:11" x14ac:dyDescent="0.25">
      <c r="B255" s="5">
        <f t="shared" si="19"/>
        <v>249</v>
      </c>
      <c r="C255" s="5" t="e">
        <f t="shared" si="23"/>
        <v>#N/A</v>
      </c>
      <c r="D255" s="14" t="e">
        <f t="shared" si="24"/>
        <v>#N/A</v>
      </c>
      <c r="E255" s="14" t="e">
        <f>INDEX(entities[Attributes Index],MATCH('Customize code'!C255,entities[custom entity '#],0))</f>
        <v>#N/A</v>
      </c>
      <c r="F255" s="14" t="e">
        <f t="shared" si="21"/>
        <v>#N/A</v>
      </c>
      <c r="G255" s="5" t="e">
        <f>IF(D255&gt;0,"",
INDEX(entities[entity_id],MATCH('Customize code'!C255,entities[custom entity '#],0))&amp;":")</f>
        <v>#N/A</v>
      </c>
      <c r="H255" s="5" t="e">
        <f>IF(F255=0,"",VLOOKUP(F255,'Customize code'!$M$8:$O$13,3,FALSE))</f>
        <v>#N/A</v>
      </c>
      <c r="I255" s="5" t="e">
        <f>IF(F255=0, "",  INDEX(entities[[hidden]:[icon]],  MATCH(C255,entities[custom entity '#],0),  'Customize code'!F255)  )</f>
        <v>#N/A</v>
      </c>
      <c r="J255" s="5" t="str">
        <f t="shared" si="22"/>
        <v/>
      </c>
      <c r="K255" s="5" t="str">
        <f t="shared" si="25"/>
        <v/>
      </c>
    </row>
    <row r="256" spans="2:11" x14ac:dyDescent="0.25">
      <c r="B256" s="5">
        <f t="shared" si="19"/>
        <v>250</v>
      </c>
      <c r="C256" s="5" t="e">
        <f t="shared" si="23"/>
        <v>#N/A</v>
      </c>
      <c r="D256" s="14" t="e">
        <f t="shared" si="24"/>
        <v>#N/A</v>
      </c>
      <c r="E256" s="14" t="e">
        <f>INDEX(entities[Attributes Index],MATCH('Customize code'!C256,entities[custom entity '#],0))</f>
        <v>#N/A</v>
      </c>
      <c r="F256" s="14" t="e">
        <f t="shared" si="21"/>
        <v>#N/A</v>
      </c>
      <c r="G256" s="5" t="e">
        <f>IF(D256&gt;0,"",
INDEX(entities[entity_id],MATCH('Customize code'!C256,entities[custom entity '#],0))&amp;":")</f>
        <v>#N/A</v>
      </c>
      <c r="H256" s="5" t="e">
        <f>IF(F256=0,"",VLOOKUP(F256,'Customize code'!$M$8:$O$13,3,FALSE))</f>
        <v>#N/A</v>
      </c>
      <c r="I256" s="5" t="e">
        <f>IF(F256=0, "",  INDEX(entities[[hidden]:[icon]],  MATCH(C256,entities[custom entity '#],0),  'Customize code'!F256)  )</f>
        <v>#N/A</v>
      </c>
      <c r="J256" s="5" t="str">
        <f t="shared" si="22"/>
        <v/>
      </c>
      <c r="K256" s="5" t="str">
        <f t="shared" si="25"/>
        <v/>
      </c>
    </row>
    <row r="257" spans="2:11" x14ac:dyDescent="0.25">
      <c r="B257" s="5">
        <f t="shared" si="19"/>
        <v>251</v>
      </c>
      <c r="C257" s="5" t="e">
        <f t="shared" si="23"/>
        <v>#N/A</v>
      </c>
      <c r="D257" s="14" t="e">
        <f t="shared" si="24"/>
        <v>#N/A</v>
      </c>
      <c r="E257" s="14" t="e">
        <f>INDEX(entities[Attributes Index],MATCH('Customize code'!C257,entities[custom entity '#],0))</f>
        <v>#N/A</v>
      </c>
      <c r="F257" s="14" t="e">
        <f t="shared" si="21"/>
        <v>#N/A</v>
      </c>
      <c r="G257" s="5" t="e">
        <f>IF(D257&gt;0,"",
INDEX(entities[entity_id],MATCH('Customize code'!C257,entities[custom entity '#],0))&amp;":")</f>
        <v>#N/A</v>
      </c>
      <c r="H257" s="5" t="e">
        <f>IF(F257=0,"",VLOOKUP(F257,'Customize code'!$M$8:$O$13,3,FALSE))</f>
        <v>#N/A</v>
      </c>
      <c r="I257" s="5" t="e">
        <f>IF(F257=0, "",  INDEX(entities[[hidden]:[icon]],  MATCH(C257,entities[custom entity '#],0),  'Customize code'!F257)  )</f>
        <v>#N/A</v>
      </c>
      <c r="J257" s="5" t="str">
        <f t="shared" si="22"/>
        <v/>
      </c>
      <c r="K257" s="5" t="str">
        <f t="shared" si="25"/>
        <v/>
      </c>
    </row>
    <row r="258" spans="2:11" x14ac:dyDescent="0.25">
      <c r="B258" s="5">
        <f t="shared" si="19"/>
        <v>252</v>
      </c>
      <c r="C258" s="5" t="e">
        <f t="shared" si="23"/>
        <v>#N/A</v>
      </c>
      <c r="D258" s="14" t="e">
        <f t="shared" si="24"/>
        <v>#N/A</v>
      </c>
      <c r="E258" s="14" t="e">
        <f>INDEX(entities[Attributes Index],MATCH('Customize code'!C258,entities[custom entity '#],0))</f>
        <v>#N/A</v>
      </c>
      <c r="F258" s="14" t="e">
        <f t="shared" si="21"/>
        <v>#N/A</v>
      </c>
      <c r="G258" s="5" t="e">
        <f>IF(D258&gt;0,"",
INDEX(entities[entity_id],MATCH('Customize code'!C258,entities[custom entity '#],0))&amp;":")</f>
        <v>#N/A</v>
      </c>
      <c r="H258" s="5" t="e">
        <f>IF(F258=0,"",VLOOKUP(F258,'Customize code'!$M$8:$O$13,3,FALSE))</f>
        <v>#N/A</v>
      </c>
      <c r="I258" s="5" t="e">
        <f>IF(F258=0, "",  INDEX(entities[[hidden]:[icon]],  MATCH(C258,entities[custom entity '#],0),  'Customize code'!F258)  )</f>
        <v>#N/A</v>
      </c>
      <c r="J258" s="5" t="str">
        <f t="shared" si="22"/>
        <v/>
      </c>
      <c r="K258" s="5" t="str">
        <f t="shared" si="25"/>
        <v/>
      </c>
    </row>
    <row r="259" spans="2:11" x14ac:dyDescent="0.25">
      <c r="B259" s="5">
        <f t="shared" si="19"/>
        <v>253</v>
      </c>
      <c r="C259" s="5" t="e">
        <f t="shared" si="23"/>
        <v>#N/A</v>
      </c>
      <c r="D259" s="14" t="e">
        <f t="shared" si="24"/>
        <v>#N/A</v>
      </c>
      <c r="E259" s="14" t="e">
        <f>INDEX(entities[Attributes Index],MATCH('Customize code'!C259,entities[custom entity '#],0))</f>
        <v>#N/A</v>
      </c>
      <c r="F259" s="14" t="e">
        <f t="shared" si="21"/>
        <v>#N/A</v>
      </c>
      <c r="G259" s="5" t="e">
        <f>IF(D259&gt;0,"",
INDEX(entities[entity_id],MATCH('Customize code'!C259,entities[custom entity '#],0))&amp;":")</f>
        <v>#N/A</v>
      </c>
      <c r="H259" s="5" t="e">
        <f>IF(F259=0,"",VLOOKUP(F259,'Customize code'!$M$8:$O$13,3,FALSE))</f>
        <v>#N/A</v>
      </c>
      <c r="I259" s="5" t="e">
        <f>IF(F259=0, "",  INDEX(entities[[hidden]:[icon]],  MATCH(C259,entities[custom entity '#],0),  'Customize code'!F259)  )</f>
        <v>#N/A</v>
      </c>
      <c r="J259" s="5" t="str">
        <f t="shared" si="22"/>
        <v/>
      </c>
      <c r="K259" s="5" t="str">
        <f t="shared" si="25"/>
        <v/>
      </c>
    </row>
    <row r="260" spans="2:11" x14ac:dyDescent="0.25">
      <c r="B260" s="5">
        <f t="shared" si="19"/>
        <v>254</v>
      </c>
      <c r="C260" s="5" t="e">
        <f t="shared" si="23"/>
        <v>#N/A</v>
      </c>
      <c r="D260" s="14" t="e">
        <f t="shared" si="24"/>
        <v>#N/A</v>
      </c>
      <c r="E260" s="14" t="e">
        <f>INDEX(entities[Attributes Index],MATCH('Customize code'!C260,entities[custom entity '#],0))</f>
        <v>#N/A</v>
      </c>
      <c r="F260" s="14" t="e">
        <f t="shared" si="21"/>
        <v>#N/A</v>
      </c>
      <c r="G260" s="5" t="e">
        <f>IF(D260&gt;0,"",
INDEX(entities[entity_id],MATCH('Customize code'!C260,entities[custom entity '#],0))&amp;":")</f>
        <v>#N/A</v>
      </c>
      <c r="H260" s="5" t="e">
        <f>IF(F260=0,"",VLOOKUP(F260,'Customize code'!$M$8:$O$13,3,FALSE))</f>
        <v>#N/A</v>
      </c>
      <c r="I260" s="5" t="e">
        <f>IF(F260=0, "",  INDEX(entities[[hidden]:[icon]],  MATCH(C260,entities[custom entity '#],0),  'Customize code'!F260)  )</f>
        <v>#N/A</v>
      </c>
      <c r="J260" s="5" t="str">
        <f t="shared" si="22"/>
        <v/>
      </c>
      <c r="K260" s="5" t="str">
        <f t="shared" si="25"/>
        <v/>
      </c>
    </row>
    <row r="261" spans="2:11" x14ac:dyDescent="0.25">
      <c r="B261" s="5">
        <f t="shared" si="19"/>
        <v>255</v>
      </c>
      <c r="C261" s="5" t="e">
        <f t="shared" si="23"/>
        <v>#N/A</v>
      </c>
      <c r="D261" s="14" t="e">
        <f t="shared" si="24"/>
        <v>#N/A</v>
      </c>
      <c r="E261" s="14" t="e">
        <f>INDEX(entities[Attributes Index],MATCH('Customize code'!C261,entities[custom entity '#],0))</f>
        <v>#N/A</v>
      </c>
      <c r="F261" s="14" t="e">
        <f t="shared" si="21"/>
        <v>#N/A</v>
      </c>
      <c r="G261" s="5" t="e">
        <f>IF(D261&gt;0,"",
INDEX(entities[entity_id],MATCH('Customize code'!C261,entities[custom entity '#],0))&amp;":")</f>
        <v>#N/A</v>
      </c>
      <c r="H261" s="5" t="e">
        <f>IF(F261=0,"",VLOOKUP(F261,'Customize code'!$M$8:$O$13,3,FALSE))</f>
        <v>#N/A</v>
      </c>
      <c r="I261" s="5" t="e">
        <f>IF(F261=0, "",  INDEX(entities[[hidden]:[icon]],  MATCH(C261,entities[custom entity '#],0),  'Customize code'!F261)  )</f>
        <v>#N/A</v>
      </c>
      <c r="J261" s="5" t="str">
        <f t="shared" si="22"/>
        <v/>
      </c>
      <c r="K261" s="5" t="str">
        <f t="shared" si="25"/>
        <v/>
      </c>
    </row>
    <row r="262" spans="2:11" x14ac:dyDescent="0.25">
      <c r="B262" s="5">
        <f t="shared" si="19"/>
        <v>256</v>
      </c>
      <c r="C262" s="5" t="e">
        <f t="shared" si="23"/>
        <v>#N/A</v>
      </c>
      <c r="D262" s="14" t="e">
        <f t="shared" si="24"/>
        <v>#N/A</v>
      </c>
      <c r="E262" s="14" t="e">
        <f>INDEX(entities[Attributes Index],MATCH('Customize code'!C262,entities[custom entity '#],0))</f>
        <v>#N/A</v>
      </c>
      <c r="F262" s="14" t="e">
        <f t="shared" si="21"/>
        <v>#N/A</v>
      </c>
      <c r="G262" s="5" t="e">
        <f>IF(D262&gt;0,"",
INDEX(entities[entity_id],MATCH('Customize code'!C262,entities[custom entity '#],0))&amp;":")</f>
        <v>#N/A</v>
      </c>
      <c r="H262" s="5" t="e">
        <f>IF(F262=0,"",VLOOKUP(F262,'Customize code'!$M$8:$O$13,3,FALSE))</f>
        <v>#N/A</v>
      </c>
      <c r="I262" s="5" t="e">
        <f>IF(F262=0, "",  INDEX(entities[[hidden]:[icon]],  MATCH(C262,entities[custom entity '#],0),  'Customize code'!F262)  )</f>
        <v>#N/A</v>
      </c>
      <c r="J262" s="5" t="str">
        <f t="shared" si="22"/>
        <v/>
      </c>
      <c r="K262" s="5" t="str">
        <f t="shared" si="25"/>
        <v/>
      </c>
    </row>
    <row r="263" spans="2:11" x14ac:dyDescent="0.25">
      <c r="B263" s="5">
        <f t="shared" si="19"/>
        <v>257</v>
      </c>
      <c r="C263" s="5" t="e">
        <f t="shared" si="23"/>
        <v>#N/A</v>
      </c>
      <c r="D263" s="14" t="e">
        <f t="shared" si="24"/>
        <v>#N/A</v>
      </c>
      <c r="E263" s="14" t="e">
        <f>INDEX(entities[Attributes Index],MATCH('Customize code'!C263,entities[custom entity '#],0))</f>
        <v>#N/A</v>
      </c>
      <c r="F263" s="14" t="e">
        <f t="shared" si="21"/>
        <v>#N/A</v>
      </c>
      <c r="G263" s="5" t="e">
        <f>IF(D263&gt;0,"",
INDEX(entities[entity_id],MATCH('Customize code'!C263,entities[custom entity '#],0))&amp;":")</f>
        <v>#N/A</v>
      </c>
      <c r="H263" s="5" t="e">
        <f>IF(F263=0,"",VLOOKUP(F263,'Customize code'!$M$8:$O$13,3,FALSE))</f>
        <v>#N/A</v>
      </c>
      <c r="I263" s="5" t="e">
        <f>IF(F263=0, "",  INDEX(entities[[hidden]:[icon]],  MATCH(C263,entities[custom entity '#],0),  'Customize code'!F263)  )</f>
        <v>#N/A</v>
      </c>
      <c r="J263" s="5" t="str">
        <f t="shared" si="22"/>
        <v/>
      </c>
      <c r="K263" s="5" t="str">
        <f t="shared" si="25"/>
        <v/>
      </c>
    </row>
    <row r="264" spans="2:11" x14ac:dyDescent="0.25">
      <c r="B264" s="5">
        <f t="shared" ref="B264:B327" si="26">B263+1</f>
        <v>258</v>
      </c>
      <c r="C264" s="5" t="e">
        <f t="shared" si="23"/>
        <v>#N/A</v>
      </c>
      <c r="D264" s="14" t="e">
        <f t="shared" si="24"/>
        <v>#N/A</v>
      </c>
      <c r="E264" s="14" t="e">
        <f>INDEX(entities[Attributes Index],MATCH('Customize code'!C264,entities[custom entity '#],0))</f>
        <v>#N/A</v>
      </c>
      <c r="F264" s="14" t="e">
        <f t="shared" si="21"/>
        <v>#N/A</v>
      </c>
      <c r="G264" s="5" t="e">
        <f>IF(D264&gt;0,"",
INDEX(entities[entity_id],MATCH('Customize code'!C264,entities[custom entity '#],0))&amp;":")</f>
        <v>#N/A</v>
      </c>
      <c r="H264" s="5" t="e">
        <f>IF(F264=0,"",VLOOKUP(F264,'Customize code'!$M$8:$O$13,3,FALSE))</f>
        <v>#N/A</v>
      </c>
      <c r="I264" s="5" t="e">
        <f>IF(F264=0, "",  INDEX(entities[[hidden]:[icon]],  MATCH(C264,entities[custom entity '#],0),  'Customize code'!F264)  )</f>
        <v>#N/A</v>
      </c>
      <c r="J264" s="5" t="str">
        <f t="shared" si="22"/>
        <v/>
      </c>
      <c r="K264" s="5" t="str">
        <f t="shared" si="25"/>
        <v/>
      </c>
    </row>
    <row r="265" spans="2:11" x14ac:dyDescent="0.25">
      <c r="B265" s="5">
        <f t="shared" si="26"/>
        <v>259</v>
      </c>
      <c r="C265" s="5" t="e">
        <f t="shared" si="23"/>
        <v>#N/A</v>
      </c>
      <c r="D265" s="14" t="e">
        <f t="shared" si="24"/>
        <v>#N/A</v>
      </c>
      <c r="E265" s="14" t="e">
        <f>INDEX(entities[Attributes Index],MATCH('Customize code'!C265,entities[custom entity '#],0))</f>
        <v>#N/A</v>
      </c>
      <c r="F265" s="14" t="e">
        <f t="shared" ref="F265:F328" si="27">IF(D265=0,0,  VALUE(MID(E265,D265,1)))</f>
        <v>#N/A</v>
      </c>
      <c r="G265" s="5" t="e">
        <f>IF(D265&gt;0,"",
INDEX(entities[entity_id],MATCH('Customize code'!C265,entities[custom entity '#],0))&amp;":")</f>
        <v>#N/A</v>
      </c>
      <c r="H265" s="5" t="e">
        <f>IF(F265=0,"",VLOOKUP(F265,'Customize code'!$M$8:$O$13,3,FALSE))</f>
        <v>#N/A</v>
      </c>
      <c r="I265" s="5" t="e">
        <f>IF(F265=0, "",  INDEX(entities[[hidden]:[icon]],  MATCH(C265,entities[custom entity '#],0),  'Customize code'!F265)  )</f>
        <v>#N/A</v>
      </c>
      <c r="J265" s="5" t="str">
        <f t="shared" si="22"/>
        <v/>
      </c>
      <c r="K265" s="5" t="str">
        <f t="shared" si="25"/>
        <v/>
      </c>
    </row>
    <row r="266" spans="2:11" x14ac:dyDescent="0.25">
      <c r="B266" s="5">
        <f t="shared" si="26"/>
        <v>260</v>
      </c>
      <c r="C266" s="5" t="e">
        <f t="shared" si="23"/>
        <v>#N/A</v>
      </c>
      <c r="D266" s="14" t="e">
        <f t="shared" si="24"/>
        <v>#N/A</v>
      </c>
      <c r="E266" s="14" t="e">
        <f>INDEX(entities[Attributes Index],MATCH('Customize code'!C266,entities[custom entity '#],0))</f>
        <v>#N/A</v>
      </c>
      <c r="F266" s="14" t="e">
        <f t="shared" si="27"/>
        <v>#N/A</v>
      </c>
      <c r="G266" s="5" t="e">
        <f>IF(D266&gt;0,"",
INDEX(entities[entity_id],MATCH('Customize code'!C266,entities[custom entity '#],0))&amp;":")</f>
        <v>#N/A</v>
      </c>
      <c r="H266" s="5" t="e">
        <f>IF(F266=0,"",VLOOKUP(F266,'Customize code'!$M$8:$O$13,3,FALSE))</f>
        <v>#N/A</v>
      </c>
      <c r="I266" s="5" t="e">
        <f>IF(F266=0, "",  INDEX(entities[[hidden]:[icon]],  MATCH(C266,entities[custom entity '#],0),  'Customize code'!F266)  )</f>
        <v>#N/A</v>
      </c>
      <c r="J266" s="5" t="str">
        <f t="shared" ref="J266:J329" si="28">_xlfn.IFNA(  G266&amp;H266&amp;I266,  "")</f>
        <v/>
      </c>
      <c r="K266" s="5" t="str">
        <f t="shared" si="25"/>
        <v/>
      </c>
    </row>
    <row r="267" spans="2:11" x14ac:dyDescent="0.25">
      <c r="B267" s="5">
        <f t="shared" si="26"/>
        <v>261</v>
      </c>
      <c r="C267" s="5" t="e">
        <f t="shared" ref="C267:C330" si="29">IF(D266=LEN(E266),  C266+1,  C266)</f>
        <v>#N/A</v>
      </c>
      <c r="D267" s="14" t="e">
        <f t="shared" ref="D267:D330" si="30">IF(C266&lt;&gt;C267,  0,  D266+1)</f>
        <v>#N/A</v>
      </c>
      <c r="E267" s="14" t="e">
        <f>INDEX(entities[Attributes Index],MATCH('Customize code'!C267,entities[custom entity '#],0))</f>
        <v>#N/A</v>
      </c>
      <c r="F267" s="14" t="e">
        <f t="shared" si="27"/>
        <v>#N/A</v>
      </c>
      <c r="G267" s="5" t="e">
        <f>IF(D267&gt;0,"",
INDEX(entities[entity_id],MATCH('Customize code'!C267,entities[custom entity '#],0))&amp;":")</f>
        <v>#N/A</v>
      </c>
      <c r="H267" s="5" t="e">
        <f>IF(F267=0,"",VLOOKUP(F267,'Customize code'!$M$8:$O$13,3,FALSE))</f>
        <v>#N/A</v>
      </c>
      <c r="I267" s="5" t="e">
        <f>IF(F267=0, "",  INDEX(entities[[hidden]:[icon]],  MATCH(C267,entities[custom entity '#],0),  'Customize code'!F267)  )</f>
        <v>#N/A</v>
      </c>
      <c r="J267" s="5" t="str">
        <f t="shared" si="28"/>
        <v/>
      </c>
      <c r="K267" s="5" t="str">
        <f t="shared" si="25"/>
        <v/>
      </c>
    </row>
    <row r="268" spans="2:11" x14ac:dyDescent="0.25">
      <c r="B268" s="5">
        <f t="shared" si="26"/>
        <v>262</v>
      </c>
      <c r="C268" s="5" t="e">
        <f t="shared" si="29"/>
        <v>#N/A</v>
      </c>
      <c r="D268" s="14" t="e">
        <f t="shared" si="30"/>
        <v>#N/A</v>
      </c>
      <c r="E268" s="14" t="e">
        <f>INDEX(entities[Attributes Index],MATCH('Customize code'!C268,entities[custom entity '#],0))</f>
        <v>#N/A</v>
      </c>
      <c r="F268" s="14" t="e">
        <f t="shared" si="27"/>
        <v>#N/A</v>
      </c>
      <c r="G268" s="5" t="e">
        <f>IF(D268&gt;0,"",
INDEX(entities[entity_id],MATCH('Customize code'!C268,entities[custom entity '#],0))&amp;":")</f>
        <v>#N/A</v>
      </c>
      <c r="H268" s="5" t="e">
        <f>IF(F268=0,"",VLOOKUP(F268,'Customize code'!$M$8:$O$13,3,FALSE))</f>
        <v>#N/A</v>
      </c>
      <c r="I268" s="5" t="e">
        <f>IF(F268=0, "",  INDEX(entities[[hidden]:[icon]],  MATCH(C268,entities[custom entity '#],0),  'Customize code'!F268)  )</f>
        <v>#N/A</v>
      </c>
      <c r="J268" s="5" t="str">
        <f t="shared" si="28"/>
        <v/>
      </c>
      <c r="K268" s="5" t="str">
        <f t="shared" si="25"/>
        <v/>
      </c>
    </row>
    <row r="269" spans="2:11" x14ac:dyDescent="0.25">
      <c r="B269" s="5">
        <f t="shared" si="26"/>
        <v>263</v>
      </c>
      <c r="C269" s="5" t="e">
        <f t="shared" si="29"/>
        <v>#N/A</v>
      </c>
      <c r="D269" s="14" t="e">
        <f t="shared" si="30"/>
        <v>#N/A</v>
      </c>
      <c r="E269" s="14" t="e">
        <f>INDEX(entities[Attributes Index],MATCH('Customize code'!C269,entities[custom entity '#],0))</f>
        <v>#N/A</v>
      </c>
      <c r="F269" s="14" t="e">
        <f t="shared" si="27"/>
        <v>#N/A</v>
      </c>
      <c r="G269" s="5" t="e">
        <f>IF(D269&gt;0,"",
INDEX(entities[entity_id],MATCH('Customize code'!C269,entities[custom entity '#],0))&amp;":")</f>
        <v>#N/A</v>
      </c>
      <c r="H269" s="5" t="e">
        <f>IF(F269=0,"",VLOOKUP(F269,'Customize code'!$M$8:$O$13,3,FALSE))</f>
        <v>#N/A</v>
      </c>
      <c r="I269" s="5" t="e">
        <f>IF(F269=0, "",  INDEX(entities[[hidden]:[icon]],  MATCH(C269,entities[custom entity '#],0),  'Customize code'!F269)  )</f>
        <v>#N/A</v>
      </c>
      <c r="J269" s="5" t="str">
        <f t="shared" si="28"/>
        <v/>
      </c>
      <c r="K269" s="5" t="str">
        <f t="shared" si="25"/>
        <v/>
      </c>
    </row>
    <row r="270" spans="2:11" x14ac:dyDescent="0.25">
      <c r="B270" s="5">
        <f t="shared" si="26"/>
        <v>264</v>
      </c>
      <c r="C270" s="5" t="e">
        <f t="shared" si="29"/>
        <v>#N/A</v>
      </c>
      <c r="D270" s="14" t="e">
        <f t="shared" si="30"/>
        <v>#N/A</v>
      </c>
      <c r="E270" s="14" t="e">
        <f>INDEX(entities[Attributes Index],MATCH('Customize code'!C270,entities[custom entity '#],0))</f>
        <v>#N/A</v>
      </c>
      <c r="F270" s="14" t="e">
        <f t="shared" si="27"/>
        <v>#N/A</v>
      </c>
      <c r="G270" s="5" t="e">
        <f>IF(D270&gt;0,"",
INDEX(entities[entity_id],MATCH('Customize code'!C270,entities[custom entity '#],0))&amp;":")</f>
        <v>#N/A</v>
      </c>
      <c r="H270" s="5" t="e">
        <f>IF(F270=0,"",VLOOKUP(F270,'Customize code'!$M$8:$O$13,3,FALSE))</f>
        <v>#N/A</v>
      </c>
      <c r="I270" s="5" t="e">
        <f>IF(F270=0, "",  INDEX(entities[[hidden]:[icon]],  MATCH(C270,entities[custom entity '#],0),  'Customize code'!F270)  )</f>
        <v>#N/A</v>
      </c>
      <c r="J270" s="5" t="str">
        <f t="shared" si="28"/>
        <v/>
      </c>
      <c r="K270" s="5" t="str">
        <f t="shared" si="25"/>
        <v/>
      </c>
    </row>
    <row r="271" spans="2:11" x14ac:dyDescent="0.25">
      <c r="B271" s="5">
        <f t="shared" si="26"/>
        <v>265</v>
      </c>
      <c r="C271" s="5" t="e">
        <f t="shared" si="29"/>
        <v>#N/A</v>
      </c>
      <c r="D271" s="14" t="e">
        <f t="shared" si="30"/>
        <v>#N/A</v>
      </c>
      <c r="E271" s="14" t="e">
        <f>INDEX(entities[Attributes Index],MATCH('Customize code'!C271,entities[custom entity '#],0))</f>
        <v>#N/A</v>
      </c>
      <c r="F271" s="14" t="e">
        <f t="shared" si="27"/>
        <v>#N/A</v>
      </c>
      <c r="G271" s="5" t="e">
        <f>IF(D271&gt;0,"",
INDEX(entities[entity_id],MATCH('Customize code'!C271,entities[custom entity '#],0))&amp;":")</f>
        <v>#N/A</v>
      </c>
      <c r="H271" s="5" t="e">
        <f>IF(F271=0,"",VLOOKUP(F271,'Customize code'!$M$8:$O$13,3,FALSE))</f>
        <v>#N/A</v>
      </c>
      <c r="I271" s="5" t="e">
        <f>IF(F271=0, "",  INDEX(entities[[hidden]:[icon]],  MATCH(C271,entities[custom entity '#],0),  'Customize code'!F271)  )</f>
        <v>#N/A</v>
      </c>
      <c r="J271" s="5" t="str">
        <f t="shared" si="28"/>
        <v/>
      </c>
      <c r="K271" s="5" t="str">
        <f t="shared" si="25"/>
        <v/>
      </c>
    </row>
    <row r="272" spans="2:11" x14ac:dyDescent="0.25">
      <c r="B272" s="5">
        <f t="shared" si="26"/>
        <v>266</v>
      </c>
      <c r="C272" s="5" t="e">
        <f t="shared" si="29"/>
        <v>#N/A</v>
      </c>
      <c r="D272" s="14" t="e">
        <f t="shared" si="30"/>
        <v>#N/A</v>
      </c>
      <c r="E272" s="14" t="e">
        <f>INDEX(entities[Attributes Index],MATCH('Customize code'!C272,entities[custom entity '#],0))</f>
        <v>#N/A</v>
      </c>
      <c r="F272" s="14" t="e">
        <f t="shared" si="27"/>
        <v>#N/A</v>
      </c>
      <c r="G272" s="5" t="e">
        <f>IF(D272&gt;0,"",
INDEX(entities[entity_id],MATCH('Customize code'!C272,entities[custom entity '#],0))&amp;":")</f>
        <v>#N/A</v>
      </c>
      <c r="H272" s="5" t="e">
        <f>IF(F272=0,"",VLOOKUP(F272,'Customize code'!$M$8:$O$13,3,FALSE))</f>
        <v>#N/A</v>
      </c>
      <c r="I272" s="5" t="e">
        <f>IF(F272=0, "",  INDEX(entities[[hidden]:[icon]],  MATCH(C272,entities[custom entity '#],0),  'Customize code'!F272)  )</f>
        <v>#N/A</v>
      </c>
      <c r="J272" s="5" t="str">
        <f t="shared" si="28"/>
        <v/>
      </c>
      <c r="K272" s="5" t="str">
        <f t="shared" si="25"/>
        <v/>
      </c>
    </row>
    <row r="273" spans="2:11" x14ac:dyDescent="0.25">
      <c r="B273" s="5">
        <f t="shared" si="26"/>
        <v>267</v>
      </c>
      <c r="C273" s="5" t="e">
        <f t="shared" si="29"/>
        <v>#N/A</v>
      </c>
      <c r="D273" s="14" t="e">
        <f t="shared" si="30"/>
        <v>#N/A</v>
      </c>
      <c r="E273" s="14" t="e">
        <f>INDEX(entities[Attributes Index],MATCH('Customize code'!C273,entities[custom entity '#],0))</f>
        <v>#N/A</v>
      </c>
      <c r="F273" s="14" t="e">
        <f t="shared" si="27"/>
        <v>#N/A</v>
      </c>
      <c r="G273" s="5" t="e">
        <f>IF(D273&gt;0,"",
INDEX(entities[entity_id],MATCH('Customize code'!C273,entities[custom entity '#],0))&amp;":")</f>
        <v>#N/A</v>
      </c>
      <c r="H273" s="5" t="e">
        <f>IF(F273=0,"",VLOOKUP(F273,'Customize code'!$M$8:$O$13,3,FALSE))</f>
        <v>#N/A</v>
      </c>
      <c r="I273" s="5" t="e">
        <f>IF(F273=0, "",  INDEX(entities[[hidden]:[icon]],  MATCH(C273,entities[custom entity '#],0),  'Customize code'!F273)  )</f>
        <v>#N/A</v>
      </c>
      <c r="J273" s="5" t="str">
        <f t="shared" si="28"/>
        <v/>
      </c>
      <c r="K273" s="5" t="str">
        <f t="shared" si="25"/>
        <v/>
      </c>
    </row>
    <row r="274" spans="2:11" x14ac:dyDescent="0.25">
      <c r="B274" s="5">
        <f t="shared" si="26"/>
        <v>268</v>
      </c>
      <c r="C274" s="5" t="e">
        <f t="shared" si="29"/>
        <v>#N/A</v>
      </c>
      <c r="D274" s="14" t="e">
        <f t="shared" si="30"/>
        <v>#N/A</v>
      </c>
      <c r="E274" s="14" t="e">
        <f>INDEX(entities[Attributes Index],MATCH('Customize code'!C274,entities[custom entity '#],0))</f>
        <v>#N/A</v>
      </c>
      <c r="F274" s="14" t="e">
        <f t="shared" si="27"/>
        <v>#N/A</v>
      </c>
      <c r="G274" s="5" t="e">
        <f>IF(D274&gt;0,"",
INDEX(entities[entity_id],MATCH('Customize code'!C274,entities[custom entity '#],0))&amp;":")</f>
        <v>#N/A</v>
      </c>
      <c r="H274" s="5" t="e">
        <f>IF(F274=0,"",VLOOKUP(F274,'Customize code'!$M$8:$O$13,3,FALSE))</f>
        <v>#N/A</v>
      </c>
      <c r="I274" s="5" t="e">
        <f>IF(F274=0, "",  INDEX(entities[[hidden]:[icon]],  MATCH(C274,entities[custom entity '#],0),  'Customize code'!F274)  )</f>
        <v>#N/A</v>
      </c>
      <c r="J274" s="5" t="str">
        <f t="shared" si="28"/>
        <v/>
      </c>
      <c r="K274" s="5" t="str">
        <f t="shared" si="25"/>
        <v/>
      </c>
    </row>
    <row r="275" spans="2:11" x14ac:dyDescent="0.25">
      <c r="B275" s="5">
        <f t="shared" si="26"/>
        <v>269</v>
      </c>
      <c r="C275" s="5" t="e">
        <f t="shared" si="29"/>
        <v>#N/A</v>
      </c>
      <c r="D275" s="14" t="e">
        <f t="shared" si="30"/>
        <v>#N/A</v>
      </c>
      <c r="E275" s="14" t="e">
        <f>INDEX(entities[Attributes Index],MATCH('Customize code'!C275,entities[custom entity '#],0))</f>
        <v>#N/A</v>
      </c>
      <c r="F275" s="14" t="e">
        <f t="shared" si="27"/>
        <v>#N/A</v>
      </c>
      <c r="G275" s="5" t="e">
        <f>IF(D275&gt;0,"",
INDEX(entities[entity_id],MATCH('Customize code'!C275,entities[custom entity '#],0))&amp;":")</f>
        <v>#N/A</v>
      </c>
      <c r="H275" s="5" t="e">
        <f>IF(F275=0,"",VLOOKUP(F275,'Customize code'!$M$8:$O$13,3,FALSE))</f>
        <v>#N/A</v>
      </c>
      <c r="I275" s="5" t="e">
        <f>IF(F275=0, "",  INDEX(entities[[hidden]:[icon]],  MATCH(C275,entities[custom entity '#],0),  'Customize code'!F275)  )</f>
        <v>#N/A</v>
      </c>
      <c r="J275" s="5" t="str">
        <f t="shared" si="28"/>
        <v/>
      </c>
      <c r="K275" s="5" t="str">
        <f t="shared" si="25"/>
        <v/>
      </c>
    </row>
    <row r="276" spans="2:11" x14ac:dyDescent="0.25">
      <c r="B276" s="5">
        <f t="shared" si="26"/>
        <v>270</v>
      </c>
      <c r="C276" s="5" t="e">
        <f t="shared" si="29"/>
        <v>#N/A</v>
      </c>
      <c r="D276" s="14" t="e">
        <f t="shared" si="30"/>
        <v>#N/A</v>
      </c>
      <c r="E276" s="14" t="e">
        <f>INDEX(entities[Attributes Index],MATCH('Customize code'!C276,entities[custom entity '#],0))</f>
        <v>#N/A</v>
      </c>
      <c r="F276" s="14" t="e">
        <f t="shared" si="27"/>
        <v>#N/A</v>
      </c>
      <c r="G276" s="5" t="e">
        <f>IF(D276&gt;0,"",
INDEX(entities[entity_id],MATCH('Customize code'!C276,entities[custom entity '#],0))&amp;":")</f>
        <v>#N/A</v>
      </c>
      <c r="H276" s="5" t="e">
        <f>IF(F276=0,"",VLOOKUP(F276,'Customize code'!$M$8:$O$13,3,FALSE))</f>
        <v>#N/A</v>
      </c>
      <c r="I276" s="5" t="e">
        <f>IF(F276=0, "",  INDEX(entities[[hidden]:[icon]],  MATCH(C276,entities[custom entity '#],0),  'Customize code'!F276)  )</f>
        <v>#N/A</v>
      </c>
      <c r="J276" s="5" t="str">
        <f t="shared" si="28"/>
        <v/>
      </c>
      <c r="K276" s="5" t="str">
        <f t="shared" si="25"/>
        <v/>
      </c>
    </row>
    <row r="277" spans="2:11" x14ac:dyDescent="0.25">
      <c r="B277" s="5">
        <f t="shared" si="26"/>
        <v>271</v>
      </c>
      <c r="C277" s="5" t="e">
        <f t="shared" si="29"/>
        <v>#N/A</v>
      </c>
      <c r="D277" s="14" t="e">
        <f t="shared" si="30"/>
        <v>#N/A</v>
      </c>
      <c r="E277" s="14" t="e">
        <f>INDEX(entities[Attributes Index],MATCH('Customize code'!C277,entities[custom entity '#],0))</f>
        <v>#N/A</v>
      </c>
      <c r="F277" s="14" t="e">
        <f t="shared" si="27"/>
        <v>#N/A</v>
      </c>
      <c r="G277" s="5" t="e">
        <f>IF(D277&gt;0,"",
INDEX(entities[entity_id],MATCH('Customize code'!C277,entities[custom entity '#],0))&amp;":")</f>
        <v>#N/A</v>
      </c>
      <c r="H277" s="5" t="e">
        <f>IF(F277=0,"",VLOOKUP(F277,'Customize code'!$M$8:$O$13,3,FALSE))</f>
        <v>#N/A</v>
      </c>
      <c r="I277" s="5" t="e">
        <f>IF(F277=0, "",  INDEX(entities[[hidden]:[icon]],  MATCH(C277,entities[custom entity '#],0),  'Customize code'!F277)  )</f>
        <v>#N/A</v>
      </c>
      <c r="J277" s="5" t="str">
        <f t="shared" si="28"/>
        <v/>
      </c>
      <c r="K277" s="5" t="str">
        <f t="shared" si="25"/>
        <v/>
      </c>
    </row>
    <row r="278" spans="2:11" x14ac:dyDescent="0.25">
      <c r="B278" s="5">
        <f t="shared" si="26"/>
        <v>272</v>
      </c>
      <c r="C278" s="5" t="e">
        <f t="shared" si="29"/>
        <v>#N/A</v>
      </c>
      <c r="D278" s="14" t="e">
        <f t="shared" si="30"/>
        <v>#N/A</v>
      </c>
      <c r="E278" s="14" t="e">
        <f>INDEX(entities[Attributes Index],MATCH('Customize code'!C278,entities[custom entity '#],0))</f>
        <v>#N/A</v>
      </c>
      <c r="F278" s="14" t="e">
        <f t="shared" si="27"/>
        <v>#N/A</v>
      </c>
      <c r="G278" s="5" t="e">
        <f>IF(D278&gt;0,"",
INDEX(entities[entity_id],MATCH('Customize code'!C278,entities[custom entity '#],0))&amp;":")</f>
        <v>#N/A</v>
      </c>
      <c r="H278" s="5" t="e">
        <f>IF(F278=0,"",VLOOKUP(F278,'Customize code'!$M$8:$O$13,3,FALSE))</f>
        <v>#N/A</v>
      </c>
      <c r="I278" s="5" t="e">
        <f>IF(F278=0, "",  INDEX(entities[[hidden]:[icon]],  MATCH(C278,entities[custom entity '#],0),  'Customize code'!F278)  )</f>
        <v>#N/A</v>
      </c>
      <c r="J278" s="5" t="str">
        <f t="shared" si="28"/>
        <v/>
      </c>
      <c r="K278" s="5" t="str">
        <f t="shared" si="25"/>
        <v/>
      </c>
    </row>
    <row r="279" spans="2:11" x14ac:dyDescent="0.25">
      <c r="B279" s="5">
        <f t="shared" si="26"/>
        <v>273</v>
      </c>
      <c r="C279" s="5" t="e">
        <f t="shared" si="29"/>
        <v>#N/A</v>
      </c>
      <c r="D279" s="14" t="e">
        <f t="shared" si="30"/>
        <v>#N/A</v>
      </c>
      <c r="E279" s="14" t="e">
        <f>INDEX(entities[Attributes Index],MATCH('Customize code'!C279,entities[custom entity '#],0))</f>
        <v>#N/A</v>
      </c>
      <c r="F279" s="14" t="e">
        <f t="shared" si="27"/>
        <v>#N/A</v>
      </c>
      <c r="G279" s="5" t="e">
        <f>IF(D279&gt;0,"",
INDEX(entities[entity_id],MATCH('Customize code'!C279,entities[custom entity '#],0))&amp;":")</f>
        <v>#N/A</v>
      </c>
      <c r="H279" s="5" t="e">
        <f>IF(F279=0,"",VLOOKUP(F279,'Customize code'!$M$8:$O$13,3,FALSE))</f>
        <v>#N/A</v>
      </c>
      <c r="I279" s="5" t="e">
        <f>IF(F279=0, "",  INDEX(entities[[hidden]:[icon]],  MATCH(C279,entities[custom entity '#],0),  'Customize code'!F279)  )</f>
        <v>#N/A</v>
      </c>
      <c r="J279" s="5" t="str">
        <f t="shared" si="28"/>
        <v/>
      </c>
      <c r="K279" s="5" t="str">
        <f t="shared" si="25"/>
        <v/>
      </c>
    </row>
    <row r="280" spans="2:11" x14ac:dyDescent="0.25">
      <c r="B280" s="5">
        <f t="shared" si="26"/>
        <v>274</v>
      </c>
      <c r="C280" s="5" t="e">
        <f t="shared" si="29"/>
        <v>#N/A</v>
      </c>
      <c r="D280" s="14" t="e">
        <f t="shared" si="30"/>
        <v>#N/A</v>
      </c>
      <c r="E280" s="14" t="e">
        <f>INDEX(entities[Attributes Index],MATCH('Customize code'!C280,entities[custom entity '#],0))</f>
        <v>#N/A</v>
      </c>
      <c r="F280" s="14" t="e">
        <f t="shared" si="27"/>
        <v>#N/A</v>
      </c>
      <c r="G280" s="5" t="e">
        <f>IF(D280&gt;0,"",
INDEX(entities[entity_id],MATCH('Customize code'!C280,entities[custom entity '#],0))&amp;":")</f>
        <v>#N/A</v>
      </c>
      <c r="H280" s="5" t="e">
        <f>IF(F280=0,"",VLOOKUP(F280,'Customize code'!$M$8:$O$13,3,FALSE))</f>
        <v>#N/A</v>
      </c>
      <c r="I280" s="5" t="e">
        <f>IF(F280=0, "",  INDEX(entities[[hidden]:[icon]],  MATCH(C280,entities[custom entity '#],0),  'Customize code'!F280)  )</f>
        <v>#N/A</v>
      </c>
      <c r="J280" s="5" t="str">
        <f t="shared" si="28"/>
        <v/>
      </c>
      <c r="K280" s="5" t="str">
        <f t="shared" si="25"/>
        <v/>
      </c>
    </row>
    <row r="281" spans="2:11" x14ac:dyDescent="0.25">
      <c r="B281" s="5">
        <f t="shared" si="26"/>
        <v>275</v>
      </c>
      <c r="C281" s="5" t="e">
        <f t="shared" si="29"/>
        <v>#N/A</v>
      </c>
      <c r="D281" s="14" t="e">
        <f t="shared" si="30"/>
        <v>#N/A</v>
      </c>
      <c r="E281" s="14" t="e">
        <f>INDEX(entities[Attributes Index],MATCH('Customize code'!C281,entities[custom entity '#],0))</f>
        <v>#N/A</v>
      </c>
      <c r="F281" s="14" t="e">
        <f t="shared" si="27"/>
        <v>#N/A</v>
      </c>
      <c r="G281" s="5" t="e">
        <f>IF(D281&gt;0,"",
INDEX(entities[entity_id],MATCH('Customize code'!C281,entities[custom entity '#],0))&amp;":")</f>
        <v>#N/A</v>
      </c>
      <c r="H281" s="5" t="e">
        <f>IF(F281=0,"",VLOOKUP(F281,'Customize code'!$M$8:$O$13,3,FALSE))</f>
        <v>#N/A</v>
      </c>
      <c r="I281" s="5" t="e">
        <f>IF(F281=0, "",  INDEX(entities[[hidden]:[icon]],  MATCH(C281,entities[custom entity '#],0),  'Customize code'!F281)  )</f>
        <v>#N/A</v>
      </c>
      <c r="J281" s="5" t="str">
        <f t="shared" si="28"/>
        <v/>
      </c>
      <c r="K281" s="5" t="str">
        <f t="shared" si="25"/>
        <v/>
      </c>
    </row>
    <row r="282" spans="2:11" x14ac:dyDescent="0.25">
      <c r="B282" s="5">
        <f t="shared" si="26"/>
        <v>276</v>
      </c>
      <c r="C282" s="5" t="e">
        <f t="shared" si="29"/>
        <v>#N/A</v>
      </c>
      <c r="D282" s="14" t="e">
        <f t="shared" si="30"/>
        <v>#N/A</v>
      </c>
      <c r="E282" s="14" t="e">
        <f>INDEX(entities[Attributes Index],MATCH('Customize code'!C282,entities[custom entity '#],0))</f>
        <v>#N/A</v>
      </c>
      <c r="F282" s="14" t="e">
        <f t="shared" si="27"/>
        <v>#N/A</v>
      </c>
      <c r="G282" s="5" t="e">
        <f>IF(D282&gt;0,"",
INDEX(entities[entity_id],MATCH('Customize code'!C282,entities[custom entity '#],0))&amp;":")</f>
        <v>#N/A</v>
      </c>
      <c r="H282" s="5" t="e">
        <f>IF(F282=0,"",VLOOKUP(F282,'Customize code'!$M$8:$O$13,3,FALSE))</f>
        <v>#N/A</v>
      </c>
      <c r="I282" s="5" t="e">
        <f>IF(F282=0, "",  INDEX(entities[[hidden]:[icon]],  MATCH(C282,entities[custom entity '#],0),  'Customize code'!F282)  )</f>
        <v>#N/A</v>
      </c>
      <c r="J282" s="5" t="str">
        <f t="shared" si="28"/>
        <v/>
      </c>
      <c r="K282" s="5" t="str">
        <f t="shared" si="25"/>
        <v/>
      </c>
    </row>
    <row r="283" spans="2:11" x14ac:dyDescent="0.25">
      <c r="B283" s="5">
        <f t="shared" si="26"/>
        <v>277</v>
      </c>
      <c r="C283" s="5" t="e">
        <f t="shared" si="29"/>
        <v>#N/A</v>
      </c>
      <c r="D283" s="14" t="e">
        <f t="shared" si="30"/>
        <v>#N/A</v>
      </c>
      <c r="E283" s="14" t="e">
        <f>INDEX(entities[Attributes Index],MATCH('Customize code'!C283,entities[custom entity '#],0))</f>
        <v>#N/A</v>
      </c>
      <c r="F283" s="14" t="e">
        <f t="shared" si="27"/>
        <v>#N/A</v>
      </c>
      <c r="G283" s="5" t="e">
        <f>IF(D283&gt;0,"",
INDEX(entities[entity_id],MATCH('Customize code'!C283,entities[custom entity '#],0))&amp;":")</f>
        <v>#N/A</v>
      </c>
      <c r="H283" s="5" t="e">
        <f>IF(F283=0,"",VLOOKUP(F283,'Customize code'!$M$8:$O$13,3,FALSE))</f>
        <v>#N/A</v>
      </c>
      <c r="I283" s="5" t="e">
        <f>IF(F283=0, "",  INDEX(entities[[hidden]:[icon]],  MATCH(C283,entities[custom entity '#],0),  'Customize code'!F283)  )</f>
        <v>#N/A</v>
      </c>
      <c r="J283" s="5" t="str">
        <f t="shared" si="28"/>
        <v/>
      </c>
      <c r="K283" s="5" t="str">
        <f t="shared" si="25"/>
        <v/>
      </c>
    </row>
    <row r="284" spans="2:11" x14ac:dyDescent="0.25">
      <c r="B284" s="5">
        <f t="shared" si="26"/>
        <v>278</v>
      </c>
      <c r="C284" s="5" t="e">
        <f t="shared" si="29"/>
        <v>#N/A</v>
      </c>
      <c r="D284" s="14" t="e">
        <f t="shared" si="30"/>
        <v>#N/A</v>
      </c>
      <c r="E284" s="14" t="e">
        <f>INDEX(entities[Attributes Index],MATCH('Customize code'!C284,entities[custom entity '#],0))</f>
        <v>#N/A</v>
      </c>
      <c r="F284" s="14" t="e">
        <f t="shared" si="27"/>
        <v>#N/A</v>
      </c>
      <c r="G284" s="5" t="e">
        <f>IF(D284&gt;0,"",
INDEX(entities[entity_id],MATCH('Customize code'!C284,entities[custom entity '#],0))&amp;":")</f>
        <v>#N/A</v>
      </c>
      <c r="H284" s="5" t="e">
        <f>IF(F284=0,"",VLOOKUP(F284,'Customize code'!$M$8:$O$13,3,FALSE))</f>
        <v>#N/A</v>
      </c>
      <c r="I284" s="5" t="e">
        <f>IF(F284=0, "",  INDEX(entities[[hidden]:[icon]],  MATCH(C284,entities[custom entity '#],0),  'Customize code'!F284)  )</f>
        <v>#N/A</v>
      </c>
      <c r="J284" s="5" t="str">
        <f t="shared" si="28"/>
        <v/>
      </c>
      <c r="K284" s="5" t="str">
        <f t="shared" si="25"/>
        <v/>
      </c>
    </row>
    <row r="285" spans="2:11" x14ac:dyDescent="0.25">
      <c r="B285" s="5">
        <f t="shared" si="26"/>
        <v>279</v>
      </c>
      <c r="C285" s="5" t="e">
        <f t="shared" si="29"/>
        <v>#N/A</v>
      </c>
      <c r="D285" s="14" t="e">
        <f t="shared" si="30"/>
        <v>#N/A</v>
      </c>
      <c r="E285" s="14" t="e">
        <f>INDEX(entities[Attributes Index],MATCH('Customize code'!C285,entities[custom entity '#],0))</f>
        <v>#N/A</v>
      </c>
      <c r="F285" s="14" t="e">
        <f t="shared" si="27"/>
        <v>#N/A</v>
      </c>
      <c r="G285" s="5" t="e">
        <f>IF(D285&gt;0,"",
INDEX(entities[entity_id],MATCH('Customize code'!C285,entities[custom entity '#],0))&amp;":")</f>
        <v>#N/A</v>
      </c>
      <c r="H285" s="5" t="e">
        <f>IF(F285=0,"",VLOOKUP(F285,'Customize code'!$M$8:$O$13,3,FALSE))</f>
        <v>#N/A</v>
      </c>
      <c r="I285" s="5" t="e">
        <f>IF(F285=0, "",  INDEX(entities[[hidden]:[icon]],  MATCH(C285,entities[custom entity '#],0),  'Customize code'!F285)  )</f>
        <v>#N/A</v>
      </c>
      <c r="J285" s="5" t="str">
        <f t="shared" si="28"/>
        <v/>
      </c>
      <c r="K285" s="5" t="str">
        <f t="shared" si="25"/>
        <v/>
      </c>
    </row>
    <row r="286" spans="2:11" x14ac:dyDescent="0.25">
      <c r="B286" s="5">
        <f t="shared" si="26"/>
        <v>280</v>
      </c>
      <c r="C286" s="5" t="e">
        <f t="shared" si="29"/>
        <v>#N/A</v>
      </c>
      <c r="D286" s="14" t="e">
        <f t="shared" si="30"/>
        <v>#N/A</v>
      </c>
      <c r="E286" s="14" t="e">
        <f>INDEX(entities[Attributes Index],MATCH('Customize code'!C286,entities[custom entity '#],0))</f>
        <v>#N/A</v>
      </c>
      <c r="F286" s="14" t="e">
        <f t="shared" si="27"/>
        <v>#N/A</v>
      </c>
      <c r="G286" s="5" t="e">
        <f>IF(D286&gt;0,"",
INDEX(entities[entity_id],MATCH('Customize code'!C286,entities[custom entity '#],0))&amp;":")</f>
        <v>#N/A</v>
      </c>
      <c r="H286" s="5" t="e">
        <f>IF(F286=0,"",VLOOKUP(F286,'Customize code'!$M$8:$O$13,3,FALSE))</f>
        <v>#N/A</v>
      </c>
      <c r="I286" s="5" t="e">
        <f>IF(F286=0, "",  INDEX(entities[[hidden]:[icon]],  MATCH(C286,entities[custom entity '#],0),  'Customize code'!F286)  )</f>
        <v>#N/A</v>
      </c>
      <c r="J286" s="5" t="str">
        <f t="shared" si="28"/>
        <v/>
      </c>
      <c r="K286" s="5" t="str">
        <f t="shared" si="25"/>
        <v/>
      </c>
    </row>
    <row r="287" spans="2:11" x14ac:dyDescent="0.25">
      <c r="B287" s="5">
        <f t="shared" si="26"/>
        <v>281</v>
      </c>
      <c r="C287" s="5" t="e">
        <f t="shared" si="29"/>
        <v>#N/A</v>
      </c>
      <c r="D287" s="14" t="e">
        <f t="shared" si="30"/>
        <v>#N/A</v>
      </c>
      <c r="E287" s="14" t="e">
        <f>INDEX(entities[Attributes Index],MATCH('Customize code'!C287,entities[custom entity '#],0))</f>
        <v>#N/A</v>
      </c>
      <c r="F287" s="14" t="e">
        <f t="shared" si="27"/>
        <v>#N/A</v>
      </c>
      <c r="G287" s="5" t="e">
        <f>IF(D287&gt;0,"",
INDEX(entities[entity_id],MATCH('Customize code'!C287,entities[custom entity '#],0))&amp;":")</f>
        <v>#N/A</v>
      </c>
      <c r="H287" s="5" t="e">
        <f>IF(F287=0,"",VLOOKUP(F287,'Customize code'!$M$8:$O$13,3,FALSE))</f>
        <v>#N/A</v>
      </c>
      <c r="I287" s="5" t="e">
        <f>IF(F287=0, "",  INDEX(entities[[hidden]:[icon]],  MATCH(C287,entities[custom entity '#],0),  'Customize code'!F287)  )</f>
        <v>#N/A</v>
      </c>
      <c r="J287" s="5" t="str">
        <f t="shared" si="28"/>
        <v/>
      </c>
      <c r="K287" s="5" t="str">
        <f t="shared" si="25"/>
        <v/>
      </c>
    </row>
    <row r="288" spans="2:11" x14ac:dyDescent="0.25">
      <c r="B288" s="5">
        <f t="shared" si="26"/>
        <v>282</v>
      </c>
      <c r="C288" s="5" t="e">
        <f t="shared" si="29"/>
        <v>#N/A</v>
      </c>
      <c r="D288" s="14" t="e">
        <f t="shared" si="30"/>
        <v>#N/A</v>
      </c>
      <c r="E288" s="14" t="e">
        <f>INDEX(entities[Attributes Index],MATCH('Customize code'!C288,entities[custom entity '#],0))</f>
        <v>#N/A</v>
      </c>
      <c r="F288" s="14" t="e">
        <f t="shared" si="27"/>
        <v>#N/A</v>
      </c>
      <c r="G288" s="5" t="e">
        <f>IF(D288&gt;0,"",
INDEX(entities[entity_id],MATCH('Customize code'!C288,entities[custom entity '#],0))&amp;":")</f>
        <v>#N/A</v>
      </c>
      <c r="H288" s="5" t="e">
        <f>IF(F288=0,"",VLOOKUP(F288,'Customize code'!$M$8:$O$13,3,FALSE))</f>
        <v>#N/A</v>
      </c>
      <c r="I288" s="5" t="e">
        <f>IF(F288=0, "",  INDEX(entities[[hidden]:[icon]],  MATCH(C288,entities[custom entity '#],0),  'Customize code'!F288)  )</f>
        <v>#N/A</v>
      </c>
      <c r="J288" s="5" t="str">
        <f t="shared" si="28"/>
        <v/>
      </c>
      <c r="K288" s="5" t="str">
        <f t="shared" si="25"/>
        <v/>
      </c>
    </row>
    <row r="289" spans="2:11" x14ac:dyDescent="0.25">
      <c r="B289" s="5">
        <f t="shared" si="26"/>
        <v>283</v>
      </c>
      <c r="C289" s="5" t="e">
        <f t="shared" si="29"/>
        <v>#N/A</v>
      </c>
      <c r="D289" s="14" t="e">
        <f t="shared" si="30"/>
        <v>#N/A</v>
      </c>
      <c r="E289" s="14" t="e">
        <f>INDEX(entities[Attributes Index],MATCH('Customize code'!C289,entities[custom entity '#],0))</f>
        <v>#N/A</v>
      </c>
      <c r="F289" s="14" t="e">
        <f t="shared" si="27"/>
        <v>#N/A</v>
      </c>
      <c r="G289" s="5" t="e">
        <f>IF(D289&gt;0,"",
INDEX(entities[entity_id],MATCH('Customize code'!C289,entities[custom entity '#],0))&amp;":")</f>
        <v>#N/A</v>
      </c>
      <c r="H289" s="5" t="e">
        <f>IF(F289=0,"",VLOOKUP(F289,'Customize code'!$M$8:$O$13,3,FALSE))</f>
        <v>#N/A</v>
      </c>
      <c r="I289" s="5" t="e">
        <f>IF(F289=0, "",  INDEX(entities[[hidden]:[icon]],  MATCH(C289,entities[custom entity '#],0),  'Customize code'!F289)  )</f>
        <v>#N/A</v>
      </c>
      <c r="J289" s="5" t="str">
        <f t="shared" si="28"/>
        <v/>
      </c>
      <c r="K289" s="5" t="str">
        <f t="shared" si="25"/>
        <v/>
      </c>
    </row>
    <row r="290" spans="2:11" x14ac:dyDescent="0.25">
      <c r="B290" s="5">
        <f t="shared" si="26"/>
        <v>284</v>
      </c>
      <c r="C290" s="5" t="e">
        <f t="shared" si="29"/>
        <v>#N/A</v>
      </c>
      <c r="D290" s="14" t="e">
        <f t="shared" si="30"/>
        <v>#N/A</v>
      </c>
      <c r="E290" s="14" t="e">
        <f>INDEX(entities[Attributes Index],MATCH('Customize code'!C290,entities[custom entity '#],0))</f>
        <v>#N/A</v>
      </c>
      <c r="F290" s="14" t="e">
        <f t="shared" si="27"/>
        <v>#N/A</v>
      </c>
      <c r="G290" s="5" t="e">
        <f>IF(D290&gt;0,"",
INDEX(entities[entity_id],MATCH('Customize code'!C290,entities[custom entity '#],0))&amp;":")</f>
        <v>#N/A</v>
      </c>
      <c r="H290" s="5" t="e">
        <f>IF(F290=0,"",VLOOKUP(F290,'Customize code'!$M$8:$O$13,3,FALSE))</f>
        <v>#N/A</v>
      </c>
      <c r="I290" s="5" t="e">
        <f>IF(F290=0, "",  INDEX(entities[[hidden]:[icon]],  MATCH(C290,entities[custom entity '#],0),  'Customize code'!F290)  )</f>
        <v>#N/A</v>
      </c>
      <c r="J290" s="5" t="str">
        <f t="shared" si="28"/>
        <v/>
      </c>
      <c r="K290" s="5" t="str">
        <f t="shared" si="25"/>
        <v/>
      </c>
    </row>
    <row r="291" spans="2:11" x14ac:dyDescent="0.25">
      <c r="B291" s="5">
        <f t="shared" si="26"/>
        <v>285</v>
      </c>
      <c r="C291" s="5" t="e">
        <f t="shared" si="29"/>
        <v>#N/A</v>
      </c>
      <c r="D291" s="14" t="e">
        <f t="shared" si="30"/>
        <v>#N/A</v>
      </c>
      <c r="E291" s="14" t="e">
        <f>INDEX(entities[Attributes Index],MATCH('Customize code'!C291,entities[custom entity '#],0))</f>
        <v>#N/A</v>
      </c>
      <c r="F291" s="14" t="e">
        <f t="shared" si="27"/>
        <v>#N/A</v>
      </c>
      <c r="G291" s="5" t="e">
        <f>IF(D291&gt;0,"",
INDEX(entities[entity_id],MATCH('Customize code'!C291,entities[custom entity '#],0))&amp;":")</f>
        <v>#N/A</v>
      </c>
      <c r="H291" s="5" t="e">
        <f>IF(F291=0,"",VLOOKUP(F291,'Customize code'!$M$8:$O$13,3,FALSE))</f>
        <v>#N/A</v>
      </c>
      <c r="I291" s="5" t="e">
        <f>IF(F291=0, "",  INDEX(entities[[hidden]:[icon]],  MATCH(C291,entities[custom entity '#],0),  'Customize code'!F291)  )</f>
        <v>#N/A</v>
      </c>
      <c r="J291" s="5" t="str">
        <f t="shared" si="28"/>
        <v/>
      </c>
      <c r="K291" s="5" t="str">
        <f t="shared" si="25"/>
        <v/>
      </c>
    </row>
    <row r="292" spans="2:11" x14ac:dyDescent="0.25">
      <c r="B292" s="5">
        <f t="shared" si="26"/>
        <v>286</v>
      </c>
      <c r="C292" s="5" t="e">
        <f t="shared" si="29"/>
        <v>#N/A</v>
      </c>
      <c r="D292" s="14" t="e">
        <f t="shared" si="30"/>
        <v>#N/A</v>
      </c>
      <c r="E292" s="14" t="e">
        <f>INDEX(entities[Attributes Index],MATCH('Customize code'!C292,entities[custom entity '#],0))</f>
        <v>#N/A</v>
      </c>
      <c r="F292" s="14" t="e">
        <f t="shared" si="27"/>
        <v>#N/A</v>
      </c>
      <c r="G292" s="5" t="e">
        <f>IF(D292&gt;0,"",
INDEX(entities[entity_id],MATCH('Customize code'!C292,entities[custom entity '#],0))&amp;":")</f>
        <v>#N/A</v>
      </c>
      <c r="H292" s="5" t="e">
        <f>IF(F292=0,"",VLOOKUP(F292,'Customize code'!$M$8:$O$13,3,FALSE))</f>
        <v>#N/A</v>
      </c>
      <c r="I292" s="5" t="e">
        <f>IF(F292=0, "",  INDEX(entities[[hidden]:[icon]],  MATCH(C292,entities[custom entity '#],0),  'Customize code'!F292)  )</f>
        <v>#N/A</v>
      </c>
      <c r="J292" s="5" t="str">
        <f t="shared" si="28"/>
        <v/>
      </c>
      <c r="K292" s="5" t="str">
        <f t="shared" si="25"/>
        <v/>
      </c>
    </row>
    <row r="293" spans="2:11" x14ac:dyDescent="0.25">
      <c r="B293" s="5">
        <f t="shared" si="26"/>
        <v>287</v>
      </c>
      <c r="C293" s="5" t="e">
        <f t="shared" si="29"/>
        <v>#N/A</v>
      </c>
      <c r="D293" s="14" t="e">
        <f t="shared" si="30"/>
        <v>#N/A</v>
      </c>
      <c r="E293" s="14" t="e">
        <f>INDEX(entities[Attributes Index],MATCH('Customize code'!C293,entities[custom entity '#],0))</f>
        <v>#N/A</v>
      </c>
      <c r="F293" s="14" t="e">
        <f t="shared" si="27"/>
        <v>#N/A</v>
      </c>
      <c r="G293" s="5" t="e">
        <f>IF(D293&gt;0,"",
INDEX(entities[entity_id],MATCH('Customize code'!C293,entities[custom entity '#],0))&amp;":")</f>
        <v>#N/A</v>
      </c>
      <c r="H293" s="5" t="e">
        <f>IF(F293=0,"",VLOOKUP(F293,'Customize code'!$M$8:$O$13,3,FALSE))</f>
        <v>#N/A</v>
      </c>
      <c r="I293" s="5" t="e">
        <f>IF(F293=0, "",  INDEX(entities[[hidden]:[icon]],  MATCH(C293,entities[custom entity '#],0),  'Customize code'!F293)  )</f>
        <v>#N/A</v>
      </c>
      <c r="J293" s="5" t="str">
        <f t="shared" si="28"/>
        <v/>
      </c>
      <c r="K293" s="5" t="str">
        <f t="shared" si="25"/>
        <v/>
      </c>
    </row>
    <row r="294" spans="2:11" x14ac:dyDescent="0.25">
      <c r="B294" s="5">
        <f t="shared" si="26"/>
        <v>288</v>
      </c>
      <c r="C294" s="5" t="e">
        <f t="shared" si="29"/>
        <v>#N/A</v>
      </c>
      <c r="D294" s="14" t="e">
        <f t="shared" si="30"/>
        <v>#N/A</v>
      </c>
      <c r="E294" s="14" t="e">
        <f>INDEX(entities[Attributes Index],MATCH('Customize code'!C294,entities[custom entity '#],0))</f>
        <v>#N/A</v>
      </c>
      <c r="F294" s="14" t="e">
        <f t="shared" si="27"/>
        <v>#N/A</v>
      </c>
      <c r="G294" s="5" t="e">
        <f>IF(D294&gt;0,"",
INDEX(entities[entity_id],MATCH('Customize code'!C294,entities[custom entity '#],0))&amp;":")</f>
        <v>#N/A</v>
      </c>
      <c r="H294" s="5" t="e">
        <f>IF(F294=0,"",VLOOKUP(F294,'Customize code'!$M$8:$O$13,3,FALSE))</f>
        <v>#N/A</v>
      </c>
      <c r="I294" s="5" t="e">
        <f>IF(F294=0, "",  INDEX(entities[[hidden]:[icon]],  MATCH(C294,entities[custom entity '#],0),  'Customize code'!F294)  )</f>
        <v>#N/A</v>
      </c>
      <c r="J294" s="5" t="str">
        <f t="shared" si="28"/>
        <v/>
      </c>
      <c r="K294" s="5" t="str">
        <f t="shared" si="25"/>
        <v/>
      </c>
    </row>
    <row r="295" spans="2:11" x14ac:dyDescent="0.25">
      <c r="B295" s="5">
        <f t="shared" si="26"/>
        <v>289</v>
      </c>
      <c r="C295" s="5" t="e">
        <f t="shared" si="29"/>
        <v>#N/A</v>
      </c>
      <c r="D295" s="14" t="e">
        <f t="shared" si="30"/>
        <v>#N/A</v>
      </c>
      <c r="E295" s="14" t="e">
        <f>INDEX(entities[Attributes Index],MATCH('Customize code'!C295,entities[custom entity '#],0))</f>
        <v>#N/A</v>
      </c>
      <c r="F295" s="14" t="e">
        <f t="shared" si="27"/>
        <v>#N/A</v>
      </c>
      <c r="G295" s="5" t="e">
        <f>IF(D295&gt;0,"",
INDEX(entities[entity_id],MATCH('Customize code'!C295,entities[custom entity '#],0))&amp;":")</f>
        <v>#N/A</v>
      </c>
      <c r="H295" s="5" t="e">
        <f>IF(F295=0,"",VLOOKUP(F295,'Customize code'!$M$8:$O$13,3,FALSE))</f>
        <v>#N/A</v>
      </c>
      <c r="I295" s="5" t="e">
        <f>IF(F295=0, "",  INDEX(entities[[hidden]:[icon]],  MATCH(C295,entities[custom entity '#],0),  'Customize code'!F295)  )</f>
        <v>#N/A</v>
      </c>
      <c r="J295" s="5" t="str">
        <f t="shared" si="28"/>
        <v/>
      </c>
      <c r="K295" s="5" t="str">
        <f t="shared" si="25"/>
        <v/>
      </c>
    </row>
    <row r="296" spans="2:11" x14ac:dyDescent="0.25">
      <c r="B296" s="5">
        <f t="shared" si="26"/>
        <v>290</v>
      </c>
      <c r="C296" s="5" t="e">
        <f t="shared" si="29"/>
        <v>#N/A</v>
      </c>
      <c r="D296" s="14" t="e">
        <f t="shared" si="30"/>
        <v>#N/A</v>
      </c>
      <c r="E296" s="14" t="e">
        <f>INDEX(entities[Attributes Index],MATCH('Customize code'!C296,entities[custom entity '#],0))</f>
        <v>#N/A</v>
      </c>
      <c r="F296" s="14" t="e">
        <f t="shared" si="27"/>
        <v>#N/A</v>
      </c>
      <c r="G296" s="5" t="e">
        <f>IF(D296&gt;0,"",
INDEX(entities[entity_id],MATCH('Customize code'!C296,entities[custom entity '#],0))&amp;":")</f>
        <v>#N/A</v>
      </c>
      <c r="H296" s="5" t="e">
        <f>IF(F296=0,"",VLOOKUP(F296,'Customize code'!$M$8:$O$13,3,FALSE))</f>
        <v>#N/A</v>
      </c>
      <c r="I296" s="5" t="e">
        <f>IF(F296=0, "",  INDEX(entities[[hidden]:[icon]],  MATCH(C296,entities[custom entity '#],0),  'Customize code'!F296)  )</f>
        <v>#N/A</v>
      </c>
      <c r="J296" s="5" t="str">
        <f t="shared" si="28"/>
        <v/>
      </c>
      <c r="K296" s="5" t="str">
        <f t="shared" si="25"/>
        <v/>
      </c>
    </row>
    <row r="297" spans="2:11" x14ac:dyDescent="0.25">
      <c r="B297" s="5">
        <f t="shared" si="26"/>
        <v>291</v>
      </c>
      <c r="C297" s="5" t="e">
        <f t="shared" si="29"/>
        <v>#N/A</v>
      </c>
      <c r="D297" s="14" t="e">
        <f t="shared" si="30"/>
        <v>#N/A</v>
      </c>
      <c r="E297" s="14" t="e">
        <f>INDEX(entities[Attributes Index],MATCH('Customize code'!C297,entities[custom entity '#],0))</f>
        <v>#N/A</v>
      </c>
      <c r="F297" s="14" t="e">
        <f t="shared" si="27"/>
        <v>#N/A</v>
      </c>
      <c r="G297" s="5" t="e">
        <f>IF(D297&gt;0,"",
INDEX(entities[entity_id],MATCH('Customize code'!C297,entities[custom entity '#],0))&amp;":")</f>
        <v>#N/A</v>
      </c>
      <c r="H297" s="5" t="e">
        <f>IF(F297=0,"",VLOOKUP(F297,'Customize code'!$M$8:$O$13,3,FALSE))</f>
        <v>#N/A</v>
      </c>
      <c r="I297" s="5" t="e">
        <f>IF(F297=0, "",  INDEX(entities[[hidden]:[icon]],  MATCH(C297,entities[custom entity '#],0),  'Customize code'!F297)  )</f>
        <v>#N/A</v>
      </c>
      <c r="J297" s="5" t="str">
        <f t="shared" si="28"/>
        <v/>
      </c>
      <c r="K297" s="5" t="str">
        <f t="shared" si="25"/>
        <v/>
      </c>
    </row>
    <row r="298" spans="2:11" x14ac:dyDescent="0.25">
      <c r="B298" s="5">
        <f t="shared" si="26"/>
        <v>292</v>
      </c>
      <c r="C298" s="5" t="e">
        <f t="shared" si="29"/>
        <v>#N/A</v>
      </c>
      <c r="D298" s="14" t="e">
        <f t="shared" si="30"/>
        <v>#N/A</v>
      </c>
      <c r="E298" s="14" t="e">
        <f>INDEX(entities[Attributes Index],MATCH('Customize code'!C298,entities[custom entity '#],0))</f>
        <v>#N/A</v>
      </c>
      <c r="F298" s="14" t="e">
        <f t="shared" si="27"/>
        <v>#N/A</v>
      </c>
      <c r="G298" s="5" t="e">
        <f>IF(D298&gt;0,"",
INDEX(entities[entity_id],MATCH('Customize code'!C298,entities[custom entity '#],0))&amp;":")</f>
        <v>#N/A</v>
      </c>
      <c r="H298" s="5" t="e">
        <f>IF(F298=0,"",VLOOKUP(F298,'Customize code'!$M$8:$O$13,3,FALSE))</f>
        <v>#N/A</v>
      </c>
      <c r="I298" s="5" t="e">
        <f>IF(F298=0, "",  INDEX(entities[[hidden]:[icon]],  MATCH(C298,entities[custom entity '#],0),  'Customize code'!F298)  )</f>
        <v>#N/A</v>
      </c>
      <c r="J298" s="5" t="str">
        <f t="shared" si="28"/>
        <v/>
      </c>
      <c r="K298" s="5" t="str">
        <f t="shared" si="25"/>
        <v/>
      </c>
    </row>
    <row r="299" spans="2:11" x14ac:dyDescent="0.25">
      <c r="B299" s="5">
        <f t="shared" si="26"/>
        <v>293</v>
      </c>
      <c r="C299" s="5" t="e">
        <f t="shared" si="29"/>
        <v>#N/A</v>
      </c>
      <c r="D299" s="14" t="e">
        <f t="shared" si="30"/>
        <v>#N/A</v>
      </c>
      <c r="E299" s="14" t="e">
        <f>INDEX(entities[Attributes Index],MATCH('Customize code'!C299,entities[custom entity '#],0))</f>
        <v>#N/A</v>
      </c>
      <c r="F299" s="14" t="e">
        <f t="shared" si="27"/>
        <v>#N/A</v>
      </c>
      <c r="G299" s="5" t="e">
        <f>IF(D299&gt;0,"",
INDEX(entities[entity_id],MATCH('Customize code'!C299,entities[custom entity '#],0))&amp;":")</f>
        <v>#N/A</v>
      </c>
      <c r="H299" s="5" t="e">
        <f>IF(F299=0,"",VLOOKUP(F299,'Customize code'!$M$8:$O$13,3,FALSE))</f>
        <v>#N/A</v>
      </c>
      <c r="I299" s="5" t="e">
        <f>IF(F299=0, "",  INDEX(entities[[hidden]:[icon]],  MATCH(C299,entities[custom entity '#],0),  'Customize code'!F299)  )</f>
        <v>#N/A</v>
      </c>
      <c r="J299" s="5" t="str">
        <f t="shared" si="28"/>
        <v/>
      </c>
      <c r="K299" s="5" t="str">
        <f t="shared" si="25"/>
        <v/>
      </c>
    </row>
    <row r="300" spans="2:11" x14ac:dyDescent="0.25">
      <c r="B300" s="5">
        <f t="shared" si="26"/>
        <v>294</v>
      </c>
      <c r="C300" s="5" t="e">
        <f t="shared" si="29"/>
        <v>#N/A</v>
      </c>
      <c r="D300" s="14" t="e">
        <f t="shared" si="30"/>
        <v>#N/A</v>
      </c>
      <c r="E300" s="14" t="e">
        <f>INDEX(entities[Attributes Index],MATCH('Customize code'!C300,entities[custom entity '#],0))</f>
        <v>#N/A</v>
      </c>
      <c r="F300" s="14" t="e">
        <f t="shared" si="27"/>
        <v>#N/A</v>
      </c>
      <c r="G300" s="5" t="e">
        <f>IF(D300&gt;0,"",
INDEX(entities[entity_id],MATCH('Customize code'!C300,entities[custom entity '#],0))&amp;":")</f>
        <v>#N/A</v>
      </c>
      <c r="H300" s="5" t="e">
        <f>IF(F300=0,"",VLOOKUP(F300,'Customize code'!$M$8:$O$13,3,FALSE))</f>
        <v>#N/A</v>
      </c>
      <c r="I300" s="5" t="e">
        <f>IF(F300=0, "",  INDEX(entities[[hidden]:[icon]],  MATCH(C300,entities[custom entity '#],0),  'Customize code'!F300)  )</f>
        <v>#N/A</v>
      </c>
      <c r="J300" s="5" t="str">
        <f t="shared" si="28"/>
        <v/>
      </c>
      <c r="K300" s="5" t="str">
        <f t="shared" si="25"/>
        <v/>
      </c>
    </row>
    <row r="301" spans="2:11" x14ac:dyDescent="0.25">
      <c r="B301" s="5">
        <f t="shared" si="26"/>
        <v>295</v>
      </c>
      <c r="C301" s="5" t="e">
        <f t="shared" si="29"/>
        <v>#N/A</v>
      </c>
      <c r="D301" s="14" t="e">
        <f t="shared" si="30"/>
        <v>#N/A</v>
      </c>
      <c r="E301" s="14" t="e">
        <f>INDEX(entities[Attributes Index],MATCH('Customize code'!C301,entities[custom entity '#],0))</f>
        <v>#N/A</v>
      </c>
      <c r="F301" s="14" t="e">
        <f t="shared" si="27"/>
        <v>#N/A</v>
      </c>
      <c r="G301" s="5" t="e">
        <f>IF(D301&gt;0,"",
INDEX(entities[entity_id],MATCH('Customize code'!C301,entities[custom entity '#],0))&amp;":")</f>
        <v>#N/A</v>
      </c>
      <c r="H301" s="5" t="e">
        <f>IF(F301=0,"",VLOOKUP(F301,'Customize code'!$M$8:$O$13,3,FALSE))</f>
        <v>#N/A</v>
      </c>
      <c r="I301" s="5" t="e">
        <f>IF(F301=0, "",  INDEX(entities[[hidden]:[icon]],  MATCH(C301,entities[custom entity '#],0),  'Customize code'!F301)  )</f>
        <v>#N/A</v>
      </c>
      <c r="J301" s="5" t="str">
        <f t="shared" si="28"/>
        <v/>
      </c>
      <c r="K301" s="5" t="str">
        <f t="shared" si="25"/>
        <v/>
      </c>
    </row>
    <row r="302" spans="2:11" x14ac:dyDescent="0.25">
      <c r="B302" s="5">
        <f t="shared" si="26"/>
        <v>296</v>
      </c>
      <c r="C302" s="5" t="e">
        <f t="shared" si="29"/>
        <v>#N/A</v>
      </c>
      <c r="D302" s="14" t="e">
        <f t="shared" si="30"/>
        <v>#N/A</v>
      </c>
      <c r="E302" s="14" t="e">
        <f>INDEX(entities[Attributes Index],MATCH('Customize code'!C302,entities[custom entity '#],0))</f>
        <v>#N/A</v>
      </c>
      <c r="F302" s="14" t="e">
        <f t="shared" si="27"/>
        <v>#N/A</v>
      </c>
      <c r="G302" s="5" t="e">
        <f>IF(D302&gt;0,"",
INDEX(entities[entity_id],MATCH('Customize code'!C302,entities[custom entity '#],0))&amp;":")</f>
        <v>#N/A</v>
      </c>
      <c r="H302" s="5" t="e">
        <f>IF(F302=0,"",VLOOKUP(F302,'Customize code'!$M$8:$O$13,3,FALSE))</f>
        <v>#N/A</v>
      </c>
      <c r="I302" s="5" t="e">
        <f>IF(F302=0, "",  INDEX(entities[[hidden]:[icon]],  MATCH(C302,entities[custom entity '#],0),  'Customize code'!F302)  )</f>
        <v>#N/A</v>
      </c>
      <c r="J302" s="5" t="str">
        <f t="shared" si="28"/>
        <v/>
      </c>
      <c r="K302" s="5" t="str">
        <f t="shared" si="25"/>
        <v/>
      </c>
    </row>
    <row r="303" spans="2:11" x14ac:dyDescent="0.25">
      <c r="B303" s="5">
        <f t="shared" si="26"/>
        <v>297</v>
      </c>
      <c r="C303" s="5" t="e">
        <f t="shared" si="29"/>
        <v>#N/A</v>
      </c>
      <c r="D303" s="14" t="e">
        <f t="shared" si="30"/>
        <v>#N/A</v>
      </c>
      <c r="E303" s="14" t="e">
        <f>INDEX(entities[Attributes Index],MATCH('Customize code'!C303,entities[custom entity '#],0))</f>
        <v>#N/A</v>
      </c>
      <c r="F303" s="14" t="e">
        <f t="shared" si="27"/>
        <v>#N/A</v>
      </c>
      <c r="G303" s="5" t="e">
        <f>IF(D303&gt;0,"",
INDEX(entities[entity_id],MATCH('Customize code'!C303,entities[custom entity '#],0))&amp;":")</f>
        <v>#N/A</v>
      </c>
      <c r="H303" s="5" t="e">
        <f>IF(F303=0,"",VLOOKUP(F303,'Customize code'!$M$8:$O$13,3,FALSE))</f>
        <v>#N/A</v>
      </c>
      <c r="I303" s="5" t="e">
        <f>IF(F303=0, "",  INDEX(entities[[hidden]:[icon]],  MATCH(C303,entities[custom entity '#],0),  'Customize code'!F303)  )</f>
        <v>#N/A</v>
      </c>
      <c r="J303" s="5" t="str">
        <f t="shared" si="28"/>
        <v/>
      </c>
      <c r="K303" s="5" t="str">
        <f t="shared" si="25"/>
        <v/>
      </c>
    </row>
    <row r="304" spans="2:11" x14ac:dyDescent="0.25">
      <c r="B304" s="5">
        <f t="shared" si="26"/>
        <v>298</v>
      </c>
      <c r="C304" s="5" t="e">
        <f t="shared" si="29"/>
        <v>#N/A</v>
      </c>
      <c r="D304" s="14" t="e">
        <f t="shared" si="30"/>
        <v>#N/A</v>
      </c>
      <c r="E304" s="14" t="e">
        <f>INDEX(entities[Attributes Index],MATCH('Customize code'!C304,entities[custom entity '#],0))</f>
        <v>#N/A</v>
      </c>
      <c r="F304" s="14" t="e">
        <f t="shared" si="27"/>
        <v>#N/A</v>
      </c>
      <c r="G304" s="5" t="e">
        <f>IF(D304&gt;0,"",
INDEX(entities[entity_id],MATCH('Customize code'!C304,entities[custom entity '#],0))&amp;":")</f>
        <v>#N/A</v>
      </c>
      <c r="H304" s="5" t="e">
        <f>IF(F304=0,"",VLOOKUP(F304,'Customize code'!$M$8:$O$13,3,FALSE))</f>
        <v>#N/A</v>
      </c>
      <c r="I304" s="5" t="e">
        <f>IF(F304=0, "",  INDEX(entities[[hidden]:[icon]],  MATCH(C304,entities[custom entity '#],0),  'Customize code'!F304)  )</f>
        <v>#N/A</v>
      </c>
      <c r="J304" s="5" t="str">
        <f t="shared" si="28"/>
        <v/>
      </c>
      <c r="K304" s="5" t="str">
        <f t="shared" si="25"/>
        <v/>
      </c>
    </row>
    <row r="305" spans="2:11" x14ac:dyDescent="0.25">
      <c r="B305" s="5">
        <f t="shared" si="26"/>
        <v>299</v>
      </c>
      <c r="C305" s="5" t="e">
        <f t="shared" si="29"/>
        <v>#N/A</v>
      </c>
      <c r="D305" s="14" t="e">
        <f t="shared" si="30"/>
        <v>#N/A</v>
      </c>
      <c r="E305" s="14" t="e">
        <f>INDEX(entities[Attributes Index],MATCH('Customize code'!C305,entities[custom entity '#],0))</f>
        <v>#N/A</v>
      </c>
      <c r="F305" s="14" t="e">
        <f t="shared" si="27"/>
        <v>#N/A</v>
      </c>
      <c r="G305" s="5" t="e">
        <f>IF(D305&gt;0,"",
INDEX(entities[entity_id],MATCH('Customize code'!C305,entities[custom entity '#],0))&amp;":")</f>
        <v>#N/A</v>
      </c>
      <c r="H305" s="5" t="e">
        <f>IF(F305=0,"",VLOOKUP(F305,'Customize code'!$M$8:$O$13,3,FALSE))</f>
        <v>#N/A</v>
      </c>
      <c r="I305" s="5" t="e">
        <f>IF(F305=0, "",  INDEX(entities[[hidden]:[icon]],  MATCH(C305,entities[custom entity '#],0),  'Customize code'!F305)  )</f>
        <v>#N/A</v>
      </c>
      <c r="J305" s="5" t="str">
        <f t="shared" si="28"/>
        <v/>
      </c>
      <c r="K305" s="5" t="str">
        <f t="shared" si="25"/>
        <v/>
      </c>
    </row>
    <row r="306" spans="2:11" x14ac:dyDescent="0.25">
      <c r="B306" s="5">
        <f t="shared" si="26"/>
        <v>300</v>
      </c>
      <c r="C306" s="5" t="e">
        <f t="shared" si="29"/>
        <v>#N/A</v>
      </c>
      <c r="D306" s="14" t="e">
        <f t="shared" si="30"/>
        <v>#N/A</v>
      </c>
      <c r="E306" s="14" t="e">
        <f>INDEX(entities[Attributes Index],MATCH('Customize code'!C306,entities[custom entity '#],0))</f>
        <v>#N/A</v>
      </c>
      <c r="F306" s="14" t="e">
        <f t="shared" si="27"/>
        <v>#N/A</v>
      </c>
      <c r="G306" s="5" t="e">
        <f>IF(D306&gt;0,"",
INDEX(entities[entity_id],MATCH('Customize code'!C306,entities[custom entity '#],0))&amp;":")</f>
        <v>#N/A</v>
      </c>
      <c r="H306" s="5" t="e">
        <f>IF(F306=0,"",VLOOKUP(F306,'Customize code'!$M$8:$O$13,3,FALSE))</f>
        <v>#N/A</v>
      </c>
      <c r="I306" s="5" t="e">
        <f>IF(F306=0, "",  INDEX(entities[[hidden]:[icon]],  MATCH(C306,entities[custom entity '#],0),  'Customize code'!F306)  )</f>
        <v>#N/A</v>
      </c>
      <c r="J306" s="5" t="str">
        <f t="shared" si="28"/>
        <v/>
      </c>
      <c r="K306" s="5" t="str">
        <f t="shared" si="25"/>
        <v/>
      </c>
    </row>
    <row r="307" spans="2:11" x14ac:dyDescent="0.25">
      <c r="B307" s="5">
        <f t="shared" si="26"/>
        <v>301</v>
      </c>
      <c r="C307" s="5" t="e">
        <f t="shared" si="29"/>
        <v>#N/A</v>
      </c>
      <c r="D307" s="14" t="e">
        <f t="shared" si="30"/>
        <v>#N/A</v>
      </c>
      <c r="E307" s="14" t="e">
        <f>INDEX(entities[Attributes Index],MATCH('Customize code'!C307,entities[custom entity '#],0))</f>
        <v>#N/A</v>
      </c>
      <c r="F307" s="14" t="e">
        <f t="shared" si="27"/>
        <v>#N/A</v>
      </c>
      <c r="G307" s="5" t="e">
        <f>IF(D307&gt;0,"",
INDEX(entities[entity_id],MATCH('Customize code'!C307,entities[custom entity '#],0))&amp;":")</f>
        <v>#N/A</v>
      </c>
      <c r="H307" s="5" t="e">
        <f>IF(F307=0,"",VLOOKUP(F307,'Customize code'!$M$8:$O$13,3,FALSE))</f>
        <v>#N/A</v>
      </c>
      <c r="I307" s="5" t="e">
        <f>IF(F307=0, "",  INDEX(entities[[hidden]:[icon]],  MATCH(C307,entities[custom entity '#],0),  'Customize code'!F307)  )</f>
        <v>#N/A</v>
      </c>
      <c r="J307" s="5" t="str">
        <f t="shared" si="28"/>
        <v/>
      </c>
      <c r="K307" s="5" t="str">
        <f t="shared" si="25"/>
        <v/>
      </c>
    </row>
    <row r="308" spans="2:11" x14ac:dyDescent="0.25">
      <c r="B308" s="5">
        <f t="shared" si="26"/>
        <v>302</v>
      </c>
      <c r="C308" s="5" t="e">
        <f t="shared" si="29"/>
        <v>#N/A</v>
      </c>
      <c r="D308" s="14" t="e">
        <f t="shared" si="30"/>
        <v>#N/A</v>
      </c>
      <c r="E308" s="14" t="e">
        <f>INDEX(entities[Attributes Index],MATCH('Customize code'!C308,entities[custom entity '#],0))</f>
        <v>#N/A</v>
      </c>
      <c r="F308" s="14" t="e">
        <f t="shared" si="27"/>
        <v>#N/A</v>
      </c>
      <c r="G308" s="5" t="e">
        <f>IF(D308&gt;0,"",
INDEX(entities[entity_id],MATCH('Customize code'!C308,entities[custom entity '#],0))&amp;":")</f>
        <v>#N/A</v>
      </c>
      <c r="H308" s="5" t="e">
        <f>IF(F308=0,"",VLOOKUP(F308,'Customize code'!$M$8:$O$13,3,FALSE))</f>
        <v>#N/A</v>
      </c>
      <c r="I308" s="5" t="e">
        <f>IF(F308=0, "",  INDEX(entities[[hidden]:[icon]],  MATCH(C308,entities[custom entity '#],0),  'Customize code'!F308)  )</f>
        <v>#N/A</v>
      </c>
      <c r="J308" s="5" t="str">
        <f t="shared" si="28"/>
        <v/>
      </c>
      <c r="K308" s="5" t="str">
        <f t="shared" si="25"/>
        <v/>
      </c>
    </row>
    <row r="309" spans="2:11" x14ac:dyDescent="0.25">
      <c r="B309" s="5">
        <f t="shared" si="26"/>
        <v>303</v>
      </c>
      <c r="C309" s="5" t="e">
        <f t="shared" si="29"/>
        <v>#N/A</v>
      </c>
      <c r="D309" s="14" t="e">
        <f t="shared" si="30"/>
        <v>#N/A</v>
      </c>
      <c r="E309" s="14" t="e">
        <f>INDEX(entities[Attributes Index],MATCH('Customize code'!C309,entities[custom entity '#],0))</f>
        <v>#N/A</v>
      </c>
      <c r="F309" s="14" t="e">
        <f t="shared" si="27"/>
        <v>#N/A</v>
      </c>
      <c r="G309" s="5" t="e">
        <f>IF(D309&gt;0,"",
INDEX(entities[entity_id],MATCH('Customize code'!C309,entities[custom entity '#],0))&amp;":")</f>
        <v>#N/A</v>
      </c>
      <c r="H309" s="5" t="e">
        <f>IF(F309=0,"",VLOOKUP(F309,'Customize code'!$M$8:$O$13,3,FALSE))</f>
        <v>#N/A</v>
      </c>
      <c r="I309" s="5" t="e">
        <f>IF(F309=0, "",  INDEX(entities[[hidden]:[icon]],  MATCH(C309,entities[custom entity '#],0),  'Customize code'!F309)  )</f>
        <v>#N/A</v>
      </c>
      <c r="J309" s="5" t="str">
        <f t="shared" si="28"/>
        <v/>
      </c>
      <c r="K309" s="5" t="str">
        <f t="shared" si="25"/>
        <v/>
      </c>
    </row>
    <row r="310" spans="2:11" x14ac:dyDescent="0.25">
      <c r="B310" s="5">
        <f t="shared" si="26"/>
        <v>304</v>
      </c>
      <c r="C310" s="5" t="e">
        <f t="shared" si="29"/>
        <v>#N/A</v>
      </c>
      <c r="D310" s="14" t="e">
        <f t="shared" si="30"/>
        <v>#N/A</v>
      </c>
      <c r="E310" s="14" t="e">
        <f>INDEX(entities[Attributes Index],MATCH('Customize code'!C310,entities[custom entity '#],0))</f>
        <v>#N/A</v>
      </c>
      <c r="F310" s="14" t="e">
        <f t="shared" si="27"/>
        <v>#N/A</v>
      </c>
      <c r="G310" s="5" t="e">
        <f>IF(D310&gt;0,"",
INDEX(entities[entity_id],MATCH('Customize code'!C310,entities[custom entity '#],0))&amp;":")</f>
        <v>#N/A</v>
      </c>
      <c r="H310" s="5" t="e">
        <f>IF(F310=0,"",VLOOKUP(F310,'Customize code'!$M$8:$O$13,3,FALSE))</f>
        <v>#N/A</v>
      </c>
      <c r="I310" s="5" t="e">
        <f>IF(F310=0, "",  INDEX(entities[[hidden]:[icon]],  MATCH(C310,entities[custom entity '#],0),  'Customize code'!F310)  )</f>
        <v>#N/A</v>
      </c>
      <c r="J310" s="5" t="str">
        <f t="shared" si="28"/>
        <v/>
      </c>
      <c r="K310" s="5" t="str">
        <f t="shared" si="25"/>
        <v/>
      </c>
    </row>
    <row r="311" spans="2:11" x14ac:dyDescent="0.25">
      <c r="B311" s="5">
        <f t="shared" si="26"/>
        <v>305</v>
      </c>
      <c r="C311" s="5" t="e">
        <f t="shared" si="29"/>
        <v>#N/A</v>
      </c>
      <c r="D311" s="14" t="e">
        <f t="shared" si="30"/>
        <v>#N/A</v>
      </c>
      <c r="E311" s="14" t="e">
        <f>INDEX(entities[Attributes Index],MATCH('Customize code'!C311,entities[custom entity '#],0))</f>
        <v>#N/A</v>
      </c>
      <c r="F311" s="14" t="e">
        <f t="shared" si="27"/>
        <v>#N/A</v>
      </c>
      <c r="G311" s="5" t="e">
        <f>IF(D311&gt;0,"",
INDEX(entities[entity_id],MATCH('Customize code'!C311,entities[custom entity '#],0))&amp;":")</f>
        <v>#N/A</v>
      </c>
      <c r="H311" s="5" t="e">
        <f>IF(F311=0,"",VLOOKUP(F311,'Customize code'!$M$8:$O$13,3,FALSE))</f>
        <v>#N/A</v>
      </c>
      <c r="I311" s="5" t="e">
        <f>IF(F311=0, "",  INDEX(entities[[hidden]:[icon]],  MATCH(C311,entities[custom entity '#],0),  'Customize code'!F311)  )</f>
        <v>#N/A</v>
      </c>
      <c r="J311" s="5" t="str">
        <f t="shared" si="28"/>
        <v/>
      </c>
      <c r="K311" s="5" t="str">
        <f t="shared" ref="K311:K374" si="31">IF(AND(NOT(ISNA(D311)),ISNA(E311)),"END","")</f>
        <v/>
      </c>
    </row>
    <row r="312" spans="2:11" x14ac:dyDescent="0.25">
      <c r="B312" s="5">
        <f t="shared" si="26"/>
        <v>306</v>
      </c>
      <c r="C312" s="5" t="e">
        <f t="shared" si="29"/>
        <v>#N/A</v>
      </c>
      <c r="D312" s="14" t="e">
        <f t="shared" si="30"/>
        <v>#N/A</v>
      </c>
      <c r="E312" s="14" t="e">
        <f>INDEX(entities[Attributes Index],MATCH('Customize code'!C312,entities[custom entity '#],0))</f>
        <v>#N/A</v>
      </c>
      <c r="F312" s="14" t="e">
        <f t="shared" si="27"/>
        <v>#N/A</v>
      </c>
      <c r="G312" s="5" t="e">
        <f>IF(D312&gt;0,"",
INDEX(entities[entity_id],MATCH('Customize code'!C312,entities[custom entity '#],0))&amp;":")</f>
        <v>#N/A</v>
      </c>
      <c r="H312" s="5" t="e">
        <f>IF(F312=0,"",VLOOKUP(F312,'Customize code'!$M$8:$O$13,3,FALSE))</f>
        <v>#N/A</v>
      </c>
      <c r="I312" s="5" t="e">
        <f>IF(F312=0, "",  INDEX(entities[[hidden]:[icon]],  MATCH(C312,entities[custom entity '#],0),  'Customize code'!F312)  )</f>
        <v>#N/A</v>
      </c>
      <c r="J312" s="5" t="str">
        <f t="shared" si="28"/>
        <v/>
      </c>
      <c r="K312" s="5" t="str">
        <f t="shared" si="31"/>
        <v/>
      </c>
    </row>
    <row r="313" spans="2:11" x14ac:dyDescent="0.25">
      <c r="B313" s="5">
        <f t="shared" si="26"/>
        <v>307</v>
      </c>
      <c r="C313" s="5" t="e">
        <f t="shared" si="29"/>
        <v>#N/A</v>
      </c>
      <c r="D313" s="14" t="e">
        <f t="shared" si="30"/>
        <v>#N/A</v>
      </c>
      <c r="E313" s="14" t="e">
        <f>INDEX(entities[Attributes Index],MATCH('Customize code'!C313,entities[custom entity '#],0))</f>
        <v>#N/A</v>
      </c>
      <c r="F313" s="14" t="e">
        <f t="shared" si="27"/>
        <v>#N/A</v>
      </c>
      <c r="G313" s="5" t="e">
        <f>IF(D313&gt;0,"",
INDEX(entities[entity_id],MATCH('Customize code'!C313,entities[custom entity '#],0))&amp;":")</f>
        <v>#N/A</v>
      </c>
      <c r="H313" s="5" t="e">
        <f>IF(F313=0,"",VLOOKUP(F313,'Customize code'!$M$8:$O$13,3,FALSE))</f>
        <v>#N/A</v>
      </c>
      <c r="I313" s="5" t="e">
        <f>IF(F313=0, "",  INDEX(entities[[hidden]:[icon]],  MATCH(C313,entities[custom entity '#],0),  'Customize code'!F313)  )</f>
        <v>#N/A</v>
      </c>
      <c r="J313" s="5" t="str">
        <f t="shared" si="28"/>
        <v/>
      </c>
      <c r="K313" s="5" t="str">
        <f t="shared" si="31"/>
        <v/>
      </c>
    </row>
    <row r="314" spans="2:11" x14ac:dyDescent="0.25">
      <c r="B314" s="5">
        <f t="shared" si="26"/>
        <v>308</v>
      </c>
      <c r="C314" s="5" t="e">
        <f t="shared" si="29"/>
        <v>#N/A</v>
      </c>
      <c r="D314" s="14" t="e">
        <f t="shared" si="30"/>
        <v>#N/A</v>
      </c>
      <c r="E314" s="14" t="e">
        <f>INDEX(entities[Attributes Index],MATCH('Customize code'!C314,entities[custom entity '#],0))</f>
        <v>#N/A</v>
      </c>
      <c r="F314" s="14" t="e">
        <f t="shared" si="27"/>
        <v>#N/A</v>
      </c>
      <c r="G314" s="5" t="e">
        <f>IF(D314&gt;0,"",
INDEX(entities[entity_id],MATCH('Customize code'!C314,entities[custom entity '#],0))&amp;":")</f>
        <v>#N/A</v>
      </c>
      <c r="H314" s="5" t="e">
        <f>IF(F314=0,"",VLOOKUP(F314,'Customize code'!$M$8:$O$13,3,FALSE))</f>
        <v>#N/A</v>
      </c>
      <c r="I314" s="5" t="e">
        <f>IF(F314=0, "",  INDEX(entities[[hidden]:[icon]],  MATCH(C314,entities[custom entity '#],0),  'Customize code'!F314)  )</f>
        <v>#N/A</v>
      </c>
      <c r="J314" s="5" t="str">
        <f t="shared" si="28"/>
        <v/>
      </c>
      <c r="K314" s="5" t="str">
        <f t="shared" si="31"/>
        <v/>
      </c>
    </row>
    <row r="315" spans="2:11" x14ac:dyDescent="0.25">
      <c r="B315" s="5">
        <f t="shared" si="26"/>
        <v>309</v>
      </c>
      <c r="C315" s="5" t="e">
        <f t="shared" si="29"/>
        <v>#N/A</v>
      </c>
      <c r="D315" s="14" t="e">
        <f t="shared" si="30"/>
        <v>#N/A</v>
      </c>
      <c r="E315" s="14" t="e">
        <f>INDEX(entities[Attributes Index],MATCH('Customize code'!C315,entities[custom entity '#],0))</f>
        <v>#N/A</v>
      </c>
      <c r="F315" s="14" t="e">
        <f t="shared" si="27"/>
        <v>#N/A</v>
      </c>
      <c r="G315" s="5" t="e">
        <f>IF(D315&gt;0,"",
INDEX(entities[entity_id],MATCH('Customize code'!C315,entities[custom entity '#],0))&amp;":")</f>
        <v>#N/A</v>
      </c>
      <c r="H315" s="5" t="e">
        <f>IF(F315=0,"",VLOOKUP(F315,'Customize code'!$M$8:$O$13,3,FALSE))</f>
        <v>#N/A</v>
      </c>
      <c r="I315" s="5" t="e">
        <f>IF(F315=0, "",  INDEX(entities[[hidden]:[icon]],  MATCH(C315,entities[custom entity '#],0),  'Customize code'!F315)  )</f>
        <v>#N/A</v>
      </c>
      <c r="J315" s="5" t="str">
        <f t="shared" si="28"/>
        <v/>
      </c>
      <c r="K315" s="5" t="str">
        <f t="shared" si="31"/>
        <v/>
      </c>
    </row>
    <row r="316" spans="2:11" x14ac:dyDescent="0.25">
      <c r="B316" s="5">
        <f t="shared" si="26"/>
        <v>310</v>
      </c>
      <c r="C316" s="5" t="e">
        <f t="shared" si="29"/>
        <v>#N/A</v>
      </c>
      <c r="D316" s="14" t="e">
        <f t="shared" si="30"/>
        <v>#N/A</v>
      </c>
      <c r="E316" s="14" t="e">
        <f>INDEX(entities[Attributes Index],MATCH('Customize code'!C316,entities[custom entity '#],0))</f>
        <v>#N/A</v>
      </c>
      <c r="F316" s="14" t="e">
        <f t="shared" si="27"/>
        <v>#N/A</v>
      </c>
      <c r="G316" s="5" t="e">
        <f>IF(D316&gt;0,"",
INDEX(entities[entity_id],MATCH('Customize code'!C316,entities[custom entity '#],0))&amp;":")</f>
        <v>#N/A</v>
      </c>
      <c r="H316" s="5" t="e">
        <f>IF(F316=0,"",VLOOKUP(F316,'Customize code'!$M$8:$O$13,3,FALSE))</f>
        <v>#N/A</v>
      </c>
      <c r="I316" s="5" t="e">
        <f>IF(F316=0, "",  INDEX(entities[[hidden]:[icon]],  MATCH(C316,entities[custom entity '#],0),  'Customize code'!F316)  )</f>
        <v>#N/A</v>
      </c>
      <c r="J316" s="5" t="str">
        <f t="shared" si="28"/>
        <v/>
      </c>
      <c r="K316" s="5" t="str">
        <f t="shared" si="31"/>
        <v/>
      </c>
    </row>
    <row r="317" spans="2:11" x14ac:dyDescent="0.25">
      <c r="B317" s="5">
        <f t="shared" si="26"/>
        <v>311</v>
      </c>
      <c r="C317" s="5" t="e">
        <f t="shared" si="29"/>
        <v>#N/A</v>
      </c>
      <c r="D317" s="14" t="e">
        <f t="shared" si="30"/>
        <v>#N/A</v>
      </c>
      <c r="E317" s="14" t="e">
        <f>INDEX(entities[Attributes Index],MATCH('Customize code'!C317,entities[custom entity '#],0))</f>
        <v>#N/A</v>
      </c>
      <c r="F317" s="14" t="e">
        <f t="shared" si="27"/>
        <v>#N/A</v>
      </c>
      <c r="G317" s="5" t="e">
        <f>IF(D317&gt;0,"",
INDEX(entities[entity_id],MATCH('Customize code'!C317,entities[custom entity '#],0))&amp;":")</f>
        <v>#N/A</v>
      </c>
      <c r="H317" s="5" t="e">
        <f>IF(F317=0,"",VLOOKUP(F317,'Customize code'!$M$8:$O$13,3,FALSE))</f>
        <v>#N/A</v>
      </c>
      <c r="I317" s="5" t="e">
        <f>IF(F317=0, "",  INDEX(entities[[hidden]:[icon]],  MATCH(C317,entities[custom entity '#],0),  'Customize code'!F317)  )</f>
        <v>#N/A</v>
      </c>
      <c r="J317" s="5" t="str">
        <f t="shared" si="28"/>
        <v/>
      </c>
      <c r="K317" s="5" t="str">
        <f t="shared" si="31"/>
        <v/>
      </c>
    </row>
    <row r="318" spans="2:11" x14ac:dyDescent="0.25">
      <c r="B318" s="5">
        <f t="shared" si="26"/>
        <v>312</v>
      </c>
      <c r="C318" s="5" t="e">
        <f t="shared" si="29"/>
        <v>#N/A</v>
      </c>
      <c r="D318" s="14" t="e">
        <f t="shared" si="30"/>
        <v>#N/A</v>
      </c>
      <c r="E318" s="14" t="e">
        <f>INDEX(entities[Attributes Index],MATCH('Customize code'!C318,entities[custom entity '#],0))</f>
        <v>#N/A</v>
      </c>
      <c r="F318" s="14" t="e">
        <f t="shared" si="27"/>
        <v>#N/A</v>
      </c>
      <c r="G318" s="5" t="e">
        <f>IF(D318&gt;0,"",
INDEX(entities[entity_id],MATCH('Customize code'!C318,entities[custom entity '#],0))&amp;":")</f>
        <v>#N/A</v>
      </c>
      <c r="H318" s="5" t="e">
        <f>IF(F318=0,"",VLOOKUP(F318,'Customize code'!$M$8:$O$13,3,FALSE))</f>
        <v>#N/A</v>
      </c>
      <c r="I318" s="5" t="e">
        <f>IF(F318=0, "",  INDEX(entities[[hidden]:[icon]],  MATCH(C318,entities[custom entity '#],0),  'Customize code'!F318)  )</f>
        <v>#N/A</v>
      </c>
      <c r="J318" s="5" t="str">
        <f t="shared" si="28"/>
        <v/>
      </c>
      <c r="K318" s="5" t="str">
        <f t="shared" si="31"/>
        <v/>
      </c>
    </row>
    <row r="319" spans="2:11" x14ac:dyDescent="0.25">
      <c r="B319" s="5">
        <f t="shared" si="26"/>
        <v>313</v>
      </c>
      <c r="C319" s="5" t="e">
        <f t="shared" si="29"/>
        <v>#N/A</v>
      </c>
      <c r="D319" s="14" t="e">
        <f t="shared" si="30"/>
        <v>#N/A</v>
      </c>
      <c r="E319" s="14" t="e">
        <f>INDEX(entities[Attributes Index],MATCH('Customize code'!C319,entities[custom entity '#],0))</f>
        <v>#N/A</v>
      </c>
      <c r="F319" s="14" t="e">
        <f t="shared" si="27"/>
        <v>#N/A</v>
      </c>
      <c r="G319" s="5" t="e">
        <f>IF(D319&gt;0,"",
INDEX(entities[entity_id],MATCH('Customize code'!C319,entities[custom entity '#],0))&amp;":")</f>
        <v>#N/A</v>
      </c>
      <c r="H319" s="5" t="e">
        <f>IF(F319=0,"",VLOOKUP(F319,'Customize code'!$M$8:$O$13,3,FALSE))</f>
        <v>#N/A</v>
      </c>
      <c r="I319" s="5" t="e">
        <f>IF(F319=0, "",  INDEX(entities[[hidden]:[icon]],  MATCH(C319,entities[custom entity '#],0),  'Customize code'!F319)  )</f>
        <v>#N/A</v>
      </c>
      <c r="J319" s="5" t="str">
        <f t="shared" si="28"/>
        <v/>
      </c>
      <c r="K319" s="5" t="str">
        <f t="shared" si="31"/>
        <v/>
      </c>
    </row>
    <row r="320" spans="2:11" x14ac:dyDescent="0.25">
      <c r="B320" s="5">
        <f t="shared" si="26"/>
        <v>314</v>
      </c>
      <c r="C320" s="5" t="e">
        <f t="shared" si="29"/>
        <v>#N/A</v>
      </c>
      <c r="D320" s="14" t="e">
        <f t="shared" si="30"/>
        <v>#N/A</v>
      </c>
      <c r="E320" s="14" t="e">
        <f>INDEX(entities[Attributes Index],MATCH('Customize code'!C320,entities[custom entity '#],0))</f>
        <v>#N/A</v>
      </c>
      <c r="F320" s="14" t="e">
        <f t="shared" si="27"/>
        <v>#N/A</v>
      </c>
      <c r="G320" s="5" t="e">
        <f>IF(D320&gt;0,"",
INDEX(entities[entity_id],MATCH('Customize code'!C320,entities[custom entity '#],0))&amp;":")</f>
        <v>#N/A</v>
      </c>
      <c r="H320" s="5" t="e">
        <f>IF(F320=0,"",VLOOKUP(F320,'Customize code'!$M$8:$O$13,3,FALSE))</f>
        <v>#N/A</v>
      </c>
      <c r="I320" s="5" t="e">
        <f>IF(F320=0, "",  INDEX(entities[[hidden]:[icon]],  MATCH(C320,entities[custom entity '#],0),  'Customize code'!F320)  )</f>
        <v>#N/A</v>
      </c>
      <c r="J320" s="5" t="str">
        <f t="shared" si="28"/>
        <v/>
      </c>
      <c r="K320" s="5" t="str">
        <f t="shared" si="31"/>
        <v/>
      </c>
    </row>
    <row r="321" spans="2:11" x14ac:dyDescent="0.25">
      <c r="B321" s="5">
        <f t="shared" si="26"/>
        <v>315</v>
      </c>
      <c r="C321" s="5" t="e">
        <f t="shared" si="29"/>
        <v>#N/A</v>
      </c>
      <c r="D321" s="14" t="e">
        <f t="shared" si="30"/>
        <v>#N/A</v>
      </c>
      <c r="E321" s="14" t="e">
        <f>INDEX(entities[Attributes Index],MATCH('Customize code'!C321,entities[custom entity '#],0))</f>
        <v>#N/A</v>
      </c>
      <c r="F321" s="14" t="e">
        <f t="shared" si="27"/>
        <v>#N/A</v>
      </c>
      <c r="G321" s="5" t="e">
        <f>IF(D321&gt;0,"",
INDEX(entities[entity_id],MATCH('Customize code'!C321,entities[custom entity '#],0))&amp;":")</f>
        <v>#N/A</v>
      </c>
      <c r="H321" s="5" t="e">
        <f>IF(F321=0,"",VLOOKUP(F321,'Customize code'!$M$8:$O$13,3,FALSE))</f>
        <v>#N/A</v>
      </c>
      <c r="I321" s="5" t="e">
        <f>IF(F321=0, "",  INDEX(entities[[hidden]:[icon]],  MATCH(C321,entities[custom entity '#],0),  'Customize code'!F321)  )</f>
        <v>#N/A</v>
      </c>
      <c r="J321" s="5" t="str">
        <f t="shared" si="28"/>
        <v/>
      </c>
      <c r="K321" s="5" t="str">
        <f t="shared" si="31"/>
        <v/>
      </c>
    </row>
    <row r="322" spans="2:11" x14ac:dyDescent="0.25">
      <c r="B322" s="5">
        <f t="shared" si="26"/>
        <v>316</v>
      </c>
      <c r="C322" s="5" t="e">
        <f t="shared" si="29"/>
        <v>#N/A</v>
      </c>
      <c r="D322" s="14" t="e">
        <f t="shared" si="30"/>
        <v>#N/A</v>
      </c>
      <c r="E322" s="14" t="e">
        <f>INDEX(entities[Attributes Index],MATCH('Customize code'!C322,entities[custom entity '#],0))</f>
        <v>#N/A</v>
      </c>
      <c r="F322" s="14" t="e">
        <f t="shared" si="27"/>
        <v>#N/A</v>
      </c>
      <c r="G322" s="5" t="e">
        <f>IF(D322&gt;0,"",
INDEX(entities[entity_id],MATCH('Customize code'!C322,entities[custom entity '#],0))&amp;":")</f>
        <v>#N/A</v>
      </c>
      <c r="H322" s="5" t="e">
        <f>IF(F322=0,"",VLOOKUP(F322,'Customize code'!$M$8:$O$13,3,FALSE))</f>
        <v>#N/A</v>
      </c>
      <c r="I322" s="5" t="e">
        <f>IF(F322=0, "",  INDEX(entities[[hidden]:[icon]],  MATCH(C322,entities[custom entity '#],0),  'Customize code'!F322)  )</f>
        <v>#N/A</v>
      </c>
      <c r="J322" s="5" t="str">
        <f t="shared" si="28"/>
        <v/>
      </c>
      <c r="K322" s="5" t="str">
        <f t="shared" si="31"/>
        <v/>
      </c>
    </row>
    <row r="323" spans="2:11" x14ac:dyDescent="0.25">
      <c r="B323" s="5">
        <f t="shared" si="26"/>
        <v>317</v>
      </c>
      <c r="C323" s="5" t="e">
        <f t="shared" si="29"/>
        <v>#N/A</v>
      </c>
      <c r="D323" s="14" t="e">
        <f t="shared" si="30"/>
        <v>#N/A</v>
      </c>
      <c r="E323" s="14" t="e">
        <f>INDEX(entities[Attributes Index],MATCH('Customize code'!C323,entities[custom entity '#],0))</f>
        <v>#N/A</v>
      </c>
      <c r="F323" s="14" t="e">
        <f t="shared" si="27"/>
        <v>#N/A</v>
      </c>
      <c r="G323" s="5" t="e">
        <f>IF(D323&gt;0,"",
INDEX(entities[entity_id],MATCH('Customize code'!C323,entities[custom entity '#],0))&amp;":")</f>
        <v>#N/A</v>
      </c>
      <c r="H323" s="5" t="e">
        <f>IF(F323=0,"",VLOOKUP(F323,'Customize code'!$M$8:$O$13,3,FALSE))</f>
        <v>#N/A</v>
      </c>
      <c r="I323" s="5" t="e">
        <f>IF(F323=0, "",  INDEX(entities[[hidden]:[icon]],  MATCH(C323,entities[custom entity '#],0),  'Customize code'!F323)  )</f>
        <v>#N/A</v>
      </c>
      <c r="J323" s="5" t="str">
        <f t="shared" si="28"/>
        <v/>
      </c>
      <c r="K323" s="5" t="str">
        <f t="shared" si="31"/>
        <v/>
      </c>
    </row>
    <row r="324" spans="2:11" x14ac:dyDescent="0.25">
      <c r="B324" s="5">
        <f t="shared" si="26"/>
        <v>318</v>
      </c>
      <c r="C324" s="5" t="e">
        <f t="shared" si="29"/>
        <v>#N/A</v>
      </c>
      <c r="D324" s="14" t="e">
        <f t="shared" si="30"/>
        <v>#N/A</v>
      </c>
      <c r="E324" s="14" t="e">
        <f>INDEX(entities[Attributes Index],MATCH('Customize code'!C324,entities[custom entity '#],0))</f>
        <v>#N/A</v>
      </c>
      <c r="F324" s="14" t="e">
        <f t="shared" si="27"/>
        <v>#N/A</v>
      </c>
      <c r="G324" s="5" t="e">
        <f>IF(D324&gt;0,"",
INDEX(entities[entity_id],MATCH('Customize code'!C324,entities[custom entity '#],0))&amp;":")</f>
        <v>#N/A</v>
      </c>
      <c r="H324" s="5" t="e">
        <f>IF(F324=0,"",VLOOKUP(F324,'Customize code'!$M$8:$O$13,3,FALSE))</f>
        <v>#N/A</v>
      </c>
      <c r="I324" s="5" t="e">
        <f>IF(F324=0, "",  INDEX(entities[[hidden]:[icon]],  MATCH(C324,entities[custom entity '#],0),  'Customize code'!F324)  )</f>
        <v>#N/A</v>
      </c>
      <c r="J324" s="5" t="str">
        <f t="shared" si="28"/>
        <v/>
      </c>
      <c r="K324" s="5" t="str">
        <f t="shared" si="31"/>
        <v/>
      </c>
    </row>
    <row r="325" spans="2:11" x14ac:dyDescent="0.25">
      <c r="B325" s="5">
        <f t="shared" si="26"/>
        <v>319</v>
      </c>
      <c r="C325" s="5" t="e">
        <f t="shared" si="29"/>
        <v>#N/A</v>
      </c>
      <c r="D325" s="14" t="e">
        <f t="shared" si="30"/>
        <v>#N/A</v>
      </c>
      <c r="E325" s="14" t="e">
        <f>INDEX(entities[Attributes Index],MATCH('Customize code'!C325,entities[custom entity '#],0))</f>
        <v>#N/A</v>
      </c>
      <c r="F325" s="14" t="e">
        <f t="shared" si="27"/>
        <v>#N/A</v>
      </c>
      <c r="G325" s="5" t="e">
        <f>IF(D325&gt;0,"",
INDEX(entities[entity_id],MATCH('Customize code'!C325,entities[custom entity '#],0))&amp;":")</f>
        <v>#N/A</v>
      </c>
      <c r="H325" s="5" t="e">
        <f>IF(F325=0,"",VLOOKUP(F325,'Customize code'!$M$8:$O$13,3,FALSE))</f>
        <v>#N/A</v>
      </c>
      <c r="I325" s="5" t="e">
        <f>IF(F325=0, "",  INDEX(entities[[hidden]:[icon]],  MATCH(C325,entities[custom entity '#],0),  'Customize code'!F325)  )</f>
        <v>#N/A</v>
      </c>
      <c r="J325" s="5" t="str">
        <f t="shared" si="28"/>
        <v/>
      </c>
      <c r="K325" s="5" t="str">
        <f t="shared" si="31"/>
        <v/>
      </c>
    </row>
    <row r="326" spans="2:11" x14ac:dyDescent="0.25">
      <c r="B326" s="5">
        <f t="shared" si="26"/>
        <v>320</v>
      </c>
      <c r="C326" s="5" t="e">
        <f t="shared" si="29"/>
        <v>#N/A</v>
      </c>
      <c r="D326" s="14" t="e">
        <f t="shared" si="30"/>
        <v>#N/A</v>
      </c>
      <c r="E326" s="14" t="e">
        <f>INDEX(entities[Attributes Index],MATCH('Customize code'!C326,entities[custom entity '#],0))</f>
        <v>#N/A</v>
      </c>
      <c r="F326" s="14" t="e">
        <f t="shared" si="27"/>
        <v>#N/A</v>
      </c>
      <c r="G326" s="5" t="e">
        <f>IF(D326&gt;0,"",
INDEX(entities[entity_id],MATCH('Customize code'!C326,entities[custom entity '#],0))&amp;":")</f>
        <v>#N/A</v>
      </c>
      <c r="H326" s="5" t="e">
        <f>IF(F326=0,"",VLOOKUP(F326,'Customize code'!$M$8:$O$13,3,FALSE))</f>
        <v>#N/A</v>
      </c>
      <c r="I326" s="5" t="e">
        <f>IF(F326=0, "",  INDEX(entities[[hidden]:[icon]],  MATCH(C326,entities[custom entity '#],0),  'Customize code'!F326)  )</f>
        <v>#N/A</v>
      </c>
      <c r="J326" s="5" t="str">
        <f t="shared" si="28"/>
        <v/>
      </c>
      <c r="K326" s="5" t="str">
        <f t="shared" si="31"/>
        <v/>
      </c>
    </row>
    <row r="327" spans="2:11" x14ac:dyDescent="0.25">
      <c r="B327" s="5">
        <f t="shared" si="26"/>
        <v>321</v>
      </c>
      <c r="C327" s="5" t="e">
        <f t="shared" si="29"/>
        <v>#N/A</v>
      </c>
      <c r="D327" s="14" t="e">
        <f t="shared" si="30"/>
        <v>#N/A</v>
      </c>
      <c r="E327" s="14" t="e">
        <f>INDEX(entities[Attributes Index],MATCH('Customize code'!C327,entities[custom entity '#],0))</f>
        <v>#N/A</v>
      </c>
      <c r="F327" s="14" t="e">
        <f t="shared" si="27"/>
        <v>#N/A</v>
      </c>
      <c r="G327" s="5" t="e">
        <f>IF(D327&gt;0,"",
INDEX(entities[entity_id],MATCH('Customize code'!C327,entities[custom entity '#],0))&amp;":")</f>
        <v>#N/A</v>
      </c>
      <c r="H327" s="5" t="e">
        <f>IF(F327=0,"",VLOOKUP(F327,'Customize code'!$M$8:$O$13,3,FALSE))</f>
        <v>#N/A</v>
      </c>
      <c r="I327" s="5" t="e">
        <f>IF(F327=0, "",  INDEX(entities[[hidden]:[icon]],  MATCH(C327,entities[custom entity '#],0),  'Customize code'!F327)  )</f>
        <v>#N/A</v>
      </c>
      <c r="J327" s="5" t="str">
        <f t="shared" si="28"/>
        <v/>
      </c>
      <c r="K327" s="5" t="str">
        <f t="shared" si="31"/>
        <v/>
      </c>
    </row>
    <row r="328" spans="2:11" x14ac:dyDescent="0.25">
      <c r="B328" s="5">
        <f t="shared" ref="B328:B391" si="32">B327+1</f>
        <v>322</v>
      </c>
      <c r="C328" s="5" t="e">
        <f t="shared" si="29"/>
        <v>#N/A</v>
      </c>
      <c r="D328" s="14" t="e">
        <f t="shared" si="30"/>
        <v>#N/A</v>
      </c>
      <c r="E328" s="14" t="e">
        <f>INDEX(entities[Attributes Index],MATCH('Customize code'!C328,entities[custom entity '#],0))</f>
        <v>#N/A</v>
      </c>
      <c r="F328" s="14" t="e">
        <f t="shared" si="27"/>
        <v>#N/A</v>
      </c>
      <c r="G328" s="5" t="e">
        <f>IF(D328&gt;0,"",
INDEX(entities[entity_id],MATCH('Customize code'!C328,entities[custom entity '#],0))&amp;":")</f>
        <v>#N/A</v>
      </c>
      <c r="H328" s="5" t="e">
        <f>IF(F328=0,"",VLOOKUP(F328,'Customize code'!$M$8:$O$13,3,FALSE))</f>
        <v>#N/A</v>
      </c>
      <c r="I328" s="5" t="e">
        <f>IF(F328=0, "",  INDEX(entities[[hidden]:[icon]],  MATCH(C328,entities[custom entity '#],0),  'Customize code'!F328)  )</f>
        <v>#N/A</v>
      </c>
      <c r="J328" s="5" t="str">
        <f t="shared" si="28"/>
        <v/>
      </c>
      <c r="K328" s="5" t="str">
        <f t="shared" si="31"/>
        <v/>
      </c>
    </row>
    <row r="329" spans="2:11" x14ac:dyDescent="0.25">
      <c r="B329" s="5">
        <f t="shared" si="32"/>
        <v>323</v>
      </c>
      <c r="C329" s="5" t="e">
        <f t="shared" si="29"/>
        <v>#N/A</v>
      </c>
      <c r="D329" s="14" t="e">
        <f t="shared" si="30"/>
        <v>#N/A</v>
      </c>
      <c r="E329" s="14" t="e">
        <f>INDEX(entities[Attributes Index],MATCH('Customize code'!C329,entities[custom entity '#],0))</f>
        <v>#N/A</v>
      </c>
      <c r="F329" s="14" t="e">
        <f t="shared" ref="F329:F392" si="33">IF(D329=0,0,  VALUE(MID(E329,D329,1)))</f>
        <v>#N/A</v>
      </c>
      <c r="G329" s="5" t="e">
        <f>IF(D329&gt;0,"",
INDEX(entities[entity_id],MATCH('Customize code'!C329,entities[custom entity '#],0))&amp;":")</f>
        <v>#N/A</v>
      </c>
      <c r="H329" s="5" t="e">
        <f>IF(F329=0,"",VLOOKUP(F329,'Customize code'!$M$8:$O$13,3,FALSE))</f>
        <v>#N/A</v>
      </c>
      <c r="I329" s="5" t="e">
        <f>IF(F329=0, "",  INDEX(entities[[hidden]:[icon]],  MATCH(C329,entities[custom entity '#],0),  'Customize code'!F329)  )</f>
        <v>#N/A</v>
      </c>
      <c r="J329" s="5" t="str">
        <f t="shared" si="28"/>
        <v/>
      </c>
      <c r="K329" s="5" t="str">
        <f t="shared" si="31"/>
        <v/>
      </c>
    </row>
    <row r="330" spans="2:11" x14ac:dyDescent="0.25">
      <c r="B330" s="5">
        <f t="shared" si="32"/>
        <v>324</v>
      </c>
      <c r="C330" s="5" t="e">
        <f t="shared" si="29"/>
        <v>#N/A</v>
      </c>
      <c r="D330" s="14" t="e">
        <f t="shared" si="30"/>
        <v>#N/A</v>
      </c>
      <c r="E330" s="14" t="e">
        <f>INDEX(entities[Attributes Index],MATCH('Customize code'!C330,entities[custom entity '#],0))</f>
        <v>#N/A</v>
      </c>
      <c r="F330" s="14" t="e">
        <f t="shared" si="33"/>
        <v>#N/A</v>
      </c>
      <c r="G330" s="5" t="e">
        <f>IF(D330&gt;0,"",
INDEX(entities[entity_id],MATCH('Customize code'!C330,entities[custom entity '#],0))&amp;":")</f>
        <v>#N/A</v>
      </c>
      <c r="H330" s="5" t="e">
        <f>IF(F330=0,"",VLOOKUP(F330,'Customize code'!$M$8:$O$13,3,FALSE))</f>
        <v>#N/A</v>
      </c>
      <c r="I330" s="5" t="e">
        <f>IF(F330=0, "",  INDEX(entities[[hidden]:[icon]],  MATCH(C330,entities[custom entity '#],0),  'Customize code'!F330)  )</f>
        <v>#N/A</v>
      </c>
      <c r="J330" s="5" t="str">
        <f t="shared" ref="J330:J393" si="34">_xlfn.IFNA(  G330&amp;H330&amp;I330,  "")</f>
        <v/>
      </c>
      <c r="K330" s="5" t="str">
        <f t="shared" si="31"/>
        <v/>
      </c>
    </row>
    <row r="331" spans="2:11" x14ac:dyDescent="0.25">
      <c r="B331" s="5">
        <f t="shared" si="32"/>
        <v>325</v>
      </c>
      <c r="C331" s="5" t="e">
        <f t="shared" ref="C331:C394" si="35">IF(D330=LEN(E330),  C330+1,  C330)</f>
        <v>#N/A</v>
      </c>
      <c r="D331" s="14" t="e">
        <f t="shared" ref="D331:D394" si="36">IF(C330&lt;&gt;C331,  0,  D330+1)</f>
        <v>#N/A</v>
      </c>
      <c r="E331" s="14" t="e">
        <f>INDEX(entities[Attributes Index],MATCH('Customize code'!C331,entities[custom entity '#],0))</f>
        <v>#N/A</v>
      </c>
      <c r="F331" s="14" t="e">
        <f t="shared" si="33"/>
        <v>#N/A</v>
      </c>
      <c r="G331" s="5" t="e">
        <f>IF(D331&gt;0,"",
INDEX(entities[entity_id],MATCH('Customize code'!C331,entities[custom entity '#],0))&amp;":")</f>
        <v>#N/A</v>
      </c>
      <c r="H331" s="5" t="e">
        <f>IF(F331=0,"",VLOOKUP(F331,'Customize code'!$M$8:$O$13,3,FALSE))</f>
        <v>#N/A</v>
      </c>
      <c r="I331" s="5" t="e">
        <f>IF(F331=0, "",  INDEX(entities[[hidden]:[icon]],  MATCH(C331,entities[custom entity '#],0),  'Customize code'!F331)  )</f>
        <v>#N/A</v>
      </c>
      <c r="J331" s="5" t="str">
        <f t="shared" si="34"/>
        <v/>
      </c>
      <c r="K331" s="5" t="str">
        <f t="shared" si="31"/>
        <v/>
      </c>
    </row>
    <row r="332" spans="2:11" x14ac:dyDescent="0.25">
      <c r="B332" s="5">
        <f t="shared" si="32"/>
        <v>326</v>
      </c>
      <c r="C332" s="5" t="e">
        <f t="shared" si="35"/>
        <v>#N/A</v>
      </c>
      <c r="D332" s="14" t="e">
        <f t="shared" si="36"/>
        <v>#N/A</v>
      </c>
      <c r="E332" s="14" t="e">
        <f>INDEX(entities[Attributes Index],MATCH('Customize code'!C332,entities[custom entity '#],0))</f>
        <v>#N/A</v>
      </c>
      <c r="F332" s="14" t="e">
        <f t="shared" si="33"/>
        <v>#N/A</v>
      </c>
      <c r="G332" s="5" t="e">
        <f>IF(D332&gt;0,"",
INDEX(entities[entity_id],MATCH('Customize code'!C332,entities[custom entity '#],0))&amp;":")</f>
        <v>#N/A</v>
      </c>
      <c r="H332" s="5" t="e">
        <f>IF(F332=0,"",VLOOKUP(F332,'Customize code'!$M$8:$O$13,3,FALSE))</f>
        <v>#N/A</v>
      </c>
      <c r="I332" s="5" t="e">
        <f>IF(F332=0, "",  INDEX(entities[[hidden]:[icon]],  MATCH(C332,entities[custom entity '#],0),  'Customize code'!F332)  )</f>
        <v>#N/A</v>
      </c>
      <c r="J332" s="5" t="str">
        <f t="shared" si="34"/>
        <v/>
      </c>
      <c r="K332" s="5" t="str">
        <f t="shared" si="31"/>
        <v/>
      </c>
    </row>
    <row r="333" spans="2:11" x14ac:dyDescent="0.25">
      <c r="B333" s="5">
        <f t="shared" si="32"/>
        <v>327</v>
      </c>
      <c r="C333" s="5" t="e">
        <f t="shared" si="35"/>
        <v>#N/A</v>
      </c>
      <c r="D333" s="14" t="e">
        <f t="shared" si="36"/>
        <v>#N/A</v>
      </c>
      <c r="E333" s="14" t="e">
        <f>INDEX(entities[Attributes Index],MATCH('Customize code'!C333,entities[custom entity '#],0))</f>
        <v>#N/A</v>
      </c>
      <c r="F333" s="14" t="e">
        <f t="shared" si="33"/>
        <v>#N/A</v>
      </c>
      <c r="G333" s="5" t="e">
        <f>IF(D333&gt;0,"",
INDEX(entities[entity_id],MATCH('Customize code'!C333,entities[custom entity '#],0))&amp;":")</f>
        <v>#N/A</v>
      </c>
      <c r="H333" s="5" t="e">
        <f>IF(F333=0,"",VLOOKUP(F333,'Customize code'!$M$8:$O$13,3,FALSE))</f>
        <v>#N/A</v>
      </c>
      <c r="I333" s="5" t="e">
        <f>IF(F333=0, "",  INDEX(entities[[hidden]:[icon]],  MATCH(C333,entities[custom entity '#],0),  'Customize code'!F333)  )</f>
        <v>#N/A</v>
      </c>
      <c r="J333" s="5" t="str">
        <f t="shared" si="34"/>
        <v/>
      </c>
      <c r="K333" s="5" t="str">
        <f t="shared" si="31"/>
        <v/>
      </c>
    </row>
    <row r="334" spans="2:11" x14ac:dyDescent="0.25">
      <c r="B334" s="5">
        <f t="shared" si="32"/>
        <v>328</v>
      </c>
      <c r="C334" s="5" t="e">
        <f t="shared" si="35"/>
        <v>#N/A</v>
      </c>
      <c r="D334" s="14" t="e">
        <f t="shared" si="36"/>
        <v>#N/A</v>
      </c>
      <c r="E334" s="14" t="e">
        <f>INDEX(entities[Attributes Index],MATCH('Customize code'!C334,entities[custom entity '#],0))</f>
        <v>#N/A</v>
      </c>
      <c r="F334" s="14" t="e">
        <f t="shared" si="33"/>
        <v>#N/A</v>
      </c>
      <c r="G334" s="5" t="e">
        <f>IF(D334&gt;0,"",
INDEX(entities[entity_id],MATCH('Customize code'!C334,entities[custom entity '#],0))&amp;":")</f>
        <v>#N/A</v>
      </c>
      <c r="H334" s="5" t="e">
        <f>IF(F334=0,"",VLOOKUP(F334,'Customize code'!$M$8:$O$13,3,FALSE))</f>
        <v>#N/A</v>
      </c>
      <c r="I334" s="5" t="e">
        <f>IF(F334=0, "",  INDEX(entities[[hidden]:[icon]],  MATCH(C334,entities[custom entity '#],0),  'Customize code'!F334)  )</f>
        <v>#N/A</v>
      </c>
      <c r="J334" s="5" t="str">
        <f t="shared" si="34"/>
        <v/>
      </c>
      <c r="K334" s="5" t="str">
        <f t="shared" si="31"/>
        <v/>
      </c>
    </row>
    <row r="335" spans="2:11" x14ac:dyDescent="0.25">
      <c r="B335" s="5">
        <f t="shared" si="32"/>
        <v>329</v>
      </c>
      <c r="C335" s="5" t="e">
        <f t="shared" si="35"/>
        <v>#N/A</v>
      </c>
      <c r="D335" s="14" t="e">
        <f t="shared" si="36"/>
        <v>#N/A</v>
      </c>
      <c r="E335" s="14" t="e">
        <f>INDEX(entities[Attributes Index],MATCH('Customize code'!C335,entities[custom entity '#],0))</f>
        <v>#N/A</v>
      </c>
      <c r="F335" s="14" t="e">
        <f t="shared" si="33"/>
        <v>#N/A</v>
      </c>
      <c r="G335" s="5" t="e">
        <f>IF(D335&gt;0,"",
INDEX(entities[entity_id],MATCH('Customize code'!C335,entities[custom entity '#],0))&amp;":")</f>
        <v>#N/A</v>
      </c>
      <c r="H335" s="5" t="e">
        <f>IF(F335=0,"",VLOOKUP(F335,'Customize code'!$M$8:$O$13,3,FALSE))</f>
        <v>#N/A</v>
      </c>
      <c r="I335" s="5" t="e">
        <f>IF(F335=0, "",  INDEX(entities[[hidden]:[icon]],  MATCH(C335,entities[custom entity '#],0),  'Customize code'!F335)  )</f>
        <v>#N/A</v>
      </c>
      <c r="J335" s="5" t="str">
        <f t="shared" si="34"/>
        <v/>
      </c>
      <c r="K335" s="5" t="str">
        <f t="shared" si="31"/>
        <v/>
      </c>
    </row>
    <row r="336" spans="2:11" x14ac:dyDescent="0.25">
      <c r="B336" s="5">
        <f t="shared" si="32"/>
        <v>330</v>
      </c>
      <c r="C336" s="5" t="e">
        <f t="shared" si="35"/>
        <v>#N/A</v>
      </c>
      <c r="D336" s="14" t="e">
        <f t="shared" si="36"/>
        <v>#N/A</v>
      </c>
      <c r="E336" s="14" t="e">
        <f>INDEX(entities[Attributes Index],MATCH('Customize code'!C336,entities[custom entity '#],0))</f>
        <v>#N/A</v>
      </c>
      <c r="F336" s="14" t="e">
        <f t="shared" si="33"/>
        <v>#N/A</v>
      </c>
      <c r="G336" s="5" t="e">
        <f>IF(D336&gt;0,"",
INDEX(entities[entity_id],MATCH('Customize code'!C336,entities[custom entity '#],0))&amp;":")</f>
        <v>#N/A</v>
      </c>
      <c r="H336" s="5" t="e">
        <f>IF(F336=0,"",VLOOKUP(F336,'Customize code'!$M$8:$O$13,3,FALSE))</f>
        <v>#N/A</v>
      </c>
      <c r="I336" s="5" t="e">
        <f>IF(F336=0, "",  INDEX(entities[[hidden]:[icon]],  MATCH(C336,entities[custom entity '#],0),  'Customize code'!F336)  )</f>
        <v>#N/A</v>
      </c>
      <c r="J336" s="5" t="str">
        <f t="shared" si="34"/>
        <v/>
      </c>
      <c r="K336" s="5" t="str">
        <f t="shared" si="31"/>
        <v/>
      </c>
    </row>
    <row r="337" spans="2:11" x14ac:dyDescent="0.25">
      <c r="B337" s="5">
        <f t="shared" si="32"/>
        <v>331</v>
      </c>
      <c r="C337" s="5" t="e">
        <f t="shared" si="35"/>
        <v>#N/A</v>
      </c>
      <c r="D337" s="14" t="e">
        <f t="shared" si="36"/>
        <v>#N/A</v>
      </c>
      <c r="E337" s="14" t="e">
        <f>INDEX(entities[Attributes Index],MATCH('Customize code'!C337,entities[custom entity '#],0))</f>
        <v>#N/A</v>
      </c>
      <c r="F337" s="14" t="e">
        <f t="shared" si="33"/>
        <v>#N/A</v>
      </c>
      <c r="G337" s="5" t="e">
        <f>IF(D337&gt;0,"",
INDEX(entities[entity_id],MATCH('Customize code'!C337,entities[custom entity '#],0))&amp;":")</f>
        <v>#N/A</v>
      </c>
      <c r="H337" s="5" t="e">
        <f>IF(F337=0,"",VLOOKUP(F337,'Customize code'!$M$8:$O$13,3,FALSE))</f>
        <v>#N/A</v>
      </c>
      <c r="I337" s="5" t="e">
        <f>IF(F337=0, "",  INDEX(entities[[hidden]:[icon]],  MATCH(C337,entities[custom entity '#],0),  'Customize code'!F337)  )</f>
        <v>#N/A</v>
      </c>
      <c r="J337" s="5" t="str">
        <f t="shared" si="34"/>
        <v/>
      </c>
      <c r="K337" s="5" t="str">
        <f t="shared" si="31"/>
        <v/>
      </c>
    </row>
    <row r="338" spans="2:11" x14ac:dyDescent="0.25">
      <c r="B338" s="5">
        <f t="shared" si="32"/>
        <v>332</v>
      </c>
      <c r="C338" s="5" t="e">
        <f t="shared" si="35"/>
        <v>#N/A</v>
      </c>
      <c r="D338" s="14" t="e">
        <f t="shared" si="36"/>
        <v>#N/A</v>
      </c>
      <c r="E338" s="14" t="e">
        <f>INDEX(entities[Attributes Index],MATCH('Customize code'!C338,entities[custom entity '#],0))</f>
        <v>#N/A</v>
      </c>
      <c r="F338" s="14" t="e">
        <f t="shared" si="33"/>
        <v>#N/A</v>
      </c>
      <c r="G338" s="5" t="e">
        <f>IF(D338&gt;0,"",
INDEX(entities[entity_id],MATCH('Customize code'!C338,entities[custom entity '#],0))&amp;":")</f>
        <v>#N/A</v>
      </c>
      <c r="H338" s="5" t="e">
        <f>IF(F338=0,"",VLOOKUP(F338,'Customize code'!$M$8:$O$13,3,FALSE))</f>
        <v>#N/A</v>
      </c>
      <c r="I338" s="5" t="e">
        <f>IF(F338=0, "",  INDEX(entities[[hidden]:[icon]],  MATCH(C338,entities[custom entity '#],0),  'Customize code'!F338)  )</f>
        <v>#N/A</v>
      </c>
      <c r="J338" s="5" t="str">
        <f t="shared" si="34"/>
        <v/>
      </c>
      <c r="K338" s="5" t="str">
        <f t="shared" si="31"/>
        <v/>
      </c>
    </row>
    <row r="339" spans="2:11" x14ac:dyDescent="0.25">
      <c r="B339" s="5">
        <f t="shared" si="32"/>
        <v>333</v>
      </c>
      <c r="C339" s="5" t="e">
        <f t="shared" si="35"/>
        <v>#N/A</v>
      </c>
      <c r="D339" s="14" t="e">
        <f t="shared" si="36"/>
        <v>#N/A</v>
      </c>
      <c r="E339" s="14" t="e">
        <f>INDEX(entities[Attributes Index],MATCH('Customize code'!C339,entities[custom entity '#],0))</f>
        <v>#N/A</v>
      </c>
      <c r="F339" s="14" t="e">
        <f t="shared" si="33"/>
        <v>#N/A</v>
      </c>
      <c r="G339" s="5" t="e">
        <f>IF(D339&gt;0,"",
INDEX(entities[entity_id],MATCH('Customize code'!C339,entities[custom entity '#],0))&amp;":")</f>
        <v>#N/A</v>
      </c>
      <c r="H339" s="5" t="e">
        <f>IF(F339=0,"",VLOOKUP(F339,'Customize code'!$M$8:$O$13,3,FALSE))</f>
        <v>#N/A</v>
      </c>
      <c r="I339" s="5" t="e">
        <f>IF(F339=0, "",  INDEX(entities[[hidden]:[icon]],  MATCH(C339,entities[custom entity '#],0),  'Customize code'!F339)  )</f>
        <v>#N/A</v>
      </c>
      <c r="J339" s="5" t="str">
        <f t="shared" si="34"/>
        <v/>
      </c>
      <c r="K339" s="5" t="str">
        <f t="shared" si="31"/>
        <v/>
      </c>
    </row>
    <row r="340" spans="2:11" x14ac:dyDescent="0.25">
      <c r="B340" s="5">
        <f t="shared" si="32"/>
        <v>334</v>
      </c>
      <c r="C340" s="5" t="e">
        <f t="shared" si="35"/>
        <v>#N/A</v>
      </c>
      <c r="D340" s="14" t="e">
        <f t="shared" si="36"/>
        <v>#N/A</v>
      </c>
      <c r="E340" s="14" t="e">
        <f>INDEX(entities[Attributes Index],MATCH('Customize code'!C340,entities[custom entity '#],0))</f>
        <v>#N/A</v>
      </c>
      <c r="F340" s="14" t="e">
        <f t="shared" si="33"/>
        <v>#N/A</v>
      </c>
      <c r="G340" s="5" t="e">
        <f>IF(D340&gt;0,"",
INDEX(entities[entity_id],MATCH('Customize code'!C340,entities[custom entity '#],0))&amp;":")</f>
        <v>#N/A</v>
      </c>
      <c r="H340" s="5" t="e">
        <f>IF(F340=0,"",VLOOKUP(F340,'Customize code'!$M$8:$O$13,3,FALSE))</f>
        <v>#N/A</v>
      </c>
      <c r="I340" s="5" t="e">
        <f>IF(F340=0, "",  INDEX(entities[[hidden]:[icon]],  MATCH(C340,entities[custom entity '#],0),  'Customize code'!F340)  )</f>
        <v>#N/A</v>
      </c>
      <c r="J340" s="5" t="str">
        <f t="shared" si="34"/>
        <v/>
      </c>
      <c r="K340" s="5" t="str">
        <f t="shared" si="31"/>
        <v/>
      </c>
    </row>
    <row r="341" spans="2:11" x14ac:dyDescent="0.25">
      <c r="B341" s="5">
        <f t="shared" si="32"/>
        <v>335</v>
      </c>
      <c r="C341" s="5" t="e">
        <f t="shared" si="35"/>
        <v>#N/A</v>
      </c>
      <c r="D341" s="14" t="e">
        <f t="shared" si="36"/>
        <v>#N/A</v>
      </c>
      <c r="E341" s="14" t="e">
        <f>INDEX(entities[Attributes Index],MATCH('Customize code'!C341,entities[custom entity '#],0))</f>
        <v>#N/A</v>
      </c>
      <c r="F341" s="14" t="e">
        <f t="shared" si="33"/>
        <v>#N/A</v>
      </c>
      <c r="G341" s="5" t="e">
        <f>IF(D341&gt;0,"",
INDEX(entities[entity_id],MATCH('Customize code'!C341,entities[custom entity '#],0))&amp;":")</f>
        <v>#N/A</v>
      </c>
      <c r="H341" s="5" t="e">
        <f>IF(F341=0,"",VLOOKUP(F341,'Customize code'!$M$8:$O$13,3,FALSE))</f>
        <v>#N/A</v>
      </c>
      <c r="I341" s="5" t="e">
        <f>IF(F341=0, "",  INDEX(entities[[hidden]:[icon]],  MATCH(C341,entities[custom entity '#],0),  'Customize code'!F341)  )</f>
        <v>#N/A</v>
      </c>
      <c r="J341" s="5" t="str">
        <f t="shared" si="34"/>
        <v/>
      </c>
      <c r="K341" s="5" t="str">
        <f t="shared" si="31"/>
        <v/>
      </c>
    </row>
    <row r="342" spans="2:11" x14ac:dyDescent="0.25">
      <c r="B342" s="5">
        <f t="shared" si="32"/>
        <v>336</v>
      </c>
      <c r="C342" s="5" t="e">
        <f t="shared" si="35"/>
        <v>#N/A</v>
      </c>
      <c r="D342" s="14" t="e">
        <f t="shared" si="36"/>
        <v>#N/A</v>
      </c>
      <c r="E342" s="14" t="e">
        <f>INDEX(entities[Attributes Index],MATCH('Customize code'!C342,entities[custom entity '#],0))</f>
        <v>#N/A</v>
      </c>
      <c r="F342" s="14" t="e">
        <f t="shared" si="33"/>
        <v>#N/A</v>
      </c>
      <c r="G342" s="5" t="e">
        <f>IF(D342&gt;0,"",
INDEX(entities[entity_id],MATCH('Customize code'!C342,entities[custom entity '#],0))&amp;":")</f>
        <v>#N/A</v>
      </c>
      <c r="H342" s="5" t="e">
        <f>IF(F342=0,"",VLOOKUP(F342,'Customize code'!$M$8:$O$13,3,FALSE))</f>
        <v>#N/A</v>
      </c>
      <c r="I342" s="5" t="e">
        <f>IF(F342=0, "",  INDEX(entities[[hidden]:[icon]],  MATCH(C342,entities[custom entity '#],0),  'Customize code'!F342)  )</f>
        <v>#N/A</v>
      </c>
      <c r="J342" s="5" t="str">
        <f t="shared" si="34"/>
        <v/>
      </c>
      <c r="K342" s="5" t="str">
        <f t="shared" si="31"/>
        <v/>
      </c>
    </row>
    <row r="343" spans="2:11" x14ac:dyDescent="0.25">
      <c r="B343" s="5">
        <f t="shared" si="32"/>
        <v>337</v>
      </c>
      <c r="C343" s="5" t="e">
        <f t="shared" si="35"/>
        <v>#N/A</v>
      </c>
      <c r="D343" s="14" t="e">
        <f t="shared" si="36"/>
        <v>#N/A</v>
      </c>
      <c r="E343" s="14" t="e">
        <f>INDEX(entities[Attributes Index],MATCH('Customize code'!C343,entities[custom entity '#],0))</f>
        <v>#N/A</v>
      </c>
      <c r="F343" s="14" t="e">
        <f t="shared" si="33"/>
        <v>#N/A</v>
      </c>
      <c r="G343" s="5" t="e">
        <f>IF(D343&gt;0,"",
INDEX(entities[entity_id],MATCH('Customize code'!C343,entities[custom entity '#],0))&amp;":")</f>
        <v>#N/A</v>
      </c>
      <c r="H343" s="5" t="e">
        <f>IF(F343=0,"",VLOOKUP(F343,'Customize code'!$M$8:$O$13,3,FALSE))</f>
        <v>#N/A</v>
      </c>
      <c r="I343" s="5" t="e">
        <f>IF(F343=0, "",  INDEX(entities[[hidden]:[icon]],  MATCH(C343,entities[custom entity '#],0),  'Customize code'!F343)  )</f>
        <v>#N/A</v>
      </c>
      <c r="J343" s="5" t="str">
        <f t="shared" si="34"/>
        <v/>
      </c>
      <c r="K343" s="5" t="str">
        <f t="shared" si="31"/>
        <v/>
      </c>
    </row>
    <row r="344" spans="2:11" x14ac:dyDescent="0.25">
      <c r="B344" s="5">
        <f t="shared" si="32"/>
        <v>338</v>
      </c>
      <c r="C344" s="5" t="e">
        <f t="shared" si="35"/>
        <v>#N/A</v>
      </c>
      <c r="D344" s="14" t="e">
        <f t="shared" si="36"/>
        <v>#N/A</v>
      </c>
      <c r="E344" s="14" t="e">
        <f>INDEX(entities[Attributes Index],MATCH('Customize code'!C344,entities[custom entity '#],0))</f>
        <v>#N/A</v>
      </c>
      <c r="F344" s="14" t="e">
        <f t="shared" si="33"/>
        <v>#N/A</v>
      </c>
      <c r="G344" s="5" t="e">
        <f>IF(D344&gt;0,"",
INDEX(entities[entity_id],MATCH('Customize code'!C344,entities[custom entity '#],0))&amp;":")</f>
        <v>#N/A</v>
      </c>
      <c r="H344" s="5" t="e">
        <f>IF(F344=0,"",VLOOKUP(F344,'Customize code'!$M$8:$O$13,3,FALSE))</f>
        <v>#N/A</v>
      </c>
      <c r="I344" s="5" t="e">
        <f>IF(F344=0, "",  INDEX(entities[[hidden]:[icon]],  MATCH(C344,entities[custom entity '#],0),  'Customize code'!F344)  )</f>
        <v>#N/A</v>
      </c>
      <c r="J344" s="5" t="str">
        <f t="shared" si="34"/>
        <v/>
      </c>
      <c r="K344" s="5" t="str">
        <f t="shared" si="31"/>
        <v/>
      </c>
    </row>
    <row r="345" spans="2:11" x14ac:dyDescent="0.25">
      <c r="B345" s="5">
        <f t="shared" si="32"/>
        <v>339</v>
      </c>
      <c r="C345" s="5" t="e">
        <f t="shared" si="35"/>
        <v>#N/A</v>
      </c>
      <c r="D345" s="14" t="e">
        <f t="shared" si="36"/>
        <v>#N/A</v>
      </c>
      <c r="E345" s="14" t="e">
        <f>INDEX(entities[Attributes Index],MATCH('Customize code'!C345,entities[custom entity '#],0))</f>
        <v>#N/A</v>
      </c>
      <c r="F345" s="14" t="e">
        <f t="shared" si="33"/>
        <v>#N/A</v>
      </c>
      <c r="G345" s="5" t="e">
        <f>IF(D345&gt;0,"",
INDEX(entities[entity_id],MATCH('Customize code'!C345,entities[custom entity '#],0))&amp;":")</f>
        <v>#N/A</v>
      </c>
      <c r="H345" s="5" t="e">
        <f>IF(F345=0,"",VLOOKUP(F345,'Customize code'!$M$8:$O$13,3,FALSE))</f>
        <v>#N/A</v>
      </c>
      <c r="I345" s="5" t="e">
        <f>IF(F345=0, "",  INDEX(entities[[hidden]:[icon]],  MATCH(C345,entities[custom entity '#],0),  'Customize code'!F345)  )</f>
        <v>#N/A</v>
      </c>
      <c r="J345" s="5" t="str">
        <f t="shared" si="34"/>
        <v/>
      </c>
      <c r="K345" s="5" t="str">
        <f t="shared" si="31"/>
        <v/>
      </c>
    </row>
    <row r="346" spans="2:11" x14ac:dyDescent="0.25">
      <c r="B346" s="5">
        <f t="shared" si="32"/>
        <v>340</v>
      </c>
      <c r="C346" s="5" t="e">
        <f t="shared" si="35"/>
        <v>#N/A</v>
      </c>
      <c r="D346" s="14" t="e">
        <f t="shared" si="36"/>
        <v>#N/A</v>
      </c>
      <c r="E346" s="14" t="e">
        <f>INDEX(entities[Attributes Index],MATCH('Customize code'!C346,entities[custom entity '#],0))</f>
        <v>#N/A</v>
      </c>
      <c r="F346" s="14" t="e">
        <f t="shared" si="33"/>
        <v>#N/A</v>
      </c>
      <c r="G346" s="5" t="e">
        <f>IF(D346&gt;0,"",
INDEX(entities[entity_id],MATCH('Customize code'!C346,entities[custom entity '#],0))&amp;":")</f>
        <v>#N/A</v>
      </c>
      <c r="H346" s="5" t="e">
        <f>IF(F346=0,"",VLOOKUP(F346,'Customize code'!$M$8:$O$13,3,FALSE))</f>
        <v>#N/A</v>
      </c>
      <c r="I346" s="5" t="e">
        <f>IF(F346=0, "",  INDEX(entities[[hidden]:[icon]],  MATCH(C346,entities[custom entity '#],0),  'Customize code'!F346)  )</f>
        <v>#N/A</v>
      </c>
      <c r="J346" s="5" t="str">
        <f t="shared" si="34"/>
        <v/>
      </c>
      <c r="K346" s="5" t="str">
        <f t="shared" si="31"/>
        <v/>
      </c>
    </row>
    <row r="347" spans="2:11" x14ac:dyDescent="0.25">
      <c r="B347" s="5">
        <f t="shared" si="32"/>
        <v>341</v>
      </c>
      <c r="C347" s="5" t="e">
        <f t="shared" si="35"/>
        <v>#N/A</v>
      </c>
      <c r="D347" s="14" t="e">
        <f t="shared" si="36"/>
        <v>#N/A</v>
      </c>
      <c r="E347" s="14" t="e">
        <f>INDEX(entities[Attributes Index],MATCH('Customize code'!C347,entities[custom entity '#],0))</f>
        <v>#N/A</v>
      </c>
      <c r="F347" s="14" t="e">
        <f t="shared" si="33"/>
        <v>#N/A</v>
      </c>
      <c r="G347" s="5" t="e">
        <f>IF(D347&gt;0,"",
INDEX(entities[entity_id],MATCH('Customize code'!C347,entities[custom entity '#],0))&amp;":")</f>
        <v>#N/A</v>
      </c>
      <c r="H347" s="5" t="e">
        <f>IF(F347=0,"",VLOOKUP(F347,'Customize code'!$M$8:$O$13,3,FALSE))</f>
        <v>#N/A</v>
      </c>
      <c r="I347" s="5" t="e">
        <f>IF(F347=0, "",  INDEX(entities[[hidden]:[icon]],  MATCH(C347,entities[custom entity '#],0),  'Customize code'!F347)  )</f>
        <v>#N/A</v>
      </c>
      <c r="J347" s="5" t="str">
        <f t="shared" si="34"/>
        <v/>
      </c>
      <c r="K347" s="5" t="str">
        <f t="shared" si="31"/>
        <v/>
      </c>
    </row>
    <row r="348" spans="2:11" x14ac:dyDescent="0.25">
      <c r="B348" s="5">
        <f t="shared" si="32"/>
        <v>342</v>
      </c>
      <c r="C348" s="5" t="e">
        <f t="shared" si="35"/>
        <v>#N/A</v>
      </c>
      <c r="D348" s="14" t="e">
        <f t="shared" si="36"/>
        <v>#N/A</v>
      </c>
      <c r="E348" s="14" t="e">
        <f>INDEX(entities[Attributes Index],MATCH('Customize code'!C348,entities[custom entity '#],0))</f>
        <v>#N/A</v>
      </c>
      <c r="F348" s="14" t="e">
        <f t="shared" si="33"/>
        <v>#N/A</v>
      </c>
      <c r="G348" s="5" t="e">
        <f>IF(D348&gt;0,"",
INDEX(entities[entity_id],MATCH('Customize code'!C348,entities[custom entity '#],0))&amp;":")</f>
        <v>#N/A</v>
      </c>
      <c r="H348" s="5" t="e">
        <f>IF(F348=0,"",VLOOKUP(F348,'Customize code'!$M$8:$O$13,3,FALSE))</f>
        <v>#N/A</v>
      </c>
      <c r="I348" s="5" t="e">
        <f>IF(F348=0, "",  INDEX(entities[[hidden]:[icon]],  MATCH(C348,entities[custom entity '#],0),  'Customize code'!F348)  )</f>
        <v>#N/A</v>
      </c>
      <c r="J348" s="5" t="str">
        <f t="shared" si="34"/>
        <v/>
      </c>
      <c r="K348" s="5" t="str">
        <f t="shared" si="31"/>
        <v/>
      </c>
    </row>
    <row r="349" spans="2:11" x14ac:dyDescent="0.25">
      <c r="B349" s="5">
        <f t="shared" si="32"/>
        <v>343</v>
      </c>
      <c r="C349" s="5" t="e">
        <f t="shared" si="35"/>
        <v>#N/A</v>
      </c>
      <c r="D349" s="14" t="e">
        <f t="shared" si="36"/>
        <v>#N/A</v>
      </c>
      <c r="E349" s="14" t="e">
        <f>INDEX(entities[Attributes Index],MATCH('Customize code'!C349,entities[custom entity '#],0))</f>
        <v>#N/A</v>
      </c>
      <c r="F349" s="14" t="e">
        <f t="shared" si="33"/>
        <v>#N/A</v>
      </c>
      <c r="G349" s="5" t="e">
        <f>IF(D349&gt;0,"",
INDEX(entities[entity_id],MATCH('Customize code'!C349,entities[custom entity '#],0))&amp;":")</f>
        <v>#N/A</v>
      </c>
      <c r="H349" s="5" t="e">
        <f>IF(F349=0,"",VLOOKUP(F349,'Customize code'!$M$8:$O$13,3,FALSE))</f>
        <v>#N/A</v>
      </c>
      <c r="I349" s="5" t="e">
        <f>IF(F349=0, "",  INDEX(entities[[hidden]:[icon]],  MATCH(C349,entities[custom entity '#],0),  'Customize code'!F349)  )</f>
        <v>#N/A</v>
      </c>
      <c r="J349" s="5" t="str">
        <f t="shared" si="34"/>
        <v/>
      </c>
      <c r="K349" s="5" t="str">
        <f t="shared" si="31"/>
        <v/>
      </c>
    </row>
    <row r="350" spans="2:11" x14ac:dyDescent="0.25">
      <c r="B350" s="5">
        <f t="shared" si="32"/>
        <v>344</v>
      </c>
      <c r="C350" s="5" t="e">
        <f t="shared" si="35"/>
        <v>#N/A</v>
      </c>
      <c r="D350" s="14" t="e">
        <f t="shared" si="36"/>
        <v>#N/A</v>
      </c>
      <c r="E350" s="14" t="e">
        <f>INDEX(entities[Attributes Index],MATCH('Customize code'!C350,entities[custom entity '#],0))</f>
        <v>#N/A</v>
      </c>
      <c r="F350" s="14" t="e">
        <f t="shared" si="33"/>
        <v>#N/A</v>
      </c>
      <c r="G350" s="5" t="e">
        <f>IF(D350&gt;0,"",
INDEX(entities[entity_id],MATCH('Customize code'!C350,entities[custom entity '#],0))&amp;":")</f>
        <v>#N/A</v>
      </c>
      <c r="H350" s="5" t="e">
        <f>IF(F350=0,"",VLOOKUP(F350,'Customize code'!$M$8:$O$13,3,FALSE))</f>
        <v>#N/A</v>
      </c>
      <c r="I350" s="5" t="e">
        <f>IF(F350=0, "",  INDEX(entities[[hidden]:[icon]],  MATCH(C350,entities[custom entity '#],0),  'Customize code'!F350)  )</f>
        <v>#N/A</v>
      </c>
      <c r="J350" s="5" t="str">
        <f t="shared" si="34"/>
        <v/>
      </c>
      <c r="K350" s="5" t="str">
        <f t="shared" si="31"/>
        <v/>
      </c>
    </row>
    <row r="351" spans="2:11" x14ac:dyDescent="0.25">
      <c r="B351" s="5">
        <f t="shared" si="32"/>
        <v>345</v>
      </c>
      <c r="C351" s="5" t="e">
        <f t="shared" si="35"/>
        <v>#N/A</v>
      </c>
      <c r="D351" s="14" t="e">
        <f t="shared" si="36"/>
        <v>#N/A</v>
      </c>
      <c r="E351" s="14" t="e">
        <f>INDEX(entities[Attributes Index],MATCH('Customize code'!C351,entities[custom entity '#],0))</f>
        <v>#N/A</v>
      </c>
      <c r="F351" s="14" t="e">
        <f t="shared" si="33"/>
        <v>#N/A</v>
      </c>
      <c r="G351" s="5" t="e">
        <f>IF(D351&gt;0,"",
INDEX(entities[entity_id],MATCH('Customize code'!C351,entities[custom entity '#],0))&amp;":")</f>
        <v>#N/A</v>
      </c>
      <c r="H351" s="5" t="e">
        <f>IF(F351=0,"",VLOOKUP(F351,'Customize code'!$M$8:$O$13,3,FALSE))</f>
        <v>#N/A</v>
      </c>
      <c r="I351" s="5" t="e">
        <f>IF(F351=0, "",  INDEX(entities[[hidden]:[icon]],  MATCH(C351,entities[custom entity '#],0),  'Customize code'!F351)  )</f>
        <v>#N/A</v>
      </c>
      <c r="J351" s="5" t="str">
        <f t="shared" si="34"/>
        <v/>
      </c>
      <c r="K351" s="5" t="str">
        <f t="shared" si="31"/>
        <v/>
      </c>
    </row>
    <row r="352" spans="2:11" x14ac:dyDescent="0.25">
      <c r="B352" s="5">
        <f t="shared" si="32"/>
        <v>346</v>
      </c>
      <c r="C352" s="5" t="e">
        <f t="shared" si="35"/>
        <v>#N/A</v>
      </c>
      <c r="D352" s="14" t="e">
        <f t="shared" si="36"/>
        <v>#N/A</v>
      </c>
      <c r="E352" s="14" t="e">
        <f>INDEX(entities[Attributes Index],MATCH('Customize code'!C352,entities[custom entity '#],0))</f>
        <v>#N/A</v>
      </c>
      <c r="F352" s="14" t="e">
        <f t="shared" si="33"/>
        <v>#N/A</v>
      </c>
      <c r="G352" s="5" t="e">
        <f>IF(D352&gt;0,"",
INDEX(entities[entity_id],MATCH('Customize code'!C352,entities[custom entity '#],0))&amp;":")</f>
        <v>#N/A</v>
      </c>
      <c r="H352" s="5" t="e">
        <f>IF(F352=0,"",VLOOKUP(F352,'Customize code'!$M$8:$O$13,3,FALSE))</f>
        <v>#N/A</v>
      </c>
      <c r="I352" s="5" t="e">
        <f>IF(F352=0, "",  INDEX(entities[[hidden]:[icon]],  MATCH(C352,entities[custom entity '#],0),  'Customize code'!F352)  )</f>
        <v>#N/A</v>
      </c>
      <c r="J352" s="5" t="str">
        <f t="shared" si="34"/>
        <v/>
      </c>
      <c r="K352" s="5" t="str">
        <f t="shared" si="31"/>
        <v/>
      </c>
    </row>
    <row r="353" spans="2:11" x14ac:dyDescent="0.25">
      <c r="B353" s="5">
        <f t="shared" si="32"/>
        <v>347</v>
      </c>
      <c r="C353" s="5" t="e">
        <f t="shared" si="35"/>
        <v>#N/A</v>
      </c>
      <c r="D353" s="14" t="e">
        <f t="shared" si="36"/>
        <v>#N/A</v>
      </c>
      <c r="E353" s="14" t="e">
        <f>INDEX(entities[Attributes Index],MATCH('Customize code'!C353,entities[custom entity '#],0))</f>
        <v>#N/A</v>
      </c>
      <c r="F353" s="14" t="e">
        <f t="shared" si="33"/>
        <v>#N/A</v>
      </c>
      <c r="G353" s="5" t="e">
        <f>IF(D353&gt;0,"",
INDEX(entities[entity_id],MATCH('Customize code'!C353,entities[custom entity '#],0))&amp;":")</f>
        <v>#N/A</v>
      </c>
      <c r="H353" s="5" t="e">
        <f>IF(F353=0,"",VLOOKUP(F353,'Customize code'!$M$8:$O$13,3,FALSE))</f>
        <v>#N/A</v>
      </c>
      <c r="I353" s="5" t="e">
        <f>IF(F353=0, "",  INDEX(entities[[hidden]:[icon]],  MATCH(C353,entities[custom entity '#],0),  'Customize code'!F353)  )</f>
        <v>#N/A</v>
      </c>
      <c r="J353" s="5" t="str">
        <f t="shared" si="34"/>
        <v/>
      </c>
      <c r="K353" s="5" t="str">
        <f t="shared" si="31"/>
        <v/>
      </c>
    </row>
    <row r="354" spans="2:11" x14ac:dyDescent="0.25">
      <c r="B354" s="5">
        <f t="shared" si="32"/>
        <v>348</v>
      </c>
      <c r="C354" s="5" t="e">
        <f t="shared" si="35"/>
        <v>#N/A</v>
      </c>
      <c r="D354" s="14" t="e">
        <f t="shared" si="36"/>
        <v>#N/A</v>
      </c>
      <c r="E354" s="14" t="e">
        <f>INDEX(entities[Attributes Index],MATCH('Customize code'!C354,entities[custom entity '#],0))</f>
        <v>#N/A</v>
      </c>
      <c r="F354" s="14" t="e">
        <f t="shared" si="33"/>
        <v>#N/A</v>
      </c>
      <c r="G354" s="5" t="e">
        <f>IF(D354&gt;0,"",
INDEX(entities[entity_id],MATCH('Customize code'!C354,entities[custom entity '#],0))&amp;":")</f>
        <v>#N/A</v>
      </c>
      <c r="H354" s="5" t="e">
        <f>IF(F354=0,"",VLOOKUP(F354,'Customize code'!$M$8:$O$13,3,FALSE))</f>
        <v>#N/A</v>
      </c>
      <c r="I354" s="5" t="e">
        <f>IF(F354=0, "",  INDEX(entities[[hidden]:[icon]],  MATCH(C354,entities[custom entity '#],0),  'Customize code'!F354)  )</f>
        <v>#N/A</v>
      </c>
      <c r="J354" s="5" t="str">
        <f t="shared" si="34"/>
        <v/>
      </c>
      <c r="K354" s="5" t="str">
        <f t="shared" si="31"/>
        <v/>
      </c>
    </row>
    <row r="355" spans="2:11" x14ac:dyDescent="0.25">
      <c r="B355" s="5">
        <f t="shared" si="32"/>
        <v>349</v>
      </c>
      <c r="C355" s="5" t="e">
        <f t="shared" si="35"/>
        <v>#N/A</v>
      </c>
      <c r="D355" s="14" t="e">
        <f t="shared" si="36"/>
        <v>#N/A</v>
      </c>
      <c r="E355" s="14" t="e">
        <f>INDEX(entities[Attributes Index],MATCH('Customize code'!C355,entities[custom entity '#],0))</f>
        <v>#N/A</v>
      </c>
      <c r="F355" s="14" t="e">
        <f t="shared" si="33"/>
        <v>#N/A</v>
      </c>
      <c r="G355" s="5" t="e">
        <f>IF(D355&gt;0,"",
INDEX(entities[entity_id],MATCH('Customize code'!C355,entities[custom entity '#],0))&amp;":")</f>
        <v>#N/A</v>
      </c>
      <c r="H355" s="5" t="e">
        <f>IF(F355=0,"",VLOOKUP(F355,'Customize code'!$M$8:$O$13,3,FALSE))</f>
        <v>#N/A</v>
      </c>
      <c r="I355" s="5" t="e">
        <f>IF(F355=0, "",  INDEX(entities[[hidden]:[icon]],  MATCH(C355,entities[custom entity '#],0),  'Customize code'!F355)  )</f>
        <v>#N/A</v>
      </c>
      <c r="J355" s="5" t="str">
        <f t="shared" si="34"/>
        <v/>
      </c>
      <c r="K355" s="5" t="str">
        <f t="shared" si="31"/>
        <v/>
      </c>
    </row>
    <row r="356" spans="2:11" x14ac:dyDescent="0.25">
      <c r="B356" s="5">
        <f t="shared" si="32"/>
        <v>350</v>
      </c>
      <c r="C356" s="5" t="e">
        <f t="shared" si="35"/>
        <v>#N/A</v>
      </c>
      <c r="D356" s="14" t="e">
        <f t="shared" si="36"/>
        <v>#N/A</v>
      </c>
      <c r="E356" s="14" t="e">
        <f>INDEX(entities[Attributes Index],MATCH('Customize code'!C356,entities[custom entity '#],0))</f>
        <v>#N/A</v>
      </c>
      <c r="F356" s="14" t="e">
        <f t="shared" si="33"/>
        <v>#N/A</v>
      </c>
      <c r="G356" s="5" t="e">
        <f>IF(D356&gt;0,"",
INDEX(entities[entity_id],MATCH('Customize code'!C356,entities[custom entity '#],0))&amp;":")</f>
        <v>#N/A</v>
      </c>
      <c r="H356" s="5" t="e">
        <f>IF(F356=0,"",VLOOKUP(F356,'Customize code'!$M$8:$O$13,3,FALSE))</f>
        <v>#N/A</v>
      </c>
      <c r="I356" s="5" t="e">
        <f>IF(F356=0, "",  INDEX(entities[[hidden]:[icon]],  MATCH(C356,entities[custom entity '#],0),  'Customize code'!F356)  )</f>
        <v>#N/A</v>
      </c>
      <c r="J356" s="5" t="str">
        <f t="shared" si="34"/>
        <v/>
      </c>
      <c r="K356" s="5" t="str">
        <f t="shared" si="31"/>
        <v/>
      </c>
    </row>
    <row r="357" spans="2:11" x14ac:dyDescent="0.25">
      <c r="B357" s="5">
        <f t="shared" si="32"/>
        <v>351</v>
      </c>
      <c r="C357" s="5" t="e">
        <f t="shared" si="35"/>
        <v>#N/A</v>
      </c>
      <c r="D357" s="14" t="e">
        <f t="shared" si="36"/>
        <v>#N/A</v>
      </c>
      <c r="E357" s="14" t="e">
        <f>INDEX(entities[Attributes Index],MATCH('Customize code'!C357,entities[custom entity '#],0))</f>
        <v>#N/A</v>
      </c>
      <c r="F357" s="14" t="e">
        <f t="shared" si="33"/>
        <v>#N/A</v>
      </c>
      <c r="G357" s="5" t="e">
        <f>IF(D357&gt;0,"",
INDEX(entities[entity_id],MATCH('Customize code'!C357,entities[custom entity '#],0))&amp;":")</f>
        <v>#N/A</v>
      </c>
      <c r="H357" s="5" t="e">
        <f>IF(F357=0,"",VLOOKUP(F357,'Customize code'!$M$8:$O$13,3,FALSE))</f>
        <v>#N/A</v>
      </c>
      <c r="I357" s="5" t="e">
        <f>IF(F357=0, "",  INDEX(entities[[hidden]:[icon]],  MATCH(C357,entities[custom entity '#],0),  'Customize code'!F357)  )</f>
        <v>#N/A</v>
      </c>
      <c r="J357" s="5" t="str">
        <f t="shared" si="34"/>
        <v/>
      </c>
      <c r="K357" s="5" t="str">
        <f t="shared" si="31"/>
        <v/>
      </c>
    </row>
    <row r="358" spans="2:11" x14ac:dyDescent="0.25">
      <c r="B358" s="5">
        <f t="shared" si="32"/>
        <v>352</v>
      </c>
      <c r="C358" s="5" t="e">
        <f t="shared" si="35"/>
        <v>#N/A</v>
      </c>
      <c r="D358" s="14" t="e">
        <f t="shared" si="36"/>
        <v>#N/A</v>
      </c>
      <c r="E358" s="14" t="e">
        <f>INDEX(entities[Attributes Index],MATCH('Customize code'!C358,entities[custom entity '#],0))</f>
        <v>#N/A</v>
      </c>
      <c r="F358" s="14" t="e">
        <f t="shared" si="33"/>
        <v>#N/A</v>
      </c>
      <c r="G358" s="5" t="e">
        <f>IF(D358&gt;0,"",
INDEX(entities[entity_id],MATCH('Customize code'!C358,entities[custom entity '#],0))&amp;":")</f>
        <v>#N/A</v>
      </c>
      <c r="H358" s="5" t="e">
        <f>IF(F358=0,"",VLOOKUP(F358,'Customize code'!$M$8:$O$13,3,FALSE))</f>
        <v>#N/A</v>
      </c>
      <c r="I358" s="5" t="e">
        <f>IF(F358=0, "",  INDEX(entities[[hidden]:[icon]],  MATCH(C358,entities[custom entity '#],0),  'Customize code'!F358)  )</f>
        <v>#N/A</v>
      </c>
      <c r="J358" s="5" t="str">
        <f t="shared" si="34"/>
        <v/>
      </c>
      <c r="K358" s="5" t="str">
        <f t="shared" si="31"/>
        <v/>
      </c>
    </row>
    <row r="359" spans="2:11" x14ac:dyDescent="0.25">
      <c r="B359" s="5">
        <f t="shared" si="32"/>
        <v>353</v>
      </c>
      <c r="C359" s="5" t="e">
        <f t="shared" si="35"/>
        <v>#N/A</v>
      </c>
      <c r="D359" s="14" t="e">
        <f t="shared" si="36"/>
        <v>#N/A</v>
      </c>
      <c r="E359" s="14" t="e">
        <f>INDEX(entities[Attributes Index],MATCH('Customize code'!C359,entities[custom entity '#],0))</f>
        <v>#N/A</v>
      </c>
      <c r="F359" s="14" t="e">
        <f t="shared" si="33"/>
        <v>#N/A</v>
      </c>
      <c r="G359" s="5" t="e">
        <f>IF(D359&gt;0,"",
INDEX(entities[entity_id],MATCH('Customize code'!C359,entities[custom entity '#],0))&amp;":")</f>
        <v>#N/A</v>
      </c>
      <c r="H359" s="5" t="e">
        <f>IF(F359=0,"",VLOOKUP(F359,'Customize code'!$M$8:$O$13,3,FALSE))</f>
        <v>#N/A</v>
      </c>
      <c r="I359" s="5" t="e">
        <f>IF(F359=0, "",  INDEX(entities[[hidden]:[icon]],  MATCH(C359,entities[custom entity '#],0),  'Customize code'!F359)  )</f>
        <v>#N/A</v>
      </c>
      <c r="J359" s="5" t="str">
        <f t="shared" si="34"/>
        <v/>
      </c>
      <c r="K359" s="5" t="str">
        <f t="shared" si="31"/>
        <v/>
      </c>
    </row>
    <row r="360" spans="2:11" x14ac:dyDescent="0.25">
      <c r="B360" s="5">
        <f t="shared" si="32"/>
        <v>354</v>
      </c>
      <c r="C360" s="5" t="e">
        <f t="shared" si="35"/>
        <v>#N/A</v>
      </c>
      <c r="D360" s="14" t="e">
        <f t="shared" si="36"/>
        <v>#N/A</v>
      </c>
      <c r="E360" s="14" t="e">
        <f>INDEX(entities[Attributes Index],MATCH('Customize code'!C360,entities[custom entity '#],0))</f>
        <v>#N/A</v>
      </c>
      <c r="F360" s="14" t="e">
        <f t="shared" si="33"/>
        <v>#N/A</v>
      </c>
      <c r="G360" s="5" t="e">
        <f>IF(D360&gt;0,"",
INDEX(entities[entity_id],MATCH('Customize code'!C360,entities[custom entity '#],0))&amp;":")</f>
        <v>#N/A</v>
      </c>
      <c r="H360" s="5" t="e">
        <f>IF(F360=0,"",VLOOKUP(F360,'Customize code'!$M$8:$O$13,3,FALSE))</f>
        <v>#N/A</v>
      </c>
      <c r="I360" s="5" t="e">
        <f>IF(F360=0, "",  INDEX(entities[[hidden]:[icon]],  MATCH(C360,entities[custom entity '#],0),  'Customize code'!F360)  )</f>
        <v>#N/A</v>
      </c>
      <c r="J360" s="5" t="str">
        <f t="shared" si="34"/>
        <v/>
      </c>
      <c r="K360" s="5" t="str">
        <f t="shared" si="31"/>
        <v/>
      </c>
    </row>
    <row r="361" spans="2:11" x14ac:dyDescent="0.25">
      <c r="B361" s="5">
        <f t="shared" si="32"/>
        <v>355</v>
      </c>
      <c r="C361" s="5" t="e">
        <f t="shared" si="35"/>
        <v>#N/A</v>
      </c>
      <c r="D361" s="14" t="e">
        <f t="shared" si="36"/>
        <v>#N/A</v>
      </c>
      <c r="E361" s="14" t="e">
        <f>INDEX(entities[Attributes Index],MATCH('Customize code'!C361,entities[custom entity '#],0))</f>
        <v>#N/A</v>
      </c>
      <c r="F361" s="14" t="e">
        <f t="shared" si="33"/>
        <v>#N/A</v>
      </c>
      <c r="G361" s="5" t="e">
        <f>IF(D361&gt;0,"",
INDEX(entities[entity_id],MATCH('Customize code'!C361,entities[custom entity '#],0))&amp;":")</f>
        <v>#N/A</v>
      </c>
      <c r="H361" s="5" t="e">
        <f>IF(F361=0,"",VLOOKUP(F361,'Customize code'!$M$8:$O$13,3,FALSE))</f>
        <v>#N/A</v>
      </c>
      <c r="I361" s="5" t="e">
        <f>IF(F361=0, "",  INDEX(entities[[hidden]:[icon]],  MATCH(C361,entities[custom entity '#],0),  'Customize code'!F361)  )</f>
        <v>#N/A</v>
      </c>
      <c r="J361" s="5" t="str">
        <f t="shared" si="34"/>
        <v/>
      </c>
      <c r="K361" s="5" t="str">
        <f t="shared" si="31"/>
        <v/>
      </c>
    </row>
    <row r="362" spans="2:11" x14ac:dyDescent="0.25">
      <c r="B362" s="5">
        <f t="shared" si="32"/>
        <v>356</v>
      </c>
      <c r="C362" s="5" t="e">
        <f t="shared" si="35"/>
        <v>#N/A</v>
      </c>
      <c r="D362" s="14" t="e">
        <f t="shared" si="36"/>
        <v>#N/A</v>
      </c>
      <c r="E362" s="14" t="e">
        <f>INDEX(entities[Attributes Index],MATCH('Customize code'!C362,entities[custom entity '#],0))</f>
        <v>#N/A</v>
      </c>
      <c r="F362" s="14" t="e">
        <f t="shared" si="33"/>
        <v>#N/A</v>
      </c>
      <c r="G362" s="5" t="e">
        <f>IF(D362&gt;0,"",
INDEX(entities[entity_id],MATCH('Customize code'!C362,entities[custom entity '#],0))&amp;":")</f>
        <v>#N/A</v>
      </c>
      <c r="H362" s="5" t="e">
        <f>IF(F362=0,"",VLOOKUP(F362,'Customize code'!$M$8:$O$13,3,FALSE))</f>
        <v>#N/A</v>
      </c>
      <c r="I362" s="5" t="e">
        <f>IF(F362=0, "",  INDEX(entities[[hidden]:[icon]],  MATCH(C362,entities[custom entity '#],0),  'Customize code'!F362)  )</f>
        <v>#N/A</v>
      </c>
      <c r="J362" s="5" t="str">
        <f t="shared" si="34"/>
        <v/>
      </c>
      <c r="K362" s="5" t="str">
        <f t="shared" si="31"/>
        <v/>
      </c>
    </row>
    <row r="363" spans="2:11" x14ac:dyDescent="0.25">
      <c r="B363" s="5">
        <f t="shared" si="32"/>
        <v>357</v>
      </c>
      <c r="C363" s="5" t="e">
        <f t="shared" si="35"/>
        <v>#N/A</v>
      </c>
      <c r="D363" s="14" t="e">
        <f t="shared" si="36"/>
        <v>#N/A</v>
      </c>
      <c r="E363" s="14" t="e">
        <f>INDEX(entities[Attributes Index],MATCH('Customize code'!C363,entities[custom entity '#],0))</f>
        <v>#N/A</v>
      </c>
      <c r="F363" s="14" t="e">
        <f t="shared" si="33"/>
        <v>#N/A</v>
      </c>
      <c r="G363" s="5" t="e">
        <f>IF(D363&gt;0,"",
INDEX(entities[entity_id],MATCH('Customize code'!C363,entities[custom entity '#],0))&amp;":")</f>
        <v>#N/A</v>
      </c>
      <c r="H363" s="5" t="e">
        <f>IF(F363=0,"",VLOOKUP(F363,'Customize code'!$M$8:$O$13,3,FALSE))</f>
        <v>#N/A</v>
      </c>
      <c r="I363" s="5" t="e">
        <f>IF(F363=0, "",  INDEX(entities[[hidden]:[icon]],  MATCH(C363,entities[custom entity '#],0),  'Customize code'!F363)  )</f>
        <v>#N/A</v>
      </c>
      <c r="J363" s="5" t="str">
        <f t="shared" si="34"/>
        <v/>
      </c>
      <c r="K363" s="5" t="str">
        <f t="shared" si="31"/>
        <v/>
      </c>
    </row>
    <row r="364" spans="2:11" x14ac:dyDescent="0.25">
      <c r="B364" s="5">
        <f t="shared" si="32"/>
        <v>358</v>
      </c>
      <c r="C364" s="5" t="e">
        <f t="shared" si="35"/>
        <v>#N/A</v>
      </c>
      <c r="D364" s="14" t="e">
        <f t="shared" si="36"/>
        <v>#N/A</v>
      </c>
      <c r="E364" s="14" t="e">
        <f>INDEX(entities[Attributes Index],MATCH('Customize code'!C364,entities[custom entity '#],0))</f>
        <v>#N/A</v>
      </c>
      <c r="F364" s="14" t="e">
        <f t="shared" si="33"/>
        <v>#N/A</v>
      </c>
      <c r="G364" s="5" t="e">
        <f>IF(D364&gt;0,"",
INDEX(entities[entity_id],MATCH('Customize code'!C364,entities[custom entity '#],0))&amp;":")</f>
        <v>#N/A</v>
      </c>
      <c r="H364" s="5" t="e">
        <f>IF(F364=0,"",VLOOKUP(F364,'Customize code'!$M$8:$O$13,3,FALSE))</f>
        <v>#N/A</v>
      </c>
      <c r="I364" s="5" t="e">
        <f>IF(F364=0, "",  INDEX(entities[[hidden]:[icon]],  MATCH(C364,entities[custom entity '#],0),  'Customize code'!F364)  )</f>
        <v>#N/A</v>
      </c>
      <c r="J364" s="5" t="str">
        <f t="shared" si="34"/>
        <v/>
      </c>
      <c r="K364" s="5" t="str">
        <f t="shared" si="31"/>
        <v/>
      </c>
    </row>
    <row r="365" spans="2:11" x14ac:dyDescent="0.25">
      <c r="B365" s="5">
        <f t="shared" si="32"/>
        <v>359</v>
      </c>
      <c r="C365" s="5" t="e">
        <f t="shared" si="35"/>
        <v>#N/A</v>
      </c>
      <c r="D365" s="14" t="e">
        <f t="shared" si="36"/>
        <v>#N/A</v>
      </c>
      <c r="E365" s="14" t="e">
        <f>INDEX(entities[Attributes Index],MATCH('Customize code'!C365,entities[custom entity '#],0))</f>
        <v>#N/A</v>
      </c>
      <c r="F365" s="14" t="e">
        <f t="shared" si="33"/>
        <v>#N/A</v>
      </c>
      <c r="G365" s="5" t="e">
        <f>IF(D365&gt;0,"",
INDEX(entities[entity_id],MATCH('Customize code'!C365,entities[custom entity '#],0))&amp;":")</f>
        <v>#N/A</v>
      </c>
      <c r="H365" s="5" t="e">
        <f>IF(F365=0,"",VLOOKUP(F365,'Customize code'!$M$8:$O$13,3,FALSE))</f>
        <v>#N/A</v>
      </c>
      <c r="I365" s="5" t="e">
        <f>IF(F365=0, "",  INDEX(entities[[hidden]:[icon]],  MATCH(C365,entities[custom entity '#],0),  'Customize code'!F365)  )</f>
        <v>#N/A</v>
      </c>
      <c r="J365" s="5" t="str">
        <f t="shared" si="34"/>
        <v/>
      </c>
      <c r="K365" s="5" t="str">
        <f t="shared" si="31"/>
        <v/>
      </c>
    </row>
    <row r="366" spans="2:11" x14ac:dyDescent="0.25">
      <c r="B366" s="5">
        <f t="shared" si="32"/>
        <v>360</v>
      </c>
      <c r="C366" s="5" t="e">
        <f t="shared" si="35"/>
        <v>#N/A</v>
      </c>
      <c r="D366" s="14" t="e">
        <f t="shared" si="36"/>
        <v>#N/A</v>
      </c>
      <c r="E366" s="14" t="e">
        <f>INDEX(entities[Attributes Index],MATCH('Customize code'!C366,entities[custom entity '#],0))</f>
        <v>#N/A</v>
      </c>
      <c r="F366" s="14" t="e">
        <f t="shared" si="33"/>
        <v>#N/A</v>
      </c>
      <c r="G366" s="5" t="e">
        <f>IF(D366&gt;0,"",
INDEX(entities[entity_id],MATCH('Customize code'!C366,entities[custom entity '#],0))&amp;":")</f>
        <v>#N/A</v>
      </c>
      <c r="H366" s="5" t="e">
        <f>IF(F366=0,"",VLOOKUP(F366,'Customize code'!$M$8:$O$13,3,FALSE))</f>
        <v>#N/A</v>
      </c>
      <c r="I366" s="5" t="e">
        <f>IF(F366=0, "",  INDEX(entities[[hidden]:[icon]],  MATCH(C366,entities[custom entity '#],0),  'Customize code'!F366)  )</f>
        <v>#N/A</v>
      </c>
      <c r="J366" s="5" t="str">
        <f t="shared" si="34"/>
        <v/>
      </c>
      <c r="K366" s="5" t="str">
        <f t="shared" si="31"/>
        <v/>
      </c>
    </row>
    <row r="367" spans="2:11" x14ac:dyDescent="0.25">
      <c r="B367" s="5">
        <f t="shared" si="32"/>
        <v>361</v>
      </c>
      <c r="C367" s="5" t="e">
        <f t="shared" si="35"/>
        <v>#N/A</v>
      </c>
      <c r="D367" s="14" t="e">
        <f t="shared" si="36"/>
        <v>#N/A</v>
      </c>
      <c r="E367" s="14" t="e">
        <f>INDEX(entities[Attributes Index],MATCH('Customize code'!C367,entities[custom entity '#],0))</f>
        <v>#N/A</v>
      </c>
      <c r="F367" s="14" t="e">
        <f t="shared" si="33"/>
        <v>#N/A</v>
      </c>
      <c r="G367" s="5" t="e">
        <f>IF(D367&gt;0,"",
INDEX(entities[entity_id],MATCH('Customize code'!C367,entities[custom entity '#],0))&amp;":")</f>
        <v>#N/A</v>
      </c>
      <c r="H367" s="5" t="e">
        <f>IF(F367=0,"",VLOOKUP(F367,'Customize code'!$M$8:$O$13,3,FALSE))</f>
        <v>#N/A</v>
      </c>
      <c r="I367" s="5" t="e">
        <f>IF(F367=0, "",  INDEX(entities[[hidden]:[icon]],  MATCH(C367,entities[custom entity '#],0),  'Customize code'!F367)  )</f>
        <v>#N/A</v>
      </c>
      <c r="J367" s="5" t="str">
        <f t="shared" si="34"/>
        <v/>
      </c>
      <c r="K367" s="5" t="str">
        <f t="shared" si="31"/>
        <v/>
      </c>
    </row>
    <row r="368" spans="2:11" x14ac:dyDescent="0.25">
      <c r="B368" s="5">
        <f t="shared" si="32"/>
        <v>362</v>
      </c>
      <c r="C368" s="5" t="e">
        <f t="shared" si="35"/>
        <v>#N/A</v>
      </c>
      <c r="D368" s="14" t="e">
        <f t="shared" si="36"/>
        <v>#N/A</v>
      </c>
      <c r="E368" s="14" t="e">
        <f>INDEX(entities[Attributes Index],MATCH('Customize code'!C368,entities[custom entity '#],0))</f>
        <v>#N/A</v>
      </c>
      <c r="F368" s="14" t="e">
        <f t="shared" si="33"/>
        <v>#N/A</v>
      </c>
      <c r="G368" s="5" t="e">
        <f>IF(D368&gt;0,"",
INDEX(entities[entity_id],MATCH('Customize code'!C368,entities[custom entity '#],0))&amp;":")</f>
        <v>#N/A</v>
      </c>
      <c r="H368" s="5" t="e">
        <f>IF(F368=0,"",VLOOKUP(F368,'Customize code'!$M$8:$O$13,3,FALSE))</f>
        <v>#N/A</v>
      </c>
      <c r="I368" s="5" t="e">
        <f>IF(F368=0, "",  INDEX(entities[[hidden]:[icon]],  MATCH(C368,entities[custom entity '#],0),  'Customize code'!F368)  )</f>
        <v>#N/A</v>
      </c>
      <c r="J368" s="5" t="str">
        <f t="shared" si="34"/>
        <v/>
      </c>
      <c r="K368" s="5" t="str">
        <f t="shared" si="31"/>
        <v/>
      </c>
    </row>
    <row r="369" spans="2:11" x14ac:dyDescent="0.25">
      <c r="B369" s="5">
        <f t="shared" si="32"/>
        <v>363</v>
      </c>
      <c r="C369" s="5" t="e">
        <f t="shared" si="35"/>
        <v>#N/A</v>
      </c>
      <c r="D369" s="14" t="e">
        <f t="shared" si="36"/>
        <v>#N/A</v>
      </c>
      <c r="E369" s="14" t="e">
        <f>INDEX(entities[Attributes Index],MATCH('Customize code'!C369,entities[custom entity '#],0))</f>
        <v>#N/A</v>
      </c>
      <c r="F369" s="14" t="e">
        <f t="shared" si="33"/>
        <v>#N/A</v>
      </c>
      <c r="G369" s="5" t="e">
        <f>IF(D369&gt;0,"",
INDEX(entities[entity_id],MATCH('Customize code'!C369,entities[custom entity '#],0))&amp;":")</f>
        <v>#N/A</v>
      </c>
      <c r="H369" s="5" t="e">
        <f>IF(F369=0,"",VLOOKUP(F369,'Customize code'!$M$8:$O$13,3,FALSE))</f>
        <v>#N/A</v>
      </c>
      <c r="I369" s="5" t="e">
        <f>IF(F369=0, "",  INDEX(entities[[hidden]:[icon]],  MATCH(C369,entities[custom entity '#],0),  'Customize code'!F369)  )</f>
        <v>#N/A</v>
      </c>
      <c r="J369" s="5" t="str">
        <f t="shared" si="34"/>
        <v/>
      </c>
      <c r="K369" s="5" t="str">
        <f t="shared" si="31"/>
        <v/>
      </c>
    </row>
    <row r="370" spans="2:11" x14ac:dyDescent="0.25">
      <c r="B370" s="5">
        <f t="shared" si="32"/>
        <v>364</v>
      </c>
      <c r="C370" s="5" t="e">
        <f t="shared" si="35"/>
        <v>#N/A</v>
      </c>
      <c r="D370" s="14" t="e">
        <f t="shared" si="36"/>
        <v>#N/A</v>
      </c>
      <c r="E370" s="14" t="e">
        <f>INDEX(entities[Attributes Index],MATCH('Customize code'!C370,entities[custom entity '#],0))</f>
        <v>#N/A</v>
      </c>
      <c r="F370" s="14" t="e">
        <f t="shared" si="33"/>
        <v>#N/A</v>
      </c>
      <c r="G370" s="5" t="e">
        <f>IF(D370&gt;0,"",
INDEX(entities[entity_id],MATCH('Customize code'!C370,entities[custom entity '#],0))&amp;":")</f>
        <v>#N/A</v>
      </c>
      <c r="H370" s="5" t="e">
        <f>IF(F370=0,"",VLOOKUP(F370,'Customize code'!$M$8:$O$13,3,FALSE))</f>
        <v>#N/A</v>
      </c>
      <c r="I370" s="5" t="e">
        <f>IF(F370=0, "",  INDEX(entities[[hidden]:[icon]],  MATCH(C370,entities[custom entity '#],0),  'Customize code'!F370)  )</f>
        <v>#N/A</v>
      </c>
      <c r="J370" s="5" t="str">
        <f t="shared" si="34"/>
        <v/>
      </c>
      <c r="K370" s="5" t="str">
        <f t="shared" si="31"/>
        <v/>
      </c>
    </row>
    <row r="371" spans="2:11" x14ac:dyDescent="0.25">
      <c r="B371" s="5">
        <f t="shared" si="32"/>
        <v>365</v>
      </c>
      <c r="C371" s="5" t="e">
        <f t="shared" si="35"/>
        <v>#N/A</v>
      </c>
      <c r="D371" s="14" t="e">
        <f t="shared" si="36"/>
        <v>#N/A</v>
      </c>
      <c r="E371" s="14" t="e">
        <f>INDEX(entities[Attributes Index],MATCH('Customize code'!C371,entities[custom entity '#],0))</f>
        <v>#N/A</v>
      </c>
      <c r="F371" s="14" t="e">
        <f t="shared" si="33"/>
        <v>#N/A</v>
      </c>
      <c r="G371" s="5" t="e">
        <f>IF(D371&gt;0,"",
INDEX(entities[entity_id],MATCH('Customize code'!C371,entities[custom entity '#],0))&amp;":")</f>
        <v>#N/A</v>
      </c>
      <c r="H371" s="5" t="e">
        <f>IF(F371=0,"",VLOOKUP(F371,'Customize code'!$M$8:$O$13,3,FALSE))</f>
        <v>#N/A</v>
      </c>
      <c r="I371" s="5" t="e">
        <f>IF(F371=0, "",  INDEX(entities[[hidden]:[icon]],  MATCH(C371,entities[custom entity '#],0),  'Customize code'!F371)  )</f>
        <v>#N/A</v>
      </c>
      <c r="J371" s="5" t="str">
        <f t="shared" si="34"/>
        <v/>
      </c>
      <c r="K371" s="5" t="str">
        <f t="shared" si="31"/>
        <v/>
      </c>
    </row>
    <row r="372" spans="2:11" x14ac:dyDescent="0.25">
      <c r="B372" s="5">
        <f t="shared" si="32"/>
        <v>366</v>
      </c>
      <c r="C372" s="5" t="e">
        <f t="shared" si="35"/>
        <v>#N/A</v>
      </c>
      <c r="D372" s="14" t="e">
        <f t="shared" si="36"/>
        <v>#N/A</v>
      </c>
      <c r="E372" s="14" t="e">
        <f>INDEX(entities[Attributes Index],MATCH('Customize code'!C372,entities[custom entity '#],0))</f>
        <v>#N/A</v>
      </c>
      <c r="F372" s="14" t="e">
        <f t="shared" si="33"/>
        <v>#N/A</v>
      </c>
      <c r="G372" s="5" t="e">
        <f>IF(D372&gt;0,"",
INDEX(entities[entity_id],MATCH('Customize code'!C372,entities[custom entity '#],0))&amp;":")</f>
        <v>#N/A</v>
      </c>
      <c r="H372" s="5" t="e">
        <f>IF(F372=0,"",VLOOKUP(F372,'Customize code'!$M$8:$O$13,3,FALSE))</f>
        <v>#N/A</v>
      </c>
      <c r="I372" s="5" t="e">
        <f>IF(F372=0, "",  INDEX(entities[[hidden]:[icon]],  MATCH(C372,entities[custom entity '#],0),  'Customize code'!F372)  )</f>
        <v>#N/A</v>
      </c>
      <c r="J372" s="5" t="str">
        <f t="shared" si="34"/>
        <v/>
      </c>
      <c r="K372" s="5" t="str">
        <f t="shared" si="31"/>
        <v/>
      </c>
    </row>
    <row r="373" spans="2:11" x14ac:dyDescent="0.25">
      <c r="B373" s="5">
        <f t="shared" si="32"/>
        <v>367</v>
      </c>
      <c r="C373" s="5" t="e">
        <f t="shared" si="35"/>
        <v>#N/A</v>
      </c>
      <c r="D373" s="14" t="e">
        <f t="shared" si="36"/>
        <v>#N/A</v>
      </c>
      <c r="E373" s="14" t="e">
        <f>INDEX(entities[Attributes Index],MATCH('Customize code'!C373,entities[custom entity '#],0))</f>
        <v>#N/A</v>
      </c>
      <c r="F373" s="14" t="e">
        <f t="shared" si="33"/>
        <v>#N/A</v>
      </c>
      <c r="G373" s="5" t="e">
        <f>IF(D373&gt;0,"",
INDEX(entities[entity_id],MATCH('Customize code'!C373,entities[custom entity '#],0))&amp;":")</f>
        <v>#N/A</v>
      </c>
      <c r="H373" s="5" t="e">
        <f>IF(F373=0,"",VLOOKUP(F373,'Customize code'!$M$8:$O$13,3,FALSE))</f>
        <v>#N/A</v>
      </c>
      <c r="I373" s="5" t="e">
        <f>IF(F373=0, "",  INDEX(entities[[hidden]:[icon]],  MATCH(C373,entities[custom entity '#],0),  'Customize code'!F373)  )</f>
        <v>#N/A</v>
      </c>
      <c r="J373" s="5" t="str">
        <f t="shared" si="34"/>
        <v/>
      </c>
      <c r="K373" s="5" t="str">
        <f t="shared" si="31"/>
        <v/>
      </c>
    </row>
    <row r="374" spans="2:11" x14ac:dyDescent="0.25">
      <c r="B374" s="5">
        <f t="shared" si="32"/>
        <v>368</v>
      </c>
      <c r="C374" s="5" t="e">
        <f t="shared" si="35"/>
        <v>#N/A</v>
      </c>
      <c r="D374" s="14" t="e">
        <f t="shared" si="36"/>
        <v>#N/A</v>
      </c>
      <c r="E374" s="14" t="e">
        <f>INDEX(entities[Attributes Index],MATCH('Customize code'!C374,entities[custom entity '#],0))</f>
        <v>#N/A</v>
      </c>
      <c r="F374" s="14" t="e">
        <f t="shared" si="33"/>
        <v>#N/A</v>
      </c>
      <c r="G374" s="5" t="e">
        <f>IF(D374&gt;0,"",
INDEX(entities[entity_id],MATCH('Customize code'!C374,entities[custom entity '#],0))&amp;":")</f>
        <v>#N/A</v>
      </c>
      <c r="H374" s="5" t="e">
        <f>IF(F374=0,"",VLOOKUP(F374,'Customize code'!$M$8:$O$13,3,FALSE))</f>
        <v>#N/A</v>
      </c>
      <c r="I374" s="5" t="e">
        <f>IF(F374=0, "",  INDEX(entities[[hidden]:[icon]],  MATCH(C374,entities[custom entity '#],0),  'Customize code'!F374)  )</f>
        <v>#N/A</v>
      </c>
      <c r="J374" s="5" t="str">
        <f t="shared" si="34"/>
        <v/>
      </c>
      <c r="K374" s="5" t="str">
        <f t="shared" si="31"/>
        <v/>
      </c>
    </row>
    <row r="375" spans="2:11" x14ac:dyDescent="0.25">
      <c r="B375" s="5">
        <f t="shared" si="32"/>
        <v>369</v>
      </c>
      <c r="C375" s="5" t="e">
        <f t="shared" si="35"/>
        <v>#N/A</v>
      </c>
      <c r="D375" s="14" t="e">
        <f t="shared" si="36"/>
        <v>#N/A</v>
      </c>
      <c r="E375" s="14" t="e">
        <f>INDEX(entities[Attributes Index],MATCH('Customize code'!C375,entities[custom entity '#],0))</f>
        <v>#N/A</v>
      </c>
      <c r="F375" s="14" t="e">
        <f t="shared" si="33"/>
        <v>#N/A</v>
      </c>
      <c r="G375" s="5" t="e">
        <f>IF(D375&gt;0,"",
INDEX(entities[entity_id],MATCH('Customize code'!C375,entities[custom entity '#],0))&amp;":")</f>
        <v>#N/A</v>
      </c>
      <c r="H375" s="5" t="e">
        <f>IF(F375=0,"",VLOOKUP(F375,'Customize code'!$M$8:$O$13,3,FALSE))</f>
        <v>#N/A</v>
      </c>
      <c r="I375" s="5" t="e">
        <f>IF(F375=0, "",  INDEX(entities[[hidden]:[icon]],  MATCH(C375,entities[custom entity '#],0),  'Customize code'!F375)  )</f>
        <v>#N/A</v>
      </c>
      <c r="J375" s="5" t="str">
        <f t="shared" si="34"/>
        <v/>
      </c>
      <c r="K375" s="5" t="str">
        <f t="shared" ref="K375:K438" si="37">IF(AND(NOT(ISNA(D375)),ISNA(E375)),"END","")</f>
        <v/>
      </c>
    </row>
    <row r="376" spans="2:11" x14ac:dyDescent="0.25">
      <c r="B376" s="5">
        <f t="shared" si="32"/>
        <v>370</v>
      </c>
      <c r="C376" s="5" t="e">
        <f t="shared" si="35"/>
        <v>#N/A</v>
      </c>
      <c r="D376" s="14" t="e">
        <f t="shared" si="36"/>
        <v>#N/A</v>
      </c>
      <c r="E376" s="14" t="e">
        <f>INDEX(entities[Attributes Index],MATCH('Customize code'!C376,entities[custom entity '#],0))</f>
        <v>#N/A</v>
      </c>
      <c r="F376" s="14" t="e">
        <f t="shared" si="33"/>
        <v>#N/A</v>
      </c>
      <c r="G376" s="5" t="e">
        <f>IF(D376&gt;0,"",
INDEX(entities[entity_id],MATCH('Customize code'!C376,entities[custom entity '#],0))&amp;":")</f>
        <v>#N/A</v>
      </c>
      <c r="H376" s="5" t="e">
        <f>IF(F376=0,"",VLOOKUP(F376,'Customize code'!$M$8:$O$13,3,FALSE))</f>
        <v>#N/A</v>
      </c>
      <c r="I376" s="5" t="e">
        <f>IF(F376=0, "",  INDEX(entities[[hidden]:[icon]],  MATCH(C376,entities[custom entity '#],0),  'Customize code'!F376)  )</f>
        <v>#N/A</v>
      </c>
      <c r="J376" s="5" t="str">
        <f t="shared" si="34"/>
        <v/>
      </c>
      <c r="K376" s="5" t="str">
        <f t="shared" si="37"/>
        <v/>
      </c>
    </row>
    <row r="377" spans="2:11" x14ac:dyDescent="0.25">
      <c r="B377" s="5">
        <f t="shared" si="32"/>
        <v>371</v>
      </c>
      <c r="C377" s="5" t="e">
        <f t="shared" si="35"/>
        <v>#N/A</v>
      </c>
      <c r="D377" s="14" t="e">
        <f t="shared" si="36"/>
        <v>#N/A</v>
      </c>
      <c r="E377" s="14" t="e">
        <f>INDEX(entities[Attributes Index],MATCH('Customize code'!C377,entities[custom entity '#],0))</f>
        <v>#N/A</v>
      </c>
      <c r="F377" s="14" t="e">
        <f t="shared" si="33"/>
        <v>#N/A</v>
      </c>
      <c r="G377" s="5" t="e">
        <f>IF(D377&gt;0,"",
INDEX(entities[entity_id],MATCH('Customize code'!C377,entities[custom entity '#],0))&amp;":")</f>
        <v>#N/A</v>
      </c>
      <c r="H377" s="5" t="e">
        <f>IF(F377=0,"",VLOOKUP(F377,'Customize code'!$M$8:$O$13,3,FALSE))</f>
        <v>#N/A</v>
      </c>
      <c r="I377" s="5" t="e">
        <f>IF(F377=0, "",  INDEX(entities[[hidden]:[icon]],  MATCH(C377,entities[custom entity '#],0),  'Customize code'!F377)  )</f>
        <v>#N/A</v>
      </c>
      <c r="J377" s="5" t="str">
        <f t="shared" si="34"/>
        <v/>
      </c>
      <c r="K377" s="5" t="str">
        <f t="shared" si="37"/>
        <v/>
      </c>
    </row>
    <row r="378" spans="2:11" x14ac:dyDescent="0.25">
      <c r="B378" s="5">
        <f t="shared" si="32"/>
        <v>372</v>
      </c>
      <c r="C378" s="5" t="e">
        <f t="shared" si="35"/>
        <v>#N/A</v>
      </c>
      <c r="D378" s="14" t="e">
        <f t="shared" si="36"/>
        <v>#N/A</v>
      </c>
      <c r="E378" s="14" t="e">
        <f>INDEX(entities[Attributes Index],MATCH('Customize code'!C378,entities[custom entity '#],0))</f>
        <v>#N/A</v>
      </c>
      <c r="F378" s="14" t="e">
        <f t="shared" si="33"/>
        <v>#N/A</v>
      </c>
      <c r="G378" s="5" t="e">
        <f>IF(D378&gt;0,"",
INDEX(entities[entity_id],MATCH('Customize code'!C378,entities[custom entity '#],0))&amp;":")</f>
        <v>#N/A</v>
      </c>
      <c r="H378" s="5" t="e">
        <f>IF(F378=0,"",VLOOKUP(F378,'Customize code'!$M$8:$O$13,3,FALSE))</f>
        <v>#N/A</v>
      </c>
      <c r="I378" s="5" t="e">
        <f>IF(F378=0, "",  INDEX(entities[[hidden]:[icon]],  MATCH(C378,entities[custom entity '#],0),  'Customize code'!F378)  )</f>
        <v>#N/A</v>
      </c>
      <c r="J378" s="5" t="str">
        <f t="shared" si="34"/>
        <v/>
      </c>
      <c r="K378" s="5" t="str">
        <f t="shared" si="37"/>
        <v/>
      </c>
    </row>
    <row r="379" spans="2:11" x14ac:dyDescent="0.25">
      <c r="B379" s="5">
        <f t="shared" si="32"/>
        <v>373</v>
      </c>
      <c r="C379" s="5" t="e">
        <f t="shared" si="35"/>
        <v>#N/A</v>
      </c>
      <c r="D379" s="14" t="e">
        <f t="shared" si="36"/>
        <v>#N/A</v>
      </c>
      <c r="E379" s="14" t="e">
        <f>INDEX(entities[Attributes Index],MATCH('Customize code'!C379,entities[custom entity '#],0))</f>
        <v>#N/A</v>
      </c>
      <c r="F379" s="14" t="e">
        <f t="shared" si="33"/>
        <v>#N/A</v>
      </c>
      <c r="G379" s="5" t="e">
        <f>IF(D379&gt;0,"",
INDEX(entities[entity_id],MATCH('Customize code'!C379,entities[custom entity '#],0))&amp;":")</f>
        <v>#N/A</v>
      </c>
      <c r="H379" s="5" t="e">
        <f>IF(F379=0,"",VLOOKUP(F379,'Customize code'!$M$8:$O$13,3,FALSE))</f>
        <v>#N/A</v>
      </c>
      <c r="I379" s="5" t="e">
        <f>IF(F379=0, "",  INDEX(entities[[hidden]:[icon]],  MATCH(C379,entities[custom entity '#],0),  'Customize code'!F379)  )</f>
        <v>#N/A</v>
      </c>
      <c r="J379" s="5" t="str">
        <f t="shared" si="34"/>
        <v/>
      </c>
      <c r="K379" s="5" t="str">
        <f t="shared" si="37"/>
        <v/>
      </c>
    </row>
    <row r="380" spans="2:11" x14ac:dyDescent="0.25">
      <c r="B380" s="5">
        <f t="shared" si="32"/>
        <v>374</v>
      </c>
      <c r="C380" s="5" t="e">
        <f t="shared" si="35"/>
        <v>#N/A</v>
      </c>
      <c r="D380" s="14" t="e">
        <f t="shared" si="36"/>
        <v>#N/A</v>
      </c>
      <c r="E380" s="14" t="e">
        <f>INDEX(entities[Attributes Index],MATCH('Customize code'!C380,entities[custom entity '#],0))</f>
        <v>#N/A</v>
      </c>
      <c r="F380" s="14" t="e">
        <f t="shared" si="33"/>
        <v>#N/A</v>
      </c>
      <c r="G380" s="5" t="e">
        <f>IF(D380&gt;0,"",
INDEX(entities[entity_id],MATCH('Customize code'!C380,entities[custom entity '#],0))&amp;":")</f>
        <v>#N/A</v>
      </c>
      <c r="H380" s="5" t="e">
        <f>IF(F380=0,"",VLOOKUP(F380,'Customize code'!$M$8:$O$13,3,FALSE))</f>
        <v>#N/A</v>
      </c>
      <c r="I380" s="5" t="e">
        <f>IF(F380=0, "",  INDEX(entities[[hidden]:[icon]],  MATCH(C380,entities[custom entity '#],0),  'Customize code'!F380)  )</f>
        <v>#N/A</v>
      </c>
      <c r="J380" s="5" t="str">
        <f t="shared" si="34"/>
        <v/>
      </c>
      <c r="K380" s="5" t="str">
        <f t="shared" si="37"/>
        <v/>
      </c>
    </row>
    <row r="381" spans="2:11" x14ac:dyDescent="0.25">
      <c r="B381" s="5">
        <f t="shared" si="32"/>
        <v>375</v>
      </c>
      <c r="C381" s="5" t="e">
        <f t="shared" si="35"/>
        <v>#N/A</v>
      </c>
      <c r="D381" s="14" t="e">
        <f t="shared" si="36"/>
        <v>#N/A</v>
      </c>
      <c r="E381" s="14" t="e">
        <f>INDEX(entities[Attributes Index],MATCH('Customize code'!C381,entities[custom entity '#],0))</f>
        <v>#N/A</v>
      </c>
      <c r="F381" s="14" t="e">
        <f t="shared" si="33"/>
        <v>#N/A</v>
      </c>
      <c r="G381" s="5" t="e">
        <f>IF(D381&gt;0,"",
INDEX(entities[entity_id],MATCH('Customize code'!C381,entities[custom entity '#],0))&amp;":")</f>
        <v>#N/A</v>
      </c>
      <c r="H381" s="5" t="e">
        <f>IF(F381=0,"",VLOOKUP(F381,'Customize code'!$M$8:$O$13,3,FALSE))</f>
        <v>#N/A</v>
      </c>
      <c r="I381" s="5" t="e">
        <f>IF(F381=0, "",  INDEX(entities[[hidden]:[icon]],  MATCH(C381,entities[custom entity '#],0),  'Customize code'!F381)  )</f>
        <v>#N/A</v>
      </c>
      <c r="J381" s="5" t="str">
        <f t="shared" si="34"/>
        <v/>
      </c>
      <c r="K381" s="5" t="str">
        <f t="shared" si="37"/>
        <v/>
      </c>
    </row>
    <row r="382" spans="2:11" x14ac:dyDescent="0.25">
      <c r="B382" s="5">
        <f t="shared" si="32"/>
        <v>376</v>
      </c>
      <c r="C382" s="5" t="e">
        <f t="shared" si="35"/>
        <v>#N/A</v>
      </c>
      <c r="D382" s="14" t="e">
        <f t="shared" si="36"/>
        <v>#N/A</v>
      </c>
      <c r="E382" s="14" t="e">
        <f>INDEX(entities[Attributes Index],MATCH('Customize code'!C382,entities[custom entity '#],0))</f>
        <v>#N/A</v>
      </c>
      <c r="F382" s="14" t="e">
        <f t="shared" si="33"/>
        <v>#N/A</v>
      </c>
      <c r="G382" s="5" t="e">
        <f>IF(D382&gt;0,"",
INDEX(entities[entity_id],MATCH('Customize code'!C382,entities[custom entity '#],0))&amp;":")</f>
        <v>#N/A</v>
      </c>
      <c r="H382" s="5" t="e">
        <f>IF(F382=0,"",VLOOKUP(F382,'Customize code'!$M$8:$O$13,3,FALSE))</f>
        <v>#N/A</v>
      </c>
      <c r="I382" s="5" t="e">
        <f>IF(F382=0, "",  INDEX(entities[[hidden]:[icon]],  MATCH(C382,entities[custom entity '#],0),  'Customize code'!F382)  )</f>
        <v>#N/A</v>
      </c>
      <c r="J382" s="5" t="str">
        <f t="shared" si="34"/>
        <v/>
      </c>
      <c r="K382" s="5" t="str">
        <f t="shared" si="37"/>
        <v/>
      </c>
    </row>
    <row r="383" spans="2:11" x14ac:dyDescent="0.25">
      <c r="B383" s="5">
        <f t="shared" si="32"/>
        <v>377</v>
      </c>
      <c r="C383" s="5" t="e">
        <f t="shared" si="35"/>
        <v>#N/A</v>
      </c>
      <c r="D383" s="14" t="e">
        <f t="shared" si="36"/>
        <v>#N/A</v>
      </c>
      <c r="E383" s="14" t="e">
        <f>INDEX(entities[Attributes Index],MATCH('Customize code'!C383,entities[custom entity '#],0))</f>
        <v>#N/A</v>
      </c>
      <c r="F383" s="14" t="e">
        <f t="shared" si="33"/>
        <v>#N/A</v>
      </c>
      <c r="G383" s="5" t="e">
        <f>IF(D383&gt;0,"",
INDEX(entities[entity_id],MATCH('Customize code'!C383,entities[custom entity '#],0))&amp;":")</f>
        <v>#N/A</v>
      </c>
      <c r="H383" s="5" t="e">
        <f>IF(F383=0,"",VLOOKUP(F383,'Customize code'!$M$8:$O$13,3,FALSE))</f>
        <v>#N/A</v>
      </c>
      <c r="I383" s="5" t="e">
        <f>IF(F383=0, "",  INDEX(entities[[hidden]:[icon]],  MATCH(C383,entities[custom entity '#],0),  'Customize code'!F383)  )</f>
        <v>#N/A</v>
      </c>
      <c r="J383" s="5" t="str">
        <f t="shared" si="34"/>
        <v/>
      </c>
      <c r="K383" s="5" t="str">
        <f t="shared" si="37"/>
        <v/>
      </c>
    </row>
    <row r="384" spans="2:11" x14ac:dyDescent="0.25">
      <c r="B384" s="5">
        <f t="shared" si="32"/>
        <v>378</v>
      </c>
      <c r="C384" s="5" t="e">
        <f t="shared" si="35"/>
        <v>#N/A</v>
      </c>
      <c r="D384" s="14" t="e">
        <f t="shared" si="36"/>
        <v>#N/A</v>
      </c>
      <c r="E384" s="14" t="e">
        <f>INDEX(entities[Attributes Index],MATCH('Customize code'!C384,entities[custom entity '#],0))</f>
        <v>#N/A</v>
      </c>
      <c r="F384" s="14" t="e">
        <f t="shared" si="33"/>
        <v>#N/A</v>
      </c>
      <c r="G384" s="5" t="e">
        <f>IF(D384&gt;0,"",
INDEX(entities[entity_id],MATCH('Customize code'!C384,entities[custom entity '#],0))&amp;":")</f>
        <v>#N/A</v>
      </c>
      <c r="H384" s="5" t="e">
        <f>IF(F384=0,"",VLOOKUP(F384,'Customize code'!$M$8:$O$13,3,FALSE))</f>
        <v>#N/A</v>
      </c>
      <c r="I384" s="5" t="e">
        <f>IF(F384=0, "",  INDEX(entities[[hidden]:[icon]],  MATCH(C384,entities[custom entity '#],0),  'Customize code'!F384)  )</f>
        <v>#N/A</v>
      </c>
      <c r="J384" s="5" t="str">
        <f t="shared" si="34"/>
        <v/>
      </c>
      <c r="K384" s="5" t="str">
        <f t="shared" si="37"/>
        <v/>
      </c>
    </row>
    <row r="385" spans="2:11" x14ac:dyDescent="0.25">
      <c r="B385" s="5">
        <f t="shared" si="32"/>
        <v>379</v>
      </c>
      <c r="C385" s="5" t="e">
        <f t="shared" si="35"/>
        <v>#N/A</v>
      </c>
      <c r="D385" s="14" t="e">
        <f t="shared" si="36"/>
        <v>#N/A</v>
      </c>
      <c r="E385" s="14" t="e">
        <f>INDEX(entities[Attributes Index],MATCH('Customize code'!C385,entities[custom entity '#],0))</f>
        <v>#N/A</v>
      </c>
      <c r="F385" s="14" t="e">
        <f t="shared" si="33"/>
        <v>#N/A</v>
      </c>
      <c r="G385" s="5" t="e">
        <f>IF(D385&gt;0,"",
INDEX(entities[entity_id],MATCH('Customize code'!C385,entities[custom entity '#],0))&amp;":")</f>
        <v>#N/A</v>
      </c>
      <c r="H385" s="5" t="e">
        <f>IF(F385=0,"",VLOOKUP(F385,'Customize code'!$M$8:$O$13,3,FALSE))</f>
        <v>#N/A</v>
      </c>
      <c r="I385" s="5" t="e">
        <f>IF(F385=0, "",  INDEX(entities[[hidden]:[icon]],  MATCH(C385,entities[custom entity '#],0),  'Customize code'!F385)  )</f>
        <v>#N/A</v>
      </c>
      <c r="J385" s="5" t="str">
        <f t="shared" si="34"/>
        <v/>
      </c>
      <c r="K385" s="5" t="str">
        <f t="shared" si="37"/>
        <v/>
      </c>
    </row>
    <row r="386" spans="2:11" x14ac:dyDescent="0.25">
      <c r="B386" s="5">
        <f t="shared" si="32"/>
        <v>380</v>
      </c>
      <c r="C386" s="5" t="e">
        <f t="shared" si="35"/>
        <v>#N/A</v>
      </c>
      <c r="D386" s="14" t="e">
        <f t="shared" si="36"/>
        <v>#N/A</v>
      </c>
      <c r="E386" s="14" t="e">
        <f>INDEX(entities[Attributes Index],MATCH('Customize code'!C386,entities[custom entity '#],0))</f>
        <v>#N/A</v>
      </c>
      <c r="F386" s="14" t="e">
        <f t="shared" si="33"/>
        <v>#N/A</v>
      </c>
      <c r="G386" s="5" t="e">
        <f>IF(D386&gt;0,"",
INDEX(entities[entity_id],MATCH('Customize code'!C386,entities[custom entity '#],0))&amp;":")</f>
        <v>#N/A</v>
      </c>
      <c r="H386" s="5" t="e">
        <f>IF(F386=0,"",VLOOKUP(F386,'Customize code'!$M$8:$O$13,3,FALSE))</f>
        <v>#N/A</v>
      </c>
      <c r="I386" s="5" t="e">
        <f>IF(F386=0, "",  INDEX(entities[[hidden]:[icon]],  MATCH(C386,entities[custom entity '#],0),  'Customize code'!F386)  )</f>
        <v>#N/A</v>
      </c>
      <c r="J386" s="5" t="str">
        <f t="shared" si="34"/>
        <v/>
      </c>
      <c r="K386" s="5" t="str">
        <f t="shared" si="37"/>
        <v/>
      </c>
    </row>
    <row r="387" spans="2:11" x14ac:dyDescent="0.25">
      <c r="B387" s="5">
        <f t="shared" si="32"/>
        <v>381</v>
      </c>
      <c r="C387" s="5" t="e">
        <f t="shared" si="35"/>
        <v>#N/A</v>
      </c>
      <c r="D387" s="14" t="e">
        <f t="shared" si="36"/>
        <v>#N/A</v>
      </c>
      <c r="E387" s="14" t="e">
        <f>INDEX(entities[Attributes Index],MATCH('Customize code'!C387,entities[custom entity '#],0))</f>
        <v>#N/A</v>
      </c>
      <c r="F387" s="14" t="e">
        <f t="shared" si="33"/>
        <v>#N/A</v>
      </c>
      <c r="G387" s="5" t="e">
        <f>IF(D387&gt;0,"",
INDEX(entities[entity_id],MATCH('Customize code'!C387,entities[custom entity '#],0))&amp;":")</f>
        <v>#N/A</v>
      </c>
      <c r="H387" s="5" t="e">
        <f>IF(F387=0,"",VLOOKUP(F387,'Customize code'!$M$8:$O$13,3,FALSE))</f>
        <v>#N/A</v>
      </c>
      <c r="I387" s="5" t="e">
        <f>IF(F387=0, "",  INDEX(entities[[hidden]:[icon]],  MATCH(C387,entities[custom entity '#],0),  'Customize code'!F387)  )</f>
        <v>#N/A</v>
      </c>
      <c r="J387" s="5" t="str">
        <f t="shared" si="34"/>
        <v/>
      </c>
      <c r="K387" s="5" t="str">
        <f t="shared" si="37"/>
        <v/>
      </c>
    </row>
    <row r="388" spans="2:11" x14ac:dyDescent="0.25">
      <c r="B388" s="5">
        <f t="shared" si="32"/>
        <v>382</v>
      </c>
      <c r="C388" s="5" t="e">
        <f t="shared" si="35"/>
        <v>#N/A</v>
      </c>
      <c r="D388" s="14" t="e">
        <f t="shared" si="36"/>
        <v>#N/A</v>
      </c>
      <c r="E388" s="14" t="e">
        <f>INDEX(entities[Attributes Index],MATCH('Customize code'!C388,entities[custom entity '#],0))</f>
        <v>#N/A</v>
      </c>
      <c r="F388" s="14" t="e">
        <f t="shared" si="33"/>
        <v>#N/A</v>
      </c>
      <c r="G388" s="5" t="e">
        <f>IF(D388&gt;0,"",
INDEX(entities[entity_id],MATCH('Customize code'!C388,entities[custom entity '#],0))&amp;":")</f>
        <v>#N/A</v>
      </c>
      <c r="H388" s="5" t="e">
        <f>IF(F388=0,"",VLOOKUP(F388,'Customize code'!$M$8:$O$13,3,FALSE))</f>
        <v>#N/A</v>
      </c>
      <c r="I388" s="5" t="e">
        <f>IF(F388=0, "",  INDEX(entities[[hidden]:[icon]],  MATCH(C388,entities[custom entity '#],0),  'Customize code'!F388)  )</f>
        <v>#N/A</v>
      </c>
      <c r="J388" s="5" t="str">
        <f t="shared" si="34"/>
        <v/>
      </c>
      <c r="K388" s="5" t="str">
        <f t="shared" si="37"/>
        <v/>
      </c>
    </row>
    <row r="389" spans="2:11" x14ac:dyDescent="0.25">
      <c r="B389" s="5">
        <f t="shared" si="32"/>
        <v>383</v>
      </c>
      <c r="C389" s="5" t="e">
        <f t="shared" si="35"/>
        <v>#N/A</v>
      </c>
      <c r="D389" s="14" t="e">
        <f t="shared" si="36"/>
        <v>#N/A</v>
      </c>
      <c r="E389" s="14" t="e">
        <f>INDEX(entities[Attributes Index],MATCH('Customize code'!C389,entities[custom entity '#],0))</f>
        <v>#N/A</v>
      </c>
      <c r="F389" s="14" t="e">
        <f t="shared" si="33"/>
        <v>#N/A</v>
      </c>
      <c r="G389" s="5" t="e">
        <f>IF(D389&gt;0,"",
INDEX(entities[entity_id],MATCH('Customize code'!C389,entities[custom entity '#],0))&amp;":")</f>
        <v>#N/A</v>
      </c>
      <c r="H389" s="5" t="e">
        <f>IF(F389=0,"",VLOOKUP(F389,'Customize code'!$M$8:$O$13,3,FALSE))</f>
        <v>#N/A</v>
      </c>
      <c r="I389" s="5" t="e">
        <f>IF(F389=0, "",  INDEX(entities[[hidden]:[icon]],  MATCH(C389,entities[custom entity '#],0),  'Customize code'!F389)  )</f>
        <v>#N/A</v>
      </c>
      <c r="J389" s="5" t="str">
        <f t="shared" si="34"/>
        <v/>
      </c>
      <c r="K389" s="5" t="str">
        <f t="shared" si="37"/>
        <v/>
      </c>
    </row>
    <row r="390" spans="2:11" x14ac:dyDescent="0.25">
      <c r="B390" s="5">
        <f t="shared" si="32"/>
        <v>384</v>
      </c>
      <c r="C390" s="5" t="e">
        <f t="shared" si="35"/>
        <v>#N/A</v>
      </c>
      <c r="D390" s="14" t="e">
        <f t="shared" si="36"/>
        <v>#N/A</v>
      </c>
      <c r="E390" s="14" t="e">
        <f>INDEX(entities[Attributes Index],MATCH('Customize code'!C390,entities[custom entity '#],0))</f>
        <v>#N/A</v>
      </c>
      <c r="F390" s="14" t="e">
        <f t="shared" si="33"/>
        <v>#N/A</v>
      </c>
      <c r="G390" s="5" t="e">
        <f>IF(D390&gt;0,"",
INDEX(entities[entity_id],MATCH('Customize code'!C390,entities[custom entity '#],0))&amp;":")</f>
        <v>#N/A</v>
      </c>
      <c r="H390" s="5" t="e">
        <f>IF(F390=0,"",VLOOKUP(F390,'Customize code'!$M$8:$O$13,3,FALSE))</f>
        <v>#N/A</v>
      </c>
      <c r="I390" s="5" t="e">
        <f>IF(F390=0, "",  INDEX(entities[[hidden]:[icon]],  MATCH(C390,entities[custom entity '#],0),  'Customize code'!F390)  )</f>
        <v>#N/A</v>
      </c>
      <c r="J390" s="5" t="str">
        <f t="shared" si="34"/>
        <v/>
      </c>
      <c r="K390" s="5" t="str">
        <f t="shared" si="37"/>
        <v/>
      </c>
    </row>
    <row r="391" spans="2:11" x14ac:dyDescent="0.25">
      <c r="B391" s="5">
        <f t="shared" si="32"/>
        <v>385</v>
      </c>
      <c r="C391" s="5" t="e">
        <f t="shared" si="35"/>
        <v>#N/A</v>
      </c>
      <c r="D391" s="14" t="e">
        <f t="shared" si="36"/>
        <v>#N/A</v>
      </c>
      <c r="E391" s="14" t="e">
        <f>INDEX(entities[Attributes Index],MATCH('Customize code'!C391,entities[custom entity '#],0))</f>
        <v>#N/A</v>
      </c>
      <c r="F391" s="14" t="e">
        <f t="shared" si="33"/>
        <v>#N/A</v>
      </c>
      <c r="G391" s="5" t="e">
        <f>IF(D391&gt;0,"",
INDEX(entities[entity_id],MATCH('Customize code'!C391,entities[custom entity '#],0))&amp;":")</f>
        <v>#N/A</v>
      </c>
      <c r="H391" s="5" t="e">
        <f>IF(F391=0,"",VLOOKUP(F391,'Customize code'!$M$8:$O$13,3,FALSE))</f>
        <v>#N/A</v>
      </c>
      <c r="I391" s="5" t="e">
        <f>IF(F391=0, "",  INDEX(entities[[hidden]:[icon]],  MATCH(C391,entities[custom entity '#],0),  'Customize code'!F391)  )</f>
        <v>#N/A</v>
      </c>
      <c r="J391" s="5" t="str">
        <f t="shared" si="34"/>
        <v/>
      </c>
      <c r="K391" s="5" t="str">
        <f t="shared" si="37"/>
        <v/>
      </c>
    </row>
    <row r="392" spans="2:11" x14ac:dyDescent="0.25">
      <c r="B392" s="5">
        <f t="shared" ref="B392:B455" si="38">B391+1</f>
        <v>386</v>
      </c>
      <c r="C392" s="5" t="e">
        <f t="shared" si="35"/>
        <v>#N/A</v>
      </c>
      <c r="D392" s="14" t="e">
        <f t="shared" si="36"/>
        <v>#N/A</v>
      </c>
      <c r="E392" s="14" t="e">
        <f>INDEX(entities[Attributes Index],MATCH('Customize code'!C392,entities[custom entity '#],0))</f>
        <v>#N/A</v>
      </c>
      <c r="F392" s="14" t="e">
        <f t="shared" si="33"/>
        <v>#N/A</v>
      </c>
      <c r="G392" s="5" t="e">
        <f>IF(D392&gt;0,"",
INDEX(entities[entity_id],MATCH('Customize code'!C392,entities[custom entity '#],0))&amp;":")</f>
        <v>#N/A</v>
      </c>
      <c r="H392" s="5" t="e">
        <f>IF(F392=0,"",VLOOKUP(F392,'Customize code'!$M$8:$O$13,3,FALSE))</f>
        <v>#N/A</v>
      </c>
      <c r="I392" s="5" t="e">
        <f>IF(F392=0, "",  INDEX(entities[[hidden]:[icon]],  MATCH(C392,entities[custom entity '#],0),  'Customize code'!F392)  )</f>
        <v>#N/A</v>
      </c>
      <c r="J392" s="5" t="str">
        <f t="shared" si="34"/>
        <v/>
      </c>
      <c r="K392" s="5" t="str">
        <f t="shared" si="37"/>
        <v/>
      </c>
    </row>
    <row r="393" spans="2:11" x14ac:dyDescent="0.25">
      <c r="B393" s="5">
        <f t="shared" si="38"/>
        <v>387</v>
      </c>
      <c r="C393" s="5" t="e">
        <f t="shared" si="35"/>
        <v>#N/A</v>
      </c>
      <c r="D393" s="14" t="e">
        <f t="shared" si="36"/>
        <v>#N/A</v>
      </c>
      <c r="E393" s="14" t="e">
        <f>INDEX(entities[Attributes Index],MATCH('Customize code'!C393,entities[custom entity '#],0))</f>
        <v>#N/A</v>
      </c>
      <c r="F393" s="14" t="e">
        <f t="shared" ref="F393:F456" si="39">IF(D393=0,0,  VALUE(MID(E393,D393,1)))</f>
        <v>#N/A</v>
      </c>
      <c r="G393" s="5" t="e">
        <f>IF(D393&gt;0,"",
INDEX(entities[entity_id],MATCH('Customize code'!C393,entities[custom entity '#],0))&amp;":")</f>
        <v>#N/A</v>
      </c>
      <c r="H393" s="5" t="e">
        <f>IF(F393=0,"",VLOOKUP(F393,'Customize code'!$M$8:$O$13,3,FALSE))</f>
        <v>#N/A</v>
      </c>
      <c r="I393" s="5" t="e">
        <f>IF(F393=0, "",  INDEX(entities[[hidden]:[icon]],  MATCH(C393,entities[custom entity '#],0),  'Customize code'!F393)  )</f>
        <v>#N/A</v>
      </c>
      <c r="J393" s="5" t="str">
        <f t="shared" si="34"/>
        <v/>
      </c>
      <c r="K393" s="5" t="str">
        <f t="shared" si="37"/>
        <v/>
      </c>
    </row>
    <row r="394" spans="2:11" x14ac:dyDescent="0.25">
      <c r="B394" s="5">
        <f t="shared" si="38"/>
        <v>388</v>
      </c>
      <c r="C394" s="5" t="e">
        <f t="shared" si="35"/>
        <v>#N/A</v>
      </c>
      <c r="D394" s="14" t="e">
        <f t="shared" si="36"/>
        <v>#N/A</v>
      </c>
      <c r="E394" s="14" t="e">
        <f>INDEX(entities[Attributes Index],MATCH('Customize code'!C394,entities[custom entity '#],0))</f>
        <v>#N/A</v>
      </c>
      <c r="F394" s="14" t="e">
        <f t="shared" si="39"/>
        <v>#N/A</v>
      </c>
      <c r="G394" s="5" t="e">
        <f>IF(D394&gt;0,"",
INDEX(entities[entity_id],MATCH('Customize code'!C394,entities[custom entity '#],0))&amp;":")</f>
        <v>#N/A</v>
      </c>
      <c r="H394" s="5" t="e">
        <f>IF(F394=0,"",VLOOKUP(F394,'Customize code'!$M$8:$O$13,3,FALSE))</f>
        <v>#N/A</v>
      </c>
      <c r="I394" s="5" t="e">
        <f>IF(F394=0, "",  INDEX(entities[[hidden]:[icon]],  MATCH(C394,entities[custom entity '#],0),  'Customize code'!F394)  )</f>
        <v>#N/A</v>
      </c>
      <c r="J394" s="5" t="str">
        <f t="shared" ref="J394:J457" si="40">_xlfn.IFNA(  G394&amp;H394&amp;I394,  "")</f>
        <v/>
      </c>
      <c r="K394" s="5" t="str">
        <f t="shared" si="37"/>
        <v/>
      </c>
    </row>
    <row r="395" spans="2:11" x14ac:dyDescent="0.25">
      <c r="B395" s="5">
        <f t="shared" si="38"/>
        <v>389</v>
      </c>
      <c r="C395" s="5" t="e">
        <f t="shared" ref="C395:C458" si="41">IF(D394=LEN(E394),  C394+1,  C394)</f>
        <v>#N/A</v>
      </c>
      <c r="D395" s="14" t="e">
        <f t="shared" ref="D395:D458" si="42">IF(C394&lt;&gt;C395,  0,  D394+1)</f>
        <v>#N/A</v>
      </c>
      <c r="E395" s="14" t="e">
        <f>INDEX(entities[Attributes Index],MATCH('Customize code'!C395,entities[custom entity '#],0))</f>
        <v>#N/A</v>
      </c>
      <c r="F395" s="14" t="e">
        <f t="shared" si="39"/>
        <v>#N/A</v>
      </c>
      <c r="G395" s="5" t="e">
        <f>IF(D395&gt;0,"",
INDEX(entities[entity_id],MATCH('Customize code'!C395,entities[custom entity '#],0))&amp;":")</f>
        <v>#N/A</v>
      </c>
      <c r="H395" s="5" t="e">
        <f>IF(F395=0,"",VLOOKUP(F395,'Customize code'!$M$8:$O$13,3,FALSE))</f>
        <v>#N/A</v>
      </c>
      <c r="I395" s="5" t="e">
        <f>IF(F395=0, "",  INDEX(entities[[hidden]:[icon]],  MATCH(C395,entities[custom entity '#],0),  'Customize code'!F395)  )</f>
        <v>#N/A</v>
      </c>
      <c r="J395" s="5" t="str">
        <f t="shared" si="40"/>
        <v/>
      </c>
      <c r="K395" s="5" t="str">
        <f t="shared" si="37"/>
        <v/>
      </c>
    </row>
    <row r="396" spans="2:11" x14ac:dyDescent="0.25">
      <c r="B396" s="5">
        <f t="shared" si="38"/>
        <v>390</v>
      </c>
      <c r="C396" s="5" t="e">
        <f t="shared" si="41"/>
        <v>#N/A</v>
      </c>
      <c r="D396" s="14" t="e">
        <f t="shared" si="42"/>
        <v>#N/A</v>
      </c>
      <c r="E396" s="14" t="e">
        <f>INDEX(entities[Attributes Index],MATCH('Customize code'!C396,entities[custom entity '#],0))</f>
        <v>#N/A</v>
      </c>
      <c r="F396" s="14" t="e">
        <f t="shared" si="39"/>
        <v>#N/A</v>
      </c>
      <c r="G396" s="5" t="e">
        <f>IF(D396&gt;0,"",
INDEX(entities[entity_id],MATCH('Customize code'!C396,entities[custom entity '#],0))&amp;":")</f>
        <v>#N/A</v>
      </c>
      <c r="H396" s="5" t="e">
        <f>IF(F396=0,"",VLOOKUP(F396,'Customize code'!$M$8:$O$13,3,FALSE))</f>
        <v>#N/A</v>
      </c>
      <c r="I396" s="5" t="e">
        <f>IF(F396=0, "",  INDEX(entities[[hidden]:[icon]],  MATCH(C396,entities[custom entity '#],0),  'Customize code'!F396)  )</f>
        <v>#N/A</v>
      </c>
      <c r="J396" s="5" t="str">
        <f t="shared" si="40"/>
        <v/>
      </c>
      <c r="K396" s="5" t="str">
        <f t="shared" si="37"/>
        <v/>
      </c>
    </row>
    <row r="397" spans="2:11" x14ac:dyDescent="0.25">
      <c r="B397" s="5">
        <f t="shared" si="38"/>
        <v>391</v>
      </c>
      <c r="C397" s="5" t="e">
        <f t="shared" si="41"/>
        <v>#N/A</v>
      </c>
      <c r="D397" s="14" t="e">
        <f t="shared" si="42"/>
        <v>#N/A</v>
      </c>
      <c r="E397" s="14" t="e">
        <f>INDEX(entities[Attributes Index],MATCH('Customize code'!C397,entities[custom entity '#],0))</f>
        <v>#N/A</v>
      </c>
      <c r="F397" s="14" t="e">
        <f t="shared" si="39"/>
        <v>#N/A</v>
      </c>
      <c r="G397" s="5" t="e">
        <f>IF(D397&gt;0,"",
INDEX(entities[entity_id],MATCH('Customize code'!C397,entities[custom entity '#],0))&amp;":")</f>
        <v>#N/A</v>
      </c>
      <c r="H397" s="5" t="e">
        <f>IF(F397=0,"",VLOOKUP(F397,'Customize code'!$M$8:$O$13,3,FALSE))</f>
        <v>#N/A</v>
      </c>
      <c r="I397" s="5" t="e">
        <f>IF(F397=0, "",  INDEX(entities[[hidden]:[icon]],  MATCH(C397,entities[custom entity '#],0),  'Customize code'!F397)  )</f>
        <v>#N/A</v>
      </c>
      <c r="J397" s="5" t="str">
        <f t="shared" si="40"/>
        <v/>
      </c>
      <c r="K397" s="5" t="str">
        <f t="shared" si="37"/>
        <v/>
      </c>
    </row>
    <row r="398" spans="2:11" x14ac:dyDescent="0.25">
      <c r="B398" s="5">
        <f t="shared" si="38"/>
        <v>392</v>
      </c>
      <c r="C398" s="5" t="e">
        <f t="shared" si="41"/>
        <v>#N/A</v>
      </c>
      <c r="D398" s="14" t="e">
        <f t="shared" si="42"/>
        <v>#N/A</v>
      </c>
      <c r="E398" s="14" t="e">
        <f>INDEX(entities[Attributes Index],MATCH('Customize code'!C398,entities[custom entity '#],0))</f>
        <v>#N/A</v>
      </c>
      <c r="F398" s="14" t="e">
        <f t="shared" si="39"/>
        <v>#N/A</v>
      </c>
      <c r="G398" s="5" t="e">
        <f>IF(D398&gt;0,"",
INDEX(entities[entity_id],MATCH('Customize code'!C398,entities[custom entity '#],0))&amp;":")</f>
        <v>#N/A</v>
      </c>
      <c r="H398" s="5" t="e">
        <f>IF(F398=0,"",VLOOKUP(F398,'Customize code'!$M$8:$O$13,3,FALSE))</f>
        <v>#N/A</v>
      </c>
      <c r="I398" s="5" t="e">
        <f>IF(F398=0, "",  INDEX(entities[[hidden]:[icon]],  MATCH(C398,entities[custom entity '#],0),  'Customize code'!F398)  )</f>
        <v>#N/A</v>
      </c>
      <c r="J398" s="5" t="str">
        <f t="shared" si="40"/>
        <v/>
      </c>
      <c r="K398" s="5" t="str">
        <f t="shared" si="37"/>
        <v/>
      </c>
    </row>
    <row r="399" spans="2:11" x14ac:dyDescent="0.25">
      <c r="B399" s="5">
        <f t="shared" si="38"/>
        <v>393</v>
      </c>
      <c r="C399" s="5" t="e">
        <f t="shared" si="41"/>
        <v>#N/A</v>
      </c>
      <c r="D399" s="14" t="e">
        <f t="shared" si="42"/>
        <v>#N/A</v>
      </c>
      <c r="E399" s="14" t="e">
        <f>INDEX(entities[Attributes Index],MATCH('Customize code'!C399,entities[custom entity '#],0))</f>
        <v>#N/A</v>
      </c>
      <c r="F399" s="14" t="e">
        <f t="shared" si="39"/>
        <v>#N/A</v>
      </c>
      <c r="G399" s="5" t="e">
        <f>IF(D399&gt;0,"",
INDEX(entities[entity_id],MATCH('Customize code'!C399,entities[custom entity '#],0))&amp;":")</f>
        <v>#N/A</v>
      </c>
      <c r="H399" s="5" t="e">
        <f>IF(F399=0,"",VLOOKUP(F399,'Customize code'!$M$8:$O$13,3,FALSE))</f>
        <v>#N/A</v>
      </c>
      <c r="I399" s="5" t="e">
        <f>IF(F399=0, "",  INDEX(entities[[hidden]:[icon]],  MATCH(C399,entities[custom entity '#],0),  'Customize code'!F399)  )</f>
        <v>#N/A</v>
      </c>
      <c r="J399" s="5" t="str">
        <f t="shared" si="40"/>
        <v/>
      </c>
      <c r="K399" s="5" t="str">
        <f t="shared" si="37"/>
        <v/>
      </c>
    </row>
    <row r="400" spans="2:11" x14ac:dyDescent="0.25">
      <c r="B400" s="5">
        <f t="shared" si="38"/>
        <v>394</v>
      </c>
      <c r="C400" s="5" t="e">
        <f t="shared" si="41"/>
        <v>#N/A</v>
      </c>
      <c r="D400" s="14" t="e">
        <f t="shared" si="42"/>
        <v>#N/A</v>
      </c>
      <c r="E400" s="14" t="e">
        <f>INDEX(entities[Attributes Index],MATCH('Customize code'!C400,entities[custom entity '#],0))</f>
        <v>#N/A</v>
      </c>
      <c r="F400" s="14" t="e">
        <f t="shared" si="39"/>
        <v>#N/A</v>
      </c>
      <c r="G400" s="5" t="e">
        <f>IF(D400&gt;0,"",
INDEX(entities[entity_id],MATCH('Customize code'!C400,entities[custom entity '#],0))&amp;":")</f>
        <v>#N/A</v>
      </c>
      <c r="H400" s="5" t="e">
        <f>IF(F400=0,"",VLOOKUP(F400,'Customize code'!$M$8:$O$13,3,FALSE))</f>
        <v>#N/A</v>
      </c>
      <c r="I400" s="5" t="e">
        <f>IF(F400=0, "",  INDEX(entities[[hidden]:[icon]],  MATCH(C400,entities[custom entity '#],0),  'Customize code'!F400)  )</f>
        <v>#N/A</v>
      </c>
      <c r="J400" s="5" t="str">
        <f t="shared" si="40"/>
        <v/>
      </c>
      <c r="K400" s="5" t="str">
        <f t="shared" si="37"/>
        <v/>
      </c>
    </row>
    <row r="401" spans="2:11" x14ac:dyDescent="0.25">
      <c r="B401" s="5">
        <f t="shared" si="38"/>
        <v>395</v>
      </c>
      <c r="C401" s="5" t="e">
        <f t="shared" si="41"/>
        <v>#N/A</v>
      </c>
      <c r="D401" s="14" t="e">
        <f t="shared" si="42"/>
        <v>#N/A</v>
      </c>
      <c r="E401" s="14" t="e">
        <f>INDEX(entities[Attributes Index],MATCH('Customize code'!C401,entities[custom entity '#],0))</f>
        <v>#N/A</v>
      </c>
      <c r="F401" s="14" t="e">
        <f t="shared" si="39"/>
        <v>#N/A</v>
      </c>
      <c r="G401" s="5" t="e">
        <f>IF(D401&gt;0,"",
INDEX(entities[entity_id],MATCH('Customize code'!C401,entities[custom entity '#],0))&amp;":")</f>
        <v>#N/A</v>
      </c>
      <c r="H401" s="5" t="e">
        <f>IF(F401=0,"",VLOOKUP(F401,'Customize code'!$M$8:$O$13,3,FALSE))</f>
        <v>#N/A</v>
      </c>
      <c r="I401" s="5" t="e">
        <f>IF(F401=0, "",  INDEX(entities[[hidden]:[icon]],  MATCH(C401,entities[custom entity '#],0),  'Customize code'!F401)  )</f>
        <v>#N/A</v>
      </c>
      <c r="J401" s="5" t="str">
        <f t="shared" si="40"/>
        <v/>
      </c>
      <c r="K401" s="5" t="str">
        <f t="shared" si="37"/>
        <v/>
      </c>
    </row>
    <row r="402" spans="2:11" x14ac:dyDescent="0.25">
      <c r="B402" s="5">
        <f t="shared" si="38"/>
        <v>396</v>
      </c>
      <c r="C402" s="5" t="e">
        <f t="shared" si="41"/>
        <v>#N/A</v>
      </c>
      <c r="D402" s="14" t="e">
        <f t="shared" si="42"/>
        <v>#N/A</v>
      </c>
      <c r="E402" s="14" t="e">
        <f>INDEX(entities[Attributes Index],MATCH('Customize code'!C402,entities[custom entity '#],0))</f>
        <v>#N/A</v>
      </c>
      <c r="F402" s="14" t="e">
        <f t="shared" si="39"/>
        <v>#N/A</v>
      </c>
      <c r="G402" s="5" t="e">
        <f>IF(D402&gt;0,"",
INDEX(entities[entity_id],MATCH('Customize code'!C402,entities[custom entity '#],0))&amp;":")</f>
        <v>#N/A</v>
      </c>
      <c r="H402" s="5" t="e">
        <f>IF(F402=0,"",VLOOKUP(F402,'Customize code'!$M$8:$O$13,3,FALSE))</f>
        <v>#N/A</v>
      </c>
      <c r="I402" s="5" t="e">
        <f>IF(F402=0, "",  INDEX(entities[[hidden]:[icon]],  MATCH(C402,entities[custom entity '#],0),  'Customize code'!F402)  )</f>
        <v>#N/A</v>
      </c>
      <c r="J402" s="5" t="str">
        <f t="shared" si="40"/>
        <v/>
      </c>
      <c r="K402" s="5" t="str">
        <f t="shared" si="37"/>
        <v/>
      </c>
    </row>
    <row r="403" spans="2:11" x14ac:dyDescent="0.25">
      <c r="B403" s="5">
        <f t="shared" si="38"/>
        <v>397</v>
      </c>
      <c r="C403" s="5" t="e">
        <f t="shared" si="41"/>
        <v>#N/A</v>
      </c>
      <c r="D403" s="14" t="e">
        <f t="shared" si="42"/>
        <v>#N/A</v>
      </c>
      <c r="E403" s="14" t="e">
        <f>INDEX(entities[Attributes Index],MATCH('Customize code'!C403,entities[custom entity '#],0))</f>
        <v>#N/A</v>
      </c>
      <c r="F403" s="14" t="e">
        <f t="shared" si="39"/>
        <v>#N/A</v>
      </c>
      <c r="G403" s="5" t="e">
        <f>IF(D403&gt;0,"",
INDEX(entities[entity_id],MATCH('Customize code'!C403,entities[custom entity '#],0))&amp;":")</f>
        <v>#N/A</v>
      </c>
      <c r="H403" s="5" t="e">
        <f>IF(F403=0,"",VLOOKUP(F403,'Customize code'!$M$8:$O$13,3,FALSE))</f>
        <v>#N/A</v>
      </c>
      <c r="I403" s="5" t="e">
        <f>IF(F403=0, "",  INDEX(entities[[hidden]:[icon]],  MATCH(C403,entities[custom entity '#],0),  'Customize code'!F403)  )</f>
        <v>#N/A</v>
      </c>
      <c r="J403" s="5" t="str">
        <f t="shared" si="40"/>
        <v/>
      </c>
      <c r="K403" s="5" t="str">
        <f t="shared" si="37"/>
        <v/>
      </c>
    </row>
    <row r="404" spans="2:11" x14ac:dyDescent="0.25">
      <c r="B404" s="5">
        <f t="shared" si="38"/>
        <v>398</v>
      </c>
      <c r="C404" s="5" t="e">
        <f t="shared" si="41"/>
        <v>#N/A</v>
      </c>
      <c r="D404" s="14" t="e">
        <f t="shared" si="42"/>
        <v>#N/A</v>
      </c>
      <c r="E404" s="14" t="e">
        <f>INDEX(entities[Attributes Index],MATCH('Customize code'!C404,entities[custom entity '#],0))</f>
        <v>#N/A</v>
      </c>
      <c r="F404" s="14" t="e">
        <f t="shared" si="39"/>
        <v>#N/A</v>
      </c>
      <c r="G404" s="5" t="e">
        <f>IF(D404&gt;0,"",
INDEX(entities[entity_id],MATCH('Customize code'!C404,entities[custom entity '#],0))&amp;":")</f>
        <v>#N/A</v>
      </c>
      <c r="H404" s="5" t="e">
        <f>IF(F404=0,"",VLOOKUP(F404,'Customize code'!$M$8:$O$13,3,FALSE))</f>
        <v>#N/A</v>
      </c>
      <c r="I404" s="5" t="e">
        <f>IF(F404=0, "",  INDEX(entities[[hidden]:[icon]],  MATCH(C404,entities[custom entity '#],0),  'Customize code'!F404)  )</f>
        <v>#N/A</v>
      </c>
      <c r="J404" s="5" t="str">
        <f t="shared" si="40"/>
        <v/>
      </c>
      <c r="K404" s="5" t="str">
        <f t="shared" si="37"/>
        <v/>
      </c>
    </row>
    <row r="405" spans="2:11" x14ac:dyDescent="0.25">
      <c r="B405" s="5">
        <f t="shared" si="38"/>
        <v>399</v>
      </c>
      <c r="C405" s="5" t="e">
        <f t="shared" si="41"/>
        <v>#N/A</v>
      </c>
      <c r="D405" s="14" t="e">
        <f t="shared" si="42"/>
        <v>#N/A</v>
      </c>
      <c r="E405" s="14" t="e">
        <f>INDEX(entities[Attributes Index],MATCH('Customize code'!C405,entities[custom entity '#],0))</f>
        <v>#N/A</v>
      </c>
      <c r="F405" s="14" t="e">
        <f t="shared" si="39"/>
        <v>#N/A</v>
      </c>
      <c r="G405" s="5" t="e">
        <f>IF(D405&gt;0,"",
INDEX(entities[entity_id],MATCH('Customize code'!C405,entities[custom entity '#],0))&amp;":")</f>
        <v>#N/A</v>
      </c>
      <c r="H405" s="5" t="e">
        <f>IF(F405=0,"",VLOOKUP(F405,'Customize code'!$M$8:$O$13,3,FALSE))</f>
        <v>#N/A</v>
      </c>
      <c r="I405" s="5" t="e">
        <f>IF(F405=0, "",  INDEX(entities[[hidden]:[icon]],  MATCH(C405,entities[custom entity '#],0),  'Customize code'!F405)  )</f>
        <v>#N/A</v>
      </c>
      <c r="J405" s="5" t="str">
        <f t="shared" si="40"/>
        <v/>
      </c>
      <c r="K405" s="5" t="str">
        <f t="shared" si="37"/>
        <v/>
      </c>
    </row>
    <row r="406" spans="2:11" x14ac:dyDescent="0.25">
      <c r="B406" s="5">
        <f t="shared" si="38"/>
        <v>400</v>
      </c>
      <c r="C406" s="5" t="e">
        <f t="shared" si="41"/>
        <v>#N/A</v>
      </c>
      <c r="D406" s="14" t="e">
        <f t="shared" si="42"/>
        <v>#N/A</v>
      </c>
      <c r="E406" s="14" t="e">
        <f>INDEX(entities[Attributes Index],MATCH('Customize code'!C406,entities[custom entity '#],0))</f>
        <v>#N/A</v>
      </c>
      <c r="F406" s="14" t="e">
        <f t="shared" si="39"/>
        <v>#N/A</v>
      </c>
      <c r="G406" s="5" t="e">
        <f>IF(D406&gt;0,"",
INDEX(entities[entity_id],MATCH('Customize code'!C406,entities[custom entity '#],0))&amp;":")</f>
        <v>#N/A</v>
      </c>
      <c r="H406" s="5" t="e">
        <f>IF(F406=0,"",VLOOKUP(F406,'Customize code'!$M$8:$O$13,3,FALSE))</f>
        <v>#N/A</v>
      </c>
      <c r="I406" s="5" t="e">
        <f>IF(F406=0, "",  INDEX(entities[[hidden]:[icon]],  MATCH(C406,entities[custom entity '#],0),  'Customize code'!F406)  )</f>
        <v>#N/A</v>
      </c>
      <c r="J406" s="5" t="str">
        <f t="shared" si="40"/>
        <v/>
      </c>
      <c r="K406" s="5" t="str">
        <f t="shared" si="37"/>
        <v/>
      </c>
    </row>
    <row r="407" spans="2:11" x14ac:dyDescent="0.25">
      <c r="B407" s="5">
        <f t="shared" si="38"/>
        <v>401</v>
      </c>
      <c r="C407" s="5" t="e">
        <f t="shared" si="41"/>
        <v>#N/A</v>
      </c>
      <c r="D407" s="14" t="e">
        <f t="shared" si="42"/>
        <v>#N/A</v>
      </c>
      <c r="E407" s="14" t="e">
        <f>INDEX(entities[Attributes Index],MATCH('Customize code'!C407,entities[custom entity '#],0))</f>
        <v>#N/A</v>
      </c>
      <c r="F407" s="14" t="e">
        <f t="shared" si="39"/>
        <v>#N/A</v>
      </c>
      <c r="G407" s="5" t="e">
        <f>IF(D407&gt;0,"",
INDEX(entities[entity_id],MATCH('Customize code'!C407,entities[custom entity '#],0))&amp;":")</f>
        <v>#N/A</v>
      </c>
      <c r="H407" s="5" t="e">
        <f>IF(F407=0,"",VLOOKUP(F407,'Customize code'!$M$8:$O$13,3,FALSE))</f>
        <v>#N/A</v>
      </c>
      <c r="I407" s="5" t="e">
        <f>IF(F407=0, "",  INDEX(entities[[hidden]:[icon]],  MATCH(C407,entities[custom entity '#],0),  'Customize code'!F407)  )</f>
        <v>#N/A</v>
      </c>
      <c r="J407" s="5" t="str">
        <f t="shared" si="40"/>
        <v/>
      </c>
      <c r="K407" s="5" t="str">
        <f t="shared" si="37"/>
        <v/>
      </c>
    </row>
    <row r="408" spans="2:11" x14ac:dyDescent="0.25">
      <c r="B408" s="5">
        <f t="shared" si="38"/>
        <v>402</v>
      </c>
      <c r="C408" s="5" t="e">
        <f t="shared" si="41"/>
        <v>#N/A</v>
      </c>
      <c r="D408" s="14" t="e">
        <f t="shared" si="42"/>
        <v>#N/A</v>
      </c>
      <c r="E408" s="14" t="e">
        <f>INDEX(entities[Attributes Index],MATCH('Customize code'!C408,entities[custom entity '#],0))</f>
        <v>#N/A</v>
      </c>
      <c r="F408" s="14" t="e">
        <f t="shared" si="39"/>
        <v>#N/A</v>
      </c>
      <c r="G408" s="5" t="e">
        <f>IF(D408&gt;0,"",
INDEX(entities[entity_id],MATCH('Customize code'!C408,entities[custom entity '#],0))&amp;":")</f>
        <v>#N/A</v>
      </c>
      <c r="H408" s="5" t="e">
        <f>IF(F408=0,"",VLOOKUP(F408,'Customize code'!$M$8:$O$13,3,FALSE))</f>
        <v>#N/A</v>
      </c>
      <c r="I408" s="5" t="e">
        <f>IF(F408=0, "",  INDEX(entities[[hidden]:[icon]],  MATCH(C408,entities[custom entity '#],0),  'Customize code'!F408)  )</f>
        <v>#N/A</v>
      </c>
      <c r="J408" s="5" t="str">
        <f t="shared" si="40"/>
        <v/>
      </c>
      <c r="K408" s="5" t="str">
        <f t="shared" si="37"/>
        <v/>
      </c>
    </row>
    <row r="409" spans="2:11" x14ac:dyDescent="0.25">
      <c r="B409" s="5">
        <f t="shared" si="38"/>
        <v>403</v>
      </c>
      <c r="C409" s="5" t="e">
        <f t="shared" si="41"/>
        <v>#N/A</v>
      </c>
      <c r="D409" s="14" t="e">
        <f t="shared" si="42"/>
        <v>#N/A</v>
      </c>
      <c r="E409" s="14" t="e">
        <f>INDEX(entities[Attributes Index],MATCH('Customize code'!C409,entities[custom entity '#],0))</f>
        <v>#N/A</v>
      </c>
      <c r="F409" s="14" t="e">
        <f t="shared" si="39"/>
        <v>#N/A</v>
      </c>
      <c r="G409" s="5" t="e">
        <f>IF(D409&gt;0,"",
INDEX(entities[entity_id],MATCH('Customize code'!C409,entities[custom entity '#],0))&amp;":")</f>
        <v>#N/A</v>
      </c>
      <c r="H409" s="5" t="e">
        <f>IF(F409=0,"",VLOOKUP(F409,'Customize code'!$M$8:$O$13,3,FALSE))</f>
        <v>#N/A</v>
      </c>
      <c r="I409" s="5" t="e">
        <f>IF(F409=0, "",  INDEX(entities[[hidden]:[icon]],  MATCH(C409,entities[custom entity '#],0),  'Customize code'!F409)  )</f>
        <v>#N/A</v>
      </c>
      <c r="J409" s="5" t="str">
        <f t="shared" si="40"/>
        <v/>
      </c>
      <c r="K409" s="5" t="str">
        <f t="shared" si="37"/>
        <v/>
      </c>
    </row>
    <row r="410" spans="2:11" x14ac:dyDescent="0.25">
      <c r="B410" s="5">
        <f t="shared" si="38"/>
        <v>404</v>
      </c>
      <c r="C410" s="5" t="e">
        <f t="shared" si="41"/>
        <v>#N/A</v>
      </c>
      <c r="D410" s="14" t="e">
        <f t="shared" si="42"/>
        <v>#N/A</v>
      </c>
      <c r="E410" s="14" t="e">
        <f>INDEX(entities[Attributes Index],MATCH('Customize code'!C410,entities[custom entity '#],0))</f>
        <v>#N/A</v>
      </c>
      <c r="F410" s="14" t="e">
        <f t="shared" si="39"/>
        <v>#N/A</v>
      </c>
      <c r="G410" s="5" t="e">
        <f>IF(D410&gt;0,"",
INDEX(entities[entity_id],MATCH('Customize code'!C410,entities[custom entity '#],0))&amp;":")</f>
        <v>#N/A</v>
      </c>
      <c r="H410" s="5" t="e">
        <f>IF(F410=0,"",VLOOKUP(F410,'Customize code'!$M$8:$O$13,3,FALSE))</f>
        <v>#N/A</v>
      </c>
      <c r="I410" s="5" t="e">
        <f>IF(F410=0, "",  INDEX(entities[[hidden]:[icon]],  MATCH(C410,entities[custom entity '#],0),  'Customize code'!F410)  )</f>
        <v>#N/A</v>
      </c>
      <c r="J410" s="5" t="str">
        <f t="shared" si="40"/>
        <v/>
      </c>
      <c r="K410" s="5" t="str">
        <f t="shared" si="37"/>
        <v/>
      </c>
    </row>
    <row r="411" spans="2:11" x14ac:dyDescent="0.25">
      <c r="B411" s="5">
        <f t="shared" si="38"/>
        <v>405</v>
      </c>
      <c r="C411" s="5" t="e">
        <f t="shared" si="41"/>
        <v>#N/A</v>
      </c>
      <c r="D411" s="14" t="e">
        <f t="shared" si="42"/>
        <v>#N/A</v>
      </c>
      <c r="E411" s="14" t="e">
        <f>INDEX(entities[Attributes Index],MATCH('Customize code'!C411,entities[custom entity '#],0))</f>
        <v>#N/A</v>
      </c>
      <c r="F411" s="14" t="e">
        <f t="shared" si="39"/>
        <v>#N/A</v>
      </c>
      <c r="G411" s="5" t="e">
        <f>IF(D411&gt;0,"",
INDEX(entities[entity_id],MATCH('Customize code'!C411,entities[custom entity '#],0))&amp;":")</f>
        <v>#N/A</v>
      </c>
      <c r="H411" s="5" t="e">
        <f>IF(F411=0,"",VLOOKUP(F411,'Customize code'!$M$8:$O$13,3,FALSE))</f>
        <v>#N/A</v>
      </c>
      <c r="I411" s="5" t="e">
        <f>IF(F411=0, "",  INDEX(entities[[hidden]:[icon]],  MATCH(C411,entities[custom entity '#],0),  'Customize code'!F411)  )</f>
        <v>#N/A</v>
      </c>
      <c r="J411" s="5" t="str">
        <f t="shared" si="40"/>
        <v/>
      </c>
      <c r="K411" s="5" t="str">
        <f t="shared" si="37"/>
        <v/>
      </c>
    </row>
    <row r="412" spans="2:11" x14ac:dyDescent="0.25">
      <c r="B412" s="5">
        <f t="shared" si="38"/>
        <v>406</v>
      </c>
      <c r="C412" s="5" t="e">
        <f t="shared" si="41"/>
        <v>#N/A</v>
      </c>
      <c r="D412" s="14" t="e">
        <f t="shared" si="42"/>
        <v>#N/A</v>
      </c>
      <c r="E412" s="14" t="e">
        <f>INDEX(entities[Attributes Index],MATCH('Customize code'!C412,entities[custom entity '#],0))</f>
        <v>#N/A</v>
      </c>
      <c r="F412" s="14" t="e">
        <f t="shared" si="39"/>
        <v>#N/A</v>
      </c>
      <c r="G412" s="5" t="e">
        <f>IF(D412&gt;0,"",
INDEX(entities[entity_id],MATCH('Customize code'!C412,entities[custom entity '#],0))&amp;":")</f>
        <v>#N/A</v>
      </c>
      <c r="H412" s="5" t="e">
        <f>IF(F412=0,"",VLOOKUP(F412,'Customize code'!$M$8:$O$13,3,FALSE))</f>
        <v>#N/A</v>
      </c>
      <c r="I412" s="5" t="e">
        <f>IF(F412=0, "",  INDEX(entities[[hidden]:[icon]],  MATCH(C412,entities[custom entity '#],0),  'Customize code'!F412)  )</f>
        <v>#N/A</v>
      </c>
      <c r="J412" s="5" t="str">
        <f t="shared" si="40"/>
        <v/>
      </c>
      <c r="K412" s="5" t="str">
        <f t="shared" si="37"/>
        <v/>
      </c>
    </row>
    <row r="413" spans="2:11" x14ac:dyDescent="0.25">
      <c r="B413" s="5">
        <f t="shared" si="38"/>
        <v>407</v>
      </c>
      <c r="C413" s="5" t="e">
        <f t="shared" si="41"/>
        <v>#N/A</v>
      </c>
      <c r="D413" s="14" t="e">
        <f t="shared" si="42"/>
        <v>#N/A</v>
      </c>
      <c r="E413" s="14" t="e">
        <f>INDEX(entities[Attributes Index],MATCH('Customize code'!C413,entities[custom entity '#],0))</f>
        <v>#N/A</v>
      </c>
      <c r="F413" s="14" t="e">
        <f t="shared" si="39"/>
        <v>#N/A</v>
      </c>
      <c r="G413" s="5" t="e">
        <f>IF(D413&gt;0,"",
INDEX(entities[entity_id],MATCH('Customize code'!C413,entities[custom entity '#],0))&amp;":")</f>
        <v>#N/A</v>
      </c>
      <c r="H413" s="5" t="e">
        <f>IF(F413=0,"",VLOOKUP(F413,'Customize code'!$M$8:$O$13,3,FALSE))</f>
        <v>#N/A</v>
      </c>
      <c r="I413" s="5" t="e">
        <f>IF(F413=0, "",  INDEX(entities[[hidden]:[icon]],  MATCH(C413,entities[custom entity '#],0),  'Customize code'!F413)  )</f>
        <v>#N/A</v>
      </c>
      <c r="J413" s="5" t="str">
        <f t="shared" si="40"/>
        <v/>
      </c>
      <c r="K413" s="5" t="str">
        <f t="shared" si="37"/>
        <v/>
      </c>
    </row>
    <row r="414" spans="2:11" x14ac:dyDescent="0.25">
      <c r="B414" s="5">
        <f t="shared" si="38"/>
        <v>408</v>
      </c>
      <c r="C414" s="5" t="e">
        <f t="shared" si="41"/>
        <v>#N/A</v>
      </c>
      <c r="D414" s="14" t="e">
        <f t="shared" si="42"/>
        <v>#N/A</v>
      </c>
      <c r="E414" s="14" t="e">
        <f>INDEX(entities[Attributes Index],MATCH('Customize code'!C414,entities[custom entity '#],0))</f>
        <v>#N/A</v>
      </c>
      <c r="F414" s="14" t="e">
        <f t="shared" si="39"/>
        <v>#N/A</v>
      </c>
      <c r="G414" s="5" t="e">
        <f>IF(D414&gt;0,"",
INDEX(entities[entity_id],MATCH('Customize code'!C414,entities[custom entity '#],0))&amp;":")</f>
        <v>#N/A</v>
      </c>
      <c r="H414" s="5" t="e">
        <f>IF(F414=0,"",VLOOKUP(F414,'Customize code'!$M$8:$O$13,3,FALSE))</f>
        <v>#N/A</v>
      </c>
      <c r="I414" s="5" t="e">
        <f>IF(F414=0, "",  INDEX(entities[[hidden]:[icon]],  MATCH(C414,entities[custom entity '#],0),  'Customize code'!F414)  )</f>
        <v>#N/A</v>
      </c>
      <c r="J414" s="5" t="str">
        <f t="shared" si="40"/>
        <v/>
      </c>
      <c r="K414" s="5" t="str">
        <f t="shared" si="37"/>
        <v/>
      </c>
    </row>
    <row r="415" spans="2:11" x14ac:dyDescent="0.25">
      <c r="B415" s="5">
        <f t="shared" si="38"/>
        <v>409</v>
      </c>
      <c r="C415" s="5" t="e">
        <f t="shared" si="41"/>
        <v>#N/A</v>
      </c>
      <c r="D415" s="14" t="e">
        <f t="shared" si="42"/>
        <v>#N/A</v>
      </c>
      <c r="E415" s="14" t="e">
        <f>INDEX(entities[Attributes Index],MATCH('Customize code'!C415,entities[custom entity '#],0))</f>
        <v>#N/A</v>
      </c>
      <c r="F415" s="14" t="e">
        <f t="shared" si="39"/>
        <v>#N/A</v>
      </c>
      <c r="G415" s="5" t="e">
        <f>IF(D415&gt;0,"",
INDEX(entities[entity_id],MATCH('Customize code'!C415,entities[custom entity '#],0))&amp;":")</f>
        <v>#N/A</v>
      </c>
      <c r="H415" s="5" t="e">
        <f>IF(F415=0,"",VLOOKUP(F415,'Customize code'!$M$8:$O$13,3,FALSE))</f>
        <v>#N/A</v>
      </c>
      <c r="I415" s="5" t="e">
        <f>IF(F415=0, "",  INDEX(entities[[hidden]:[icon]],  MATCH(C415,entities[custom entity '#],0),  'Customize code'!F415)  )</f>
        <v>#N/A</v>
      </c>
      <c r="J415" s="5" t="str">
        <f t="shared" si="40"/>
        <v/>
      </c>
      <c r="K415" s="5" t="str">
        <f t="shared" si="37"/>
        <v/>
      </c>
    </row>
    <row r="416" spans="2:11" x14ac:dyDescent="0.25">
      <c r="B416" s="5">
        <f t="shared" si="38"/>
        <v>410</v>
      </c>
      <c r="C416" s="5" t="e">
        <f t="shared" si="41"/>
        <v>#N/A</v>
      </c>
      <c r="D416" s="14" t="e">
        <f t="shared" si="42"/>
        <v>#N/A</v>
      </c>
      <c r="E416" s="14" t="e">
        <f>INDEX(entities[Attributes Index],MATCH('Customize code'!C416,entities[custom entity '#],0))</f>
        <v>#N/A</v>
      </c>
      <c r="F416" s="14" t="e">
        <f t="shared" si="39"/>
        <v>#N/A</v>
      </c>
      <c r="G416" s="5" t="e">
        <f>IF(D416&gt;0,"",
INDEX(entities[entity_id],MATCH('Customize code'!C416,entities[custom entity '#],0))&amp;":")</f>
        <v>#N/A</v>
      </c>
      <c r="H416" s="5" t="e">
        <f>IF(F416=0,"",VLOOKUP(F416,'Customize code'!$M$8:$O$13,3,FALSE))</f>
        <v>#N/A</v>
      </c>
      <c r="I416" s="5" t="e">
        <f>IF(F416=0, "",  INDEX(entities[[hidden]:[icon]],  MATCH(C416,entities[custom entity '#],0),  'Customize code'!F416)  )</f>
        <v>#N/A</v>
      </c>
      <c r="J416" s="5" t="str">
        <f t="shared" si="40"/>
        <v/>
      </c>
      <c r="K416" s="5" t="str">
        <f t="shared" si="37"/>
        <v/>
      </c>
    </row>
    <row r="417" spans="2:11" x14ac:dyDescent="0.25">
      <c r="B417" s="5">
        <f t="shared" si="38"/>
        <v>411</v>
      </c>
      <c r="C417" s="5" t="e">
        <f t="shared" si="41"/>
        <v>#N/A</v>
      </c>
      <c r="D417" s="14" t="e">
        <f t="shared" si="42"/>
        <v>#N/A</v>
      </c>
      <c r="E417" s="14" t="e">
        <f>INDEX(entities[Attributes Index],MATCH('Customize code'!C417,entities[custom entity '#],0))</f>
        <v>#N/A</v>
      </c>
      <c r="F417" s="14" t="e">
        <f t="shared" si="39"/>
        <v>#N/A</v>
      </c>
      <c r="G417" s="5" t="e">
        <f>IF(D417&gt;0,"",
INDEX(entities[entity_id],MATCH('Customize code'!C417,entities[custom entity '#],0))&amp;":")</f>
        <v>#N/A</v>
      </c>
      <c r="H417" s="5" t="e">
        <f>IF(F417=0,"",VLOOKUP(F417,'Customize code'!$M$8:$O$13,3,FALSE))</f>
        <v>#N/A</v>
      </c>
      <c r="I417" s="5" t="e">
        <f>IF(F417=0, "",  INDEX(entities[[hidden]:[icon]],  MATCH(C417,entities[custom entity '#],0),  'Customize code'!F417)  )</f>
        <v>#N/A</v>
      </c>
      <c r="J417" s="5" t="str">
        <f t="shared" si="40"/>
        <v/>
      </c>
      <c r="K417" s="5" t="str">
        <f t="shared" si="37"/>
        <v/>
      </c>
    </row>
    <row r="418" spans="2:11" x14ac:dyDescent="0.25">
      <c r="B418" s="5">
        <f t="shared" si="38"/>
        <v>412</v>
      </c>
      <c r="C418" s="5" t="e">
        <f t="shared" si="41"/>
        <v>#N/A</v>
      </c>
      <c r="D418" s="14" t="e">
        <f t="shared" si="42"/>
        <v>#N/A</v>
      </c>
      <c r="E418" s="14" t="e">
        <f>INDEX(entities[Attributes Index],MATCH('Customize code'!C418,entities[custom entity '#],0))</f>
        <v>#N/A</v>
      </c>
      <c r="F418" s="14" t="e">
        <f t="shared" si="39"/>
        <v>#N/A</v>
      </c>
      <c r="G418" s="5" t="e">
        <f>IF(D418&gt;0,"",
INDEX(entities[entity_id],MATCH('Customize code'!C418,entities[custom entity '#],0))&amp;":")</f>
        <v>#N/A</v>
      </c>
      <c r="H418" s="5" t="e">
        <f>IF(F418=0,"",VLOOKUP(F418,'Customize code'!$M$8:$O$13,3,FALSE))</f>
        <v>#N/A</v>
      </c>
      <c r="I418" s="5" t="e">
        <f>IF(F418=0, "",  INDEX(entities[[hidden]:[icon]],  MATCH(C418,entities[custom entity '#],0),  'Customize code'!F418)  )</f>
        <v>#N/A</v>
      </c>
      <c r="J418" s="5" t="str">
        <f t="shared" si="40"/>
        <v/>
      </c>
      <c r="K418" s="5" t="str">
        <f t="shared" si="37"/>
        <v/>
      </c>
    </row>
    <row r="419" spans="2:11" x14ac:dyDescent="0.25">
      <c r="B419" s="5">
        <f t="shared" si="38"/>
        <v>413</v>
      </c>
      <c r="C419" s="5" t="e">
        <f t="shared" si="41"/>
        <v>#N/A</v>
      </c>
      <c r="D419" s="14" t="e">
        <f t="shared" si="42"/>
        <v>#N/A</v>
      </c>
      <c r="E419" s="14" t="e">
        <f>INDEX(entities[Attributes Index],MATCH('Customize code'!C419,entities[custom entity '#],0))</f>
        <v>#N/A</v>
      </c>
      <c r="F419" s="14" t="e">
        <f t="shared" si="39"/>
        <v>#N/A</v>
      </c>
      <c r="G419" s="5" t="e">
        <f>IF(D419&gt;0,"",
INDEX(entities[entity_id],MATCH('Customize code'!C419,entities[custom entity '#],0))&amp;":")</f>
        <v>#N/A</v>
      </c>
      <c r="H419" s="5" t="e">
        <f>IF(F419=0,"",VLOOKUP(F419,'Customize code'!$M$8:$O$13,3,FALSE))</f>
        <v>#N/A</v>
      </c>
      <c r="I419" s="5" t="e">
        <f>IF(F419=0, "",  INDEX(entities[[hidden]:[icon]],  MATCH(C419,entities[custom entity '#],0),  'Customize code'!F419)  )</f>
        <v>#N/A</v>
      </c>
      <c r="J419" s="5" t="str">
        <f t="shared" si="40"/>
        <v/>
      </c>
      <c r="K419" s="5" t="str">
        <f t="shared" si="37"/>
        <v/>
      </c>
    </row>
    <row r="420" spans="2:11" x14ac:dyDescent="0.25">
      <c r="B420" s="5">
        <f t="shared" si="38"/>
        <v>414</v>
      </c>
      <c r="C420" s="5" t="e">
        <f t="shared" si="41"/>
        <v>#N/A</v>
      </c>
      <c r="D420" s="14" t="e">
        <f t="shared" si="42"/>
        <v>#N/A</v>
      </c>
      <c r="E420" s="14" t="e">
        <f>INDEX(entities[Attributes Index],MATCH('Customize code'!C420,entities[custom entity '#],0))</f>
        <v>#N/A</v>
      </c>
      <c r="F420" s="14" t="e">
        <f t="shared" si="39"/>
        <v>#N/A</v>
      </c>
      <c r="G420" s="5" t="e">
        <f>IF(D420&gt;0,"",
INDEX(entities[entity_id],MATCH('Customize code'!C420,entities[custom entity '#],0))&amp;":")</f>
        <v>#N/A</v>
      </c>
      <c r="H420" s="5" t="e">
        <f>IF(F420=0,"",VLOOKUP(F420,'Customize code'!$M$8:$O$13,3,FALSE))</f>
        <v>#N/A</v>
      </c>
      <c r="I420" s="5" t="e">
        <f>IF(F420=0, "",  INDEX(entities[[hidden]:[icon]],  MATCH(C420,entities[custom entity '#],0),  'Customize code'!F420)  )</f>
        <v>#N/A</v>
      </c>
      <c r="J420" s="5" t="str">
        <f t="shared" si="40"/>
        <v/>
      </c>
      <c r="K420" s="5" t="str">
        <f t="shared" si="37"/>
        <v/>
      </c>
    </row>
    <row r="421" spans="2:11" x14ac:dyDescent="0.25">
      <c r="B421" s="5">
        <f t="shared" si="38"/>
        <v>415</v>
      </c>
      <c r="C421" s="5" t="e">
        <f t="shared" si="41"/>
        <v>#N/A</v>
      </c>
      <c r="D421" s="14" t="e">
        <f t="shared" si="42"/>
        <v>#N/A</v>
      </c>
      <c r="E421" s="14" t="e">
        <f>INDEX(entities[Attributes Index],MATCH('Customize code'!C421,entities[custom entity '#],0))</f>
        <v>#N/A</v>
      </c>
      <c r="F421" s="14" t="e">
        <f t="shared" si="39"/>
        <v>#N/A</v>
      </c>
      <c r="G421" s="5" t="e">
        <f>IF(D421&gt;0,"",
INDEX(entities[entity_id],MATCH('Customize code'!C421,entities[custom entity '#],0))&amp;":")</f>
        <v>#N/A</v>
      </c>
      <c r="H421" s="5" t="e">
        <f>IF(F421=0,"",VLOOKUP(F421,'Customize code'!$M$8:$O$13,3,FALSE))</f>
        <v>#N/A</v>
      </c>
      <c r="I421" s="5" t="e">
        <f>IF(F421=0, "",  INDEX(entities[[hidden]:[icon]],  MATCH(C421,entities[custom entity '#],0),  'Customize code'!F421)  )</f>
        <v>#N/A</v>
      </c>
      <c r="J421" s="5" t="str">
        <f t="shared" si="40"/>
        <v/>
      </c>
      <c r="K421" s="5" t="str">
        <f t="shared" si="37"/>
        <v/>
      </c>
    </row>
    <row r="422" spans="2:11" x14ac:dyDescent="0.25">
      <c r="B422" s="5">
        <f t="shared" si="38"/>
        <v>416</v>
      </c>
      <c r="C422" s="5" t="e">
        <f t="shared" si="41"/>
        <v>#N/A</v>
      </c>
      <c r="D422" s="14" t="e">
        <f t="shared" si="42"/>
        <v>#N/A</v>
      </c>
      <c r="E422" s="14" t="e">
        <f>INDEX(entities[Attributes Index],MATCH('Customize code'!C422,entities[custom entity '#],0))</f>
        <v>#N/A</v>
      </c>
      <c r="F422" s="14" t="e">
        <f t="shared" si="39"/>
        <v>#N/A</v>
      </c>
      <c r="G422" s="5" t="e">
        <f>IF(D422&gt;0,"",
INDEX(entities[entity_id],MATCH('Customize code'!C422,entities[custom entity '#],0))&amp;":")</f>
        <v>#N/A</v>
      </c>
      <c r="H422" s="5" t="e">
        <f>IF(F422=0,"",VLOOKUP(F422,'Customize code'!$M$8:$O$13,3,FALSE))</f>
        <v>#N/A</v>
      </c>
      <c r="I422" s="5" t="e">
        <f>IF(F422=0, "",  INDEX(entities[[hidden]:[icon]],  MATCH(C422,entities[custom entity '#],0),  'Customize code'!F422)  )</f>
        <v>#N/A</v>
      </c>
      <c r="J422" s="5" t="str">
        <f t="shared" si="40"/>
        <v/>
      </c>
      <c r="K422" s="5" t="str">
        <f t="shared" si="37"/>
        <v/>
      </c>
    </row>
    <row r="423" spans="2:11" x14ac:dyDescent="0.25">
      <c r="B423" s="5">
        <f t="shared" si="38"/>
        <v>417</v>
      </c>
      <c r="C423" s="5" t="e">
        <f t="shared" si="41"/>
        <v>#N/A</v>
      </c>
      <c r="D423" s="14" t="e">
        <f t="shared" si="42"/>
        <v>#N/A</v>
      </c>
      <c r="E423" s="14" t="e">
        <f>INDEX(entities[Attributes Index],MATCH('Customize code'!C423,entities[custom entity '#],0))</f>
        <v>#N/A</v>
      </c>
      <c r="F423" s="14" t="e">
        <f t="shared" si="39"/>
        <v>#N/A</v>
      </c>
      <c r="G423" s="5" t="e">
        <f>IF(D423&gt;0,"",
INDEX(entities[entity_id],MATCH('Customize code'!C423,entities[custom entity '#],0))&amp;":")</f>
        <v>#N/A</v>
      </c>
      <c r="H423" s="5" t="e">
        <f>IF(F423=0,"",VLOOKUP(F423,'Customize code'!$M$8:$O$13,3,FALSE))</f>
        <v>#N/A</v>
      </c>
      <c r="I423" s="5" t="e">
        <f>IF(F423=0, "",  INDEX(entities[[hidden]:[icon]],  MATCH(C423,entities[custom entity '#],0),  'Customize code'!F423)  )</f>
        <v>#N/A</v>
      </c>
      <c r="J423" s="5" t="str">
        <f t="shared" si="40"/>
        <v/>
      </c>
      <c r="K423" s="5" t="str">
        <f t="shared" si="37"/>
        <v/>
      </c>
    </row>
    <row r="424" spans="2:11" x14ac:dyDescent="0.25">
      <c r="B424" s="5">
        <f t="shared" si="38"/>
        <v>418</v>
      </c>
      <c r="C424" s="5" t="e">
        <f t="shared" si="41"/>
        <v>#N/A</v>
      </c>
      <c r="D424" s="14" t="e">
        <f t="shared" si="42"/>
        <v>#N/A</v>
      </c>
      <c r="E424" s="14" t="e">
        <f>INDEX(entities[Attributes Index],MATCH('Customize code'!C424,entities[custom entity '#],0))</f>
        <v>#N/A</v>
      </c>
      <c r="F424" s="14" t="e">
        <f t="shared" si="39"/>
        <v>#N/A</v>
      </c>
      <c r="G424" s="5" t="e">
        <f>IF(D424&gt;0,"",
INDEX(entities[entity_id],MATCH('Customize code'!C424,entities[custom entity '#],0))&amp;":")</f>
        <v>#N/A</v>
      </c>
      <c r="H424" s="5" t="e">
        <f>IF(F424=0,"",VLOOKUP(F424,'Customize code'!$M$8:$O$13,3,FALSE))</f>
        <v>#N/A</v>
      </c>
      <c r="I424" s="5" t="e">
        <f>IF(F424=0, "",  INDEX(entities[[hidden]:[icon]],  MATCH(C424,entities[custom entity '#],0),  'Customize code'!F424)  )</f>
        <v>#N/A</v>
      </c>
      <c r="J424" s="5" t="str">
        <f t="shared" si="40"/>
        <v/>
      </c>
      <c r="K424" s="5" t="str">
        <f t="shared" si="37"/>
        <v/>
      </c>
    </row>
    <row r="425" spans="2:11" x14ac:dyDescent="0.25">
      <c r="B425" s="5">
        <f t="shared" si="38"/>
        <v>419</v>
      </c>
      <c r="C425" s="5" t="e">
        <f t="shared" si="41"/>
        <v>#N/A</v>
      </c>
      <c r="D425" s="14" t="e">
        <f t="shared" si="42"/>
        <v>#N/A</v>
      </c>
      <c r="E425" s="14" t="e">
        <f>INDEX(entities[Attributes Index],MATCH('Customize code'!C425,entities[custom entity '#],0))</f>
        <v>#N/A</v>
      </c>
      <c r="F425" s="14" t="e">
        <f t="shared" si="39"/>
        <v>#N/A</v>
      </c>
      <c r="G425" s="5" t="e">
        <f>IF(D425&gt;0,"",
INDEX(entities[entity_id],MATCH('Customize code'!C425,entities[custom entity '#],0))&amp;":")</f>
        <v>#N/A</v>
      </c>
      <c r="H425" s="5" t="e">
        <f>IF(F425=0,"",VLOOKUP(F425,'Customize code'!$M$8:$O$13,3,FALSE))</f>
        <v>#N/A</v>
      </c>
      <c r="I425" s="5" t="e">
        <f>IF(F425=0, "",  INDEX(entities[[hidden]:[icon]],  MATCH(C425,entities[custom entity '#],0),  'Customize code'!F425)  )</f>
        <v>#N/A</v>
      </c>
      <c r="J425" s="5" t="str">
        <f t="shared" si="40"/>
        <v/>
      </c>
      <c r="K425" s="5" t="str">
        <f t="shared" si="37"/>
        <v/>
      </c>
    </row>
    <row r="426" spans="2:11" x14ac:dyDescent="0.25">
      <c r="B426" s="5">
        <f t="shared" si="38"/>
        <v>420</v>
      </c>
      <c r="C426" s="5" t="e">
        <f t="shared" si="41"/>
        <v>#N/A</v>
      </c>
      <c r="D426" s="14" t="e">
        <f t="shared" si="42"/>
        <v>#N/A</v>
      </c>
      <c r="E426" s="14" t="e">
        <f>INDEX(entities[Attributes Index],MATCH('Customize code'!C426,entities[custom entity '#],0))</f>
        <v>#N/A</v>
      </c>
      <c r="F426" s="14" t="e">
        <f t="shared" si="39"/>
        <v>#N/A</v>
      </c>
      <c r="G426" s="5" t="e">
        <f>IF(D426&gt;0,"",
INDEX(entities[entity_id],MATCH('Customize code'!C426,entities[custom entity '#],0))&amp;":")</f>
        <v>#N/A</v>
      </c>
      <c r="H426" s="5" t="e">
        <f>IF(F426=0,"",VLOOKUP(F426,'Customize code'!$M$8:$O$13,3,FALSE))</f>
        <v>#N/A</v>
      </c>
      <c r="I426" s="5" t="e">
        <f>IF(F426=0, "",  INDEX(entities[[hidden]:[icon]],  MATCH(C426,entities[custom entity '#],0),  'Customize code'!F426)  )</f>
        <v>#N/A</v>
      </c>
      <c r="J426" s="5" t="str">
        <f t="shared" si="40"/>
        <v/>
      </c>
      <c r="K426" s="5" t="str">
        <f t="shared" si="37"/>
        <v/>
      </c>
    </row>
    <row r="427" spans="2:11" x14ac:dyDescent="0.25">
      <c r="B427" s="5">
        <f t="shared" si="38"/>
        <v>421</v>
      </c>
      <c r="C427" s="5" t="e">
        <f t="shared" si="41"/>
        <v>#N/A</v>
      </c>
      <c r="D427" s="14" t="e">
        <f t="shared" si="42"/>
        <v>#N/A</v>
      </c>
      <c r="E427" s="14" t="e">
        <f>INDEX(entities[Attributes Index],MATCH('Customize code'!C427,entities[custom entity '#],0))</f>
        <v>#N/A</v>
      </c>
      <c r="F427" s="14" t="e">
        <f t="shared" si="39"/>
        <v>#N/A</v>
      </c>
      <c r="G427" s="5" t="e">
        <f>IF(D427&gt;0,"",
INDEX(entities[entity_id],MATCH('Customize code'!C427,entities[custom entity '#],0))&amp;":")</f>
        <v>#N/A</v>
      </c>
      <c r="H427" s="5" t="e">
        <f>IF(F427=0,"",VLOOKUP(F427,'Customize code'!$M$8:$O$13,3,FALSE))</f>
        <v>#N/A</v>
      </c>
      <c r="I427" s="5" t="e">
        <f>IF(F427=0, "",  INDEX(entities[[hidden]:[icon]],  MATCH(C427,entities[custom entity '#],0),  'Customize code'!F427)  )</f>
        <v>#N/A</v>
      </c>
      <c r="J427" s="5" t="str">
        <f t="shared" si="40"/>
        <v/>
      </c>
      <c r="K427" s="5" t="str">
        <f t="shared" si="37"/>
        <v/>
      </c>
    </row>
    <row r="428" spans="2:11" x14ac:dyDescent="0.25">
      <c r="B428" s="5">
        <f t="shared" si="38"/>
        <v>422</v>
      </c>
      <c r="C428" s="5" t="e">
        <f t="shared" si="41"/>
        <v>#N/A</v>
      </c>
      <c r="D428" s="14" t="e">
        <f t="shared" si="42"/>
        <v>#N/A</v>
      </c>
      <c r="E428" s="14" t="e">
        <f>INDEX(entities[Attributes Index],MATCH('Customize code'!C428,entities[custom entity '#],0))</f>
        <v>#N/A</v>
      </c>
      <c r="F428" s="14" t="e">
        <f t="shared" si="39"/>
        <v>#N/A</v>
      </c>
      <c r="G428" s="5" t="e">
        <f>IF(D428&gt;0,"",
INDEX(entities[entity_id],MATCH('Customize code'!C428,entities[custom entity '#],0))&amp;":")</f>
        <v>#N/A</v>
      </c>
      <c r="H428" s="5" t="e">
        <f>IF(F428=0,"",VLOOKUP(F428,'Customize code'!$M$8:$O$13,3,FALSE))</f>
        <v>#N/A</v>
      </c>
      <c r="I428" s="5" t="e">
        <f>IF(F428=0, "",  INDEX(entities[[hidden]:[icon]],  MATCH(C428,entities[custom entity '#],0),  'Customize code'!F428)  )</f>
        <v>#N/A</v>
      </c>
      <c r="J428" s="5" t="str">
        <f t="shared" si="40"/>
        <v/>
      </c>
      <c r="K428" s="5" t="str">
        <f t="shared" si="37"/>
        <v/>
      </c>
    </row>
    <row r="429" spans="2:11" x14ac:dyDescent="0.25">
      <c r="B429" s="5">
        <f t="shared" si="38"/>
        <v>423</v>
      </c>
      <c r="C429" s="5" t="e">
        <f t="shared" si="41"/>
        <v>#N/A</v>
      </c>
      <c r="D429" s="14" t="e">
        <f t="shared" si="42"/>
        <v>#N/A</v>
      </c>
      <c r="E429" s="14" t="e">
        <f>INDEX(entities[Attributes Index],MATCH('Customize code'!C429,entities[custom entity '#],0))</f>
        <v>#N/A</v>
      </c>
      <c r="F429" s="14" t="e">
        <f t="shared" si="39"/>
        <v>#N/A</v>
      </c>
      <c r="G429" s="5" t="e">
        <f>IF(D429&gt;0,"",
INDEX(entities[entity_id],MATCH('Customize code'!C429,entities[custom entity '#],0))&amp;":")</f>
        <v>#N/A</v>
      </c>
      <c r="H429" s="5" t="e">
        <f>IF(F429=0,"",VLOOKUP(F429,'Customize code'!$M$8:$O$13,3,FALSE))</f>
        <v>#N/A</v>
      </c>
      <c r="I429" s="5" t="e">
        <f>IF(F429=0, "",  INDEX(entities[[hidden]:[icon]],  MATCH(C429,entities[custom entity '#],0),  'Customize code'!F429)  )</f>
        <v>#N/A</v>
      </c>
      <c r="J429" s="5" t="str">
        <f t="shared" si="40"/>
        <v/>
      </c>
      <c r="K429" s="5" t="str">
        <f t="shared" si="37"/>
        <v/>
      </c>
    </row>
    <row r="430" spans="2:11" x14ac:dyDescent="0.25">
      <c r="B430" s="5">
        <f t="shared" si="38"/>
        <v>424</v>
      </c>
      <c r="C430" s="5" t="e">
        <f t="shared" si="41"/>
        <v>#N/A</v>
      </c>
      <c r="D430" s="14" t="e">
        <f t="shared" si="42"/>
        <v>#N/A</v>
      </c>
      <c r="E430" s="14" t="e">
        <f>INDEX(entities[Attributes Index],MATCH('Customize code'!C430,entities[custom entity '#],0))</f>
        <v>#N/A</v>
      </c>
      <c r="F430" s="14" t="e">
        <f t="shared" si="39"/>
        <v>#N/A</v>
      </c>
      <c r="G430" s="5" t="e">
        <f>IF(D430&gt;0,"",
INDEX(entities[entity_id],MATCH('Customize code'!C430,entities[custom entity '#],0))&amp;":")</f>
        <v>#N/A</v>
      </c>
      <c r="H430" s="5" t="e">
        <f>IF(F430=0,"",VLOOKUP(F430,'Customize code'!$M$8:$O$13,3,FALSE))</f>
        <v>#N/A</v>
      </c>
      <c r="I430" s="5" t="e">
        <f>IF(F430=0, "",  INDEX(entities[[hidden]:[icon]],  MATCH(C430,entities[custom entity '#],0),  'Customize code'!F430)  )</f>
        <v>#N/A</v>
      </c>
      <c r="J430" s="5" t="str">
        <f t="shared" si="40"/>
        <v/>
      </c>
      <c r="K430" s="5" t="str">
        <f t="shared" si="37"/>
        <v/>
      </c>
    </row>
    <row r="431" spans="2:11" x14ac:dyDescent="0.25">
      <c r="B431" s="5">
        <f t="shared" si="38"/>
        <v>425</v>
      </c>
      <c r="C431" s="5" t="e">
        <f t="shared" si="41"/>
        <v>#N/A</v>
      </c>
      <c r="D431" s="14" t="e">
        <f t="shared" si="42"/>
        <v>#N/A</v>
      </c>
      <c r="E431" s="14" t="e">
        <f>INDEX(entities[Attributes Index],MATCH('Customize code'!C431,entities[custom entity '#],0))</f>
        <v>#N/A</v>
      </c>
      <c r="F431" s="14" t="e">
        <f t="shared" si="39"/>
        <v>#N/A</v>
      </c>
      <c r="G431" s="5" t="e">
        <f>IF(D431&gt;0,"",
INDEX(entities[entity_id],MATCH('Customize code'!C431,entities[custom entity '#],0))&amp;":")</f>
        <v>#N/A</v>
      </c>
      <c r="H431" s="5" t="e">
        <f>IF(F431=0,"",VLOOKUP(F431,'Customize code'!$M$8:$O$13,3,FALSE))</f>
        <v>#N/A</v>
      </c>
      <c r="I431" s="5" t="e">
        <f>IF(F431=0, "",  INDEX(entities[[hidden]:[icon]],  MATCH(C431,entities[custom entity '#],0),  'Customize code'!F431)  )</f>
        <v>#N/A</v>
      </c>
      <c r="J431" s="5" t="str">
        <f t="shared" si="40"/>
        <v/>
      </c>
      <c r="K431" s="5" t="str">
        <f t="shared" si="37"/>
        <v/>
      </c>
    </row>
    <row r="432" spans="2:11" x14ac:dyDescent="0.25">
      <c r="B432" s="5">
        <f t="shared" si="38"/>
        <v>426</v>
      </c>
      <c r="C432" s="5" t="e">
        <f t="shared" si="41"/>
        <v>#N/A</v>
      </c>
      <c r="D432" s="14" t="e">
        <f t="shared" si="42"/>
        <v>#N/A</v>
      </c>
      <c r="E432" s="14" t="e">
        <f>INDEX(entities[Attributes Index],MATCH('Customize code'!C432,entities[custom entity '#],0))</f>
        <v>#N/A</v>
      </c>
      <c r="F432" s="14" t="e">
        <f t="shared" si="39"/>
        <v>#N/A</v>
      </c>
      <c r="G432" s="5" t="e">
        <f>IF(D432&gt;0,"",
INDEX(entities[entity_id],MATCH('Customize code'!C432,entities[custom entity '#],0))&amp;":")</f>
        <v>#N/A</v>
      </c>
      <c r="H432" s="5" t="e">
        <f>IF(F432=0,"",VLOOKUP(F432,'Customize code'!$M$8:$O$13,3,FALSE))</f>
        <v>#N/A</v>
      </c>
      <c r="I432" s="5" t="e">
        <f>IF(F432=0, "",  INDEX(entities[[hidden]:[icon]],  MATCH(C432,entities[custom entity '#],0),  'Customize code'!F432)  )</f>
        <v>#N/A</v>
      </c>
      <c r="J432" s="5" t="str">
        <f t="shared" si="40"/>
        <v/>
      </c>
      <c r="K432" s="5" t="str">
        <f t="shared" si="37"/>
        <v/>
      </c>
    </row>
    <row r="433" spans="2:11" x14ac:dyDescent="0.25">
      <c r="B433" s="5">
        <f t="shared" si="38"/>
        <v>427</v>
      </c>
      <c r="C433" s="5" t="e">
        <f t="shared" si="41"/>
        <v>#N/A</v>
      </c>
      <c r="D433" s="14" t="e">
        <f t="shared" si="42"/>
        <v>#N/A</v>
      </c>
      <c r="E433" s="14" t="e">
        <f>INDEX(entities[Attributes Index],MATCH('Customize code'!C433,entities[custom entity '#],0))</f>
        <v>#N/A</v>
      </c>
      <c r="F433" s="14" t="e">
        <f t="shared" si="39"/>
        <v>#N/A</v>
      </c>
      <c r="G433" s="5" t="e">
        <f>IF(D433&gt;0,"",
INDEX(entities[entity_id],MATCH('Customize code'!C433,entities[custom entity '#],0))&amp;":")</f>
        <v>#N/A</v>
      </c>
      <c r="H433" s="5" t="e">
        <f>IF(F433=0,"",VLOOKUP(F433,'Customize code'!$M$8:$O$13,3,FALSE))</f>
        <v>#N/A</v>
      </c>
      <c r="I433" s="5" t="e">
        <f>IF(F433=0, "",  INDEX(entities[[hidden]:[icon]],  MATCH(C433,entities[custom entity '#],0),  'Customize code'!F433)  )</f>
        <v>#N/A</v>
      </c>
      <c r="J433" s="5" t="str">
        <f t="shared" si="40"/>
        <v/>
      </c>
      <c r="K433" s="5" t="str">
        <f t="shared" si="37"/>
        <v/>
      </c>
    </row>
    <row r="434" spans="2:11" x14ac:dyDescent="0.25">
      <c r="B434" s="5">
        <f t="shared" si="38"/>
        <v>428</v>
      </c>
      <c r="C434" s="5" t="e">
        <f t="shared" si="41"/>
        <v>#N/A</v>
      </c>
      <c r="D434" s="14" t="e">
        <f t="shared" si="42"/>
        <v>#N/A</v>
      </c>
      <c r="E434" s="14" t="e">
        <f>INDEX(entities[Attributes Index],MATCH('Customize code'!C434,entities[custom entity '#],0))</f>
        <v>#N/A</v>
      </c>
      <c r="F434" s="14" t="e">
        <f t="shared" si="39"/>
        <v>#N/A</v>
      </c>
      <c r="G434" s="5" t="e">
        <f>IF(D434&gt;0,"",
INDEX(entities[entity_id],MATCH('Customize code'!C434,entities[custom entity '#],0))&amp;":")</f>
        <v>#N/A</v>
      </c>
      <c r="H434" s="5" t="e">
        <f>IF(F434=0,"",VLOOKUP(F434,'Customize code'!$M$8:$O$13,3,FALSE))</f>
        <v>#N/A</v>
      </c>
      <c r="I434" s="5" t="e">
        <f>IF(F434=0, "",  INDEX(entities[[hidden]:[icon]],  MATCH(C434,entities[custom entity '#],0),  'Customize code'!F434)  )</f>
        <v>#N/A</v>
      </c>
      <c r="J434" s="5" t="str">
        <f t="shared" si="40"/>
        <v/>
      </c>
      <c r="K434" s="5" t="str">
        <f t="shared" si="37"/>
        <v/>
      </c>
    </row>
    <row r="435" spans="2:11" x14ac:dyDescent="0.25">
      <c r="B435" s="5">
        <f t="shared" si="38"/>
        <v>429</v>
      </c>
      <c r="C435" s="5" t="e">
        <f t="shared" si="41"/>
        <v>#N/A</v>
      </c>
      <c r="D435" s="14" t="e">
        <f t="shared" si="42"/>
        <v>#N/A</v>
      </c>
      <c r="E435" s="14" t="e">
        <f>INDEX(entities[Attributes Index],MATCH('Customize code'!C435,entities[custom entity '#],0))</f>
        <v>#N/A</v>
      </c>
      <c r="F435" s="14" t="e">
        <f t="shared" si="39"/>
        <v>#N/A</v>
      </c>
      <c r="G435" s="5" t="e">
        <f>IF(D435&gt;0,"",
INDEX(entities[entity_id],MATCH('Customize code'!C435,entities[custom entity '#],0))&amp;":")</f>
        <v>#N/A</v>
      </c>
      <c r="H435" s="5" t="e">
        <f>IF(F435=0,"",VLOOKUP(F435,'Customize code'!$M$8:$O$13,3,FALSE))</f>
        <v>#N/A</v>
      </c>
      <c r="I435" s="5" t="e">
        <f>IF(F435=0, "",  INDEX(entities[[hidden]:[icon]],  MATCH(C435,entities[custom entity '#],0),  'Customize code'!F435)  )</f>
        <v>#N/A</v>
      </c>
      <c r="J435" s="5" t="str">
        <f t="shared" si="40"/>
        <v/>
      </c>
      <c r="K435" s="5" t="str">
        <f t="shared" si="37"/>
        <v/>
      </c>
    </row>
    <row r="436" spans="2:11" x14ac:dyDescent="0.25">
      <c r="B436" s="5">
        <f t="shared" si="38"/>
        <v>430</v>
      </c>
      <c r="C436" s="5" t="e">
        <f t="shared" si="41"/>
        <v>#N/A</v>
      </c>
      <c r="D436" s="14" t="e">
        <f t="shared" si="42"/>
        <v>#N/A</v>
      </c>
      <c r="E436" s="14" t="e">
        <f>INDEX(entities[Attributes Index],MATCH('Customize code'!C436,entities[custom entity '#],0))</f>
        <v>#N/A</v>
      </c>
      <c r="F436" s="14" t="e">
        <f t="shared" si="39"/>
        <v>#N/A</v>
      </c>
      <c r="G436" s="5" t="e">
        <f>IF(D436&gt;0,"",
INDEX(entities[entity_id],MATCH('Customize code'!C436,entities[custom entity '#],0))&amp;":")</f>
        <v>#N/A</v>
      </c>
      <c r="H436" s="5" t="e">
        <f>IF(F436=0,"",VLOOKUP(F436,'Customize code'!$M$8:$O$13,3,FALSE))</f>
        <v>#N/A</v>
      </c>
      <c r="I436" s="5" t="e">
        <f>IF(F436=0, "",  INDEX(entities[[hidden]:[icon]],  MATCH(C436,entities[custom entity '#],0),  'Customize code'!F436)  )</f>
        <v>#N/A</v>
      </c>
      <c r="J436" s="5" t="str">
        <f t="shared" si="40"/>
        <v/>
      </c>
      <c r="K436" s="5" t="str">
        <f t="shared" si="37"/>
        <v/>
      </c>
    </row>
    <row r="437" spans="2:11" x14ac:dyDescent="0.25">
      <c r="B437" s="5">
        <f t="shared" si="38"/>
        <v>431</v>
      </c>
      <c r="C437" s="5" t="e">
        <f t="shared" si="41"/>
        <v>#N/A</v>
      </c>
      <c r="D437" s="14" t="e">
        <f t="shared" si="42"/>
        <v>#N/A</v>
      </c>
      <c r="E437" s="14" t="e">
        <f>INDEX(entities[Attributes Index],MATCH('Customize code'!C437,entities[custom entity '#],0))</f>
        <v>#N/A</v>
      </c>
      <c r="F437" s="14" t="e">
        <f t="shared" si="39"/>
        <v>#N/A</v>
      </c>
      <c r="G437" s="5" t="e">
        <f>IF(D437&gt;0,"",
INDEX(entities[entity_id],MATCH('Customize code'!C437,entities[custom entity '#],0))&amp;":")</f>
        <v>#N/A</v>
      </c>
      <c r="H437" s="5" t="e">
        <f>IF(F437=0,"",VLOOKUP(F437,'Customize code'!$M$8:$O$13,3,FALSE))</f>
        <v>#N/A</v>
      </c>
      <c r="I437" s="5" t="e">
        <f>IF(F437=0, "",  INDEX(entities[[hidden]:[icon]],  MATCH(C437,entities[custom entity '#],0),  'Customize code'!F437)  )</f>
        <v>#N/A</v>
      </c>
      <c r="J437" s="5" t="str">
        <f t="shared" si="40"/>
        <v/>
      </c>
      <c r="K437" s="5" t="str">
        <f t="shared" si="37"/>
        <v/>
      </c>
    </row>
    <row r="438" spans="2:11" x14ac:dyDescent="0.25">
      <c r="B438" s="5">
        <f t="shared" si="38"/>
        <v>432</v>
      </c>
      <c r="C438" s="5" t="e">
        <f t="shared" si="41"/>
        <v>#N/A</v>
      </c>
      <c r="D438" s="14" t="e">
        <f t="shared" si="42"/>
        <v>#N/A</v>
      </c>
      <c r="E438" s="14" t="e">
        <f>INDEX(entities[Attributes Index],MATCH('Customize code'!C438,entities[custom entity '#],0))</f>
        <v>#N/A</v>
      </c>
      <c r="F438" s="14" t="e">
        <f t="shared" si="39"/>
        <v>#N/A</v>
      </c>
      <c r="G438" s="5" t="e">
        <f>IF(D438&gt;0,"",
INDEX(entities[entity_id],MATCH('Customize code'!C438,entities[custom entity '#],0))&amp;":")</f>
        <v>#N/A</v>
      </c>
      <c r="H438" s="5" t="e">
        <f>IF(F438=0,"",VLOOKUP(F438,'Customize code'!$M$8:$O$13,3,FALSE))</f>
        <v>#N/A</v>
      </c>
      <c r="I438" s="5" t="e">
        <f>IF(F438=0, "",  INDEX(entities[[hidden]:[icon]],  MATCH(C438,entities[custom entity '#],0),  'Customize code'!F438)  )</f>
        <v>#N/A</v>
      </c>
      <c r="J438" s="5" t="str">
        <f t="shared" si="40"/>
        <v/>
      </c>
      <c r="K438" s="5" t="str">
        <f t="shared" si="37"/>
        <v/>
      </c>
    </row>
    <row r="439" spans="2:11" x14ac:dyDescent="0.25">
      <c r="B439" s="5">
        <f t="shared" si="38"/>
        <v>433</v>
      </c>
      <c r="C439" s="5" t="e">
        <f t="shared" si="41"/>
        <v>#N/A</v>
      </c>
      <c r="D439" s="14" t="e">
        <f t="shared" si="42"/>
        <v>#N/A</v>
      </c>
      <c r="E439" s="14" t="e">
        <f>INDEX(entities[Attributes Index],MATCH('Customize code'!C439,entities[custom entity '#],0))</f>
        <v>#N/A</v>
      </c>
      <c r="F439" s="14" t="e">
        <f t="shared" si="39"/>
        <v>#N/A</v>
      </c>
      <c r="G439" s="5" t="e">
        <f>IF(D439&gt;0,"",
INDEX(entities[entity_id],MATCH('Customize code'!C439,entities[custom entity '#],0))&amp;":")</f>
        <v>#N/A</v>
      </c>
      <c r="H439" s="5" t="e">
        <f>IF(F439=0,"",VLOOKUP(F439,'Customize code'!$M$8:$O$13,3,FALSE))</f>
        <v>#N/A</v>
      </c>
      <c r="I439" s="5" t="e">
        <f>IF(F439=0, "",  INDEX(entities[[hidden]:[icon]],  MATCH(C439,entities[custom entity '#],0),  'Customize code'!F439)  )</f>
        <v>#N/A</v>
      </c>
      <c r="J439" s="5" t="str">
        <f t="shared" si="40"/>
        <v/>
      </c>
      <c r="K439" s="5" t="str">
        <f t="shared" ref="K439:K502" si="43">IF(AND(NOT(ISNA(D439)),ISNA(E439)),"END","")</f>
        <v/>
      </c>
    </row>
    <row r="440" spans="2:11" x14ac:dyDescent="0.25">
      <c r="B440" s="5">
        <f t="shared" si="38"/>
        <v>434</v>
      </c>
      <c r="C440" s="5" t="e">
        <f t="shared" si="41"/>
        <v>#N/A</v>
      </c>
      <c r="D440" s="14" t="e">
        <f t="shared" si="42"/>
        <v>#N/A</v>
      </c>
      <c r="E440" s="14" t="e">
        <f>INDEX(entities[Attributes Index],MATCH('Customize code'!C440,entities[custom entity '#],0))</f>
        <v>#N/A</v>
      </c>
      <c r="F440" s="14" t="e">
        <f t="shared" si="39"/>
        <v>#N/A</v>
      </c>
      <c r="G440" s="5" t="e">
        <f>IF(D440&gt;0,"",
INDEX(entities[entity_id],MATCH('Customize code'!C440,entities[custom entity '#],0))&amp;":")</f>
        <v>#N/A</v>
      </c>
      <c r="H440" s="5" t="e">
        <f>IF(F440=0,"",VLOOKUP(F440,'Customize code'!$M$8:$O$13,3,FALSE))</f>
        <v>#N/A</v>
      </c>
      <c r="I440" s="5" t="e">
        <f>IF(F440=0, "",  INDEX(entities[[hidden]:[icon]],  MATCH(C440,entities[custom entity '#],0),  'Customize code'!F440)  )</f>
        <v>#N/A</v>
      </c>
      <c r="J440" s="5" t="str">
        <f t="shared" si="40"/>
        <v/>
      </c>
      <c r="K440" s="5" t="str">
        <f t="shared" si="43"/>
        <v/>
      </c>
    </row>
    <row r="441" spans="2:11" x14ac:dyDescent="0.25">
      <c r="B441" s="5">
        <f t="shared" si="38"/>
        <v>435</v>
      </c>
      <c r="C441" s="5" t="e">
        <f t="shared" si="41"/>
        <v>#N/A</v>
      </c>
      <c r="D441" s="14" t="e">
        <f t="shared" si="42"/>
        <v>#N/A</v>
      </c>
      <c r="E441" s="14" t="e">
        <f>INDEX(entities[Attributes Index],MATCH('Customize code'!C441,entities[custom entity '#],0))</f>
        <v>#N/A</v>
      </c>
      <c r="F441" s="14" t="e">
        <f t="shared" si="39"/>
        <v>#N/A</v>
      </c>
      <c r="G441" s="5" t="e">
        <f>IF(D441&gt;0,"",
INDEX(entities[entity_id],MATCH('Customize code'!C441,entities[custom entity '#],0))&amp;":")</f>
        <v>#N/A</v>
      </c>
      <c r="H441" s="5" t="e">
        <f>IF(F441=0,"",VLOOKUP(F441,'Customize code'!$M$8:$O$13,3,FALSE))</f>
        <v>#N/A</v>
      </c>
      <c r="I441" s="5" t="e">
        <f>IF(F441=0, "",  INDEX(entities[[hidden]:[icon]],  MATCH(C441,entities[custom entity '#],0),  'Customize code'!F441)  )</f>
        <v>#N/A</v>
      </c>
      <c r="J441" s="5" t="str">
        <f t="shared" si="40"/>
        <v/>
      </c>
      <c r="K441" s="5" t="str">
        <f t="shared" si="43"/>
        <v/>
      </c>
    </row>
    <row r="442" spans="2:11" x14ac:dyDescent="0.25">
      <c r="B442" s="5">
        <f t="shared" si="38"/>
        <v>436</v>
      </c>
      <c r="C442" s="5" t="e">
        <f t="shared" si="41"/>
        <v>#N/A</v>
      </c>
      <c r="D442" s="14" t="e">
        <f t="shared" si="42"/>
        <v>#N/A</v>
      </c>
      <c r="E442" s="14" t="e">
        <f>INDEX(entities[Attributes Index],MATCH('Customize code'!C442,entities[custom entity '#],0))</f>
        <v>#N/A</v>
      </c>
      <c r="F442" s="14" t="e">
        <f t="shared" si="39"/>
        <v>#N/A</v>
      </c>
      <c r="G442" s="5" t="e">
        <f>IF(D442&gt;0,"",
INDEX(entities[entity_id],MATCH('Customize code'!C442,entities[custom entity '#],0))&amp;":")</f>
        <v>#N/A</v>
      </c>
      <c r="H442" s="5" t="e">
        <f>IF(F442=0,"",VLOOKUP(F442,'Customize code'!$M$8:$O$13,3,FALSE))</f>
        <v>#N/A</v>
      </c>
      <c r="I442" s="5" t="e">
        <f>IF(F442=0, "",  INDEX(entities[[hidden]:[icon]],  MATCH(C442,entities[custom entity '#],0),  'Customize code'!F442)  )</f>
        <v>#N/A</v>
      </c>
      <c r="J442" s="5" t="str">
        <f t="shared" si="40"/>
        <v/>
      </c>
      <c r="K442" s="5" t="str">
        <f t="shared" si="43"/>
        <v/>
      </c>
    </row>
    <row r="443" spans="2:11" x14ac:dyDescent="0.25">
      <c r="B443" s="5">
        <f t="shared" si="38"/>
        <v>437</v>
      </c>
      <c r="C443" s="5" t="e">
        <f t="shared" si="41"/>
        <v>#N/A</v>
      </c>
      <c r="D443" s="14" t="e">
        <f t="shared" si="42"/>
        <v>#N/A</v>
      </c>
      <c r="E443" s="14" t="e">
        <f>INDEX(entities[Attributes Index],MATCH('Customize code'!C443,entities[custom entity '#],0))</f>
        <v>#N/A</v>
      </c>
      <c r="F443" s="14" t="e">
        <f t="shared" si="39"/>
        <v>#N/A</v>
      </c>
      <c r="G443" s="5" t="e">
        <f>IF(D443&gt;0,"",
INDEX(entities[entity_id],MATCH('Customize code'!C443,entities[custom entity '#],0))&amp;":")</f>
        <v>#N/A</v>
      </c>
      <c r="H443" s="5" t="e">
        <f>IF(F443=0,"",VLOOKUP(F443,'Customize code'!$M$8:$O$13,3,FALSE))</f>
        <v>#N/A</v>
      </c>
      <c r="I443" s="5" t="e">
        <f>IF(F443=0, "",  INDEX(entities[[hidden]:[icon]],  MATCH(C443,entities[custom entity '#],0),  'Customize code'!F443)  )</f>
        <v>#N/A</v>
      </c>
      <c r="J443" s="5" t="str">
        <f t="shared" si="40"/>
        <v/>
      </c>
      <c r="K443" s="5" t="str">
        <f t="shared" si="43"/>
        <v/>
      </c>
    </row>
    <row r="444" spans="2:11" x14ac:dyDescent="0.25">
      <c r="B444" s="5">
        <f t="shared" si="38"/>
        <v>438</v>
      </c>
      <c r="C444" s="5" t="e">
        <f t="shared" si="41"/>
        <v>#N/A</v>
      </c>
      <c r="D444" s="14" t="e">
        <f t="shared" si="42"/>
        <v>#N/A</v>
      </c>
      <c r="E444" s="14" t="e">
        <f>INDEX(entities[Attributes Index],MATCH('Customize code'!C444,entities[custom entity '#],0))</f>
        <v>#N/A</v>
      </c>
      <c r="F444" s="14" t="e">
        <f t="shared" si="39"/>
        <v>#N/A</v>
      </c>
      <c r="G444" s="5" t="e">
        <f>IF(D444&gt;0,"",
INDEX(entities[entity_id],MATCH('Customize code'!C444,entities[custom entity '#],0))&amp;":")</f>
        <v>#N/A</v>
      </c>
      <c r="H444" s="5" t="e">
        <f>IF(F444=0,"",VLOOKUP(F444,'Customize code'!$M$8:$O$13,3,FALSE))</f>
        <v>#N/A</v>
      </c>
      <c r="I444" s="5" t="e">
        <f>IF(F444=0, "",  INDEX(entities[[hidden]:[icon]],  MATCH(C444,entities[custom entity '#],0),  'Customize code'!F444)  )</f>
        <v>#N/A</v>
      </c>
      <c r="J444" s="5" t="str">
        <f t="shared" si="40"/>
        <v/>
      </c>
      <c r="K444" s="5" t="str">
        <f t="shared" si="43"/>
        <v/>
      </c>
    </row>
    <row r="445" spans="2:11" x14ac:dyDescent="0.25">
      <c r="B445" s="5">
        <f t="shared" si="38"/>
        <v>439</v>
      </c>
      <c r="C445" s="5" t="e">
        <f t="shared" si="41"/>
        <v>#N/A</v>
      </c>
      <c r="D445" s="14" t="e">
        <f t="shared" si="42"/>
        <v>#N/A</v>
      </c>
      <c r="E445" s="14" t="e">
        <f>INDEX(entities[Attributes Index],MATCH('Customize code'!C445,entities[custom entity '#],0))</f>
        <v>#N/A</v>
      </c>
      <c r="F445" s="14" t="e">
        <f t="shared" si="39"/>
        <v>#N/A</v>
      </c>
      <c r="G445" s="5" t="e">
        <f>IF(D445&gt;0,"",
INDEX(entities[entity_id],MATCH('Customize code'!C445,entities[custom entity '#],0))&amp;":")</f>
        <v>#N/A</v>
      </c>
      <c r="H445" s="5" t="e">
        <f>IF(F445=0,"",VLOOKUP(F445,'Customize code'!$M$8:$O$13,3,FALSE))</f>
        <v>#N/A</v>
      </c>
      <c r="I445" s="5" t="e">
        <f>IF(F445=0, "",  INDEX(entities[[hidden]:[icon]],  MATCH(C445,entities[custom entity '#],0),  'Customize code'!F445)  )</f>
        <v>#N/A</v>
      </c>
      <c r="J445" s="5" t="str">
        <f t="shared" si="40"/>
        <v/>
      </c>
      <c r="K445" s="5" t="str">
        <f t="shared" si="43"/>
        <v/>
      </c>
    </row>
    <row r="446" spans="2:11" x14ac:dyDescent="0.25">
      <c r="B446" s="5">
        <f t="shared" si="38"/>
        <v>440</v>
      </c>
      <c r="C446" s="5" t="e">
        <f t="shared" si="41"/>
        <v>#N/A</v>
      </c>
      <c r="D446" s="14" t="e">
        <f t="shared" si="42"/>
        <v>#N/A</v>
      </c>
      <c r="E446" s="14" t="e">
        <f>INDEX(entities[Attributes Index],MATCH('Customize code'!C446,entities[custom entity '#],0))</f>
        <v>#N/A</v>
      </c>
      <c r="F446" s="14" t="e">
        <f t="shared" si="39"/>
        <v>#N/A</v>
      </c>
      <c r="G446" s="5" t="e">
        <f>IF(D446&gt;0,"",
INDEX(entities[entity_id],MATCH('Customize code'!C446,entities[custom entity '#],0))&amp;":")</f>
        <v>#N/A</v>
      </c>
      <c r="H446" s="5" t="e">
        <f>IF(F446=0,"",VLOOKUP(F446,'Customize code'!$M$8:$O$13,3,FALSE))</f>
        <v>#N/A</v>
      </c>
      <c r="I446" s="5" t="e">
        <f>IF(F446=0, "",  INDEX(entities[[hidden]:[icon]],  MATCH(C446,entities[custom entity '#],0),  'Customize code'!F446)  )</f>
        <v>#N/A</v>
      </c>
      <c r="J446" s="5" t="str">
        <f t="shared" si="40"/>
        <v/>
      </c>
      <c r="K446" s="5" t="str">
        <f t="shared" si="43"/>
        <v/>
      </c>
    </row>
    <row r="447" spans="2:11" x14ac:dyDescent="0.25">
      <c r="B447" s="5">
        <f t="shared" si="38"/>
        <v>441</v>
      </c>
      <c r="C447" s="5" t="e">
        <f t="shared" si="41"/>
        <v>#N/A</v>
      </c>
      <c r="D447" s="14" t="e">
        <f t="shared" si="42"/>
        <v>#N/A</v>
      </c>
      <c r="E447" s="14" t="e">
        <f>INDEX(entities[Attributes Index],MATCH('Customize code'!C447,entities[custom entity '#],0))</f>
        <v>#N/A</v>
      </c>
      <c r="F447" s="14" t="e">
        <f t="shared" si="39"/>
        <v>#N/A</v>
      </c>
      <c r="G447" s="5" t="e">
        <f>IF(D447&gt;0,"",
INDEX(entities[entity_id],MATCH('Customize code'!C447,entities[custom entity '#],0))&amp;":")</f>
        <v>#N/A</v>
      </c>
      <c r="H447" s="5" t="e">
        <f>IF(F447=0,"",VLOOKUP(F447,'Customize code'!$M$8:$O$13,3,FALSE))</f>
        <v>#N/A</v>
      </c>
      <c r="I447" s="5" t="e">
        <f>IF(F447=0, "",  INDEX(entities[[hidden]:[icon]],  MATCH(C447,entities[custom entity '#],0),  'Customize code'!F447)  )</f>
        <v>#N/A</v>
      </c>
      <c r="J447" s="5" t="str">
        <f t="shared" si="40"/>
        <v/>
      </c>
      <c r="K447" s="5" t="str">
        <f t="shared" si="43"/>
        <v/>
      </c>
    </row>
    <row r="448" spans="2:11" x14ac:dyDescent="0.25">
      <c r="B448" s="5">
        <f t="shared" si="38"/>
        <v>442</v>
      </c>
      <c r="C448" s="5" t="e">
        <f t="shared" si="41"/>
        <v>#N/A</v>
      </c>
      <c r="D448" s="14" t="e">
        <f t="shared" si="42"/>
        <v>#N/A</v>
      </c>
      <c r="E448" s="14" t="e">
        <f>INDEX(entities[Attributes Index],MATCH('Customize code'!C448,entities[custom entity '#],0))</f>
        <v>#N/A</v>
      </c>
      <c r="F448" s="14" t="e">
        <f t="shared" si="39"/>
        <v>#N/A</v>
      </c>
      <c r="G448" s="5" t="e">
        <f>IF(D448&gt;0,"",
INDEX(entities[entity_id],MATCH('Customize code'!C448,entities[custom entity '#],0))&amp;":")</f>
        <v>#N/A</v>
      </c>
      <c r="H448" s="5" t="e">
        <f>IF(F448=0,"",VLOOKUP(F448,'Customize code'!$M$8:$O$13,3,FALSE))</f>
        <v>#N/A</v>
      </c>
      <c r="I448" s="5" t="e">
        <f>IF(F448=0, "",  INDEX(entities[[hidden]:[icon]],  MATCH(C448,entities[custom entity '#],0),  'Customize code'!F448)  )</f>
        <v>#N/A</v>
      </c>
      <c r="J448" s="5" t="str">
        <f t="shared" si="40"/>
        <v/>
      </c>
      <c r="K448" s="5" t="str">
        <f t="shared" si="43"/>
        <v/>
      </c>
    </row>
    <row r="449" spans="2:11" x14ac:dyDescent="0.25">
      <c r="B449" s="5">
        <f t="shared" si="38"/>
        <v>443</v>
      </c>
      <c r="C449" s="5" t="e">
        <f t="shared" si="41"/>
        <v>#N/A</v>
      </c>
      <c r="D449" s="14" t="e">
        <f t="shared" si="42"/>
        <v>#N/A</v>
      </c>
      <c r="E449" s="14" t="e">
        <f>INDEX(entities[Attributes Index],MATCH('Customize code'!C449,entities[custom entity '#],0))</f>
        <v>#N/A</v>
      </c>
      <c r="F449" s="14" t="e">
        <f t="shared" si="39"/>
        <v>#N/A</v>
      </c>
      <c r="G449" s="5" t="e">
        <f>IF(D449&gt;0,"",
INDEX(entities[entity_id],MATCH('Customize code'!C449,entities[custom entity '#],0))&amp;":")</f>
        <v>#N/A</v>
      </c>
      <c r="H449" s="5" t="e">
        <f>IF(F449=0,"",VLOOKUP(F449,'Customize code'!$M$8:$O$13,3,FALSE))</f>
        <v>#N/A</v>
      </c>
      <c r="I449" s="5" t="e">
        <f>IF(F449=0, "",  INDEX(entities[[hidden]:[icon]],  MATCH(C449,entities[custom entity '#],0),  'Customize code'!F449)  )</f>
        <v>#N/A</v>
      </c>
      <c r="J449" s="5" t="str">
        <f t="shared" si="40"/>
        <v/>
      </c>
      <c r="K449" s="5" t="str">
        <f t="shared" si="43"/>
        <v/>
      </c>
    </row>
    <row r="450" spans="2:11" x14ac:dyDescent="0.25">
      <c r="B450" s="5">
        <f t="shared" si="38"/>
        <v>444</v>
      </c>
      <c r="C450" s="5" t="e">
        <f t="shared" si="41"/>
        <v>#N/A</v>
      </c>
      <c r="D450" s="14" t="e">
        <f t="shared" si="42"/>
        <v>#N/A</v>
      </c>
      <c r="E450" s="14" t="e">
        <f>INDEX(entities[Attributes Index],MATCH('Customize code'!C450,entities[custom entity '#],0))</f>
        <v>#N/A</v>
      </c>
      <c r="F450" s="14" t="e">
        <f t="shared" si="39"/>
        <v>#N/A</v>
      </c>
      <c r="G450" s="5" t="e">
        <f>IF(D450&gt;0,"",
INDEX(entities[entity_id],MATCH('Customize code'!C450,entities[custom entity '#],0))&amp;":")</f>
        <v>#N/A</v>
      </c>
      <c r="H450" s="5" t="e">
        <f>IF(F450=0,"",VLOOKUP(F450,'Customize code'!$M$8:$O$13,3,FALSE))</f>
        <v>#N/A</v>
      </c>
      <c r="I450" s="5" t="e">
        <f>IF(F450=0, "",  INDEX(entities[[hidden]:[icon]],  MATCH(C450,entities[custom entity '#],0),  'Customize code'!F450)  )</f>
        <v>#N/A</v>
      </c>
      <c r="J450" s="5" t="str">
        <f t="shared" si="40"/>
        <v/>
      </c>
      <c r="K450" s="5" t="str">
        <f t="shared" si="43"/>
        <v/>
      </c>
    </row>
    <row r="451" spans="2:11" x14ac:dyDescent="0.25">
      <c r="B451" s="5">
        <f t="shared" si="38"/>
        <v>445</v>
      </c>
      <c r="C451" s="5" t="e">
        <f t="shared" si="41"/>
        <v>#N/A</v>
      </c>
      <c r="D451" s="14" t="e">
        <f t="shared" si="42"/>
        <v>#N/A</v>
      </c>
      <c r="E451" s="14" t="e">
        <f>INDEX(entities[Attributes Index],MATCH('Customize code'!C451,entities[custom entity '#],0))</f>
        <v>#N/A</v>
      </c>
      <c r="F451" s="14" t="e">
        <f t="shared" si="39"/>
        <v>#N/A</v>
      </c>
      <c r="G451" s="5" t="e">
        <f>IF(D451&gt;0,"",
INDEX(entities[entity_id],MATCH('Customize code'!C451,entities[custom entity '#],0))&amp;":")</f>
        <v>#N/A</v>
      </c>
      <c r="H451" s="5" t="e">
        <f>IF(F451=0,"",VLOOKUP(F451,'Customize code'!$M$8:$O$13,3,FALSE))</f>
        <v>#N/A</v>
      </c>
      <c r="I451" s="5" t="e">
        <f>IF(F451=0, "",  INDEX(entities[[hidden]:[icon]],  MATCH(C451,entities[custom entity '#],0),  'Customize code'!F451)  )</f>
        <v>#N/A</v>
      </c>
      <c r="J451" s="5" t="str">
        <f t="shared" si="40"/>
        <v/>
      </c>
      <c r="K451" s="5" t="str">
        <f t="shared" si="43"/>
        <v/>
      </c>
    </row>
    <row r="452" spans="2:11" x14ac:dyDescent="0.25">
      <c r="B452" s="5">
        <f t="shared" si="38"/>
        <v>446</v>
      </c>
      <c r="C452" s="5" t="e">
        <f t="shared" si="41"/>
        <v>#N/A</v>
      </c>
      <c r="D452" s="14" t="e">
        <f t="shared" si="42"/>
        <v>#N/A</v>
      </c>
      <c r="E452" s="14" t="e">
        <f>INDEX(entities[Attributes Index],MATCH('Customize code'!C452,entities[custom entity '#],0))</f>
        <v>#N/A</v>
      </c>
      <c r="F452" s="14" t="e">
        <f t="shared" si="39"/>
        <v>#N/A</v>
      </c>
      <c r="G452" s="5" t="e">
        <f>IF(D452&gt;0,"",
INDEX(entities[entity_id],MATCH('Customize code'!C452,entities[custom entity '#],0))&amp;":")</f>
        <v>#N/A</v>
      </c>
      <c r="H452" s="5" t="e">
        <f>IF(F452=0,"",VLOOKUP(F452,'Customize code'!$M$8:$O$13,3,FALSE))</f>
        <v>#N/A</v>
      </c>
      <c r="I452" s="5" t="e">
        <f>IF(F452=0, "",  INDEX(entities[[hidden]:[icon]],  MATCH(C452,entities[custom entity '#],0),  'Customize code'!F452)  )</f>
        <v>#N/A</v>
      </c>
      <c r="J452" s="5" t="str">
        <f t="shared" si="40"/>
        <v/>
      </c>
      <c r="K452" s="5" t="str">
        <f t="shared" si="43"/>
        <v/>
      </c>
    </row>
    <row r="453" spans="2:11" x14ac:dyDescent="0.25">
      <c r="B453" s="5">
        <f t="shared" si="38"/>
        <v>447</v>
      </c>
      <c r="C453" s="5" t="e">
        <f t="shared" si="41"/>
        <v>#N/A</v>
      </c>
      <c r="D453" s="14" t="e">
        <f t="shared" si="42"/>
        <v>#N/A</v>
      </c>
      <c r="E453" s="14" t="e">
        <f>INDEX(entities[Attributes Index],MATCH('Customize code'!C453,entities[custom entity '#],0))</f>
        <v>#N/A</v>
      </c>
      <c r="F453" s="14" t="e">
        <f t="shared" si="39"/>
        <v>#N/A</v>
      </c>
      <c r="G453" s="5" t="e">
        <f>IF(D453&gt;0,"",
INDEX(entities[entity_id],MATCH('Customize code'!C453,entities[custom entity '#],0))&amp;":")</f>
        <v>#N/A</v>
      </c>
      <c r="H453" s="5" t="e">
        <f>IF(F453=0,"",VLOOKUP(F453,'Customize code'!$M$8:$O$13,3,FALSE))</f>
        <v>#N/A</v>
      </c>
      <c r="I453" s="5" t="e">
        <f>IF(F453=0, "",  INDEX(entities[[hidden]:[icon]],  MATCH(C453,entities[custom entity '#],0),  'Customize code'!F453)  )</f>
        <v>#N/A</v>
      </c>
      <c r="J453" s="5" t="str">
        <f t="shared" si="40"/>
        <v/>
      </c>
      <c r="K453" s="5" t="str">
        <f t="shared" si="43"/>
        <v/>
      </c>
    </row>
    <row r="454" spans="2:11" x14ac:dyDescent="0.25">
      <c r="B454" s="5">
        <f t="shared" si="38"/>
        <v>448</v>
      </c>
      <c r="C454" s="5" t="e">
        <f t="shared" si="41"/>
        <v>#N/A</v>
      </c>
      <c r="D454" s="14" t="e">
        <f t="shared" si="42"/>
        <v>#N/A</v>
      </c>
      <c r="E454" s="14" t="e">
        <f>INDEX(entities[Attributes Index],MATCH('Customize code'!C454,entities[custom entity '#],0))</f>
        <v>#N/A</v>
      </c>
      <c r="F454" s="14" t="e">
        <f t="shared" si="39"/>
        <v>#N/A</v>
      </c>
      <c r="G454" s="5" t="e">
        <f>IF(D454&gt;0,"",
INDEX(entities[entity_id],MATCH('Customize code'!C454,entities[custom entity '#],0))&amp;":")</f>
        <v>#N/A</v>
      </c>
      <c r="H454" s="5" t="e">
        <f>IF(F454=0,"",VLOOKUP(F454,'Customize code'!$M$8:$O$13,3,FALSE))</f>
        <v>#N/A</v>
      </c>
      <c r="I454" s="5" t="e">
        <f>IF(F454=0, "",  INDEX(entities[[hidden]:[icon]],  MATCH(C454,entities[custom entity '#],0),  'Customize code'!F454)  )</f>
        <v>#N/A</v>
      </c>
      <c r="J454" s="5" t="str">
        <f t="shared" si="40"/>
        <v/>
      </c>
      <c r="K454" s="5" t="str">
        <f t="shared" si="43"/>
        <v/>
      </c>
    </row>
    <row r="455" spans="2:11" x14ac:dyDescent="0.25">
      <c r="B455" s="5">
        <f t="shared" si="38"/>
        <v>449</v>
      </c>
      <c r="C455" s="5" t="e">
        <f t="shared" si="41"/>
        <v>#N/A</v>
      </c>
      <c r="D455" s="14" t="e">
        <f t="shared" si="42"/>
        <v>#N/A</v>
      </c>
      <c r="E455" s="14" t="e">
        <f>INDEX(entities[Attributes Index],MATCH('Customize code'!C455,entities[custom entity '#],0))</f>
        <v>#N/A</v>
      </c>
      <c r="F455" s="14" t="e">
        <f t="shared" si="39"/>
        <v>#N/A</v>
      </c>
      <c r="G455" s="5" t="e">
        <f>IF(D455&gt;0,"",
INDEX(entities[entity_id],MATCH('Customize code'!C455,entities[custom entity '#],0))&amp;":")</f>
        <v>#N/A</v>
      </c>
      <c r="H455" s="5" t="e">
        <f>IF(F455=0,"",VLOOKUP(F455,'Customize code'!$M$8:$O$13,3,FALSE))</f>
        <v>#N/A</v>
      </c>
      <c r="I455" s="5" t="e">
        <f>IF(F455=0, "",  INDEX(entities[[hidden]:[icon]],  MATCH(C455,entities[custom entity '#],0),  'Customize code'!F455)  )</f>
        <v>#N/A</v>
      </c>
      <c r="J455" s="5" t="str">
        <f t="shared" si="40"/>
        <v/>
      </c>
      <c r="K455" s="5" t="str">
        <f t="shared" si="43"/>
        <v/>
      </c>
    </row>
    <row r="456" spans="2:11" x14ac:dyDescent="0.25">
      <c r="B456" s="5">
        <f t="shared" ref="B456:B506" si="44">B455+1</f>
        <v>450</v>
      </c>
      <c r="C456" s="5" t="e">
        <f t="shared" si="41"/>
        <v>#N/A</v>
      </c>
      <c r="D456" s="14" t="e">
        <f t="shared" si="42"/>
        <v>#N/A</v>
      </c>
      <c r="E456" s="14" t="e">
        <f>INDEX(entities[Attributes Index],MATCH('Customize code'!C456,entities[custom entity '#],0))</f>
        <v>#N/A</v>
      </c>
      <c r="F456" s="14" t="e">
        <f t="shared" si="39"/>
        <v>#N/A</v>
      </c>
      <c r="G456" s="5" t="e">
        <f>IF(D456&gt;0,"",
INDEX(entities[entity_id],MATCH('Customize code'!C456,entities[custom entity '#],0))&amp;":")</f>
        <v>#N/A</v>
      </c>
      <c r="H456" s="5" t="e">
        <f>IF(F456=0,"",VLOOKUP(F456,'Customize code'!$M$8:$O$13,3,FALSE))</f>
        <v>#N/A</v>
      </c>
      <c r="I456" s="5" t="e">
        <f>IF(F456=0, "",  INDEX(entities[[hidden]:[icon]],  MATCH(C456,entities[custom entity '#],0),  'Customize code'!F456)  )</f>
        <v>#N/A</v>
      </c>
      <c r="J456" s="5" t="str">
        <f t="shared" si="40"/>
        <v/>
      </c>
      <c r="K456" s="5" t="str">
        <f t="shared" si="43"/>
        <v/>
      </c>
    </row>
    <row r="457" spans="2:11" x14ac:dyDescent="0.25">
      <c r="B457" s="5">
        <f t="shared" si="44"/>
        <v>451</v>
      </c>
      <c r="C457" s="5" t="e">
        <f t="shared" si="41"/>
        <v>#N/A</v>
      </c>
      <c r="D457" s="14" t="e">
        <f t="shared" si="42"/>
        <v>#N/A</v>
      </c>
      <c r="E457" s="14" t="e">
        <f>INDEX(entities[Attributes Index],MATCH('Customize code'!C457,entities[custom entity '#],0))</f>
        <v>#N/A</v>
      </c>
      <c r="F457" s="14" t="e">
        <f t="shared" ref="F457:F506" si="45">IF(D457=0,0,  VALUE(MID(E457,D457,1)))</f>
        <v>#N/A</v>
      </c>
      <c r="G457" s="5" t="e">
        <f>IF(D457&gt;0,"",
INDEX(entities[entity_id],MATCH('Customize code'!C457,entities[custom entity '#],0))&amp;":")</f>
        <v>#N/A</v>
      </c>
      <c r="H457" s="5" t="e">
        <f>IF(F457=0,"",VLOOKUP(F457,'Customize code'!$M$8:$O$13,3,FALSE))</f>
        <v>#N/A</v>
      </c>
      <c r="I457" s="5" t="e">
        <f>IF(F457=0, "",  INDEX(entities[[hidden]:[icon]],  MATCH(C457,entities[custom entity '#],0),  'Customize code'!F457)  )</f>
        <v>#N/A</v>
      </c>
      <c r="J457" s="5" t="str">
        <f t="shared" si="40"/>
        <v/>
      </c>
      <c r="K457" s="5" t="str">
        <f t="shared" si="43"/>
        <v/>
      </c>
    </row>
    <row r="458" spans="2:11" x14ac:dyDescent="0.25">
      <c r="B458" s="5">
        <f t="shared" si="44"/>
        <v>452</v>
      </c>
      <c r="C458" s="5" t="e">
        <f t="shared" si="41"/>
        <v>#N/A</v>
      </c>
      <c r="D458" s="14" t="e">
        <f t="shared" si="42"/>
        <v>#N/A</v>
      </c>
      <c r="E458" s="14" t="e">
        <f>INDEX(entities[Attributes Index],MATCH('Customize code'!C458,entities[custom entity '#],0))</f>
        <v>#N/A</v>
      </c>
      <c r="F458" s="14" t="e">
        <f t="shared" si="45"/>
        <v>#N/A</v>
      </c>
      <c r="G458" s="5" t="e">
        <f>IF(D458&gt;0,"",
INDEX(entities[entity_id],MATCH('Customize code'!C458,entities[custom entity '#],0))&amp;":")</f>
        <v>#N/A</v>
      </c>
      <c r="H458" s="5" t="e">
        <f>IF(F458=0,"",VLOOKUP(F458,'Customize code'!$M$8:$O$13,3,FALSE))</f>
        <v>#N/A</v>
      </c>
      <c r="I458" s="5" t="e">
        <f>IF(F458=0, "",  INDEX(entities[[hidden]:[icon]],  MATCH(C458,entities[custom entity '#],0),  'Customize code'!F458)  )</f>
        <v>#N/A</v>
      </c>
      <c r="J458" s="5" t="str">
        <f t="shared" ref="J458:J506" si="46">_xlfn.IFNA(  G458&amp;H458&amp;I458,  "")</f>
        <v/>
      </c>
      <c r="K458" s="5" t="str">
        <f t="shared" si="43"/>
        <v/>
      </c>
    </row>
    <row r="459" spans="2:11" x14ac:dyDescent="0.25">
      <c r="B459" s="5">
        <f t="shared" si="44"/>
        <v>453</v>
      </c>
      <c r="C459" s="5" t="e">
        <f t="shared" ref="C459:C506" si="47">IF(D458=LEN(E458),  C458+1,  C458)</f>
        <v>#N/A</v>
      </c>
      <c r="D459" s="14" t="e">
        <f t="shared" ref="D459:D506" si="48">IF(C458&lt;&gt;C459,  0,  D458+1)</f>
        <v>#N/A</v>
      </c>
      <c r="E459" s="14" t="e">
        <f>INDEX(entities[Attributes Index],MATCH('Customize code'!C459,entities[custom entity '#],0))</f>
        <v>#N/A</v>
      </c>
      <c r="F459" s="14" t="e">
        <f t="shared" si="45"/>
        <v>#N/A</v>
      </c>
      <c r="G459" s="5" t="e">
        <f>IF(D459&gt;0,"",
INDEX(entities[entity_id],MATCH('Customize code'!C459,entities[custom entity '#],0))&amp;":")</f>
        <v>#N/A</v>
      </c>
      <c r="H459" s="5" t="e">
        <f>IF(F459=0,"",VLOOKUP(F459,'Customize code'!$M$8:$O$13,3,FALSE))</f>
        <v>#N/A</v>
      </c>
      <c r="I459" s="5" t="e">
        <f>IF(F459=0, "",  INDEX(entities[[hidden]:[icon]],  MATCH(C459,entities[custom entity '#],0),  'Customize code'!F459)  )</f>
        <v>#N/A</v>
      </c>
      <c r="J459" s="5" t="str">
        <f t="shared" si="46"/>
        <v/>
      </c>
      <c r="K459" s="5" t="str">
        <f t="shared" si="43"/>
        <v/>
      </c>
    </row>
    <row r="460" spans="2:11" x14ac:dyDescent="0.25">
      <c r="B460" s="5">
        <f t="shared" si="44"/>
        <v>454</v>
      </c>
      <c r="C460" s="5" t="e">
        <f t="shared" si="47"/>
        <v>#N/A</v>
      </c>
      <c r="D460" s="14" t="e">
        <f t="shared" si="48"/>
        <v>#N/A</v>
      </c>
      <c r="E460" s="14" t="e">
        <f>INDEX(entities[Attributes Index],MATCH('Customize code'!C460,entities[custom entity '#],0))</f>
        <v>#N/A</v>
      </c>
      <c r="F460" s="14" t="e">
        <f t="shared" si="45"/>
        <v>#N/A</v>
      </c>
      <c r="G460" s="5" t="e">
        <f>IF(D460&gt;0,"",
INDEX(entities[entity_id],MATCH('Customize code'!C460,entities[custom entity '#],0))&amp;":")</f>
        <v>#N/A</v>
      </c>
      <c r="H460" s="5" t="e">
        <f>IF(F460=0,"",VLOOKUP(F460,'Customize code'!$M$8:$O$13,3,FALSE))</f>
        <v>#N/A</v>
      </c>
      <c r="I460" s="5" t="e">
        <f>IF(F460=0, "",  INDEX(entities[[hidden]:[icon]],  MATCH(C460,entities[custom entity '#],0),  'Customize code'!F460)  )</f>
        <v>#N/A</v>
      </c>
      <c r="J460" s="5" t="str">
        <f t="shared" si="46"/>
        <v/>
      </c>
      <c r="K460" s="5" t="str">
        <f t="shared" si="43"/>
        <v/>
      </c>
    </row>
    <row r="461" spans="2:11" x14ac:dyDescent="0.25">
      <c r="B461" s="5">
        <f t="shared" si="44"/>
        <v>455</v>
      </c>
      <c r="C461" s="5" t="e">
        <f t="shared" si="47"/>
        <v>#N/A</v>
      </c>
      <c r="D461" s="14" t="e">
        <f t="shared" si="48"/>
        <v>#N/A</v>
      </c>
      <c r="E461" s="14" t="e">
        <f>INDEX(entities[Attributes Index],MATCH('Customize code'!C461,entities[custom entity '#],0))</f>
        <v>#N/A</v>
      </c>
      <c r="F461" s="14" t="e">
        <f t="shared" si="45"/>
        <v>#N/A</v>
      </c>
      <c r="G461" s="5" t="e">
        <f>IF(D461&gt;0,"",
INDEX(entities[entity_id],MATCH('Customize code'!C461,entities[custom entity '#],0))&amp;":")</f>
        <v>#N/A</v>
      </c>
      <c r="H461" s="5" t="e">
        <f>IF(F461=0,"",VLOOKUP(F461,'Customize code'!$M$8:$O$13,3,FALSE))</f>
        <v>#N/A</v>
      </c>
      <c r="I461" s="5" t="e">
        <f>IF(F461=0, "",  INDEX(entities[[hidden]:[icon]],  MATCH(C461,entities[custom entity '#],0),  'Customize code'!F461)  )</f>
        <v>#N/A</v>
      </c>
      <c r="J461" s="5" t="str">
        <f t="shared" si="46"/>
        <v/>
      </c>
      <c r="K461" s="5" t="str">
        <f t="shared" si="43"/>
        <v/>
      </c>
    </row>
    <row r="462" spans="2:11" x14ac:dyDescent="0.25">
      <c r="B462" s="5">
        <f t="shared" si="44"/>
        <v>456</v>
      </c>
      <c r="C462" s="5" t="e">
        <f t="shared" si="47"/>
        <v>#N/A</v>
      </c>
      <c r="D462" s="14" t="e">
        <f t="shared" si="48"/>
        <v>#N/A</v>
      </c>
      <c r="E462" s="14" t="e">
        <f>INDEX(entities[Attributes Index],MATCH('Customize code'!C462,entities[custom entity '#],0))</f>
        <v>#N/A</v>
      </c>
      <c r="F462" s="14" t="e">
        <f t="shared" si="45"/>
        <v>#N/A</v>
      </c>
      <c r="G462" s="5" t="e">
        <f>IF(D462&gt;0,"",
INDEX(entities[entity_id],MATCH('Customize code'!C462,entities[custom entity '#],0))&amp;":")</f>
        <v>#N/A</v>
      </c>
      <c r="H462" s="5" t="e">
        <f>IF(F462=0,"",VLOOKUP(F462,'Customize code'!$M$8:$O$13,3,FALSE))</f>
        <v>#N/A</v>
      </c>
      <c r="I462" s="5" t="e">
        <f>IF(F462=0, "",  INDEX(entities[[hidden]:[icon]],  MATCH(C462,entities[custom entity '#],0),  'Customize code'!F462)  )</f>
        <v>#N/A</v>
      </c>
      <c r="J462" s="5" t="str">
        <f t="shared" si="46"/>
        <v/>
      </c>
      <c r="K462" s="5" t="str">
        <f t="shared" si="43"/>
        <v/>
      </c>
    </row>
    <row r="463" spans="2:11" x14ac:dyDescent="0.25">
      <c r="B463" s="5">
        <f t="shared" si="44"/>
        <v>457</v>
      </c>
      <c r="C463" s="5" t="e">
        <f t="shared" si="47"/>
        <v>#N/A</v>
      </c>
      <c r="D463" s="14" t="e">
        <f t="shared" si="48"/>
        <v>#N/A</v>
      </c>
      <c r="E463" s="14" t="e">
        <f>INDEX(entities[Attributes Index],MATCH('Customize code'!C463,entities[custom entity '#],0))</f>
        <v>#N/A</v>
      </c>
      <c r="F463" s="14" t="e">
        <f t="shared" si="45"/>
        <v>#N/A</v>
      </c>
      <c r="G463" s="5" t="e">
        <f>IF(D463&gt;0,"",
INDEX(entities[entity_id],MATCH('Customize code'!C463,entities[custom entity '#],0))&amp;":")</f>
        <v>#N/A</v>
      </c>
      <c r="H463" s="5" t="e">
        <f>IF(F463=0,"",VLOOKUP(F463,'Customize code'!$M$8:$O$13,3,FALSE))</f>
        <v>#N/A</v>
      </c>
      <c r="I463" s="5" t="e">
        <f>IF(F463=0, "",  INDEX(entities[[hidden]:[icon]],  MATCH(C463,entities[custom entity '#],0),  'Customize code'!F463)  )</f>
        <v>#N/A</v>
      </c>
      <c r="J463" s="5" t="str">
        <f t="shared" si="46"/>
        <v/>
      </c>
      <c r="K463" s="5" t="str">
        <f t="shared" si="43"/>
        <v/>
      </c>
    </row>
    <row r="464" spans="2:11" x14ac:dyDescent="0.25">
      <c r="B464" s="5">
        <f t="shared" si="44"/>
        <v>458</v>
      </c>
      <c r="C464" s="5" t="e">
        <f t="shared" si="47"/>
        <v>#N/A</v>
      </c>
      <c r="D464" s="14" t="e">
        <f t="shared" si="48"/>
        <v>#N/A</v>
      </c>
      <c r="E464" s="14" t="e">
        <f>INDEX(entities[Attributes Index],MATCH('Customize code'!C464,entities[custom entity '#],0))</f>
        <v>#N/A</v>
      </c>
      <c r="F464" s="14" t="e">
        <f t="shared" si="45"/>
        <v>#N/A</v>
      </c>
      <c r="G464" s="5" t="e">
        <f>IF(D464&gt;0,"",
INDEX(entities[entity_id],MATCH('Customize code'!C464,entities[custom entity '#],0))&amp;":")</f>
        <v>#N/A</v>
      </c>
      <c r="H464" s="5" t="e">
        <f>IF(F464=0,"",VLOOKUP(F464,'Customize code'!$M$8:$O$13,3,FALSE))</f>
        <v>#N/A</v>
      </c>
      <c r="I464" s="5" t="e">
        <f>IF(F464=0, "",  INDEX(entities[[hidden]:[icon]],  MATCH(C464,entities[custom entity '#],0),  'Customize code'!F464)  )</f>
        <v>#N/A</v>
      </c>
      <c r="J464" s="5" t="str">
        <f t="shared" si="46"/>
        <v/>
      </c>
      <c r="K464" s="5" t="str">
        <f t="shared" si="43"/>
        <v/>
      </c>
    </row>
    <row r="465" spans="2:11" x14ac:dyDescent="0.25">
      <c r="B465" s="5">
        <f t="shared" si="44"/>
        <v>459</v>
      </c>
      <c r="C465" s="5" t="e">
        <f t="shared" si="47"/>
        <v>#N/A</v>
      </c>
      <c r="D465" s="14" t="e">
        <f t="shared" si="48"/>
        <v>#N/A</v>
      </c>
      <c r="E465" s="14" t="e">
        <f>INDEX(entities[Attributes Index],MATCH('Customize code'!C465,entities[custom entity '#],0))</f>
        <v>#N/A</v>
      </c>
      <c r="F465" s="14" t="e">
        <f t="shared" si="45"/>
        <v>#N/A</v>
      </c>
      <c r="G465" s="5" t="e">
        <f>IF(D465&gt;0,"",
INDEX(entities[entity_id],MATCH('Customize code'!C465,entities[custom entity '#],0))&amp;":")</f>
        <v>#N/A</v>
      </c>
      <c r="H465" s="5" t="e">
        <f>IF(F465=0,"",VLOOKUP(F465,'Customize code'!$M$8:$O$13,3,FALSE))</f>
        <v>#N/A</v>
      </c>
      <c r="I465" s="5" t="e">
        <f>IF(F465=0, "",  INDEX(entities[[hidden]:[icon]],  MATCH(C465,entities[custom entity '#],0),  'Customize code'!F465)  )</f>
        <v>#N/A</v>
      </c>
      <c r="J465" s="5" t="str">
        <f t="shared" si="46"/>
        <v/>
      </c>
      <c r="K465" s="5" t="str">
        <f t="shared" si="43"/>
        <v/>
      </c>
    </row>
    <row r="466" spans="2:11" x14ac:dyDescent="0.25">
      <c r="B466" s="5">
        <f t="shared" si="44"/>
        <v>460</v>
      </c>
      <c r="C466" s="5" t="e">
        <f t="shared" si="47"/>
        <v>#N/A</v>
      </c>
      <c r="D466" s="14" t="e">
        <f t="shared" si="48"/>
        <v>#N/A</v>
      </c>
      <c r="E466" s="14" t="e">
        <f>INDEX(entities[Attributes Index],MATCH('Customize code'!C466,entities[custom entity '#],0))</f>
        <v>#N/A</v>
      </c>
      <c r="F466" s="14" t="e">
        <f t="shared" si="45"/>
        <v>#N/A</v>
      </c>
      <c r="G466" s="5" t="e">
        <f>IF(D466&gt;0,"",
INDEX(entities[entity_id],MATCH('Customize code'!C466,entities[custom entity '#],0))&amp;":")</f>
        <v>#N/A</v>
      </c>
      <c r="H466" s="5" t="e">
        <f>IF(F466=0,"",VLOOKUP(F466,'Customize code'!$M$8:$O$13,3,FALSE))</f>
        <v>#N/A</v>
      </c>
      <c r="I466" s="5" t="e">
        <f>IF(F466=0, "",  INDEX(entities[[hidden]:[icon]],  MATCH(C466,entities[custom entity '#],0),  'Customize code'!F466)  )</f>
        <v>#N/A</v>
      </c>
      <c r="J466" s="5" t="str">
        <f t="shared" si="46"/>
        <v/>
      </c>
      <c r="K466" s="5" t="str">
        <f t="shared" si="43"/>
        <v/>
      </c>
    </row>
    <row r="467" spans="2:11" x14ac:dyDescent="0.25">
      <c r="B467" s="5">
        <f t="shared" si="44"/>
        <v>461</v>
      </c>
      <c r="C467" s="5" t="e">
        <f t="shared" si="47"/>
        <v>#N/A</v>
      </c>
      <c r="D467" s="14" t="e">
        <f t="shared" si="48"/>
        <v>#N/A</v>
      </c>
      <c r="E467" s="14" t="e">
        <f>INDEX(entities[Attributes Index],MATCH('Customize code'!C467,entities[custom entity '#],0))</f>
        <v>#N/A</v>
      </c>
      <c r="F467" s="14" t="e">
        <f t="shared" si="45"/>
        <v>#N/A</v>
      </c>
      <c r="G467" s="5" t="e">
        <f>IF(D467&gt;0,"",
INDEX(entities[entity_id],MATCH('Customize code'!C467,entities[custom entity '#],0))&amp;":")</f>
        <v>#N/A</v>
      </c>
      <c r="H467" s="5" t="e">
        <f>IF(F467=0,"",VLOOKUP(F467,'Customize code'!$M$8:$O$13,3,FALSE))</f>
        <v>#N/A</v>
      </c>
      <c r="I467" s="5" t="e">
        <f>IF(F467=0, "",  INDEX(entities[[hidden]:[icon]],  MATCH(C467,entities[custom entity '#],0),  'Customize code'!F467)  )</f>
        <v>#N/A</v>
      </c>
      <c r="J467" s="5" t="str">
        <f t="shared" si="46"/>
        <v/>
      </c>
      <c r="K467" s="5" t="str">
        <f t="shared" si="43"/>
        <v/>
      </c>
    </row>
    <row r="468" spans="2:11" x14ac:dyDescent="0.25">
      <c r="B468" s="5">
        <f t="shared" si="44"/>
        <v>462</v>
      </c>
      <c r="C468" s="5" t="e">
        <f t="shared" si="47"/>
        <v>#N/A</v>
      </c>
      <c r="D468" s="14" t="e">
        <f t="shared" si="48"/>
        <v>#N/A</v>
      </c>
      <c r="E468" s="14" t="e">
        <f>INDEX(entities[Attributes Index],MATCH('Customize code'!C468,entities[custom entity '#],0))</f>
        <v>#N/A</v>
      </c>
      <c r="F468" s="14" t="e">
        <f t="shared" si="45"/>
        <v>#N/A</v>
      </c>
      <c r="G468" s="5" t="e">
        <f>IF(D468&gt;0,"",
INDEX(entities[entity_id],MATCH('Customize code'!C468,entities[custom entity '#],0))&amp;":")</f>
        <v>#N/A</v>
      </c>
      <c r="H468" s="5" t="e">
        <f>IF(F468=0,"",VLOOKUP(F468,'Customize code'!$M$8:$O$13,3,FALSE))</f>
        <v>#N/A</v>
      </c>
      <c r="I468" s="5" t="e">
        <f>IF(F468=0, "",  INDEX(entities[[hidden]:[icon]],  MATCH(C468,entities[custom entity '#],0),  'Customize code'!F468)  )</f>
        <v>#N/A</v>
      </c>
      <c r="J468" s="5" t="str">
        <f t="shared" si="46"/>
        <v/>
      </c>
      <c r="K468" s="5" t="str">
        <f t="shared" si="43"/>
        <v/>
      </c>
    </row>
    <row r="469" spans="2:11" x14ac:dyDescent="0.25">
      <c r="B469" s="5">
        <f t="shared" si="44"/>
        <v>463</v>
      </c>
      <c r="C469" s="5" t="e">
        <f t="shared" si="47"/>
        <v>#N/A</v>
      </c>
      <c r="D469" s="14" t="e">
        <f t="shared" si="48"/>
        <v>#N/A</v>
      </c>
      <c r="E469" s="14" t="e">
        <f>INDEX(entities[Attributes Index],MATCH('Customize code'!C469,entities[custom entity '#],0))</f>
        <v>#N/A</v>
      </c>
      <c r="F469" s="14" t="e">
        <f t="shared" si="45"/>
        <v>#N/A</v>
      </c>
      <c r="G469" s="5" t="e">
        <f>IF(D469&gt;0,"",
INDEX(entities[entity_id],MATCH('Customize code'!C469,entities[custom entity '#],0))&amp;":")</f>
        <v>#N/A</v>
      </c>
      <c r="H469" s="5" t="e">
        <f>IF(F469=0,"",VLOOKUP(F469,'Customize code'!$M$8:$O$13,3,FALSE))</f>
        <v>#N/A</v>
      </c>
      <c r="I469" s="5" t="e">
        <f>IF(F469=0, "",  INDEX(entities[[hidden]:[icon]],  MATCH(C469,entities[custom entity '#],0),  'Customize code'!F469)  )</f>
        <v>#N/A</v>
      </c>
      <c r="J469" s="5" t="str">
        <f t="shared" si="46"/>
        <v/>
      </c>
      <c r="K469" s="5" t="str">
        <f t="shared" si="43"/>
        <v/>
      </c>
    </row>
    <row r="470" spans="2:11" x14ac:dyDescent="0.25">
      <c r="B470" s="5">
        <f t="shared" si="44"/>
        <v>464</v>
      </c>
      <c r="C470" s="5" t="e">
        <f t="shared" si="47"/>
        <v>#N/A</v>
      </c>
      <c r="D470" s="14" t="e">
        <f t="shared" si="48"/>
        <v>#N/A</v>
      </c>
      <c r="E470" s="14" t="e">
        <f>INDEX(entities[Attributes Index],MATCH('Customize code'!C470,entities[custom entity '#],0))</f>
        <v>#N/A</v>
      </c>
      <c r="F470" s="14" t="e">
        <f t="shared" si="45"/>
        <v>#N/A</v>
      </c>
      <c r="G470" s="5" t="e">
        <f>IF(D470&gt;0,"",
INDEX(entities[entity_id],MATCH('Customize code'!C470,entities[custom entity '#],0))&amp;":")</f>
        <v>#N/A</v>
      </c>
      <c r="H470" s="5" t="e">
        <f>IF(F470=0,"",VLOOKUP(F470,'Customize code'!$M$8:$O$13,3,FALSE))</f>
        <v>#N/A</v>
      </c>
      <c r="I470" s="5" t="e">
        <f>IF(F470=0, "",  INDEX(entities[[hidden]:[icon]],  MATCH(C470,entities[custom entity '#],0),  'Customize code'!F470)  )</f>
        <v>#N/A</v>
      </c>
      <c r="J470" s="5" t="str">
        <f t="shared" si="46"/>
        <v/>
      </c>
      <c r="K470" s="5" t="str">
        <f t="shared" si="43"/>
        <v/>
      </c>
    </row>
    <row r="471" spans="2:11" x14ac:dyDescent="0.25">
      <c r="B471" s="5">
        <f t="shared" si="44"/>
        <v>465</v>
      </c>
      <c r="C471" s="5" t="e">
        <f t="shared" si="47"/>
        <v>#N/A</v>
      </c>
      <c r="D471" s="14" t="e">
        <f t="shared" si="48"/>
        <v>#N/A</v>
      </c>
      <c r="E471" s="14" t="e">
        <f>INDEX(entities[Attributes Index],MATCH('Customize code'!C471,entities[custom entity '#],0))</f>
        <v>#N/A</v>
      </c>
      <c r="F471" s="14" t="e">
        <f t="shared" si="45"/>
        <v>#N/A</v>
      </c>
      <c r="G471" s="5" t="e">
        <f>IF(D471&gt;0,"",
INDEX(entities[entity_id],MATCH('Customize code'!C471,entities[custom entity '#],0))&amp;":")</f>
        <v>#N/A</v>
      </c>
      <c r="H471" s="5" t="e">
        <f>IF(F471=0,"",VLOOKUP(F471,'Customize code'!$M$8:$O$13,3,FALSE))</f>
        <v>#N/A</v>
      </c>
      <c r="I471" s="5" t="e">
        <f>IF(F471=0, "",  INDEX(entities[[hidden]:[icon]],  MATCH(C471,entities[custom entity '#],0),  'Customize code'!F471)  )</f>
        <v>#N/A</v>
      </c>
      <c r="J471" s="5" t="str">
        <f t="shared" si="46"/>
        <v/>
      </c>
      <c r="K471" s="5" t="str">
        <f t="shared" si="43"/>
        <v/>
      </c>
    </row>
    <row r="472" spans="2:11" x14ac:dyDescent="0.25">
      <c r="B472" s="5">
        <f t="shared" si="44"/>
        <v>466</v>
      </c>
      <c r="C472" s="5" t="e">
        <f t="shared" si="47"/>
        <v>#N/A</v>
      </c>
      <c r="D472" s="14" t="e">
        <f t="shared" si="48"/>
        <v>#N/A</v>
      </c>
      <c r="E472" s="14" t="e">
        <f>INDEX(entities[Attributes Index],MATCH('Customize code'!C472,entities[custom entity '#],0))</f>
        <v>#N/A</v>
      </c>
      <c r="F472" s="14" t="e">
        <f t="shared" si="45"/>
        <v>#N/A</v>
      </c>
      <c r="G472" s="5" t="e">
        <f>IF(D472&gt;0,"",
INDEX(entities[entity_id],MATCH('Customize code'!C472,entities[custom entity '#],0))&amp;":")</f>
        <v>#N/A</v>
      </c>
      <c r="H472" s="5" t="e">
        <f>IF(F472=0,"",VLOOKUP(F472,'Customize code'!$M$8:$O$13,3,FALSE))</f>
        <v>#N/A</v>
      </c>
      <c r="I472" s="5" t="e">
        <f>IF(F472=0, "",  INDEX(entities[[hidden]:[icon]],  MATCH(C472,entities[custom entity '#],0),  'Customize code'!F472)  )</f>
        <v>#N/A</v>
      </c>
      <c r="J472" s="5" t="str">
        <f t="shared" si="46"/>
        <v/>
      </c>
      <c r="K472" s="5" t="str">
        <f t="shared" si="43"/>
        <v/>
      </c>
    </row>
    <row r="473" spans="2:11" x14ac:dyDescent="0.25">
      <c r="B473" s="5">
        <f t="shared" si="44"/>
        <v>467</v>
      </c>
      <c r="C473" s="5" t="e">
        <f t="shared" si="47"/>
        <v>#N/A</v>
      </c>
      <c r="D473" s="14" t="e">
        <f t="shared" si="48"/>
        <v>#N/A</v>
      </c>
      <c r="E473" s="14" t="e">
        <f>INDEX(entities[Attributes Index],MATCH('Customize code'!C473,entities[custom entity '#],0))</f>
        <v>#N/A</v>
      </c>
      <c r="F473" s="14" t="e">
        <f t="shared" si="45"/>
        <v>#N/A</v>
      </c>
      <c r="G473" s="5" t="e">
        <f>IF(D473&gt;0,"",
INDEX(entities[entity_id],MATCH('Customize code'!C473,entities[custom entity '#],0))&amp;":")</f>
        <v>#N/A</v>
      </c>
      <c r="H473" s="5" t="e">
        <f>IF(F473=0,"",VLOOKUP(F473,'Customize code'!$M$8:$O$13,3,FALSE))</f>
        <v>#N/A</v>
      </c>
      <c r="I473" s="5" t="e">
        <f>IF(F473=0, "",  INDEX(entities[[hidden]:[icon]],  MATCH(C473,entities[custom entity '#],0),  'Customize code'!F473)  )</f>
        <v>#N/A</v>
      </c>
      <c r="J473" s="5" t="str">
        <f t="shared" si="46"/>
        <v/>
      </c>
      <c r="K473" s="5" t="str">
        <f t="shared" si="43"/>
        <v/>
      </c>
    </row>
    <row r="474" spans="2:11" x14ac:dyDescent="0.25">
      <c r="B474" s="5">
        <f t="shared" si="44"/>
        <v>468</v>
      </c>
      <c r="C474" s="5" t="e">
        <f t="shared" si="47"/>
        <v>#N/A</v>
      </c>
      <c r="D474" s="14" t="e">
        <f t="shared" si="48"/>
        <v>#N/A</v>
      </c>
      <c r="E474" s="14" t="e">
        <f>INDEX(entities[Attributes Index],MATCH('Customize code'!C474,entities[custom entity '#],0))</f>
        <v>#N/A</v>
      </c>
      <c r="F474" s="14" t="e">
        <f t="shared" si="45"/>
        <v>#N/A</v>
      </c>
      <c r="G474" s="5" t="e">
        <f>IF(D474&gt;0,"",
INDEX(entities[entity_id],MATCH('Customize code'!C474,entities[custom entity '#],0))&amp;":")</f>
        <v>#N/A</v>
      </c>
      <c r="H474" s="5" t="e">
        <f>IF(F474=0,"",VLOOKUP(F474,'Customize code'!$M$8:$O$13,3,FALSE))</f>
        <v>#N/A</v>
      </c>
      <c r="I474" s="5" t="e">
        <f>IF(F474=0, "",  INDEX(entities[[hidden]:[icon]],  MATCH(C474,entities[custom entity '#],0),  'Customize code'!F474)  )</f>
        <v>#N/A</v>
      </c>
      <c r="J474" s="5" t="str">
        <f t="shared" si="46"/>
        <v/>
      </c>
      <c r="K474" s="5" t="str">
        <f t="shared" si="43"/>
        <v/>
      </c>
    </row>
    <row r="475" spans="2:11" x14ac:dyDescent="0.25">
      <c r="B475" s="5">
        <f t="shared" si="44"/>
        <v>469</v>
      </c>
      <c r="C475" s="5" t="e">
        <f t="shared" si="47"/>
        <v>#N/A</v>
      </c>
      <c r="D475" s="14" t="e">
        <f t="shared" si="48"/>
        <v>#N/A</v>
      </c>
      <c r="E475" s="14" t="e">
        <f>INDEX(entities[Attributes Index],MATCH('Customize code'!C475,entities[custom entity '#],0))</f>
        <v>#N/A</v>
      </c>
      <c r="F475" s="14" t="e">
        <f t="shared" si="45"/>
        <v>#N/A</v>
      </c>
      <c r="G475" s="5" t="e">
        <f>IF(D475&gt;0,"",
INDEX(entities[entity_id],MATCH('Customize code'!C475,entities[custom entity '#],0))&amp;":")</f>
        <v>#N/A</v>
      </c>
      <c r="H475" s="5" t="e">
        <f>IF(F475=0,"",VLOOKUP(F475,'Customize code'!$M$8:$O$13,3,FALSE))</f>
        <v>#N/A</v>
      </c>
      <c r="I475" s="5" t="e">
        <f>IF(F475=0, "",  INDEX(entities[[hidden]:[icon]],  MATCH(C475,entities[custom entity '#],0),  'Customize code'!F475)  )</f>
        <v>#N/A</v>
      </c>
      <c r="J475" s="5" t="str">
        <f t="shared" si="46"/>
        <v/>
      </c>
      <c r="K475" s="5" t="str">
        <f t="shared" si="43"/>
        <v/>
      </c>
    </row>
    <row r="476" spans="2:11" x14ac:dyDescent="0.25">
      <c r="B476" s="5">
        <f t="shared" si="44"/>
        <v>470</v>
      </c>
      <c r="C476" s="5" t="e">
        <f t="shared" si="47"/>
        <v>#N/A</v>
      </c>
      <c r="D476" s="14" t="e">
        <f t="shared" si="48"/>
        <v>#N/A</v>
      </c>
      <c r="E476" s="14" t="e">
        <f>INDEX(entities[Attributes Index],MATCH('Customize code'!C476,entities[custom entity '#],0))</f>
        <v>#N/A</v>
      </c>
      <c r="F476" s="14" t="e">
        <f t="shared" si="45"/>
        <v>#N/A</v>
      </c>
      <c r="G476" s="5" t="e">
        <f>IF(D476&gt;0,"",
INDEX(entities[entity_id],MATCH('Customize code'!C476,entities[custom entity '#],0))&amp;":")</f>
        <v>#N/A</v>
      </c>
      <c r="H476" s="5" t="e">
        <f>IF(F476=0,"",VLOOKUP(F476,'Customize code'!$M$8:$O$13,3,FALSE))</f>
        <v>#N/A</v>
      </c>
      <c r="I476" s="5" t="e">
        <f>IF(F476=0, "",  INDEX(entities[[hidden]:[icon]],  MATCH(C476,entities[custom entity '#],0),  'Customize code'!F476)  )</f>
        <v>#N/A</v>
      </c>
      <c r="J476" s="5" t="str">
        <f t="shared" si="46"/>
        <v/>
      </c>
      <c r="K476" s="5" t="str">
        <f t="shared" si="43"/>
        <v/>
      </c>
    </row>
    <row r="477" spans="2:11" x14ac:dyDescent="0.25">
      <c r="B477" s="5">
        <f t="shared" si="44"/>
        <v>471</v>
      </c>
      <c r="C477" s="5" t="e">
        <f t="shared" si="47"/>
        <v>#N/A</v>
      </c>
      <c r="D477" s="14" t="e">
        <f t="shared" si="48"/>
        <v>#N/A</v>
      </c>
      <c r="E477" s="14" t="e">
        <f>INDEX(entities[Attributes Index],MATCH('Customize code'!C477,entities[custom entity '#],0))</f>
        <v>#N/A</v>
      </c>
      <c r="F477" s="14" t="e">
        <f t="shared" si="45"/>
        <v>#N/A</v>
      </c>
      <c r="G477" s="5" t="e">
        <f>IF(D477&gt;0,"",
INDEX(entities[entity_id],MATCH('Customize code'!C477,entities[custom entity '#],0))&amp;":")</f>
        <v>#N/A</v>
      </c>
      <c r="H477" s="5" t="e">
        <f>IF(F477=0,"",VLOOKUP(F477,'Customize code'!$M$8:$O$13,3,FALSE))</f>
        <v>#N/A</v>
      </c>
      <c r="I477" s="5" t="e">
        <f>IF(F477=0, "",  INDEX(entities[[hidden]:[icon]],  MATCH(C477,entities[custom entity '#],0),  'Customize code'!F477)  )</f>
        <v>#N/A</v>
      </c>
      <c r="J477" s="5" t="str">
        <f t="shared" si="46"/>
        <v/>
      </c>
      <c r="K477" s="5" t="str">
        <f t="shared" si="43"/>
        <v/>
      </c>
    </row>
    <row r="478" spans="2:11" x14ac:dyDescent="0.25">
      <c r="B478" s="5">
        <f t="shared" si="44"/>
        <v>472</v>
      </c>
      <c r="C478" s="5" t="e">
        <f t="shared" si="47"/>
        <v>#N/A</v>
      </c>
      <c r="D478" s="14" t="e">
        <f t="shared" si="48"/>
        <v>#N/A</v>
      </c>
      <c r="E478" s="14" t="e">
        <f>INDEX(entities[Attributes Index],MATCH('Customize code'!C478,entities[custom entity '#],0))</f>
        <v>#N/A</v>
      </c>
      <c r="F478" s="14" t="e">
        <f t="shared" si="45"/>
        <v>#N/A</v>
      </c>
      <c r="G478" s="5" t="e">
        <f>IF(D478&gt;0,"",
INDEX(entities[entity_id],MATCH('Customize code'!C478,entities[custom entity '#],0))&amp;":")</f>
        <v>#N/A</v>
      </c>
      <c r="H478" s="5" t="e">
        <f>IF(F478=0,"",VLOOKUP(F478,'Customize code'!$M$8:$O$13,3,FALSE))</f>
        <v>#N/A</v>
      </c>
      <c r="I478" s="5" t="e">
        <f>IF(F478=0, "",  INDEX(entities[[hidden]:[icon]],  MATCH(C478,entities[custom entity '#],0),  'Customize code'!F478)  )</f>
        <v>#N/A</v>
      </c>
      <c r="J478" s="5" t="str">
        <f t="shared" si="46"/>
        <v/>
      </c>
      <c r="K478" s="5" t="str">
        <f t="shared" si="43"/>
        <v/>
      </c>
    </row>
    <row r="479" spans="2:11" x14ac:dyDescent="0.25">
      <c r="B479" s="5">
        <f t="shared" si="44"/>
        <v>473</v>
      </c>
      <c r="C479" s="5" t="e">
        <f t="shared" si="47"/>
        <v>#N/A</v>
      </c>
      <c r="D479" s="14" t="e">
        <f t="shared" si="48"/>
        <v>#N/A</v>
      </c>
      <c r="E479" s="14" t="e">
        <f>INDEX(entities[Attributes Index],MATCH('Customize code'!C479,entities[custom entity '#],0))</f>
        <v>#N/A</v>
      </c>
      <c r="F479" s="14" t="e">
        <f t="shared" si="45"/>
        <v>#N/A</v>
      </c>
      <c r="G479" s="5" t="e">
        <f>IF(D479&gt;0,"",
INDEX(entities[entity_id],MATCH('Customize code'!C479,entities[custom entity '#],0))&amp;":")</f>
        <v>#N/A</v>
      </c>
      <c r="H479" s="5" t="e">
        <f>IF(F479=0,"",VLOOKUP(F479,'Customize code'!$M$8:$O$13,3,FALSE))</f>
        <v>#N/A</v>
      </c>
      <c r="I479" s="5" t="e">
        <f>IF(F479=0, "",  INDEX(entities[[hidden]:[icon]],  MATCH(C479,entities[custom entity '#],0),  'Customize code'!F479)  )</f>
        <v>#N/A</v>
      </c>
      <c r="J479" s="5" t="str">
        <f t="shared" si="46"/>
        <v/>
      </c>
      <c r="K479" s="5" t="str">
        <f t="shared" si="43"/>
        <v/>
      </c>
    </row>
    <row r="480" spans="2:11" x14ac:dyDescent="0.25">
      <c r="B480" s="5">
        <f t="shared" si="44"/>
        <v>474</v>
      </c>
      <c r="C480" s="5" t="e">
        <f t="shared" si="47"/>
        <v>#N/A</v>
      </c>
      <c r="D480" s="14" t="e">
        <f t="shared" si="48"/>
        <v>#N/A</v>
      </c>
      <c r="E480" s="14" t="e">
        <f>INDEX(entities[Attributes Index],MATCH('Customize code'!C480,entities[custom entity '#],0))</f>
        <v>#N/A</v>
      </c>
      <c r="F480" s="14" t="e">
        <f t="shared" si="45"/>
        <v>#N/A</v>
      </c>
      <c r="G480" s="5" t="e">
        <f>IF(D480&gt;0,"",
INDEX(entities[entity_id],MATCH('Customize code'!C480,entities[custom entity '#],0))&amp;":")</f>
        <v>#N/A</v>
      </c>
      <c r="H480" s="5" t="e">
        <f>IF(F480=0,"",VLOOKUP(F480,'Customize code'!$M$8:$O$13,3,FALSE))</f>
        <v>#N/A</v>
      </c>
      <c r="I480" s="5" t="e">
        <f>IF(F480=0, "",  INDEX(entities[[hidden]:[icon]],  MATCH(C480,entities[custom entity '#],0),  'Customize code'!F480)  )</f>
        <v>#N/A</v>
      </c>
      <c r="J480" s="5" t="str">
        <f t="shared" si="46"/>
        <v/>
      </c>
      <c r="K480" s="5" t="str">
        <f t="shared" si="43"/>
        <v/>
      </c>
    </row>
    <row r="481" spans="2:11" x14ac:dyDescent="0.25">
      <c r="B481" s="5">
        <f t="shared" si="44"/>
        <v>475</v>
      </c>
      <c r="C481" s="5" t="e">
        <f t="shared" si="47"/>
        <v>#N/A</v>
      </c>
      <c r="D481" s="14" t="e">
        <f t="shared" si="48"/>
        <v>#N/A</v>
      </c>
      <c r="E481" s="14" t="e">
        <f>INDEX(entities[Attributes Index],MATCH('Customize code'!C481,entities[custom entity '#],0))</f>
        <v>#N/A</v>
      </c>
      <c r="F481" s="14" t="e">
        <f t="shared" si="45"/>
        <v>#N/A</v>
      </c>
      <c r="G481" s="5" t="e">
        <f>IF(D481&gt;0,"",
INDEX(entities[entity_id],MATCH('Customize code'!C481,entities[custom entity '#],0))&amp;":")</f>
        <v>#N/A</v>
      </c>
      <c r="H481" s="5" t="e">
        <f>IF(F481=0,"",VLOOKUP(F481,'Customize code'!$M$8:$O$13,3,FALSE))</f>
        <v>#N/A</v>
      </c>
      <c r="I481" s="5" t="e">
        <f>IF(F481=0, "",  INDEX(entities[[hidden]:[icon]],  MATCH(C481,entities[custom entity '#],0),  'Customize code'!F481)  )</f>
        <v>#N/A</v>
      </c>
      <c r="J481" s="5" t="str">
        <f t="shared" si="46"/>
        <v/>
      </c>
      <c r="K481" s="5" t="str">
        <f t="shared" si="43"/>
        <v/>
      </c>
    </row>
    <row r="482" spans="2:11" x14ac:dyDescent="0.25">
      <c r="B482" s="5">
        <f t="shared" si="44"/>
        <v>476</v>
      </c>
      <c r="C482" s="5" t="e">
        <f t="shared" si="47"/>
        <v>#N/A</v>
      </c>
      <c r="D482" s="14" t="e">
        <f t="shared" si="48"/>
        <v>#N/A</v>
      </c>
      <c r="E482" s="14" t="e">
        <f>INDEX(entities[Attributes Index],MATCH('Customize code'!C482,entities[custom entity '#],0))</f>
        <v>#N/A</v>
      </c>
      <c r="F482" s="14" t="e">
        <f t="shared" si="45"/>
        <v>#N/A</v>
      </c>
      <c r="G482" s="5" t="e">
        <f>IF(D482&gt;0,"",
INDEX(entities[entity_id],MATCH('Customize code'!C482,entities[custom entity '#],0))&amp;":")</f>
        <v>#N/A</v>
      </c>
      <c r="H482" s="5" t="e">
        <f>IF(F482=0,"",VLOOKUP(F482,'Customize code'!$M$8:$O$13,3,FALSE))</f>
        <v>#N/A</v>
      </c>
      <c r="I482" s="5" t="e">
        <f>IF(F482=0, "",  INDEX(entities[[hidden]:[icon]],  MATCH(C482,entities[custom entity '#],0),  'Customize code'!F482)  )</f>
        <v>#N/A</v>
      </c>
      <c r="J482" s="5" t="str">
        <f t="shared" si="46"/>
        <v/>
      </c>
      <c r="K482" s="5" t="str">
        <f t="shared" si="43"/>
        <v/>
      </c>
    </row>
    <row r="483" spans="2:11" x14ac:dyDescent="0.25">
      <c r="B483" s="5">
        <f t="shared" si="44"/>
        <v>477</v>
      </c>
      <c r="C483" s="5" t="e">
        <f t="shared" si="47"/>
        <v>#N/A</v>
      </c>
      <c r="D483" s="14" t="e">
        <f t="shared" si="48"/>
        <v>#N/A</v>
      </c>
      <c r="E483" s="14" t="e">
        <f>INDEX(entities[Attributes Index],MATCH('Customize code'!C483,entities[custom entity '#],0))</f>
        <v>#N/A</v>
      </c>
      <c r="F483" s="14" t="e">
        <f t="shared" si="45"/>
        <v>#N/A</v>
      </c>
      <c r="G483" s="5" t="e">
        <f>IF(D483&gt;0,"",
INDEX(entities[entity_id],MATCH('Customize code'!C483,entities[custom entity '#],0))&amp;":")</f>
        <v>#N/A</v>
      </c>
      <c r="H483" s="5" t="e">
        <f>IF(F483=0,"",VLOOKUP(F483,'Customize code'!$M$8:$O$13,3,FALSE))</f>
        <v>#N/A</v>
      </c>
      <c r="I483" s="5" t="e">
        <f>IF(F483=0, "",  INDEX(entities[[hidden]:[icon]],  MATCH(C483,entities[custom entity '#],0),  'Customize code'!F483)  )</f>
        <v>#N/A</v>
      </c>
      <c r="J483" s="5" t="str">
        <f t="shared" si="46"/>
        <v/>
      </c>
      <c r="K483" s="5" t="str">
        <f t="shared" si="43"/>
        <v/>
      </c>
    </row>
    <row r="484" spans="2:11" x14ac:dyDescent="0.25">
      <c r="B484" s="5">
        <f t="shared" si="44"/>
        <v>478</v>
      </c>
      <c r="C484" s="5" t="e">
        <f t="shared" si="47"/>
        <v>#N/A</v>
      </c>
      <c r="D484" s="14" t="e">
        <f t="shared" si="48"/>
        <v>#N/A</v>
      </c>
      <c r="E484" s="14" t="e">
        <f>INDEX(entities[Attributes Index],MATCH('Customize code'!C484,entities[custom entity '#],0))</f>
        <v>#N/A</v>
      </c>
      <c r="F484" s="14" t="e">
        <f t="shared" si="45"/>
        <v>#N/A</v>
      </c>
      <c r="G484" s="5" t="e">
        <f>IF(D484&gt;0,"",
INDEX(entities[entity_id],MATCH('Customize code'!C484,entities[custom entity '#],0))&amp;":")</f>
        <v>#N/A</v>
      </c>
      <c r="H484" s="5" t="e">
        <f>IF(F484=0,"",VLOOKUP(F484,'Customize code'!$M$8:$O$13,3,FALSE))</f>
        <v>#N/A</v>
      </c>
      <c r="I484" s="5" t="e">
        <f>IF(F484=0, "",  INDEX(entities[[hidden]:[icon]],  MATCH(C484,entities[custom entity '#],0),  'Customize code'!F484)  )</f>
        <v>#N/A</v>
      </c>
      <c r="J484" s="5" t="str">
        <f t="shared" si="46"/>
        <v/>
      </c>
      <c r="K484" s="5" t="str">
        <f t="shared" si="43"/>
        <v/>
      </c>
    </row>
    <row r="485" spans="2:11" x14ac:dyDescent="0.25">
      <c r="B485" s="5">
        <f t="shared" si="44"/>
        <v>479</v>
      </c>
      <c r="C485" s="5" t="e">
        <f t="shared" si="47"/>
        <v>#N/A</v>
      </c>
      <c r="D485" s="14" t="e">
        <f t="shared" si="48"/>
        <v>#N/A</v>
      </c>
      <c r="E485" s="14" t="e">
        <f>INDEX(entities[Attributes Index],MATCH('Customize code'!C485,entities[custom entity '#],0))</f>
        <v>#N/A</v>
      </c>
      <c r="F485" s="14" t="e">
        <f t="shared" si="45"/>
        <v>#N/A</v>
      </c>
      <c r="G485" s="5" t="e">
        <f>IF(D485&gt;0,"",
INDEX(entities[entity_id],MATCH('Customize code'!C485,entities[custom entity '#],0))&amp;":")</f>
        <v>#N/A</v>
      </c>
      <c r="H485" s="5" t="e">
        <f>IF(F485=0,"",VLOOKUP(F485,'Customize code'!$M$8:$O$13,3,FALSE))</f>
        <v>#N/A</v>
      </c>
      <c r="I485" s="5" t="e">
        <f>IF(F485=0, "",  INDEX(entities[[hidden]:[icon]],  MATCH(C485,entities[custom entity '#],0),  'Customize code'!F485)  )</f>
        <v>#N/A</v>
      </c>
      <c r="J485" s="5" t="str">
        <f t="shared" si="46"/>
        <v/>
      </c>
      <c r="K485" s="5" t="str">
        <f t="shared" si="43"/>
        <v/>
      </c>
    </row>
    <row r="486" spans="2:11" x14ac:dyDescent="0.25">
      <c r="B486" s="5">
        <f t="shared" si="44"/>
        <v>480</v>
      </c>
      <c r="C486" s="5" t="e">
        <f t="shared" si="47"/>
        <v>#N/A</v>
      </c>
      <c r="D486" s="14" t="e">
        <f t="shared" si="48"/>
        <v>#N/A</v>
      </c>
      <c r="E486" s="14" t="e">
        <f>INDEX(entities[Attributes Index],MATCH('Customize code'!C486,entities[custom entity '#],0))</f>
        <v>#N/A</v>
      </c>
      <c r="F486" s="14" t="e">
        <f t="shared" si="45"/>
        <v>#N/A</v>
      </c>
      <c r="G486" s="5" t="e">
        <f>IF(D486&gt;0,"",
INDEX(entities[entity_id],MATCH('Customize code'!C486,entities[custom entity '#],0))&amp;":")</f>
        <v>#N/A</v>
      </c>
      <c r="H486" s="5" t="e">
        <f>IF(F486=0,"",VLOOKUP(F486,'Customize code'!$M$8:$O$13,3,FALSE))</f>
        <v>#N/A</v>
      </c>
      <c r="I486" s="5" t="e">
        <f>IF(F486=0, "",  INDEX(entities[[hidden]:[icon]],  MATCH(C486,entities[custom entity '#],0),  'Customize code'!F486)  )</f>
        <v>#N/A</v>
      </c>
      <c r="J486" s="5" t="str">
        <f t="shared" si="46"/>
        <v/>
      </c>
      <c r="K486" s="5" t="str">
        <f t="shared" si="43"/>
        <v/>
      </c>
    </row>
    <row r="487" spans="2:11" x14ac:dyDescent="0.25">
      <c r="B487" s="5">
        <f t="shared" si="44"/>
        <v>481</v>
      </c>
      <c r="C487" s="5" t="e">
        <f t="shared" si="47"/>
        <v>#N/A</v>
      </c>
      <c r="D487" s="14" t="e">
        <f t="shared" si="48"/>
        <v>#N/A</v>
      </c>
      <c r="E487" s="14" t="e">
        <f>INDEX(entities[Attributes Index],MATCH('Customize code'!C487,entities[custom entity '#],0))</f>
        <v>#N/A</v>
      </c>
      <c r="F487" s="14" t="e">
        <f t="shared" si="45"/>
        <v>#N/A</v>
      </c>
      <c r="G487" s="5" t="e">
        <f>IF(D487&gt;0,"",
INDEX(entities[entity_id],MATCH('Customize code'!C487,entities[custom entity '#],0))&amp;":")</f>
        <v>#N/A</v>
      </c>
      <c r="H487" s="5" t="e">
        <f>IF(F487=0,"",VLOOKUP(F487,'Customize code'!$M$8:$O$13,3,FALSE))</f>
        <v>#N/A</v>
      </c>
      <c r="I487" s="5" t="e">
        <f>IF(F487=0, "",  INDEX(entities[[hidden]:[icon]],  MATCH(C487,entities[custom entity '#],0),  'Customize code'!F487)  )</f>
        <v>#N/A</v>
      </c>
      <c r="J487" s="5" t="str">
        <f t="shared" si="46"/>
        <v/>
      </c>
      <c r="K487" s="5" t="str">
        <f t="shared" si="43"/>
        <v/>
      </c>
    </row>
    <row r="488" spans="2:11" x14ac:dyDescent="0.25">
      <c r="B488" s="5">
        <f t="shared" si="44"/>
        <v>482</v>
      </c>
      <c r="C488" s="5" t="e">
        <f t="shared" si="47"/>
        <v>#N/A</v>
      </c>
      <c r="D488" s="14" t="e">
        <f t="shared" si="48"/>
        <v>#N/A</v>
      </c>
      <c r="E488" s="14" t="e">
        <f>INDEX(entities[Attributes Index],MATCH('Customize code'!C488,entities[custom entity '#],0))</f>
        <v>#N/A</v>
      </c>
      <c r="F488" s="14" t="e">
        <f t="shared" si="45"/>
        <v>#N/A</v>
      </c>
      <c r="G488" s="5" t="e">
        <f>IF(D488&gt;0,"",
INDEX(entities[entity_id],MATCH('Customize code'!C488,entities[custom entity '#],0))&amp;":")</f>
        <v>#N/A</v>
      </c>
      <c r="H488" s="5" t="e">
        <f>IF(F488=0,"",VLOOKUP(F488,'Customize code'!$M$8:$O$13,3,FALSE))</f>
        <v>#N/A</v>
      </c>
      <c r="I488" s="5" t="e">
        <f>IF(F488=0, "",  INDEX(entities[[hidden]:[icon]],  MATCH(C488,entities[custom entity '#],0),  'Customize code'!F488)  )</f>
        <v>#N/A</v>
      </c>
      <c r="J488" s="5" t="str">
        <f t="shared" si="46"/>
        <v/>
      </c>
      <c r="K488" s="5" t="str">
        <f t="shared" si="43"/>
        <v/>
      </c>
    </row>
    <row r="489" spans="2:11" x14ac:dyDescent="0.25">
      <c r="B489" s="5">
        <f t="shared" si="44"/>
        <v>483</v>
      </c>
      <c r="C489" s="5" t="e">
        <f t="shared" si="47"/>
        <v>#N/A</v>
      </c>
      <c r="D489" s="14" t="e">
        <f t="shared" si="48"/>
        <v>#N/A</v>
      </c>
      <c r="E489" s="14" t="e">
        <f>INDEX(entities[Attributes Index],MATCH('Customize code'!C489,entities[custom entity '#],0))</f>
        <v>#N/A</v>
      </c>
      <c r="F489" s="14" t="e">
        <f t="shared" si="45"/>
        <v>#N/A</v>
      </c>
      <c r="G489" s="5" t="e">
        <f>IF(D489&gt;0,"",
INDEX(entities[entity_id],MATCH('Customize code'!C489,entities[custom entity '#],0))&amp;":")</f>
        <v>#N/A</v>
      </c>
      <c r="H489" s="5" t="e">
        <f>IF(F489=0,"",VLOOKUP(F489,'Customize code'!$M$8:$O$13,3,FALSE))</f>
        <v>#N/A</v>
      </c>
      <c r="I489" s="5" t="e">
        <f>IF(F489=0, "",  INDEX(entities[[hidden]:[icon]],  MATCH(C489,entities[custom entity '#],0),  'Customize code'!F489)  )</f>
        <v>#N/A</v>
      </c>
      <c r="J489" s="5" t="str">
        <f t="shared" si="46"/>
        <v/>
      </c>
      <c r="K489" s="5" t="str">
        <f t="shared" si="43"/>
        <v/>
      </c>
    </row>
    <row r="490" spans="2:11" x14ac:dyDescent="0.25">
      <c r="B490" s="5">
        <f t="shared" si="44"/>
        <v>484</v>
      </c>
      <c r="C490" s="5" t="e">
        <f t="shared" si="47"/>
        <v>#N/A</v>
      </c>
      <c r="D490" s="14" t="e">
        <f t="shared" si="48"/>
        <v>#N/A</v>
      </c>
      <c r="E490" s="14" t="e">
        <f>INDEX(entities[Attributes Index],MATCH('Customize code'!C490,entities[custom entity '#],0))</f>
        <v>#N/A</v>
      </c>
      <c r="F490" s="14" t="e">
        <f t="shared" si="45"/>
        <v>#N/A</v>
      </c>
      <c r="G490" s="5" t="e">
        <f>IF(D490&gt;0,"",
INDEX(entities[entity_id],MATCH('Customize code'!C490,entities[custom entity '#],0))&amp;":")</f>
        <v>#N/A</v>
      </c>
      <c r="H490" s="5" t="e">
        <f>IF(F490=0,"",VLOOKUP(F490,'Customize code'!$M$8:$O$13,3,FALSE))</f>
        <v>#N/A</v>
      </c>
      <c r="I490" s="5" t="e">
        <f>IF(F490=0, "",  INDEX(entities[[hidden]:[icon]],  MATCH(C490,entities[custom entity '#],0),  'Customize code'!F490)  )</f>
        <v>#N/A</v>
      </c>
      <c r="J490" s="5" t="str">
        <f t="shared" si="46"/>
        <v/>
      </c>
      <c r="K490" s="5" t="str">
        <f t="shared" si="43"/>
        <v/>
      </c>
    </row>
    <row r="491" spans="2:11" x14ac:dyDescent="0.25">
      <c r="B491" s="5">
        <f t="shared" si="44"/>
        <v>485</v>
      </c>
      <c r="C491" s="5" t="e">
        <f t="shared" si="47"/>
        <v>#N/A</v>
      </c>
      <c r="D491" s="14" t="e">
        <f t="shared" si="48"/>
        <v>#N/A</v>
      </c>
      <c r="E491" s="14" t="e">
        <f>INDEX(entities[Attributes Index],MATCH('Customize code'!C491,entities[custom entity '#],0))</f>
        <v>#N/A</v>
      </c>
      <c r="F491" s="14" t="e">
        <f t="shared" si="45"/>
        <v>#N/A</v>
      </c>
      <c r="G491" s="5" t="e">
        <f>IF(D491&gt;0,"",
INDEX(entities[entity_id],MATCH('Customize code'!C491,entities[custom entity '#],0))&amp;":")</f>
        <v>#N/A</v>
      </c>
      <c r="H491" s="5" t="e">
        <f>IF(F491=0,"",VLOOKUP(F491,'Customize code'!$M$8:$O$13,3,FALSE))</f>
        <v>#N/A</v>
      </c>
      <c r="I491" s="5" t="e">
        <f>IF(F491=0, "",  INDEX(entities[[hidden]:[icon]],  MATCH(C491,entities[custom entity '#],0),  'Customize code'!F491)  )</f>
        <v>#N/A</v>
      </c>
      <c r="J491" s="5" t="str">
        <f t="shared" si="46"/>
        <v/>
      </c>
      <c r="K491" s="5" t="str">
        <f t="shared" si="43"/>
        <v/>
      </c>
    </row>
    <row r="492" spans="2:11" x14ac:dyDescent="0.25">
      <c r="B492" s="5">
        <f t="shared" si="44"/>
        <v>486</v>
      </c>
      <c r="C492" s="5" t="e">
        <f t="shared" si="47"/>
        <v>#N/A</v>
      </c>
      <c r="D492" s="14" t="e">
        <f t="shared" si="48"/>
        <v>#N/A</v>
      </c>
      <c r="E492" s="14" t="e">
        <f>INDEX(entities[Attributes Index],MATCH('Customize code'!C492,entities[custom entity '#],0))</f>
        <v>#N/A</v>
      </c>
      <c r="F492" s="14" t="e">
        <f t="shared" si="45"/>
        <v>#N/A</v>
      </c>
      <c r="G492" s="5" t="e">
        <f>IF(D492&gt;0,"",
INDEX(entities[entity_id],MATCH('Customize code'!C492,entities[custom entity '#],0))&amp;":")</f>
        <v>#N/A</v>
      </c>
      <c r="H492" s="5" t="e">
        <f>IF(F492=0,"",VLOOKUP(F492,'Customize code'!$M$8:$O$13,3,FALSE))</f>
        <v>#N/A</v>
      </c>
      <c r="I492" s="5" t="e">
        <f>IF(F492=0, "",  INDEX(entities[[hidden]:[icon]],  MATCH(C492,entities[custom entity '#],0),  'Customize code'!F492)  )</f>
        <v>#N/A</v>
      </c>
      <c r="J492" s="5" t="str">
        <f t="shared" si="46"/>
        <v/>
      </c>
      <c r="K492" s="5" t="str">
        <f t="shared" si="43"/>
        <v/>
      </c>
    </row>
    <row r="493" spans="2:11" x14ac:dyDescent="0.25">
      <c r="B493" s="5">
        <f t="shared" si="44"/>
        <v>487</v>
      </c>
      <c r="C493" s="5" t="e">
        <f t="shared" si="47"/>
        <v>#N/A</v>
      </c>
      <c r="D493" s="14" t="e">
        <f t="shared" si="48"/>
        <v>#N/A</v>
      </c>
      <c r="E493" s="14" t="e">
        <f>INDEX(entities[Attributes Index],MATCH('Customize code'!C493,entities[custom entity '#],0))</f>
        <v>#N/A</v>
      </c>
      <c r="F493" s="14" t="e">
        <f t="shared" si="45"/>
        <v>#N/A</v>
      </c>
      <c r="G493" s="5" t="e">
        <f>IF(D493&gt;0,"",
INDEX(entities[entity_id],MATCH('Customize code'!C493,entities[custom entity '#],0))&amp;":")</f>
        <v>#N/A</v>
      </c>
      <c r="H493" s="5" t="e">
        <f>IF(F493=0,"",VLOOKUP(F493,'Customize code'!$M$8:$O$13,3,FALSE))</f>
        <v>#N/A</v>
      </c>
      <c r="I493" s="5" t="e">
        <f>IF(F493=0, "",  INDEX(entities[[hidden]:[icon]],  MATCH(C493,entities[custom entity '#],0),  'Customize code'!F493)  )</f>
        <v>#N/A</v>
      </c>
      <c r="J493" s="5" t="str">
        <f t="shared" si="46"/>
        <v/>
      </c>
      <c r="K493" s="5" t="str">
        <f t="shared" si="43"/>
        <v/>
      </c>
    </row>
    <row r="494" spans="2:11" x14ac:dyDescent="0.25">
      <c r="B494" s="5">
        <f t="shared" si="44"/>
        <v>488</v>
      </c>
      <c r="C494" s="5" t="e">
        <f t="shared" si="47"/>
        <v>#N/A</v>
      </c>
      <c r="D494" s="14" t="e">
        <f t="shared" si="48"/>
        <v>#N/A</v>
      </c>
      <c r="E494" s="14" t="e">
        <f>INDEX(entities[Attributes Index],MATCH('Customize code'!C494,entities[custom entity '#],0))</f>
        <v>#N/A</v>
      </c>
      <c r="F494" s="14" t="e">
        <f t="shared" si="45"/>
        <v>#N/A</v>
      </c>
      <c r="G494" s="5" t="e">
        <f>IF(D494&gt;0,"",
INDEX(entities[entity_id],MATCH('Customize code'!C494,entities[custom entity '#],0))&amp;":")</f>
        <v>#N/A</v>
      </c>
      <c r="H494" s="5" t="e">
        <f>IF(F494=0,"",VLOOKUP(F494,'Customize code'!$M$8:$O$13,3,FALSE))</f>
        <v>#N/A</v>
      </c>
      <c r="I494" s="5" t="e">
        <f>IF(F494=0, "",  INDEX(entities[[hidden]:[icon]],  MATCH(C494,entities[custom entity '#],0),  'Customize code'!F494)  )</f>
        <v>#N/A</v>
      </c>
      <c r="J494" s="5" t="str">
        <f t="shared" si="46"/>
        <v/>
      </c>
      <c r="K494" s="5" t="str">
        <f t="shared" si="43"/>
        <v/>
      </c>
    </row>
    <row r="495" spans="2:11" x14ac:dyDescent="0.25">
      <c r="B495" s="5">
        <f t="shared" si="44"/>
        <v>489</v>
      </c>
      <c r="C495" s="5" t="e">
        <f t="shared" si="47"/>
        <v>#N/A</v>
      </c>
      <c r="D495" s="14" t="e">
        <f t="shared" si="48"/>
        <v>#N/A</v>
      </c>
      <c r="E495" s="14" t="e">
        <f>INDEX(entities[Attributes Index],MATCH('Customize code'!C495,entities[custom entity '#],0))</f>
        <v>#N/A</v>
      </c>
      <c r="F495" s="14" t="e">
        <f t="shared" si="45"/>
        <v>#N/A</v>
      </c>
      <c r="G495" s="5" t="e">
        <f>IF(D495&gt;0,"",
INDEX(entities[entity_id],MATCH('Customize code'!C495,entities[custom entity '#],0))&amp;":")</f>
        <v>#N/A</v>
      </c>
      <c r="H495" s="5" t="e">
        <f>IF(F495=0,"",VLOOKUP(F495,'Customize code'!$M$8:$O$13,3,FALSE))</f>
        <v>#N/A</v>
      </c>
      <c r="I495" s="5" t="e">
        <f>IF(F495=0, "",  INDEX(entities[[hidden]:[icon]],  MATCH(C495,entities[custom entity '#],0),  'Customize code'!F495)  )</f>
        <v>#N/A</v>
      </c>
      <c r="J495" s="5" t="str">
        <f t="shared" si="46"/>
        <v/>
      </c>
      <c r="K495" s="5" t="str">
        <f t="shared" si="43"/>
        <v/>
      </c>
    </row>
    <row r="496" spans="2:11" x14ac:dyDescent="0.25">
      <c r="B496" s="5">
        <f t="shared" si="44"/>
        <v>490</v>
      </c>
      <c r="C496" s="5" t="e">
        <f t="shared" si="47"/>
        <v>#N/A</v>
      </c>
      <c r="D496" s="14" t="e">
        <f t="shared" si="48"/>
        <v>#N/A</v>
      </c>
      <c r="E496" s="14" t="e">
        <f>INDEX(entities[Attributes Index],MATCH('Customize code'!C496,entities[custom entity '#],0))</f>
        <v>#N/A</v>
      </c>
      <c r="F496" s="14" t="e">
        <f t="shared" si="45"/>
        <v>#N/A</v>
      </c>
      <c r="G496" s="5" t="e">
        <f>IF(D496&gt;0,"",
INDEX(entities[entity_id],MATCH('Customize code'!C496,entities[custom entity '#],0))&amp;":")</f>
        <v>#N/A</v>
      </c>
      <c r="H496" s="5" t="e">
        <f>IF(F496=0,"",VLOOKUP(F496,'Customize code'!$M$8:$O$13,3,FALSE))</f>
        <v>#N/A</v>
      </c>
      <c r="I496" s="5" t="e">
        <f>IF(F496=0, "",  INDEX(entities[[hidden]:[icon]],  MATCH(C496,entities[custom entity '#],0),  'Customize code'!F496)  )</f>
        <v>#N/A</v>
      </c>
      <c r="J496" s="5" t="str">
        <f t="shared" si="46"/>
        <v/>
      </c>
      <c r="K496" s="5" t="str">
        <f t="shared" si="43"/>
        <v/>
      </c>
    </row>
    <row r="497" spans="2:11" x14ac:dyDescent="0.25">
      <c r="B497" s="5">
        <f t="shared" si="44"/>
        <v>491</v>
      </c>
      <c r="C497" s="5" t="e">
        <f t="shared" si="47"/>
        <v>#N/A</v>
      </c>
      <c r="D497" s="14" t="e">
        <f t="shared" si="48"/>
        <v>#N/A</v>
      </c>
      <c r="E497" s="14" t="e">
        <f>INDEX(entities[Attributes Index],MATCH('Customize code'!C497,entities[custom entity '#],0))</f>
        <v>#N/A</v>
      </c>
      <c r="F497" s="14" t="e">
        <f t="shared" si="45"/>
        <v>#N/A</v>
      </c>
      <c r="G497" s="5" t="e">
        <f>IF(D497&gt;0,"",
INDEX(entities[entity_id],MATCH('Customize code'!C497,entities[custom entity '#],0))&amp;":")</f>
        <v>#N/A</v>
      </c>
      <c r="H497" s="5" t="e">
        <f>IF(F497=0,"",VLOOKUP(F497,'Customize code'!$M$8:$O$13,3,FALSE))</f>
        <v>#N/A</v>
      </c>
      <c r="I497" s="5" t="e">
        <f>IF(F497=0, "",  INDEX(entities[[hidden]:[icon]],  MATCH(C497,entities[custom entity '#],0),  'Customize code'!F497)  )</f>
        <v>#N/A</v>
      </c>
      <c r="J497" s="5" t="str">
        <f t="shared" si="46"/>
        <v/>
      </c>
      <c r="K497" s="5" t="str">
        <f t="shared" si="43"/>
        <v/>
      </c>
    </row>
    <row r="498" spans="2:11" x14ac:dyDescent="0.25">
      <c r="B498" s="5">
        <f t="shared" si="44"/>
        <v>492</v>
      </c>
      <c r="C498" s="5" t="e">
        <f t="shared" si="47"/>
        <v>#N/A</v>
      </c>
      <c r="D498" s="14" t="e">
        <f t="shared" si="48"/>
        <v>#N/A</v>
      </c>
      <c r="E498" s="14" t="e">
        <f>INDEX(entities[Attributes Index],MATCH('Customize code'!C498,entities[custom entity '#],0))</f>
        <v>#N/A</v>
      </c>
      <c r="F498" s="14" t="e">
        <f t="shared" si="45"/>
        <v>#N/A</v>
      </c>
      <c r="G498" s="5" t="e">
        <f>IF(D498&gt;0,"",
INDEX(entities[entity_id],MATCH('Customize code'!C498,entities[custom entity '#],0))&amp;":")</f>
        <v>#N/A</v>
      </c>
      <c r="H498" s="5" t="e">
        <f>IF(F498=0,"",VLOOKUP(F498,'Customize code'!$M$8:$O$13,3,FALSE))</f>
        <v>#N/A</v>
      </c>
      <c r="I498" s="5" t="e">
        <f>IF(F498=0, "",  INDEX(entities[[hidden]:[icon]],  MATCH(C498,entities[custom entity '#],0),  'Customize code'!F498)  )</f>
        <v>#N/A</v>
      </c>
      <c r="J498" s="5" t="str">
        <f t="shared" si="46"/>
        <v/>
      </c>
      <c r="K498" s="5" t="str">
        <f t="shared" si="43"/>
        <v/>
      </c>
    </row>
    <row r="499" spans="2:11" x14ac:dyDescent="0.25">
      <c r="B499" s="5">
        <f t="shared" si="44"/>
        <v>493</v>
      </c>
      <c r="C499" s="5" t="e">
        <f t="shared" si="47"/>
        <v>#N/A</v>
      </c>
      <c r="D499" s="14" t="e">
        <f t="shared" si="48"/>
        <v>#N/A</v>
      </c>
      <c r="E499" s="14" t="e">
        <f>INDEX(entities[Attributes Index],MATCH('Customize code'!C499,entities[custom entity '#],0))</f>
        <v>#N/A</v>
      </c>
      <c r="F499" s="14" t="e">
        <f t="shared" si="45"/>
        <v>#N/A</v>
      </c>
      <c r="G499" s="5" t="e">
        <f>IF(D499&gt;0,"",
INDEX(entities[entity_id],MATCH('Customize code'!C499,entities[custom entity '#],0))&amp;":")</f>
        <v>#N/A</v>
      </c>
      <c r="H499" s="5" t="e">
        <f>IF(F499=0,"",VLOOKUP(F499,'Customize code'!$M$8:$O$13,3,FALSE))</f>
        <v>#N/A</v>
      </c>
      <c r="I499" s="5" t="e">
        <f>IF(F499=0, "",  INDEX(entities[[hidden]:[icon]],  MATCH(C499,entities[custom entity '#],0),  'Customize code'!F499)  )</f>
        <v>#N/A</v>
      </c>
      <c r="J499" s="5" t="str">
        <f t="shared" si="46"/>
        <v/>
      </c>
      <c r="K499" s="5" t="str">
        <f t="shared" si="43"/>
        <v/>
      </c>
    </row>
    <row r="500" spans="2:11" x14ac:dyDescent="0.25">
      <c r="B500" s="5">
        <f t="shared" si="44"/>
        <v>494</v>
      </c>
      <c r="C500" s="5" t="e">
        <f t="shared" si="47"/>
        <v>#N/A</v>
      </c>
      <c r="D500" s="14" t="e">
        <f t="shared" si="48"/>
        <v>#N/A</v>
      </c>
      <c r="E500" s="14" t="e">
        <f>INDEX(entities[Attributes Index],MATCH('Customize code'!C500,entities[custom entity '#],0))</f>
        <v>#N/A</v>
      </c>
      <c r="F500" s="14" t="e">
        <f t="shared" si="45"/>
        <v>#N/A</v>
      </c>
      <c r="G500" s="5" t="e">
        <f>IF(D500&gt;0,"",
INDEX(entities[entity_id],MATCH('Customize code'!C500,entities[custom entity '#],0))&amp;":")</f>
        <v>#N/A</v>
      </c>
      <c r="H500" s="5" t="e">
        <f>IF(F500=0,"",VLOOKUP(F500,'Customize code'!$M$8:$O$13,3,FALSE))</f>
        <v>#N/A</v>
      </c>
      <c r="I500" s="5" t="e">
        <f>IF(F500=0, "",  INDEX(entities[[hidden]:[icon]],  MATCH(C500,entities[custom entity '#],0),  'Customize code'!F500)  )</f>
        <v>#N/A</v>
      </c>
      <c r="J500" s="5" t="str">
        <f t="shared" si="46"/>
        <v/>
      </c>
      <c r="K500" s="5" t="str">
        <f t="shared" si="43"/>
        <v/>
      </c>
    </row>
    <row r="501" spans="2:11" x14ac:dyDescent="0.25">
      <c r="B501" s="5">
        <f t="shared" si="44"/>
        <v>495</v>
      </c>
      <c r="C501" s="5" t="e">
        <f t="shared" si="47"/>
        <v>#N/A</v>
      </c>
      <c r="D501" s="14" t="e">
        <f t="shared" si="48"/>
        <v>#N/A</v>
      </c>
      <c r="E501" s="14" t="e">
        <f>INDEX(entities[Attributes Index],MATCH('Customize code'!C501,entities[custom entity '#],0))</f>
        <v>#N/A</v>
      </c>
      <c r="F501" s="14" t="e">
        <f t="shared" si="45"/>
        <v>#N/A</v>
      </c>
      <c r="G501" s="5" t="e">
        <f>IF(D501&gt;0,"",
INDEX(entities[entity_id],MATCH('Customize code'!C501,entities[custom entity '#],0))&amp;":")</f>
        <v>#N/A</v>
      </c>
      <c r="H501" s="5" t="e">
        <f>IF(F501=0,"",VLOOKUP(F501,'Customize code'!$M$8:$O$13,3,FALSE))</f>
        <v>#N/A</v>
      </c>
      <c r="I501" s="5" t="e">
        <f>IF(F501=0, "",  INDEX(entities[[hidden]:[icon]],  MATCH(C501,entities[custom entity '#],0),  'Customize code'!F501)  )</f>
        <v>#N/A</v>
      </c>
      <c r="J501" s="5" t="str">
        <f t="shared" si="46"/>
        <v/>
      </c>
      <c r="K501" s="5" t="str">
        <f t="shared" si="43"/>
        <v/>
      </c>
    </row>
    <row r="502" spans="2:11" x14ac:dyDescent="0.25">
      <c r="B502" s="5">
        <f t="shared" si="44"/>
        <v>496</v>
      </c>
      <c r="C502" s="5" t="e">
        <f t="shared" si="47"/>
        <v>#N/A</v>
      </c>
      <c r="D502" s="14" t="e">
        <f t="shared" si="48"/>
        <v>#N/A</v>
      </c>
      <c r="E502" s="14" t="e">
        <f>INDEX(entities[Attributes Index],MATCH('Customize code'!C502,entities[custom entity '#],0))</f>
        <v>#N/A</v>
      </c>
      <c r="F502" s="14" t="e">
        <f t="shared" si="45"/>
        <v>#N/A</v>
      </c>
      <c r="G502" s="5" t="e">
        <f>IF(D502&gt;0,"",
INDEX(entities[entity_id],MATCH('Customize code'!C502,entities[custom entity '#],0))&amp;":")</f>
        <v>#N/A</v>
      </c>
      <c r="H502" s="5" t="e">
        <f>IF(F502=0,"",VLOOKUP(F502,'Customize code'!$M$8:$O$13,3,FALSE))</f>
        <v>#N/A</v>
      </c>
      <c r="I502" s="5" t="e">
        <f>IF(F502=0, "",  INDEX(entities[[hidden]:[icon]],  MATCH(C502,entities[custom entity '#],0),  'Customize code'!F502)  )</f>
        <v>#N/A</v>
      </c>
      <c r="J502" s="5" t="str">
        <f t="shared" si="46"/>
        <v/>
      </c>
      <c r="K502" s="5" t="str">
        <f t="shared" si="43"/>
        <v/>
      </c>
    </row>
    <row r="503" spans="2:11" x14ac:dyDescent="0.25">
      <c r="B503" s="5">
        <f t="shared" si="44"/>
        <v>497</v>
      </c>
      <c r="C503" s="5" t="e">
        <f t="shared" si="47"/>
        <v>#N/A</v>
      </c>
      <c r="D503" s="14" t="e">
        <f t="shared" si="48"/>
        <v>#N/A</v>
      </c>
      <c r="E503" s="14" t="e">
        <f>INDEX(entities[Attributes Index],MATCH('Customize code'!C503,entities[custom entity '#],0))</f>
        <v>#N/A</v>
      </c>
      <c r="F503" s="14" t="e">
        <f t="shared" si="45"/>
        <v>#N/A</v>
      </c>
      <c r="G503" s="5" t="e">
        <f>IF(D503&gt;0,"",
INDEX(entities[entity_id],MATCH('Customize code'!C503,entities[custom entity '#],0))&amp;":")</f>
        <v>#N/A</v>
      </c>
      <c r="H503" s="5" t="e">
        <f>IF(F503=0,"",VLOOKUP(F503,'Customize code'!$M$8:$O$13,3,FALSE))</f>
        <v>#N/A</v>
      </c>
      <c r="I503" s="5" t="e">
        <f>IF(F503=0, "",  INDEX(entities[[hidden]:[icon]],  MATCH(C503,entities[custom entity '#],0),  'Customize code'!F503)  )</f>
        <v>#N/A</v>
      </c>
      <c r="J503" s="5" t="str">
        <f t="shared" si="46"/>
        <v/>
      </c>
      <c r="K503" s="5" t="str">
        <f t="shared" ref="K503:K506" si="49">IF(AND(NOT(ISNA(D503)),ISNA(E503)),"END","")</f>
        <v/>
      </c>
    </row>
    <row r="504" spans="2:11" x14ac:dyDescent="0.25">
      <c r="B504" s="5">
        <f t="shared" si="44"/>
        <v>498</v>
      </c>
      <c r="C504" s="5" t="e">
        <f t="shared" si="47"/>
        <v>#N/A</v>
      </c>
      <c r="D504" s="14" t="e">
        <f t="shared" si="48"/>
        <v>#N/A</v>
      </c>
      <c r="E504" s="14" t="e">
        <f>INDEX(entities[Attributes Index],MATCH('Customize code'!C504,entities[custom entity '#],0))</f>
        <v>#N/A</v>
      </c>
      <c r="F504" s="14" t="e">
        <f t="shared" si="45"/>
        <v>#N/A</v>
      </c>
      <c r="G504" s="5" t="e">
        <f>IF(D504&gt;0,"",
INDEX(entities[entity_id],MATCH('Customize code'!C504,entities[custom entity '#],0))&amp;":")</f>
        <v>#N/A</v>
      </c>
      <c r="H504" s="5" t="e">
        <f>IF(F504=0,"",VLOOKUP(F504,'Customize code'!$M$8:$O$13,3,FALSE))</f>
        <v>#N/A</v>
      </c>
      <c r="I504" s="5" t="e">
        <f>IF(F504=0, "",  INDEX(entities[[hidden]:[icon]],  MATCH(C504,entities[custom entity '#],0),  'Customize code'!F504)  )</f>
        <v>#N/A</v>
      </c>
      <c r="J504" s="5" t="str">
        <f t="shared" si="46"/>
        <v/>
      </c>
      <c r="K504" s="5" t="str">
        <f t="shared" si="49"/>
        <v/>
      </c>
    </row>
    <row r="505" spans="2:11" x14ac:dyDescent="0.25">
      <c r="B505" s="5">
        <f t="shared" si="44"/>
        <v>499</v>
      </c>
      <c r="C505" s="5" t="e">
        <f t="shared" si="47"/>
        <v>#N/A</v>
      </c>
      <c r="D505" s="14" t="e">
        <f t="shared" si="48"/>
        <v>#N/A</v>
      </c>
      <c r="E505" s="14" t="e">
        <f>INDEX(entities[Attributes Index],MATCH('Customize code'!C505,entities[custom entity '#],0))</f>
        <v>#N/A</v>
      </c>
      <c r="F505" s="14" t="e">
        <f t="shared" si="45"/>
        <v>#N/A</v>
      </c>
      <c r="G505" s="5" t="e">
        <f>IF(D505&gt;0,"",
INDEX(entities[entity_id],MATCH('Customize code'!C505,entities[custom entity '#],0))&amp;":")</f>
        <v>#N/A</v>
      </c>
      <c r="H505" s="5" t="e">
        <f>IF(F505=0,"",VLOOKUP(F505,'Customize code'!$M$8:$O$13,3,FALSE))</f>
        <v>#N/A</v>
      </c>
      <c r="I505" s="5" t="e">
        <f>IF(F505=0, "",  INDEX(entities[[hidden]:[icon]],  MATCH(C505,entities[custom entity '#],0),  'Customize code'!F505)  )</f>
        <v>#N/A</v>
      </c>
      <c r="J505" s="5" t="str">
        <f t="shared" si="46"/>
        <v/>
      </c>
      <c r="K505" s="5" t="str">
        <f t="shared" si="49"/>
        <v/>
      </c>
    </row>
    <row r="506" spans="2:11" x14ac:dyDescent="0.25">
      <c r="B506" s="5">
        <f t="shared" si="44"/>
        <v>500</v>
      </c>
      <c r="C506" s="5" t="e">
        <f t="shared" si="47"/>
        <v>#N/A</v>
      </c>
      <c r="D506" s="14" t="e">
        <f t="shared" si="48"/>
        <v>#N/A</v>
      </c>
      <c r="E506" s="14" t="e">
        <f>INDEX(entities[Attributes Index],MATCH('Customize code'!C506,entities[custom entity '#],0))</f>
        <v>#N/A</v>
      </c>
      <c r="F506" s="14" t="e">
        <f t="shared" si="45"/>
        <v>#N/A</v>
      </c>
      <c r="G506" s="5" t="e">
        <f>IF(D506&gt;0,"",
INDEX(entities[entity_id],MATCH('Customize code'!C506,entities[custom entity '#],0))&amp;":")</f>
        <v>#N/A</v>
      </c>
      <c r="H506" s="5" t="e">
        <f>IF(F506=0,"",VLOOKUP(F506,'Customize code'!$M$8:$O$13,3,FALSE))</f>
        <v>#N/A</v>
      </c>
      <c r="I506" s="5" t="e">
        <f>IF(F506=0, "",  INDEX(entities[[hidden]:[icon]],  MATCH(C506,entities[custom entity '#],0),  'Customize code'!F506)  )</f>
        <v>#N/A</v>
      </c>
      <c r="J506" s="5" t="str">
        <f t="shared" si="46"/>
        <v/>
      </c>
      <c r="K506" s="5" t="str">
        <f t="shared" si="49"/>
        <v/>
      </c>
    </row>
  </sheetData>
  <conditionalFormatting sqref="J7:J506">
    <cfRule type="expression" dxfId="3" priority="5">
      <formula>NOT(ISNA(#REF!))</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H506"/>
  <sheetViews>
    <sheetView showGridLines="0" zoomScaleNormal="100" workbookViewId="0"/>
  </sheetViews>
  <sheetFormatPr defaultRowHeight="15" outlineLevelCol="1" x14ac:dyDescent="0.25"/>
  <cols>
    <col min="1" max="1" width="2.42578125" customWidth="1"/>
    <col min="2" max="2" width="6.140625" bestFit="1" customWidth="1"/>
    <col min="3" max="5" width="9.140625" hidden="1" customWidth="1" outlineLevel="1"/>
    <col min="6" max="7" width="12.5703125" hidden="1" customWidth="1" outlineLevel="1"/>
    <col min="8" max="8" width="19" hidden="1" customWidth="1" outlineLevel="1"/>
    <col min="9" max="10" width="16" hidden="1" customWidth="1" outlineLevel="1"/>
    <col min="11" max="15" width="5.7109375" hidden="1" customWidth="1" outlineLevel="1"/>
    <col min="16" max="22" width="16" hidden="1" customWidth="1" outlineLevel="1"/>
    <col min="23" max="23" width="69.28515625" bestFit="1" customWidth="1" collapsed="1"/>
    <col min="24" max="24" width="11.28515625" bestFit="1" customWidth="1"/>
    <col min="25" max="25" width="2.85546875" customWidth="1"/>
    <col min="26" max="26" width="10.7109375" hidden="1" customWidth="1" outlineLevel="1"/>
    <col min="27" max="27" width="14.7109375" hidden="1" customWidth="1" outlineLevel="1"/>
    <col min="28" max="28" width="15" hidden="1" customWidth="1" outlineLevel="1"/>
    <col min="29" max="29" width="9.28515625" hidden="1" customWidth="1" outlineLevel="1"/>
    <col min="30" max="30" width="9.140625" collapsed="1"/>
  </cols>
  <sheetData>
    <row r="1" spans="1:30" ht="21" x14ac:dyDescent="0.35">
      <c r="A1" s="1" t="s">
        <v>605</v>
      </c>
      <c r="AD1" s="12" t="s">
        <v>836</v>
      </c>
    </row>
    <row r="3" spans="1:30" x14ac:dyDescent="0.25">
      <c r="A3" s="12" t="s">
        <v>606</v>
      </c>
    </row>
    <row r="5" spans="1:30" x14ac:dyDescent="0.25">
      <c r="C5" t="s">
        <v>831</v>
      </c>
      <c r="G5" t="s">
        <v>832</v>
      </c>
      <c r="K5" t="s">
        <v>834</v>
      </c>
      <c r="P5" t="s">
        <v>603</v>
      </c>
    </row>
    <row r="6" spans="1:30" x14ac:dyDescent="0.25">
      <c r="B6" s="38" t="s">
        <v>14</v>
      </c>
      <c r="C6" s="38" t="s">
        <v>599</v>
      </c>
      <c r="D6" s="38" t="s">
        <v>690</v>
      </c>
      <c r="E6" s="38" t="s">
        <v>791</v>
      </c>
      <c r="F6" s="38" t="s">
        <v>600</v>
      </c>
      <c r="G6" s="38" t="s">
        <v>825</v>
      </c>
      <c r="H6" s="38" t="s">
        <v>818</v>
      </c>
      <c r="I6" s="38" t="s">
        <v>819</v>
      </c>
      <c r="J6" s="38" t="s">
        <v>823</v>
      </c>
      <c r="K6" s="38" t="s">
        <v>8</v>
      </c>
      <c r="L6" s="38" t="s">
        <v>820</v>
      </c>
      <c r="M6" s="38" t="s">
        <v>835</v>
      </c>
      <c r="N6" s="38" t="s">
        <v>642</v>
      </c>
      <c r="O6" s="38" t="s">
        <v>10</v>
      </c>
      <c r="P6" s="38" t="s">
        <v>824</v>
      </c>
      <c r="Q6" s="38" t="s">
        <v>826</v>
      </c>
      <c r="R6" s="38" t="s">
        <v>5</v>
      </c>
      <c r="S6" s="38" t="s">
        <v>827</v>
      </c>
      <c r="T6" s="38" t="s">
        <v>828</v>
      </c>
      <c r="U6" s="38" t="s">
        <v>829</v>
      </c>
      <c r="V6" s="38" t="s">
        <v>830</v>
      </c>
      <c r="W6" s="38" t="s">
        <v>684</v>
      </c>
      <c r="X6" s="38" t="s">
        <v>602</v>
      </c>
      <c r="Z6" s="16" t="s">
        <v>610</v>
      </c>
      <c r="AA6" s="16"/>
      <c r="AB6" s="16"/>
      <c r="AC6" s="16"/>
    </row>
    <row r="7" spans="1:30" x14ac:dyDescent="0.25">
      <c r="B7" s="13">
        <v>1</v>
      </c>
      <c r="C7" s="5"/>
      <c r="D7" s="5"/>
      <c r="E7" s="5"/>
      <c r="F7" s="5"/>
      <c r="G7" s="5"/>
      <c r="H7" s="5"/>
      <c r="I7" s="5"/>
      <c r="J7" s="5"/>
      <c r="K7" s="5"/>
      <c r="L7" s="5"/>
      <c r="M7" s="5"/>
      <c r="N7" s="5"/>
      <c r="O7" s="5"/>
      <c r="P7" s="5"/>
      <c r="Q7" s="5"/>
      <c r="R7" s="5"/>
      <c r="S7" s="5"/>
      <c r="T7" s="5"/>
      <c r="U7" s="5"/>
      <c r="V7" s="5"/>
      <c r="W7" s="13" t="s">
        <v>882</v>
      </c>
      <c r="X7" s="5"/>
      <c r="Z7" s="8" t="s">
        <v>870</v>
      </c>
      <c r="AA7" s="8" t="s">
        <v>871</v>
      </c>
      <c r="AB7" s="8" t="s">
        <v>13</v>
      </c>
      <c r="AC7" s="8" t="s">
        <v>16</v>
      </c>
    </row>
    <row r="8" spans="1:30" x14ac:dyDescent="0.25">
      <c r="B8" s="5">
        <f>B7+1</f>
        <v>2</v>
      </c>
      <c r="C8" s="5"/>
      <c r="D8" s="5"/>
      <c r="E8" s="5"/>
      <c r="F8" s="5"/>
      <c r="G8" s="5"/>
      <c r="H8" s="5"/>
      <c r="I8" s="5"/>
      <c r="J8" s="5"/>
      <c r="K8" s="5"/>
      <c r="L8" s="5"/>
      <c r="M8" s="5"/>
      <c r="N8" s="5"/>
      <c r="O8" s="5"/>
      <c r="P8" s="5"/>
      <c r="Q8" s="5"/>
      <c r="R8" s="5"/>
      <c r="S8" s="5"/>
      <c r="T8" s="5"/>
      <c r="U8" s="5"/>
      <c r="V8" s="5"/>
      <c r="W8" s="41" t="s">
        <v>11</v>
      </c>
      <c r="X8" s="5"/>
      <c r="Z8" s="36" t="s">
        <v>825</v>
      </c>
      <c r="AA8" s="36"/>
      <c r="AB8" s="36"/>
      <c r="AC8" s="36"/>
    </row>
    <row r="9" spans="1:30" x14ac:dyDescent="0.25">
      <c r="B9" s="5">
        <f t="shared" ref="B9:B72" si="0">B8+1</f>
        <v>3</v>
      </c>
      <c r="C9" s="13">
        <v>1</v>
      </c>
      <c r="D9" s="5" t="str">
        <f ca="1">INDEX(cards[Attribute Index],MATCH('Group code'!C9,cards[object_id order],0))</f>
        <v>1</v>
      </c>
      <c r="E9" s="5">
        <f t="shared" ref="E9:E72" ca="1" si="1">LEN(D9)</f>
        <v>1</v>
      </c>
      <c r="F9" s="14">
        <f>INDEX(cards[Entities count],MATCH('Group code'!C9,cards[object_id order],0))</f>
        <v>2</v>
      </c>
      <c r="G9" s="13">
        <v>0</v>
      </c>
      <c r="H9" s="22" t="s">
        <v>11</v>
      </c>
      <c r="I9" s="6"/>
      <c r="J9" s="5" t="str">
        <f t="shared" ref="J9:J72" si="2">IF(H9="","",VALUE(MID(D9,H9,1)))</f>
        <v/>
      </c>
      <c r="K9" s="5">
        <f ca="1">IF(G9=0,
IF(D9&lt;&gt;"",1,2),
"")</f>
        <v>1</v>
      </c>
      <c r="L9" s="5" t="str">
        <f>IF(G9=1,
IF(E9=H9,1,0),
"")</f>
        <v/>
      </c>
      <c r="M9" s="5" t="str">
        <f>IF(G9=2,
1,
"")</f>
        <v/>
      </c>
      <c r="N9" s="5" t="str">
        <f>IF(G9=3,
IF(F9=I9,1,0),
"")</f>
        <v/>
      </c>
      <c r="O9" s="5" t="str">
        <f>IF(G9=4,
-4,
"")</f>
        <v/>
      </c>
      <c r="P9" s="5" t="str">
        <f>VLOOKUP(G9,'Group code'!$Z$9:$AC$13,3,FALSE)</f>
        <v/>
      </c>
      <c r="Q9" s="5" t="str">
        <f>IF(J9="","",VLOOKUP(J9,$Z$15:$AC$18,3,FALSE))</f>
        <v/>
      </c>
      <c r="R9" s="5" t="str">
        <f>IF(G9=0,INDEX(cards[object_id],MATCH($C9,cards[object_id order],0)),"")</f>
        <v>automation_almclk</v>
      </c>
      <c r="S9" s="5" t="str">
        <f>IF(G9=1,INDEX(cards[[name]:[control]],MATCH($C9,cards[object_id order],0),'Group code'!J9),"")</f>
        <v/>
      </c>
      <c r="T9" s="5" t="str">
        <f>IF(G9=3,INDEX(cards[[1]:[25]],MATCH($C9,cards[object_id order],0),'Group code'!I9),"")</f>
        <v/>
      </c>
      <c r="U9" s="5" t="str">
        <f>VLOOKUP(G9,'Group code'!$Z$9:$AC$13,4,FALSE)</f>
        <v>:</v>
      </c>
      <c r="V9" s="5" t="str">
        <f>IF(J9="","",VLOOKUP(J9,'Group code'!$Z$15:$AC$18,4,FALSE))</f>
        <v/>
      </c>
      <c r="W9" s="23" t="str">
        <f t="shared" ref="W9" si="3">_xlfn.IFNA(  CONCATENATE(P9,Q9,R9,S9,T9,U9,V9),  "")</f>
        <v>automation_almclk:</v>
      </c>
      <c r="X9" s="5" t="str">
        <f t="shared" ref="X9:X72" si="4">IF(AND(NOT(ISNA(F9)),ISNA(F10)),"END","")</f>
        <v/>
      </c>
      <c r="Z9" s="5">
        <v>0</v>
      </c>
      <c r="AA9" s="5" t="s">
        <v>8</v>
      </c>
      <c r="AB9" s="6" t="s">
        <v>11</v>
      </c>
      <c r="AC9" s="6" t="s">
        <v>17</v>
      </c>
    </row>
    <row r="10" spans="1:30" x14ac:dyDescent="0.25">
      <c r="B10" s="5">
        <f t="shared" si="0"/>
        <v>4</v>
      </c>
      <c r="C10" s="5">
        <f t="shared" ref="C10" si="5">IF(G9=4,C9+1,C9)</f>
        <v>1</v>
      </c>
      <c r="D10" s="5" t="str">
        <f ca="1">INDEX(cards[Attribute Index],MATCH('Group code'!C10,cards[object_id order],0))</f>
        <v>1</v>
      </c>
      <c r="E10" s="5">
        <f t="shared" ca="1" si="1"/>
        <v>1</v>
      </c>
      <c r="F10" s="14">
        <f>INDEX(cards[Entities count],MATCH('Group code'!C10,cards[object_id order],0))</f>
        <v>2</v>
      </c>
      <c r="G10" s="14">
        <f t="shared" ref="G10:G73" ca="1" si="6">G9+SUM(K9:O9)</f>
        <v>1</v>
      </c>
      <c r="H10" s="14">
        <f t="shared" ref="H10:H73" ca="1" si="7">IF(AND(G9=0,D9&lt;&gt;""),1,IF(G10=1,H9+1,""))</f>
        <v>1</v>
      </c>
      <c r="I10" s="5" t="str">
        <f t="shared" ref="I10:I73" ca="1" si="8">IF(G9=2,1,IF(G10=3,I9+1,""))</f>
        <v/>
      </c>
      <c r="J10" s="5">
        <f t="shared" ca="1" si="2"/>
        <v>1</v>
      </c>
      <c r="K10" s="5" t="str">
        <f t="shared" ref="K10:K73" ca="1" si="9">IF(G10=0,
IF(D10&lt;&gt;"",1,2),
"")</f>
        <v/>
      </c>
      <c r="L10" s="5">
        <f t="shared" ref="L10:L73" ca="1" si="10">IF(G10=1,
IF(E10=H10,1,0),
"")</f>
        <v>1</v>
      </c>
      <c r="M10" s="5" t="str">
        <f t="shared" ref="M10:M73" ca="1" si="11">IF(G10=2,
1,
"")</f>
        <v/>
      </c>
      <c r="N10" s="5" t="str">
        <f t="shared" ref="N10:N73" ca="1" si="12">IF(G10=3,
IF(F10=I10,1,0),
"")</f>
        <v/>
      </c>
      <c r="O10" s="5" t="str">
        <f t="shared" ref="O10:O73" ca="1" si="13">IF(G10=4,
-4,
"")</f>
        <v/>
      </c>
      <c r="P10" s="5" t="str">
        <f ca="1">VLOOKUP(G10,'Group code'!$Z$9:$AC$13,3,FALSE)</f>
        <v/>
      </c>
      <c r="Q10" s="5" t="str">
        <f t="shared" ref="Q10:Q73" ca="1" si="14">IF(J10="","",VLOOKUP(J10,$Z$15:$AC$18,3,FALSE))</f>
        <v xml:space="preserve">  name: "</v>
      </c>
      <c r="R10" s="5" t="str">
        <f ca="1">IF(G10=0,INDEX(cards[object_id],MATCH($C10,cards[object_id order],0)),"")</f>
        <v/>
      </c>
      <c r="S10" s="5" t="str">
        <f ca="1">IF(G10=1,INDEX(cards[[name]:[control]],MATCH($C10,cards[object_id order],0),'Group code'!J10),"")</f>
        <v>Automation || Alarm Clock</v>
      </c>
      <c r="T10" s="5" t="str">
        <f ca="1">IF(G10=3,INDEX(cards[[1]:[25]],MATCH($C10,cards[object_id order],0),'Group code'!I10),"")</f>
        <v/>
      </c>
      <c r="U10" s="5" t="str">
        <f ca="1">VLOOKUP(G10,'Group code'!$Z$9:$AC$13,4,FALSE)</f>
        <v/>
      </c>
      <c r="V10" s="5" t="str">
        <f ca="1">IF(J10="","",VLOOKUP(J10,'Group code'!$Z$15:$AC$18,4,FALSE))</f>
        <v>"</v>
      </c>
      <c r="W10" s="23" t="str">
        <f t="shared" ref="W10:W73" ca="1" si="15">_xlfn.IFNA(  CONCATENATE(P10,Q10,R10,S10,T10,U10,V10),  "")</f>
        <v xml:space="preserve">  name: "Automation || Alarm Clock"</v>
      </c>
      <c r="X10" s="5" t="str">
        <f t="shared" ca="1" si="4"/>
        <v/>
      </c>
      <c r="Z10" s="5">
        <v>1</v>
      </c>
      <c r="AA10" s="5" t="s">
        <v>820</v>
      </c>
      <c r="AB10" s="6" t="s">
        <v>11</v>
      </c>
      <c r="AC10" s="6" t="s">
        <v>11</v>
      </c>
    </row>
    <row r="11" spans="1:30" x14ac:dyDescent="0.25">
      <c r="B11" s="5">
        <f t="shared" si="0"/>
        <v>5</v>
      </c>
      <c r="C11" s="5">
        <f t="shared" ref="C11:C74" ca="1" si="16">IF(G10=4,C10+1,C10)</f>
        <v>1</v>
      </c>
      <c r="D11" s="5" t="str">
        <f ca="1">INDEX(cards[Attribute Index],MATCH('Group code'!C11,cards[object_id order],0))</f>
        <v>1</v>
      </c>
      <c r="E11" s="5">
        <f t="shared" ca="1" si="1"/>
        <v>1</v>
      </c>
      <c r="F11" s="14">
        <f ca="1">INDEX(cards[Entities count],MATCH('Group code'!C11,cards[object_id order],0))</f>
        <v>2</v>
      </c>
      <c r="G11" s="14">
        <f t="shared" ca="1" si="6"/>
        <v>2</v>
      </c>
      <c r="H11" s="14" t="str">
        <f t="shared" ca="1" si="7"/>
        <v/>
      </c>
      <c r="I11" s="5" t="str">
        <f t="shared" ca="1" si="8"/>
        <v/>
      </c>
      <c r="J11" s="5" t="str">
        <f t="shared" ca="1" si="2"/>
        <v/>
      </c>
      <c r="K11" s="5" t="str">
        <f t="shared" ca="1" si="9"/>
        <v/>
      </c>
      <c r="L11" s="5" t="str">
        <f t="shared" ca="1" si="10"/>
        <v/>
      </c>
      <c r="M11" s="5">
        <f t="shared" ca="1" si="11"/>
        <v>1</v>
      </c>
      <c r="N11" s="5" t="str">
        <f t="shared" ca="1" si="12"/>
        <v/>
      </c>
      <c r="O11" s="5" t="str">
        <f t="shared" ca="1" si="13"/>
        <v/>
      </c>
      <c r="P11" s="5" t="str">
        <f ca="1">VLOOKUP(G11,'Group code'!$Z$9:$AC$13,3,FALSE)</f>
        <v xml:space="preserve">  entities:</v>
      </c>
      <c r="Q11" s="5" t="str">
        <f t="shared" ca="1" si="14"/>
        <v/>
      </c>
      <c r="R11" s="5" t="str">
        <f ca="1">IF(G11=0,INDEX(cards[object_id],MATCH($C11,cards[object_id order],0)),"")</f>
        <v/>
      </c>
      <c r="S11" s="5" t="str">
        <f ca="1">IF(G11=1,INDEX(cards[[name]:[control]],MATCH($C11,cards[object_id order],0),'Group code'!J11),"")</f>
        <v/>
      </c>
      <c r="T11" s="5" t="str">
        <f ca="1">IF(G11=3,INDEX(cards[[1]:[25]],MATCH($C11,cards[object_id order],0),'Group code'!I11),"")</f>
        <v/>
      </c>
      <c r="U11" s="5" t="str">
        <f ca="1">VLOOKUP(G11,'Group code'!$Z$9:$AC$13,4,FALSE)</f>
        <v/>
      </c>
      <c r="V11" s="5" t="str">
        <f ca="1">IF(J11="","",VLOOKUP(J11,'Group code'!$Z$15:$AC$18,4,FALSE))</f>
        <v/>
      </c>
      <c r="W11" s="23" t="str">
        <f t="shared" ca="1" si="15"/>
        <v xml:space="preserve">  entities:</v>
      </c>
      <c r="X11" s="5" t="str">
        <f t="shared" ca="1" si="4"/>
        <v/>
      </c>
      <c r="Z11" s="5">
        <v>2</v>
      </c>
      <c r="AA11" s="5" t="s">
        <v>822</v>
      </c>
      <c r="AB11" s="6" t="s">
        <v>12</v>
      </c>
      <c r="AC11" s="6" t="s">
        <v>11</v>
      </c>
    </row>
    <row r="12" spans="1:30" x14ac:dyDescent="0.25">
      <c r="B12" s="5">
        <f t="shared" si="0"/>
        <v>6</v>
      </c>
      <c r="C12" s="5">
        <f t="shared" ca="1" si="16"/>
        <v>1</v>
      </c>
      <c r="D12" s="5" t="str">
        <f ca="1">INDEX(cards[Attribute Index],MATCH('Group code'!C12,cards[object_id order],0))</f>
        <v>1</v>
      </c>
      <c r="E12" s="5">
        <f t="shared" ca="1" si="1"/>
        <v>1</v>
      </c>
      <c r="F12" s="14">
        <f ca="1">INDEX(cards[Entities count],MATCH('Group code'!C12,cards[object_id order],0))</f>
        <v>2</v>
      </c>
      <c r="G12" s="14">
        <f t="shared" ca="1" si="6"/>
        <v>3</v>
      </c>
      <c r="H12" s="14" t="str">
        <f t="shared" ca="1" si="7"/>
        <v/>
      </c>
      <c r="I12" s="5">
        <f t="shared" ca="1" si="8"/>
        <v>1</v>
      </c>
      <c r="J12" s="5" t="str">
        <f t="shared" ca="1" si="2"/>
        <v/>
      </c>
      <c r="K12" s="5" t="str">
        <f t="shared" ca="1" si="9"/>
        <v/>
      </c>
      <c r="L12" s="5" t="str">
        <f t="shared" ca="1" si="10"/>
        <v/>
      </c>
      <c r="M12" s="5" t="str">
        <f t="shared" ca="1" si="11"/>
        <v/>
      </c>
      <c r="N12" s="5">
        <f t="shared" ca="1" si="12"/>
        <v>0</v>
      </c>
      <c r="O12" s="5" t="str">
        <f t="shared" ca="1" si="13"/>
        <v/>
      </c>
      <c r="P12" s="5" t="str">
        <f ca="1">VLOOKUP(G12,'Group code'!$Z$9:$AC$13,3,FALSE)</f>
        <v xml:space="preserve">    - </v>
      </c>
      <c r="Q12" s="5" t="str">
        <f t="shared" ca="1" si="14"/>
        <v/>
      </c>
      <c r="R12" s="5" t="str">
        <f ca="1">IF(G12=0,INDEX(cards[object_id],MATCH($C12,cards[object_id order],0)),"")</f>
        <v/>
      </c>
      <c r="S12" s="5" t="str">
        <f ca="1">IF(G12=1,INDEX(cards[[name]:[control]],MATCH($C12,cards[object_id order],0),'Group code'!J12),"")</f>
        <v/>
      </c>
      <c r="T12" s="5" t="str">
        <f ca="1">IF(G12=3,INDEX(cards[[1]:[25]],MATCH($C12,cards[object_id order],0),'Group code'!I12),"")</f>
        <v>automation.almclk_wake_up_script_triggered_by_alarm_clock</v>
      </c>
      <c r="U12" s="5" t="str">
        <f ca="1">VLOOKUP(G12,'Group code'!$Z$9:$AC$13,4,FALSE)</f>
        <v/>
      </c>
      <c r="V12" s="5" t="str">
        <f ca="1">IF(J12="","",VLOOKUP(J12,'Group code'!$Z$15:$AC$18,4,FALSE))</f>
        <v/>
      </c>
      <c r="W12" s="23" t="str">
        <f t="shared" ca="1" si="15"/>
        <v xml:space="preserve">    - automation.almclk_wake_up_script_triggered_by_alarm_clock</v>
      </c>
      <c r="X12" s="5" t="str">
        <f t="shared" ca="1" si="4"/>
        <v/>
      </c>
      <c r="Z12" s="5">
        <v>3</v>
      </c>
      <c r="AA12" s="5" t="s">
        <v>821</v>
      </c>
      <c r="AB12" s="6" t="s">
        <v>601</v>
      </c>
      <c r="AC12" s="6" t="s">
        <v>11</v>
      </c>
    </row>
    <row r="13" spans="1:30" x14ac:dyDescent="0.25">
      <c r="B13" s="5">
        <f t="shared" si="0"/>
        <v>7</v>
      </c>
      <c r="C13" s="5">
        <f t="shared" ca="1" si="16"/>
        <v>1</v>
      </c>
      <c r="D13" s="5" t="str">
        <f ca="1">INDEX(cards[Attribute Index],MATCH('Group code'!C13,cards[object_id order],0))</f>
        <v>1</v>
      </c>
      <c r="E13" s="5">
        <f t="shared" ca="1" si="1"/>
        <v>1</v>
      </c>
      <c r="F13" s="14">
        <f ca="1">INDEX(cards[Entities count],MATCH('Group code'!C13,cards[object_id order],0))</f>
        <v>2</v>
      </c>
      <c r="G13" s="14">
        <f t="shared" ca="1" si="6"/>
        <v>3</v>
      </c>
      <c r="H13" s="14" t="str">
        <f t="shared" ca="1" si="7"/>
        <v/>
      </c>
      <c r="I13" s="5">
        <f t="shared" ca="1" si="8"/>
        <v>2</v>
      </c>
      <c r="J13" s="5" t="str">
        <f t="shared" ca="1" si="2"/>
        <v/>
      </c>
      <c r="K13" s="5" t="str">
        <f t="shared" ca="1" si="9"/>
        <v/>
      </c>
      <c r="L13" s="5" t="str">
        <f t="shared" ca="1" si="10"/>
        <v/>
      </c>
      <c r="M13" s="5" t="str">
        <f t="shared" ca="1" si="11"/>
        <v/>
      </c>
      <c r="N13" s="5">
        <f t="shared" ca="1" si="12"/>
        <v>1</v>
      </c>
      <c r="O13" s="5" t="str">
        <f t="shared" ca="1" si="13"/>
        <v/>
      </c>
      <c r="P13" s="5" t="str">
        <f ca="1">VLOOKUP(G13,'Group code'!$Z$9:$AC$13,3,FALSE)</f>
        <v xml:space="preserve">    - </v>
      </c>
      <c r="Q13" s="5" t="str">
        <f t="shared" ca="1" si="14"/>
        <v/>
      </c>
      <c r="R13" s="5" t="str">
        <f ca="1">IF(G13=0,INDEX(cards[object_id],MATCH($C13,cards[object_id order],0)),"")</f>
        <v/>
      </c>
      <c r="S13" s="5" t="str">
        <f ca="1">IF(G13=1,INDEX(cards[[name]:[control]],MATCH($C13,cards[object_id order],0),'Group code'!J13),"")</f>
        <v/>
      </c>
      <c r="T13" s="5" t="str">
        <f ca="1">IF(G13=3,INDEX(cards[[1]:[25]],MATCH($C13,cards[object_id order],0),'Group code'!I13),"")</f>
        <v>automation.locaway_devices_off_when_away</v>
      </c>
      <c r="U13" s="5" t="str">
        <f ca="1">VLOOKUP(G13,'Group code'!$Z$9:$AC$13,4,FALSE)</f>
        <v/>
      </c>
      <c r="V13" s="5" t="str">
        <f ca="1">IF(J13="","",VLOOKUP(J13,'Group code'!$Z$15:$AC$18,4,FALSE))</f>
        <v/>
      </c>
      <c r="W13" s="23" t="str">
        <f t="shared" ca="1" si="15"/>
        <v xml:space="preserve">    - automation.locaway_devices_off_when_away</v>
      </c>
      <c r="X13" s="5" t="str">
        <f t="shared" ca="1" si="4"/>
        <v/>
      </c>
      <c r="Z13" s="5">
        <v>4</v>
      </c>
      <c r="AA13" s="5" t="s">
        <v>10</v>
      </c>
      <c r="AB13" s="6" t="s">
        <v>11</v>
      </c>
      <c r="AC13" s="6" t="s">
        <v>11</v>
      </c>
    </row>
    <row r="14" spans="1:30" x14ac:dyDescent="0.25">
      <c r="B14" s="5">
        <f t="shared" si="0"/>
        <v>8</v>
      </c>
      <c r="C14" s="5">
        <f t="shared" ca="1" si="16"/>
        <v>1</v>
      </c>
      <c r="D14" s="5" t="str">
        <f ca="1">INDEX(cards[Attribute Index],MATCH('Group code'!C14,cards[object_id order],0))</f>
        <v>1</v>
      </c>
      <c r="E14" s="5">
        <f t="shared" ca="1" si="1"/>
        <v>1</v>
      </c>
      <c r="F14" s="14">
        <f ca="1">INDEX(cards[Entities count],MATCH('Group code'!C14,cards[object_id order],0))</f>
        <v>2</v>
      </c>
      <c r="G14" s="14">
        <f t="shared" ca="1" si="6"/>
        <v>4</v>
      </c>
      <c r="H14" s="14" t="str">
        <f t="shared" ca="1" si="7"/>
        <v/>
      </c>
      <c r="I14" s="5" t="str">
        <f t="shared" ca="1" si="8"/>
        <v/>
      </c>
      <c r="J14" s="5" t="str">
        <f t="shared" ca="1" si="2"/>
        <v/>
      </c>
      <c r="K14" s="5" t="str">
        <f t="shared" ca="1" si="9"/>
        <v/>
      </c>
      <c r="L14" s="5" t="str">
        <f t="shared" ca="1" si="10"/>
        <v/>
      </c>
      <c r="M14" s="5" t="str">
        <f t="shared" ca="1" si="11"/>
        <v/>
      </c>
      <c r="N14" s="5" t="str">
        <f t="shared" ca="1" si="12"/>
        <v/>
      </c>
      <c r="O14" s="5">
        <f t="shared" ca="1" si="13"/>
        <v>-4</v>
      </c>
      <c r="P14" s="5" t="str">
        <f ca="1">VLOOKUP(G14,'Group code'!$Z$9:$AC$13,3,FALSE)</f>
        <v/>
      </c>
      <c r="Q14" s="5" t="str">
        <f t="shared" ca="1" si="14"/>
        <v/>
      </c>
      <c r="R14" s="5" t="str">
        <f ca="1">IF(G14=0,INDEX(cards[object_id],MATCH($C14,cards[object_id order],0)),"")</f>
        <v/>
      </c>
      <c r="S14" s="5" t="str">
        <f ca="1">IF(G14=1,INDEX(cards[[name]:[control]],MATCH($C14,cards[object_id order],0),'Group code'!J14),"")</f>
        <v/>
      </c>
      <c r="T14" s="5" t="str">
        <f ca="1">IF(G14=3,INDEX(cards[[1]:[25]],MATCH($C14,cards[object_id order],0),'Group code'!I14),"")</f>
        <v/>
      </c>
      <c r="U14" s="5" t="str">
        <f ca="1">VLOOKUP(G14,'Group code'!$Z$9:$AC$13,4,FALSE)</f>
        <v/>
      </c>
      <c r="V14" s="5" t="str">
        <f ca="1">IF(J14="","",VLOOKUP(J14,'Group code'!$Z$15:$AC$18,4,FALSE))</f>
        <v/>
      </c>
      <c r="W14" s="23" t="str">
        <f t="shared" ca="1" si="15"/>
        <v/>
      </c>
      <c r="X14" s="5" t="str">
        <f t="shared" ca="1" si="4"/>
        <v/>
      </c>
      <c r="Z14" s="36" t="s">
        <v>690</v>
      </c>
      <c r="AA14" s="36"/>
      <c r="AB14" s="36"/>
      <c r="AC14" s="36"/>
    </row>
    <row r="15" spans="1:30" x14ac:dyDescent="0.25">
      <c r="B15" s="5">
        <f t="shared" si="0"/>
        <v>9</v>
      </c>
      <c r="C15" s="5">
        <f t="shared" ca="1" si="16"/>
        <v>2</v>
      </c>
      <c r="D15" s="5" t="str">
        <f ca="1">INDEX(cards[Attribute Index],MATCH('Group code'!C15,cards[object_id order],0))</f>
        <v>1</v>
      </c>
      <c r="E15" s="5">
        <f t="shared" ca="1" si="1"/>
        <v>1</v>
      </c>
      <c r="F15" s="14">
        <f ca="1">INDEX(cards[Entities count],MATCH('Group code'!C15,cards[object_id order],0))</f>
        <v>3</v>
      </c>
      <c r="G15" s="14">
        <f t="shared" ca="1" si="6"/>
        <v>0</v>
      </c>
      <c r="H15" s="14" t="str">
        <f t="shared" ca="1" si="7"/>
        <v/>
      </c>
      <c r="I15" s="5" t="str">
        <f t="shared" ca="1" si="8"/>
        <v/>
      </c>
      <c r="J15" s="5" t="str">
        <f t="shared" ca="1" si="2"/>
        <v/>
      </c>
      <c r="K15" s="5">
        <f t="shared" ca="1" si="9"/>
        <v>1</v>
      </c>
      <c r="L15" s="5" t="str">
        <f t="shared" ca="1" si="10"/>
        <v/>
      </c>
      <c r="M15" s="5" t="str">
        <f t="shared" ca="1" si="11"/>
        <v/>
      </c>
      <c r="N15" s="5" t="str">
        <f t="shared" ca="1" si="12"/>
        <v/>
      </c>
      <c r="O15" s="5" t="str">
        <f t="shared" ca="1" si="13"/>
        <v/>
      </c>
      <c r="P15" s="5" t="str">
        <f ca="1">VLOOKUP(G15,'Group code'!$Z$9:$AC$13,3,FALSE)</f>
        <v/>
      </c>
      <c r="Q15" s="5" t="str">
        <f t="shared" ca="1" si="14"/>
        <v/>
      </c>
      <c r="R15" s="5" t="str">
        <f ca="1">IF(G15=0,INDEX(cards[object_id],MATCH($C15,cards[object_id order],0)),"")</f>
        <v>automation_locaway</v>
      </c>
      <c r="S15" s="5" t="str">
        <f ca="1">IF(G15=1,INDEX(cards[[name]:[control]],MATCH($C15,cards[object_id order],0),'Group code'!J15),"")</f>
        <v/>
      </c>
      <c r="T15" s="5" t="str">
        <f ca="1">IF(G15=3,INDEX(cards[[1]:[25]],MATCH($C15,cards[object_id order],0),'Group code'!I15),"")</f>
        <v/>
      </c>
      <c r="U15" s="5" t="str">
        <f ca="1">VLOOKUP(G15,'Group code'!$Z$9:$AC$13,4,FALSE)</f>
        <v>:</v>
      </c>
      <c r="V15" s="5" t="str">
        <f ca="1">IF(J15="","",VLOOKUP(J15,'Group code'!$Z$15:$AC$18,4,FALSE))</f>
        <v/>
      </c>
      <c r="W15" s="23" t="str">
        <f t="shared" ca="1" si="15"/>
        <v>automation_locaway:</v>
      </c>
      <c r="X15" s="5" t="str">
        <f t="shared" ca="1" si="4"/>
        <v/>
      </c>
      <c r="Z15" s="5">
        <v>1</v>
      </c>
      <c r="AA15" s="5" t="s">
        <v>0</v>
      </c>
      <c r="AB15" s="6" t="s">
        <v>15</v>
      </c>
      <c r="AC15" s="6" t="s">
        <v>18</v>
      </c>
    </row>
    <row r="16" spans="1:30" x14ac:dyDescent="0.25">
      <c r="B16" s="5">
        <f t="shared" si="0"/>
        <v>10</v>
      </c>
      <c r="C16" s="5">
        <f t="shared" ca="1" si="16"/>
        <v>2</v>
      </c>
      <c r="D16" s="5" t="str">
        <f ca="1">INDEX(cards[Attribute Index],MATCH('Group code'!C16,cards[object_id order],0))</f>
        <v>1</v>
      </c>
      <c r="E16" s="5">
        <f t="shared" ca="1" si="1"/>
        <v>1</v>
      </c>
      <c r="F16" s="14">
        <f ca="1">INDEX(cards[Entities count],MATCH('Group code'!C16,cards[object_id order],0))</f>
        <v>3</v>
      </c>
      <c r="G16" s="14">
        <f t="shared" ca="1" si="6"/>
        <v>1</v>
      </c>
      <c r="H16" s="14">
        <f t="shared" ca="1" si="7"/>
        <v>1</v>
      </c>
      <c r="I16" s="5" t="str">
        <f t="shared" ca="1" si="8"/>
        <v/>
      </c>
      <c r="J16" s="5">
        <f t="shared" ca="1" si="2"/>
        <v>1</v>
      </c>
      <c r="K16" s="5" t="str">
        <f t="shared" ca="1" si="9"/>
        <v/>
      </c>
      <c r="L16" s="5">
        <f t="shared" ca="1" si="10"/>
        <v>1</v>
      </c>
      <c r="M16" s="5" t="str">
        <f t="shared" ca="1" si="11"/>
        <v/>
      </c>
      <c r="N16" s="5" t="str">
        <f t="shared" ca="1" si="12"/>
        <v/>
      </c>
      <c r="O16" s="5" t="str">
        <f t="shared" ca="1" si="13"/>
        <v/>
      </c>
      <c r="P16" s="5" t="str">
        <f ca="1">VLOOKUP(G16,'Group code'!$Z$9:$AC$13,3,FALSE)</f>
        <v/>
      </c>
      <c r="Q16" s="5" t="str">
        <f t="shared" ca="1" si="14"/>
        <v xml:space="preserve">  name: "</v>
      </c>
      <c r="R16" s="5" t="str">
        <f ca="1">IF(G16=0,INDEX(cards[object_id],MATCH($C16,cards[object_id order],0)),"")</f>
        <v/>
      </c>
      <c r="S16" s="5" t="str">
        <f ca="1">IF(G16=1,INDEX(cards[[name]:[control]],MATCH($C16,cards[object_id order],0),'Group code'!J16),"")</f>
        <v>Automation || Away</v>
      </c>
      <c r="T16" s="5" t="str">
        <f ca="1">IF(G16=3,INDEX(cards[[1]:[25]],MATCH($C16,cards[object_id order],0),'Group code'!I16),"")</f>
        <v/>
      </c>
      <c r="U16" s="5" t="str">
        <f ca="1">VLOOKUP(G16,'Group code'!$Z$9:$AC$13,4,FALSE)</f>
        <v/>
      </c>
      <c r="V16" s="5" t="str">
        <f ca="1">IF(J16="","",VLOOKUP(J16,'Group code'!$Z$15:$AC$18,4,FALSE))</f>
        <v>"</v>
      </c>
      <c r="W16" s="23" t="str">
        <f t="shared" ca="1" si="15"/>
        <v xml:space="preserve">  name: "Automation || Away"</v>
      </c>
      <c r="X16" s="5" t="str">
        <f t="shared" ca="1" si="4"/>
        <v/>
      </c>
      <c r="Z16" s="5">
        <v>2</v>
      </c>
      <c r="AA16" s="5" t="s">
        <v>341</v>
      </c>
      <c r="AB16" s="6" t="s">
        <v>817</v>
      </c>
      <c r="AC16" s="6" t="s">
        <v>11</v>
      </c>
    </row>
    <row r="17" spans="2:34" x14ac:dyDescent="0.25">
      <c r="B17" s="5">
        <f t="shared" si="0"/>
        <v>11</v>
      </c>
      <c r="C17" s="5">
        <f t="shared" ca="1" si="16"/>
        <v>2</v>
      </c>
      <c r="D17" s="5" t="str">
        <f ca="1">INDEX(cards[Attribute Index],MATCH('Group code'!C17,cards[object_id order],0))</f>
        <v>1</v>
      </c>
      <c r="E17" s="5">
        <f t="shared" ca="1" si="1"/>
        <v>1</v>
      </c>
      <c r="F17" s="14">
        <f ca="1">INDEX(cards[Entities count],MATCH('Group code'!C17,cards[object_id order],0))</f>
        <v>3</v>
      </c>
      <c r="G17" s="14">
        <f t="shared" ca="1" si="6"/>
        <v>2</v>
      </c>
      <c r="H17" s="14" t="str">
        <f t="shared" ca="1" si="7"/>
        <v/>
      </c>
      <c r="I17" s="5" t="str">
        <f t="shared" ca="1" si="8"/>
        <v/>
      </c>
      <c r="J17" s="5" t="str">
        <f t="shared" ca="1" si="2"/>
        <v/>
      </c>
      <c r="K17" s="5" t="str">
        <f t="shared" ca="1" si="9"/>
        <v/>
      </c>
      <c r="L17" s="5" t="str">
        <f t="shared" ca="1" si="10"/>
        <v/>
      </c>
      <c r="M17" s="5">
        <f t="shared" ca="1" si="11"/>
        <v>1</v>
      </c>
      <c r="N17" s="5" t="str">
        <f t="shared" ca="1" si="12"/>
        <v/>
      </c>
      <c r="O17" s="5" t="str">
        <f t="shared" ca="1" si="13"/>
        <v/>
      </c>
      <c r="P17" s="5" t="str">
        <f ca="1">VLOOKUP(G17,'Group code'!$Z$9:$AC$13,3,FALSE)</f>
        <v xml:space="preserve">  entities:</v>
      </c>
      <c r="Q17" s="5" t="str">
        <f t="shared" ca="1" si="14"/>
        <v/>
      </c>
      <c r="R17" s="5" t="str">
        <f ca="1">IF(G17=0,INDEX(cards[object_id],MATCH($C17,cards[object_id order],0)),"")</f>
        <v/>
      </c>
      <c r="S17" s="5" t="str">
        <f ca="1">IF(G17=1,INDEX(cards[[name]:[control]],MATCH($C17,cards[object_id order],0),'Group code'!J17),"")</f>
        <v/>
      </c>
      <c r="T17" s="5" t="str">
        <f ca="1">IF(G17=3,INDEX(cards[[1]:[25]],MATCH($C17,cards[object_id order],0),'Group code'!I17),"")</f>
        <v/>
      </c>
      <c r="U17" s="5" t="str">
        <f ca="1">VLOOKUP(G17,'Group code'!$Z$9:$AC$13,4,FALSE)</f>
        <v/>
      </c>
      <c r="V17" s="5" t="str">
        <f ca="1">IF(J17="","",VLOOKUP(J17,'Group code'!$Z$15:$AC$18,4,FALSE))</f>
        <v/>
      </c>
      <c r="W17" s="23" t="str">
        <f t="shared" ca="1" si="15"/>
        <v xml:space="preserve">  entities:</v>
      </c>
      <c r="X17" s="5" t="str">
        <f t="shared" ca="1" si="4"/>
        <v/>
      </c>
      <c r="Z17" s="5">
        <v>3</v>
      </c>
      <c r="AA17" s="5" t="s">
        <v>154</v>
      </c>
      <c r="AB17" s="6" t="s">
        <v>307</v>
      </c>
      <c r="AC17" s="6" t="s">
        <v>11</v>
      </c>
    </row>
    <row r="18" spans="2:34" x14ac:dyDescent="0.25">
      <c r="B18" s="5">
        <f t="shared" si="0"/>
        <v>12</v>
      </c>
      <c r="C18" s="5">
        <f t="shared" ca="1" si="16"/>
        <v>2</v>
      </c>
      <c r="D18" s="5" t="str">
        <f ca="1">INDEX(cards[Attribute Index],MATCH('Group code'!C18,cards[object_id order],0))</f>
        <v>1</v>
      </c>
      <c r="E18" s="5">
        <f t="shared" ca="1" si="1"/>
        <v>1</v>
      </c>
      <c r="F18" s="14">
        <f ca="1">INDEX(cards[Entities count],MATCH('Group code'!C18,cards[object_id order],0))</f>
        <v>3</v>
      </c>
      <c r="G18" s="14">
        <f t="shared" ca="1" si="6"/>
        <v>3</v>
      </c>
      <c r="H18" s="14" t="str">
        <f t="shared" ca="1" si="7"/>
        <v/>
      </c>
      <c r="I18" s="5">
        <f t="shared" ca="1" si="8"/>
        <v>1</v>
      </c>
      <c r="J18" s="5" t="str">
        <f t="shared" ca="1" si="2"/>
        <v/>
      </c>
      <c r="K18" s="5" t="str">
        <f t="shared" ca="1" si="9"/>
        <v/>
      </c>
      <c r="L18" s="5" t="str">
        <f t="shared" ca="1" si="10"/>
        <v/>
      </c>
      <c r="M18" s="5" t="str">
        <f t="shared" ca="1" si="11"/>
        <v/>
      </c>
      <c r="N18" s="5">
        <f t="shared" ca="1" si="12"/>
        <v>0</v>
      </c>
      <c r="O18" s="5" t="str">
        <f t="shared" ca="1" si="13"/>
        <v/>
      </c>
      <c r="P18" s="5" t="str">
        <f ca="1">VLOOKUP(G18,'Group code'!$Z$9:$AC$13,3,FALSE)</f>
        <v xml:space="preserve">    - </v>
      </c>
      <c r="Q18" s="5" t="str">
        <f t="shared" ca="1" si="14"/>
        <v/>
      </c>
      <c r="R18" s="5" t="str">
        <f ca="1">IF(G18=0,INDEX(cards[object_id],MATCH($C18,cards[object_id order],0)),"")</f>
        <v/>
      </c>
      <c r="S18" s="5" t="str">
        <f ca="1">IF(G18=1,INDEX(cards[[name]:[control]],MATCH($C18,cards[object_id order],0),'Group code'!J18),"")</f>
        <v/>
      </c>
      <c r="T18" s="5" t="str">
        <f ca="1">IF(G18=3,INDEX(cards[[1]:[25]],MATCH($C18,cards[object_id order],0),'Group code'!I18),"")</f>
        <v>automation.locaway_devices_in_bedroom_off_when_at_the_computer</v>
      </c>
      <c r="U18" s="5" t="str">
        <f ca="1">VLOOKUP(G18,'Group code'!$Z$9:$AC$13,4,FALSE)</f>
        <v/>
      </c>
      <c r="V18" s="5" t="str">
        <f ca="1">IF(J18="","",VLOOKUP(J18,'Group code'!$Z$15:$AC$18,4,FALSE))</f>
        <v/>
      </c>
      <c r="W18" s="23" t="str">
        <f t="shared" ca="1" si="15"/>
        <v xml:space="preserve">    - automation.locaway_devices_in_bedroom_off_when_at_the_computer</v>
      </c>
      <c r="X18" s="5" t="str">
        <f t="shared" ca="1" si="4"/>
        <v/>
      </c>
      <c r="Z18" s="5">
        <v>4</v>
      </c>
      <c r="AA18" s="5" t="s">
        <v>796</v>
      </c>
      <c r="AB18" s="6" t="s">
        <v>816</v>
      </c>
      <c r="AC18" s="6" t="s">
        <v>11</v>
      </c>
    </row>
    <row r="19" spans="2:34" x14ac:dyDescent="0.25">
      <c r="B19" s="5">
        <f t="shared" si="0"/>
        <v>13</v>
      </c>
      <c r="C19" s="5">
        <f t="shared" ca="1" si="16"/>
        <v>2</v>
      </c>
      <c r="D19" s="5" t="str">
        <f ca="1">INDEX(cards[Attribute Index],MATCH('Group code'!C19,cards[object_id order],0))</f>
        <v>1</v>
      </c>
      <c r="E19" s="5">
        <f t="shared" ca="1" si="1"/>
        <v>1</v>
      </c>
      <c r="F19" s="14">
        <f ca="1">INDEX(cards[Entities count],MATCH('Group code'!C19,cards[object_id order],0))</f>
        <v>3</v>
      </c>
      <c r="G19" s="14">
        <f t="shared" ca="1" si="6"/>
        <v>3</v>
      </c>
      <c r="H19" s="14" t="str">
        <f t="shared" ca="1" si="7"/>
        <v/>
      </c>
      <c r="I19" s="5">
        <f t="shared" ca="1" si="8"/>
        <v>2</v>
      </c>
      <c r="J19" s="5" t="str">
        <f t="shared" ca="1" si="2"/>
        <v/>
      </c>
      <c r="K19" s="5" t="str">
        <f t="shared" ca="1" si="9"/>
        <v/>
      </c>
      <c r="L19" s="5" t="str">
        <f t="shared" ca="1" si="10"/>
        <v/>
      </c>
      <c r="M19" s="5" t="str">
        <f t="shared" ca="1" si="11"/>
        <v/>
      </c>
      <c r="N19" s="5">
        <f t="shared" ca="1" si="12"/>
        <v>0</v>
      </c>
      <c r="O19" s="5" t="str">
        <f t="shared" ca="1" si="13"/>
        <v/>
      </c>
      <c r="P19" s="5" t="str">
        <f ca="1">VLOOKUP(G19,'Group code'!$Z$9:$AC$13,3,FALSE)</f>
        <v xml:space="preserve">    - </v>
      </c>
      <c r="Q19" s="5" t="str">
        <f t="shared" ca="1" si="14"/>
        <v/>
      </c>
      <c r="R19" s="5" t="str">
        <f ca="1">IF(G19=0,INDEX(cards[object_id],MATCH($C19,cards[object_id order],0)),"")</f>
        <v/>
      </c>
      <c r="S19" s="5" t="str">
        <f ca="1">IF(G19=1,INDEX(cards[[name]:[control]],MATCH($C19,cards[object_id order],0),'Group code'!J19),"")</f>
        <v/>
      </c>
      <c r="T19" s="5" t="str">
        <f ca="1">IF(G19=3,INDEX(cards[[1]:[25]],MATCH($C19,cards[object_id order],0),'Group code'!I19),"")</f>
        <v>automation.locaway_devices_off_when_away</v>
      </c>
      <c r="U19" s="5" t="str">
        <f ca="1">VLOOKUP(G19,'Group code'!$Z$9:$AC$13,4,FALSE)</f>
        <v/>
      </c>
      <c r="V19" s="5" t="str">
        <f ca="1">IF(J19="","",VLOOKUP(J19,'Group code'!$Z$15:$AC$18,4,FALSE))</f>
        <v/>
      </c>
      <c r="W19" s="23" t="str">
        <f t="shared" ca="1" si="15"/>
        <v xml:space="preserve">    - automation.locaway_devices_off_when_away</v>
      </c>
      <c r="X19" s="5" t="str">
        <f t="shared" ca="1" si="4"/>
        <v/>
      </c>
    </row>
    <row r="20" spans="2:34" x14ac:dyDescent="0.25">
      <c r="B20" s="5">
        <f t="shared" si="0"/>
        <v>14</v>
      </c>
      <c r="C20" s="5">
        <f t="shared" ca="1" si="16"/>
        <v>2</v>
      </c>
      <c r="D20" s="5" t="str">
        <f ca="1">INDEX(cards[Attribute Index],MATCH('Group code'!C20,cards[object_id order],0))</f>
        <v>1</v>
      </c>
      <c r="E20" s="5">
        <f t="shared" ca="1" si="1"/>
        <v>1</v>
      </c>
      <c r="F20" s="14">
        <f ca="1">INDEX(cards[Entities count],MATCH('Group code'!C20,cards[object_id order],0))</f>
        <v>3</v>
      </c>
      <c r="G20" s="14">
        <f t="shared" ca="1" si="6"/>
        <v>3</v>
      </c>
      <c r="H20" s="14" t="str">
        <f t="shared" ca="1" si="7"/>
        <v/>
      </c>
      <c r="I20" s="5">
        <f t="shared" ca="1" si="8"/>
        <v>3</v>
      </c>
      <c r="J20" s="5" t="str">
        <f t="shared" ca="1" si="2"/>
        <v/>
      </c>
      <c r="K20" s="5" t="str">
        <f t="shared" ca="1" si="9"/>
        <v/>
      </c>
      <c r="L20" s="5" t="str">
        <f t="shared" ca="1" si="10"/>
        <v/>
      </c>
      <c r="M20" s="5" t="str">
        <f t="shared" ca="1" si="11"/>
        <v/>
      </c>
      <c r="N20" s="5">
        <f t="shared" ca="1" si="12"/>
        <v>1</v>
      </c>
      <c r="O20" s="5" t="str">
        <f t="shared" ca="1" si="13"/>
        <v/>
      </c>
      <c r="P20" s="5" t="str">
        <f ca="1">VLOOKUP(G20,'Group code'!$Z$9:$AC$13,3,FALSE)</f>
        <v xml:space="preserve">    - </v>
      </c>
      <c r="Q20" s="5" t="str">
        <f t="shared" ca="1" si="14"/>
        <v/>
      </c>
      <c r="R20" s="5" t="str">
        <f ca="1">IF(G20=0,INDEX(cards[object_id],MATCH($C20,cards[object_id order],0)),"")</f>
        <v/>
      </c>
      <c r="S20" s="5" t="str">
        <f ca="1">IF(G20=1,INDEX(cards[[name]:[control]],MATCH($C20,cards[object_id order],0),'Group code'!J20),"")</f>
        <v/>
      </c>
      <c r="T20" s="5" t="str">
        <f ca="1">IF(G20=3,INDEX(cards[[1]:[25]],MATCH($C20,cards[object_id order],0),'Group code'!I20),"")</f>
        <v>automation.locaway_devices_on_desk_off_when_leave_the_computer</v>
      </c>
      <c r="U20" s="5" t="str">
        <f ca="1">VLOOKUP(G20,'Group code'!$Z$9:$AC$13,4,FALSE)</f>
        <v/>
      </c>
      <c r="V20" s="5" t="str">
        <f ca="1">IF(J20="","",VLOOKUP(J20,'Group code'!$Z$15:$AC$18,4,FALSE))</f>
        <v/>
      </c>
      <c r="W20" s="23" t="str">
        <f t="shared" ca="1" si="15"/>
        <v xml:space="preserve">    - automation.locaway_devices_on_desk_off_when_leave_the_computer</v>
      </c>
      <c r="X20" s="5" t="str">
        <f t="shared" ca="1" si="4"/>
        <v/>
      </c>
    </row>
    <row r="21" spans="2:34" x14ac:dyDescent="0.25">
      <c r="B21" s="5">
        <f t="shared" si="0"/>
        <v>15</v>
      </c>
      <c r="C21" s="5">
        <f t="shared" ca="1" si="16"/>
        <v>2</v>
      </c>
      <c r="D21" s="5" t="str">
        <f ca="1">INDEX(cards[Attribute Index],MATCH('Group code'!C21,cards[object_id order],0))</f>
        <v>1</v>
      </c>
      <c r="E21" s="5">
        <f t="shared" ca="1" si="1"/>
        <v>1</v>
      </c>
      <c r="F21" s="14">
        <f ca="1">INDEX(cards[Entities count],MATCH('Group code'!C21,cards[object_id order],0))</f>
        <v>3</v>
      </c>
      <c r="G21" s="14">
        <f t="shared" ca="1" si="6"/>
        <v>4</v>
      </c>
      <c r="H21" s="14" t="str">
        <f t="shared" ca="1" si="7"/>
        <v/>
      </c>
      <c r="I21" s="5" t="str">
        <f t="shared" ca="1" si="8"/>
        <v/>
      </c>
      <c r="J21" s="5" t="str">
        <f t="shared" ca="1" si="2"/>
        <v/>
      </c>
      <c r="K21" s="5" t="str">
        <f t="shared" ca="1" si="9"/>
        <v/>
      </c>
      <c r="L21" s="5" t="str">
        <f t="shared" ca="1" si="10"/>
        <v/>
      </c>
      <c r="M21" s="5" t="str">
        <f t="shared" ca="1" si="11"/>
        <v/>
      </c>
      <c r="N21" s="5" t="str">
        <f t="shared" ca="1" si="12"/>
        <v/>
      </c>
      <c r="O21" s="5">
        <f t="shared" ca="1" si="13"/>
        <v>-4</v>
      </c>
      <c r="P21" s="5" t="str">
        <f ca="1">VLOOKUP(G21,'Group code'!$Z$9:$AC$13,3,FALSE)</f>
        <v/>
      </c>
      <c r="Q21" s="5" t="str">
        <f t="shared" ca="1" si="14"/>
        <v/>
      </c>
      <c r="R21" s="5" t="str">
        <f ca="1">IF(G21=0,INDEX(cards[object_id],MATCH($C21,cards[object_id order],0)),"")</f>
        <v/>
      </c>
      <c r="S21" s="5" t="str">
        <f ca="1">IF(G21=1,INDEX(cards[[name]:[control]],MATCH($C21,cards[object_id order],0),'Group code'!J21),"")</f>
        <v/>
      </c>
      <c r="T21" s="5" t="str">
        <f ca="1">IF(G21=3,INDEX(cards[[1]:[25]],MATCH($C21,cards[object_id order],0),'Group code'!I21),"")</f>
        <v/>
      </c>
      <c r="U21" s="5" t="str">
        <f ca="1">VLOOKUP(G21,'Group code'!$Z$9:$AC$13,4,FALSE)</f>
        <v/>
      </c>
      <c r="V21" s="5" t="str">
        <f ca="1">IF(J21="","",VLOOKUP(J21,'Group code'!$Z$15:$AC$18,4,FALSE))</f>
        <v/>
      </c>
      <c r="W21" s="23" t="str">
        <f t="shared" ca="1" si="15"/>
        <v/>
      </c>
      <c r="X21" s="5" t="str">
        <f t="shared" ca="1" si="4"/>
        <v/>
      </c>
    </row>
    <row r="22" spans="2:34" x14ac:dyDescent="0.25">
      <c r="B22" s="5">
        <f t="shared" si="0"/>
        <v>16</v>
      </c>
      <c r="C22" s="5">
        <f t="shared" ca="1" si="16"/>
        <v>3</v>
      </c>
      <c r="D22" s="5" t="str">
        <f ca="1">INDEX(cards[Attribute Index],MATCH('Group code'!C22,cards[object_id order],0))</f>
        <v>1</v>
      </c>
      <c r="E22" s="5">
        <f t="shared" ca="1" si="1"/>
        <v>1</v>
      </c>
      <c r="F22" s="14">
        <f ca="1">INDEX(cards[Entities count],MATCH('Group code'!C22,cards[object_id order],0))</f>
        <v>4</v>
      </c>
      <c r="G22" s="14">
        <f t="shared" ca="1" si="6"/>
        <v>0</v>
      </c>
      <c r="H22" s="14" t="str">
        <f t="shared" ca="1" si="7"/>
        <v/>
      </c>
      <c r="I22" s="5" t="str">
        <f t="shared" ca="1" si="8"/>
        <v/>
      </c>
      <c r="J22" s="5" t="str">
        <f t="shared" ca="1" si="2"/>
        <v/>
      </c>
      <c r="K22" s="5">
        <f t="shared" ca="1" si="9"/>
        <v>1</v>
      </c>
      <c r="L22" s="5" t="str">
        <f t="shared" ca="1" si="10"/>
        <v/>
      </c>
      <c r="M22" s="5" t="str">
        <f t="shared" ca="1" si="11"/>
        <v/>
      </c>
      <c r="N22" s="5" t="str">
        <f t="shared" ca="1" si="12"/>
        <v/>
      </c>
      <c r="O22" s="5" t="str">
        <f t="shared" ca="1" si="13"/>
        <v/>
      </c>
      <c r="P22" s="5" t="str">
        <f ca="1">VLOOKUP(G22,'Group code'!$Z$9:$AC$13,3,FALSE)</f>
        <v/>
      </c>
      <c r="Q22" s="5" t="str">
        <f t="shared" ca="1" si="14"/>
        <v/>
      </c>
      <c r="R22" s="5" t="str">
        <f ca="1">IF(G22=0,INDEX(cards[object_id],MATCH($C22,cards[object_id order],0)),"")</f>
        <v>automation_not</v>
      </c>
      <c r="S22" s="5" t="str">
        <f ca="1">IF(G22=1,INDEX(cards[[name]:[control]],MATCH($C22,cards[object_id order],0),'Group code'!J22),"")</f>
        <v/>
      </c>
      <c r="T22" s="5" t="str">
        <f ca="1">IF(G22=3,INDEX(cards[[1]:[25]],MATCH($C22,cards[object_id order],0),'Group code'!I22),"")</f>
        <v/>
      </c>
      <c r="U22" s="5" t="str">
        <f ca="1">VLOOKUP(G22,'Group code'!$Z$9:$AC$13,4,FALSE)</f>
        <v>:</v>
      </c>
      <c r="V22" s="5" t="str">
        <f ca="1">IF(J22="","",VLOOKUP(J22,'Group code'!$Z$15:$AC$18,4,FALSE))</f>
        <v/>
      </c>
      <c r="W22" s="23" t="str">
        <f t="shared" ca="1" si="15"/>
        <v>automation_not:</v>
      </c>
      <c r="X22" s="5" t="str">
        <f t="shared" ca="1" si="4"/>
        <v/>
      </c>
    </row>
    <row r="23" spans="2:34" x14ac:dyDescent="0.25">
      <c r="B23" s="5">
        <f t="shared" si="0"/>
        <v>17</v>
      </c>
      <c r="C23" s="5">
        <f t="shared" ca="1" si="16"/>
        <v>3</v>
      </c>
      <c r="D23" s="5" t="str">
        <f ca="1">INDEX(cards[Attribute Index],MATCH('Group code'!C23,cards[object_id order],0))</f>
        <v>1</v>
      </c>
      <c r="E23" s="5">
        <f t="shared" ca="1" si="1"/>
        <v>1</v>
      </c>
      <c r="F23" s="14">
        <f ca="1">INDEX(cards[Entities count],MATCH('Group code'!C23,cards[object_id order],0))</f>
        <v>4</v>
      </c>
      <c r="G23" s="14">
        <f t="shared" ca="1" si="6"/>
        <v>1</v>
      </c>
      <c r="H23" s="14">
        <f t="shared" ca="1" si="7"/>
        <v>1</v>
      </c>
      <c r="I23" s="5" t="str">
        <f t="shared" ca="1" si="8"/>
        <v/>
      </c>
      <c r="J23" s="5">
        <f t="shared" ca="1" si="2"/>
        <v>1</v>
      </c>
      <c r="K23" s="5" t="str">
        <f t="shared" ca="1" si="9"/>
        <v/>
      </c>
      <c r="L23" s="5">
        <f t="shared" ca="1" si="10"/>
        <v>1</v>
      </c>
      <c r="M23" s="5" t="str">
        <f t="shared" ca="1" si="11"/>
        <v/>
      </c>
      <c r="N23" s="5" t="str">
        <f t="shared" ca="1" si="12"/>
        <v/>
      </c>
      <c r="O23" s="5" t="str">
        <f t="shared" ca="1" si="13"/>
        <v/>
      </c>
      <c r="P23" s="5" t="str">
        <f ca="1">VLOOKUP(G23,'Group code'!$Z$9:$AC$13,3,FALSE)</f>
        <v/>
      </c>
      <c r="Q23" s="5" t="str">
        <f t="shared" ca="1" si="14"/>
        <v xml:space="preserve">  name: "</v>
      </c>
      <c r="R23" s="5" t="str">
        <f ca="1">IF(G23=0,INDEX(cards[object_id],MATCH($C23,cards[object_id order],0)),"")</f>
        <v/>
      </c>
      <c r="S23" s="5" t="str">
        <f ca="1">IF(G23=1,INDEX(cards[[name]:[control]],MATCH($C23,cards[object_id order],0),'Group code'!J23),"")</f>
        <v>Automation || Notifications</v>
      </c>
      <c r="T23" s="5" t="str">
        <f ca="1">IF(G23=3,INDEX(cards[[1]:[25]],MATCH($C23,cards[object_id order],0),'Group code'!I23),"")</f>
        <v/>
      </c>
      <c r="U23" s="5" t="str">
        <f ca="1">VLOOKUP(G23,'Group code'!$Z$9:$AC$13,4,FALSE)</f>
        <v/>
      </c>
      <c r="V23" s="5" t="str">
        <f ca="1">IF(J23="","",VLOOKUP(J23,'Group code'!$Z$15:$AC$18,4,FALSE))</f>
        <v>"</v>
      </c>
      <c r="W23" s="23" t="str">
        <f t="shared" ca="1" si="15"/>
        <v xml:space="preserve">  name: "Automation || Notifications"</v>
      </c>
      <c r="X23" s="5" t="str">
        <f t="shared" ca="1" si="4"/>
        <v/>
      </c>
    </row>
    <row r="24" spans="2:34" x14ac:dyDescent="0.25">
      <c r="B24" s="5">
        <f t="shared" si="0"/>
        <v>18</v>
      </c>
      <c r="C24" s="5">
        <f t="shared" ca="1" si="16"/>
        <v>3</v>
      </c>
      <c r="D24" s="5" t="str">
        <f ca="1">INDEX(cards[Attribute Index],MATCH('Group code'!C24,cards[object_id order],0))</f>
        <v>1</v>
      </c>
      <c r="E24" s="5">
        <f t="shared" ca="1" si="1"/>
        <v>1</v>
      </c>
      <c r="F24" s="14">
        <f ca="1">INDEX(cards[Entities count],MATCH('Group code'!C24,cards[object_id order],0))</f>
        <v>4</v>
      </c>
      <c r="G24" s="14">
        <f t="shared" ca="1" si="6"/>
        <v>2</v>
      </c>
      <c r="H24" s="14" t="str">
        <f t="shared" ca="1" si="7"/>
        <v/>
      </c>
      <c r="I24" s="5" t="str">
        <f t="shared" ca="1" si="8"/>
        <v/>
      </c>
      <c r="J24" s="5" t="str">
        <f t="shared" ca="1" si="2"/>
        <v/>
      </c>
      <c r="K24" s="5" t="str">
        <f t="shared" ca="1" si="9"/>
        <v/>
      </c>
      <c r="L24" s="5" t="str">
        <f t="shared" ca="1" si="10"/>
        <v/>
      </c>
      <c r="M24" s="5">
        <f t="shared" ca="1" si="11"/>
        <v>1</v>
      </c>
      <c r="N24" s="5" t="str">
        <f t="shared" ca="1" si="12"/>
        <v/>
      </c>
      <c r="O24" s="5" t="str">
        <f t="shared" ca="1" si="13"/>
        <v/>
      </c>
      <c r="P24" s="5" t="str">
        <f ca="1">VLOOKUP(G24,'Group code'!$Z$9:$AC$13,3,FALSE)</f>
        <v xml:space="preserve">  entities:</v>
      </c>
      <c r="Q24" s="5" t="str">
        <f t="shared" ca="1" si="14"/>
        <v/>
      </c>
      <c r="R24" s="5" t="str">
        <f ca="1">IF(G24=0,INDEX(cards[object_id],MATCH($C24,cards[object_id order],0)),"")</f>
        <v/>
      </c>
      <c r="S24" s="5" t="str">
        <f ca="1">IF(G24=1,INDEX(cards[[name]:[control]],MATCH($C24,cards[object_id order],0),'Group code'!J24),"")</f>
        <v/>
      </c>
      <c r="T24" s="5" t="str">
        <f ca="1">IF(G24=3,INDEX(cards[[1]:[25]],MATCH($C24,cards[object_id order],0),'Group code'!I24),"")</f>
        <v/>
      </c>
      <c r="U24" s="5" t="str">
        <f ca="1">VLOOKUP(G24,'Group code'!$Z$9:$AC$13,4,FALSE)</f>
        <v/>
      </c>
      <c r="V24" s="5" t="str">
        <f ca="1">IF(J24="","",VLOOKUP(J24,'Group code'!$Z$15:$AC$18,4,FALSE))</f>
        <v/>
      </c>
      <c r="W24" s="23" t="str">
        <f t="shared" ca="1" si="15"/>
        <v xml:space="preserve">  entities:</v>
      </c>
      <c r="X24" s="5" t="str">
        <f t="shared" ca="1" si="4"/>
        <v/>
      </c>
    </row>
    <row r="25" spans="2:34" x14ac:dyDescent="0.25">
      <c r="B25" s="5">
        <f t="shared" si="0"/>
        <v>19</v>
      </c>
      <c r="C25" s="5">
        <f t="shared" ca="1" si="16"/>
        <v>3</v>
      </c>
      <c r="D25" s="5" t="str">
        <f ca="1">INDEX(cards[Attribute Index],MATCH('Group code'!C25,cards[object_id order],0))</f>
        <v>1</v>
      </c>
      <c r="E25" s="5">
        <f t="shared" ca="1" si="1"/>
        <v>1</v>
      </c>
      <c r="F25" s="14">
        <f ca="1">INDEX(cards[Entities count],MATCH('Group code'!C25,cards[object_id order],0))</f>
        <v>4</v>
      </c>
      <c r="G25" s="14">
        <f t="shared" ca="1" si="6"/>
        <v>3</v>
      </c>
      <c r="H25" s="14" t="str">
        <f t="shared" ca="1" si="7"/>
        <v/>
      </c>
      <c r="I25" s="5">
        <f t="shared" ca="1" si="8"/>
        <v>1</v>
      </c>
      <c r="J25" s="5" t="str">
        <f t="shared" ca="1" si="2"/>
        <v/>
      </c>
      <c r="K25" s="5" t="str">
        <f t="shared" ca="1" si="9"/>
        <v/>
      </c>
      <c r="L25" s="5" t="str">
        <f t="shared" ca="1" si="10"/>
        <v/>
      </c>
      <c r="M25" s="5" t="str">
        <f t="shared" ca="1" si="11"/>
        <v/>
      </c>
      <c r="N25" s="5">
        <f t="shared" ca="1" si="12"/>
        <v>0</v>
      </c>
      <c r="O25" s="5" t="str">
        <f t="shared" ca="1" si="13"/>
        <v/>
      </c>
      <c r="P25" s="5" t="str">
        <f ca="1">VLOOKUP(G25,'Group code'!$Z$9:$AC$13,3,FALSE)</f>
        <v xml:space="preserve">    - </v>
      </c>
      <c r="Q25" s="5" t="str">
        <f t="shared" ca="1" si="14"/>
        <v/>
      </c>
      <c r="R25" s="5" t="str">
        <f ca="1">IF(G25=0,INDEX(cards[object_id],MATCH($C25,cards[object_id order],0)),"")</f>
        <v/>
      </c>
      <c r="S25" s="5" t="str">
        <f ca="1">IF(G25=1,INDEX(cards[[name]:[control]],MATCH($C25,cards[object_id order],0),'Group code'!J25),"")</f>
        <v/>
      </c>
      <c r="T25" s="5" t="str">
        <f ca="1">IF(G25=3,INDEX(cards[[1]:[25]],MATCH($C25,cards[object_id order],0),'Group code'!I25),"")</f>
        <v>automation.not_notification_when_humvee_left_on</v>
      </c>
      <c r="U25" s="5" t="str">
        <f ca="1">VLOOKUP(G25,'Group code'!$Z$9:$AC$13,4,FALSE)</f>
        <v/>
      </c>
      <c r="V25" s="5" t="str">
        <f ca="1">IF(J25="","",VLOOKUP(J25,'Group code'!$Z$15:$AC$18,4,FALSE))</f>
        <v/>
      </c>
      <c r="W25" s="23" t="str">
        <f t="shared" ca="1" si="15"/>
        <v xml:space="preserve">    - automation.not_notification_when_humvee_left_on</v>
      </c>
      <c r="X25" s="5" t="str">
        <f t="shared" ca="1" si="4"/>
        <v/>
      </c>
    </row>
    <row r="26" spans="2:34" x14ac:dyDescent="0.25">
      <c r="B26" s="5">
        <f t="shared" si="0"/>
        <v>20</v>
      </c>
      <c r="C26" s="5">
        <f t="shared" ca="1" si="16"/>
        <v>3</v>
      </c>
      <c r="D26" s="5" t="str">
        <f ca="1">INDEX(cards[Attribute Index],MATCH('Group code'!C26,cards[object_id order],0))</f>
        <v>1</v>
      </c>
      <c r="E26" s="5">
        <f t="shared" ca="1" si="1"/>
        <v>1</v>
      </c>
      <c r="F26" s="14">
        <f ca="1">INDEX(cards[Entities count],MATCH('Group code'!C26,cards[object_id order],0))</f>
        <v>4</v>
      </c>
      <c r="G26" s="14">
        <f t="shared" ca="1" si="6"/>
        <v>3</v>
      </c>
      <c r="H26" s="14" t="str">
        <f t="shared" ca="1" si="7"/>
        <v/>
      </c>
      <c r="I26" s="5">
        <f t="shared" ca="1" si="8"/>
        <v>2</v>
      </c>
      <c r="J26" s="5" t="str">
        <f t="shared" ca="1" si="2"/>
        <v/>
      </c>
      <c r="K26" s="5" t="str">
        <f t="shared" ca="1" si="9"/>
        <v/>
      </c>
      <c r="L26" s="5" t="str">
        <f t="shared" ca="1" si="10"/>
        <v/>
      </c>
      <c r="M26" s="5" t="str">
        <f t="shared" ca="1" si="11"/>
        <v/>
      </c>
      <c r="N26" s="5">
        <f t="shared" ca="1" si="12"/>
        <v>0</v>
      </c>
      <c r="O26" s="5" t="str">
        <f t="shared" ca="1" si="13"/>
        <v/>
      </c>
      <c r="P26" s="5" t="str">
        <f ca="1">VLOOKUP(G26,'Group code'!$Z$9:$AC$13,3,FALSE)</f>
        <v xml:space="preserve">    - </v>
      </c>
      <c r="Q26" s="5" t="str">
        <f t="shared" ca="1" si="14"/>
        <v/>
      </c>
      <c r="R26" s="5" t="str">
        <f ca="1">IF(G26=0,INDEX(cards[object_id],MATCH($C26,cards[object_id order],0)),"")</f>
        <v/>
      </c>
      <c r="S26" s="5" t="str">
        <f ca="1">IF(G26=1,INDEX(cards[[name]:[control]],MATCH($C26,cards[object_id order],0),'Group code'!J26),"")</f>
        <v/>
      </c>
      <c r="T26" s="5" t="str">
        <f ca="1">IF(G26=3,INDEX(cards[[1]:[25]],MATCH($C26,cards[object_id order],0),'Group code'!I26),"")</f>
        <v>automation.not_notification_when_multisensor_battery_is_low</v>
      </c>
      <c r="U26" s="5" t="str">
        <f ca="1">VLOOKUP(G26,'Group code'!$Z$9:$AC$13,4,FALSE)</f>
        <v/>
      </c>
      <c r="V26" s="5" t="str">
        <f ca="1">IF(J26="","",VLOOKUP(J26,'Group code'!$Z$15:$AC$18,4,FALSE))</f>
        <v/>
      </c>
      <c r="W26" s="23" t="str">
        <f t="shared" ca="1" si="15"/>
        <v xml:space="preserve">    - automation.not_notification_when_multisensor_battery_is_low</v>
      </c>
      <c r="X26" s="5" t="str">
        <f t="shared" ca="1" si="4"/>
        <v/>
      </c>
    </row>
    <row r="27" spans="2:34" x14ac:dyDescent="0.25">
      <c r="B27" s="5">
        <f t="shared" si="0"/>
        <v>21</v>
      </c>
      <c r="C27" s="5">
        <f t="shared" ca="1" si="16"/>
        <v>3</v>
      </c>
      <c r="D27" s="5" t="str">
        <f ca="1">INDEX(cards[Attribute Index],MATCH('Group code'!C27,cards[object_id order],0))</f>
        <v>1</v>
      </c>
      <c r="E27" s="5">
        <f t="shared" ca="1" si="1"/>
        <v>1</v>
      </c>
      <c r="F27" s="14">
        <f ca="1">INDEX(cards[Entities count],MATCH('Group code'!C27,cards[object_id order],0))</f>
        <v>4</v>
      </c>
      <c r="G27" s="14">
        <f t="shared" ca="1" si="6"/>
        <v>3</v>
      </c>
      <c r="H27" s="14" t="str">
        <f t="shared" ca="1" si="7"/>
        <v/>
      </c>
      <c r="I27" s="5">
        <f t="shared" ca="1" si="8"/>
        <v>3</v>
      </c>
      <c r="J27" s="5" t="str">
        <f t="shared" ca="1" si="2"/>
        <v/>
      </c>
      <c r="K27" s="5" t="str">
        <f t="shared" ca="1" si="9"/>
        <v/>
      </c>
      <c r="L27" s="5" t="str">
        <f t="shared" ca="1" si="10"/>
        <v/>
      </c>
      <c r="M27" s="5" t="str">
        <f t="shared" ca="1" si="11"/>
        <v/>
      </c>
      <c r="N27" s="5">
        <f t="shared" ca="1" si="12"/>
        <v>0</v>
      </c>
      <c r="O27" s="5" t="str">
        <f t="shared" ca="1" si="13"/>
        <v/>
      </c>
      <c r="P27" s="5" t="str">
        <f ca="1">VLOOKUP(G27,'Group code'!$Z$9:$AC$13,3,FALSE)</f>
        <v xml:space="preserve">    - </v>
      </c>
      <c r="Q27" s="5" t="str">
        <f t="shared" ca="1" si="14"/>
        <v/>
      </c>
      <c r="R27" s="5" t="str">
        <f ca="1">IF(G27=0,INDEX(cards[object_id],MATCH($C27,cards[object_id order],0)),"")</f>
        <v/>
      </c>
      <c r="S27" s="5" t="str">
        <f ca="1">IF(G27=1,INDEX(cards[[name]:[control]],MATCH($C27,cards[object_id order],0),'Group code'!J27),"")</f>
        <v/>
      </c>
      <c r="T27" s="5" t="str">
        <f ca="1">IF(G27=3,INDEX(cards[[1]:[25]],MATCH($C27,cards[object_id order],0),'Group code'!I27),"")</f>
        <v>automation.not_notification_when_tank_turns_off</v>
      </c>
      <c r="U27" s="5" t="str">
        <f ca="1">VLOOKUP(G27,'Group code'!$Z$9:$AC$13,4,FALSE)</f>
        <v/>
      </c>
      <c r="V27" s="5" t="str">
        <f ca="1">IF(J27="","",VLOOKUP(J27,'Group code'!$Z$15:$AC$18,4,FALSE))</f>
        <v/>
      </c>
      <c r="W27" s="23" t="str">
        <f t="shared" ca="1" si="15"/>
        <v xml:space="preserve">    - automation.not_notification_when_tank_turns_off</v>
      </c>
      <c r="X27" s="5" t="str">
        <f t="shared" ca="1" si="4"/>
        <v/>
      </c>
    </row>
    <row r="28" spans="2:34" x14ac:dyDescent="0.25">
      <c r="B28" s="5">
        <f t="shared" si="0"/>
        <v>22</v>
      </c>
      <c r="C28" s="5">
        <f t="shared" ca="1" si="16"/>
        <v>3</v>
      </c>
      <c r="D28" s="5" t="str">
        <f ca="1">INDEX(cards[Attribute Index],MATCH('Group code'!C28,cards[object_id order],0))</f>
        <v>1</v>
      </c>
      <c r="E28" s="5">
        <f t="shared" ca="1" si="1"/>
        <v>1</v>
      </c>
      <c r="F28" s="14">
        <f ca="1">INDEX(cards[Entities count],MATCH('Group code'!C28,cards[object_id order],0))</f>
        <v>4</v>
      </c>
      <c r="G28" s="14">
        <f t="shared" ca="1" si="6"/>
        <v>3</v>
      </c>
      <c r="H28" s="14" t="str">
        <f t="shared" ca="1" si="7"/>
        <v/>
      </c>
      <c r="I28" s="5">
        <f t="shared" ca="1" si="8"/>
        <v>4</v>
      </c>
      <c r="J28" s="5" t="str">
        <f t="shared" ca="1" si="2"/>
        <v/>
      </c>
      <c r="K28" s="5" t="str">
        <f t="shared" ca="1" si="9"/>
        <v/>
      </c>
      <c r="L28" s="5" t="str">
        <f t="shared" ca="1" si="10"/>
        <v/>
      </c>
      <c r="M28" s="5" t="str">
        <f t="shared" ca="1" si="11"/>
        <v/>
      </c>
      <c r="N28" s="5">
        <f t="shared" ca="1" si="12"/>
        <v>1</v>
      </c>
      <c r="O28" s="5" t="str">
        <f t="shared" ca="1" si="13"/>
        <v/>
      </c>
      <c r="P28" s="5" t="str">
        <f ca="1">VLOOKUP(G28,'Group code'!$Z$9:$AC$13,3,FALSE)</f>
        <v xml:space="preserve">    - </v>
      </c>
      <c r="Q28" s="5" t="str">
        <f t="shared" ca="1" si="14"/>
        <v/>
      </c>
      <c r="R28" s="5" t="str">
        <f ca="1">IF(G28=0,INDEX(cards[object_id],MATCH($C28,cards[object_id order],0)),"")</f>
        <v/>
      </c>
      <c r="S28" s="5" t="str">
        <f ca="1">IF(G28=1,INDEX(cards[[name]:[control]],MATCH($C28,cards[object_id order],0),'Group code'!J28),"")</f>
        <v/>
      </c>
      <c r="T28" s="5" t="str">
        <f ca="1">IF(G28=3,INDEX(cards[[1]:[25]],MATCH($C28,cards[object_id order],0),'Group code'!I28),"")</f>
        <v>automation.not_speed_test_record</v>
      </c>
      <c r="U28" s="5" t="str">
        <f ca="1">VLOOKUP(G28,'Group code'!$Z$9:$AC$13,4,FALSE)</f>
        <v/>
      </c>
      <c r="V28" s="5" t="str">
        <f ca="1">IF(J28="","",VLOOKUP(J28,'Group code'!$Z$15:$AC$18,4,FALSE))</f>
        <v/>
      </c>
      <c r="W28" s="23" t="str">
        <f t="shared" ca="1" si="15"/>
        <v xml:space="preserve">    - automation.not_speed_test_record</v>
      </c>
      <c r="X28" s="5" t="str">
        <f t="shared" ca="1" si="4"/>
        <v/>
      </c>
      <c r="AE28" s="3"/>
      <c r="AF28" s="3"/>
      <c r="AG28" s="3"/>
      <c r="AH28" s="3"/>
    </row>
    <row r="29" spans="2:34" x14ac:dyDescent="0.25">
      <c r="B29" s="5">
        <f t="shared" si="0"/>
        <v>23</v>
      </c>
      <c r="C29" s="5">
        <f t="shared" ca="1" si="16"/>
        <v>3</v>
      </c>
      <c r="D29" s="5" t="str">
        <f ca="1">INDEX(cards[Attribute Index],MATCH('Group code'!C29,cards[object_id order],0))</f>
        <v>1</v>
      </c>
      <c r="E29" s="5">
        <f t="shared" ca="1" si="1"/>
        <v>1</v>
      </c>
      <c r="F29" s="14">
        <f ca="1">INDEX(cards[Entities count],MATCH('Group code'!C29,cards[object_id order],0))</f>
        <v>4</v>
      </c>
      <c r="G29" s="14">
        <f t="shared" ca="1" si="6"/>
        <v>4</v>
      </c>
      <c r="H29" s="14" t="str">
        <f t="shared" ca="1" si="7"/>
        <v/>
      </c>
      <c r="I29" s="5" t="str">
        <f t="shared" ca="1" si="8"/>
        <v/>
      </c>
      <c r="J29" s="5" t="str">
        <f t="shared" ca="1" si="2"/>
        <v/>
      </c>
      <c r="K29" s="5" t="str">
        <f t="shared" ca="1" si="9"/>
        <v/>
      </c>
      <c r="L29" s="5" t="str">
        <f t="shared" ca="1" si="10"/>
        <v/>
      </c>
      <c r="M29" s="5" t="str">
        <f t="shared" ca="1" si="11"/>
        <v/>
      </c>
      <c r="N29" s="5" t="str">
        <f t="shared" ca="1" si="12"/>
        <v/>
      </c>
      <c r="O29" s="5">
        <f t="shared" ca="1" si="13"/>
        <v>-4</v>
      </c>
      <c r="P29" s="5" t="str">
        <f ca="1">VLOOKUP(G29,'Group code'!$Z$9:$AC$13,3,FALSE)</f>
        <v/>
      </c>
      <c r="Q29" s="5" t="str">
        <f t="shared" ca="1" si="14"/>
        <v/>
      </c>
      <c r="R29" s="5" t="str">
        <f ca="1">IF(G29=0,INDEX(cards[object_id],MATCH($C29,cards[object_id order],0)),"")</f>
        <v/>
      </c>
      <c r="S29" s="5" t="str">
        <f ca="1">IF(G29=1,INDEX(cards[[name]:[control]],MATCH($C29,cards[object_id order],0),'Group code'!J29),"")</f>
        <v/>
      </c>
      <c r="T29" s="5" t="str">
        <f ca="1">IF(G29=3,INDEX(cards[[1]:[25]],MATCH($C29,cards[object_id order],0),'Group code'!I29),"")</f>
        <v/>
      </c>
      <c r="U29" s="5" t="str">
        <f ca="1">VLOOKUP(G29,'Group code'!$Z$9:$AC$13,4,FALSE)</f>
        <v/>
      </c>
      <c r="V29" s="5" t="str">
        <f ca="1">IF(J29="","",VLOOKUP(J29,'Group code'!$Z$15:$AC$18,4,FALSE))</f>
        <v/>
      </c>
      <c r="W29" s="23" t="str">
        <f t="shared" ca="1" si="15"/>
        <v/>
      </c>
      <c r="X29" s="5" t="str">
        <f t="shared" ca="1" si="4"/>
        <v/>
      </c>
    </row>
    <row r="30" spans="2:34" x14ac:dyDescent="0.25">
      <c r="B30" s="5">
        <f t="shared" si="0"/>
        <v>24</v>
      </c>
      <c r="C30" s="5">
        <f t="shared" ca="1" si="16"/>
        <v>4</v>
      </c>
      <c r="D30" s="5" t="str">
        <f ca="1">INDEX(cards[Attribute Index],MATCH('Group code'!C30,cards[object_id order],0))</f>
        <v>1</v>
      </c>
      <c r="E30" s="5">
        <f t="shared" ca="1" si="1"/>
        <v>1</v>
      </c>
      <c r="F30" s="14">
        <f ca="1">INDEX(cards[Entities count],MATCH('Group code'!C30,cards[object_id order],0))</f>
        <v>3</v>
      </c>
      <c r="G30" s="14">
        <f t="shared" ca="1" si="6"/>
        <v>0</v>
      </c>
      <c r="H30" s="14" t="str">
        <f t="shared" ca="1" si="7"/>
        <v/>
      </c>
      <c r="I30" s="5" t="str">
        <f t="shared" ca="1" si="8"/>
        <v/>
      </c>
      <c r="J30" s="5" t="str">
        <f t="shared" ca="1" si="2"/>
        <v/>
      </c>
      <c r="K30" s="5">
        <f t="shared" ca="1" si="9"/>
        <v>1</v>
      </c>
      <c r="L30" s="5" t="str">
        <f t="shared" ca="1" si="10"/>
        <v/>
      </c>
      <c r="M30" s="5" t="str">
        <f t="shared" ca="1" si="11"/>
        <v/>
      </c>
      <c r="N30" s="5" t="str">
        <f t="shared" ca="1" si="12"/>
        <v/>
      </c>
      <c r="O30" s="5" t="str">
        <f t="shared" ca="1" si="13"/>
        <v/>
      </c>
      <c r="P30" s="5" t="str">
        <f ca="1">VLOOKUP(G30,'Group code'!$Z$9:$AC$13,3,FALSE)</f>
        <v/>
      </c>
      <c r="Q30" s="5" t="str">
        <f t="shared" ca="1" si="14"/>
        <v/>
      </c>
      <c r="R30" s="5" t="str">
        <f ca="1">IF(G30=0,INDEX(cards[object_id],MATCH($C30,cards[object_id order],0)),"")</f>
        <v>automation_rmbd</v>
      </c>
      <c r="S30" s="5" t="str">
        <f ca="1">IF(G30=1,INDEX(cards[[name]:[control]],MATCH($C30,cards[object_id order],0),'Group code'!J30),"")</f>
        <v/>
      </c>
      <c r="T30" s="5" t="str">
        <f ca="1">IF(G30=3,INDEX(cards[[1]:[25]],MATCH($C30,cards[object_id order],0),'Group code'!I30),"")</f>
        <v/>
      </c>
      <c r="U30" s="5" t="str">
        <f ca="1">VLOOKUP(G30,'Group code'!$Z$9:$AC$13,4,FALSE)</f>
        <v>:</v>
      </c>
      <c r="V30" s="5" t="str">
        <f ca="1">IF(J30="","",VLOOKUP(J30,'Group code'!$Z$15:$AC$18,4,FALSE))</f>
        <v/>
      </c>
      <c r="W30" s="23" t="str">
        <f t="shared" ca="1" si="15"/>
        <v>automation_rmbd:</v>
      </c>
      <c r="X30" s="5" t="str">
        <f t="shared" ca="1" si="4"/>
        <v/>
      </c>
    </row>
    <row r="31" spans="2:34" x14ac:dyDescent="0.25">
      <c r="B31" s="5">
        <f t="shared" si="0"/>
        <v>25</v>
      </c>
      <c r="C31" s="5">
        <f t="shared" ca="1" si="16"/>
        <v>4</v>
      </c>
      <c r="D31" s="5" t="str">
        <f ca="1">INDEX(cards[Attribute Index],MATCH('Group code'!C31,cards[object_id order],0))</f>
        <v>1</v>
      </c>
      <c r="E31" s="5">
        <f t="shared" ca="1" si="1"/>
        <v>1</v>
      </c>
      <c r="F31" s="14">
        <f ca="1">INDEX(cards[Entities count],MATCH('Group code'!C31,cards[object_id order],0))</f>
        <v>3</v>
      </c>
      <c r="G31" s="14">
        <f t="shared" ca="1" si="6"/>
        <v>1</v>
      </c>
      <c r="H31" s="14">
        <f t="shared" ca="1" si="7"/>
        <v>1</v>
      </c>
      <c r="I31" s="5" t="str">
        <f t="shared" ca="1" si="8"/>
        <v/>
      </c>
      <c r="J31" s="5">
        <f t="shared" ca="1" si="2"/>
        <v>1</v>
      </c>
      <c r="K31" s="5" t="str">
        <f t="shared" ca="1" si="9"/>
        <v/>
      </c>
      <c r="L31" s="5">
        <f t="shared" ca="1" si="10"/>
        <v>1</v>
      </c>
      <c r="M31" s="5" t="str">
        <f t="shared" ca="1" si="11"/>
        <v/>
      </c>
      <c r="N31" s="5" t="str">
        <f t="shared" ca="1" si="12"/>
        <v/>
      </c>
      <c r="O31" s="5" t="str">
        <f t="shared" ca="1" si="13"/>
        <v/>
      </c>
      <c r="P31" s="5" t="str">
        <f ca="1">VLOOKUP(G31,'Group code'!$Z$9:$AC$13,3,FALSE)</f>
        <v/>
      </c>
      <c r="Q31" s="5" t="str">
        <f t="shared" ca="1" si="14"/>
        <v xml:space="preserve">  name: "</v>
      </c>
      <c r="R31" s="5" t="str">
        <f ca="1">IF(G31=0,INDEX(cards[object_id],MATCH($C31,cards[object_id order],0)),"")</f>
        <v/>
      </c>
      <c r="S31" s="5" t="str">
        <f ca="1">IF(G31=1,INDEX(cards[[name]:[control]],MATCH($C31,cards[object_id order],0),'Group code'!J31),"")</f>
        <v>Automation || Bedroom</v>
      </c>
      <c r="T31" s="5" t="str">
        <f ca="1">IF(G31=3,INDEX(cards[[1]:[25]],MATCH($C31,cards[object_id order],0),'Group code'!I31),"")</f>
        <v/>
      </c>
      <c r="U31" s="5" t="str">
        <f ca="1">VLOOKUP(G31,'Group code'!$Z$9:$AC$13,4,FALSE)</f>
        <v/>
      </c>
      <c r="V31" s="5" t="str">
        <f ca="1">IF(J31="","",VLOOKUP(J31,'Group code'!$Z$15:$AC$18,4,FALSE))</f>
        <v>"</v>
      </c>
      <c r="W31" s="23" t="str">
        <f t="shared" ca="1" si="15"/>
        <v xml:space="preserve">  name: "Automation || Bedroom"</v>
      </c>
      <c r="X31" s="5" t="str">
        <f t="shared" ca="1" si="4"/>
        <v/>
      </c>
    </row>
    <row r="32" spans="2:34" x14ac:dyDescent="0.25">
      <c r="B32" s="5">
        <f t="shared" si="0"/>
        <v>26</v>
      </c>
      <c r="C32" s="5">
        <f t="shared" ca="1" si="16"/>
        <v>4</v>
      </c>
      <c r="D32" s="5" t="str">
        <f ca="1">INDEX(cards[Attribute Index],MATCH('Group code'!C32,cards[object_id order],0))</f>
        <v>1</v>
      </c>
      <c r="E32" s="5">
        <f t="shared" ca="1" si="1"/>
        <v>1</v>
      </c>
      <c r="F32" s="14">
        <f ca="1">INDEX(cards[Entities count],MATCH('Group code'!C32,cards[object_id order],0))</f>
        <v>3</v>
      </c>
      <c r="G32" s="14">
        <f t="shared" ca="1" si="6"/>
        <v>2</v>
      </c>
      <c r="H32" s="14" t="str">
        <f t="shared" ca="1" si="7"/>
        <v/>
      </c>
      <c r="I32" s="5" t="str">
        <f t="shared" ca="1" si="8"/>
        <v/>
      </c>
      <c r="J32" s="5" t="str">
        <f t="shared" ca="1" si="2"/>
        <v/>
      </c>
      <c r="K32" s="5" t="str">
        <f t="shared" ca="1" si="9"/>
        <v/>
      </c>
      <c r="L32" s="5" t="str">
        <f t="shared" ca="1" si="10"/>
        <v/>
      </c>
      <c r="M32" s="5">
        <f t="shared" ca="1" si="11"/>
        <v>1</v>
      </c>
      <c r="N32" s="5" t="str">
        <f t="shared" ca="1" si="12"/>
        <v/>
      </c>
      <c r="O32" s="5" t="str">
        <f t="shared" ca="1" si="13"/>
        <v/>
      </c>
      <c r="P32" s="5" t="str">
        <f ca="1">VLOOKUP(G32,'Group code'!$Z$9:$AC$13,3,FALSE)</f>
        <v xml:space="preserve">  entities:</v>
      </c>
      <c r="Q32" s="5" t="str">
        <f t="shared" ca="1" si="14"/>
        <v/>
      </c>
      <c r="R32" s="5" t="str">
        <f ca="1">IF(G32=0,INDEX(cards[object_id],MATCH($C32,cards[object_id order],0)),"")</f>
        <v/>
      </c>
      <c r="S32" s="5" t="str">
        <f ca="1">IF(G32=1,INDEX(cards[[name]:[control]],MATCH($C32,cards[object_id order],0),'Group code'!J32),"")</f>
        <v/>
      </c>
      <c r="T32" s="5" t="str">
        <f ca="1">IF(G32=3,INDEX(cards[[1]:[25]],MATCH($C32,cards[object_id order],0),'Group code'!I32),"")</f>
        <v/>
      </c>
      <c r="U32" s="5" t="str">
        <f ca="1">VLOOKUP(G32,'Group code'!$Z$9:$AC$13,4,FALSE)</f>
        <v/>
      </c>
      <c r="V32" s="5" t="str">
        <f ca="1">IF(J32="","",VLOOKUP(J32,'Group code'!$Z$15:$AC$18,4,FALSE))</f>
        <v/>
      </c>
      <c r="W32" s="23" t="str">
        <f t="shared" ca="1" si="15"/>
        <v xml:space="preserve">  entities:</v>
      </c>
      <c r="X32" s="5" t="str">
        <f t="shared" ca="1" si="4"/>
        <v/>
      </c>
    </row>
    <row r="33" spans="2:24" x14ac:dyDescent="0.25">
      <c r="B33" s="5">
        <f t="shared" si="0"/>
        <v>27</v>
      </c>
      <c r="C33" s="5">
        <f t="shared" ca="1" si="16"/>
        <v>4</v>
      </c>
      <c r="D33" s="5" t="str">
        <f ca="1">INDEX(cards[Attribute Index],MATCH('Group code'!C33,cards[object_id order],0))</f>
        <v>1</v>
      </c>
      <c r="E33" s="5">
        <f t="shared" ca="1" si="1"/>
        <v>1</v>
      </c>
      <c r="F33" s="14">
        <f ca="1">INDEX(cards[Entities count],MATCH('Group code'!C33,cards[object_id order],0))</f>
        <v>3</v>
      </c>
      <c r="G33" s="14">
        <f t="shared" ca="1" si="6"/>
        <v>3</v>
      </c>
      <c r="H33" s="14" t="str">
        <f t="shared" ca="1" si="7"/>
        <v/>
      </c>
      <c r="I33" s="5">
        <f t="shared" ca="1" si="8"/>
        <v>1</v>
      </c>
      <c r="J33" s="5" t="str">
        <f t="shared" ca="1" si="2"/>
        <v/>
      </c>
      <c r="K33" s="5" t="str">
        <f t="shared" ca="1" si="9"/>
        <v/>
      </c>
      <c r="L33" s="5" t="str">
        <f t="shared" ca="1" si="10"/>
        <v/>
      </c>
      <c r="M33" s="5" t="str">
        <f t="shared" ca="1" si="11"/>
        <v/>
      </c>
      <c r="N33" s="5">
        <f t="shared" ca="1" si="12"/>
        <v>0</v>
      </c>
      <c r="O33" s="5" t="str">
        <f t="shared" ca="1" si="13"/>
        <v/>
      </c>
      <c r="P33" s="5" t="str">
        <f ca="1">VLOOKUP(G33,'Group code'!$Z$9:$AC$13,3,FALSE)</f>
        <v xml:space="preserve">    - </v>
      </c>
      <c r="Q33" s="5" t="str">
        <f t="shared" ca="1" si="14"/>
        <v/>
      </c>
      <c r="R33" s="5" t="str">
        <f ca="1">IF(G33=0,INDEX(cards[object_id],MATCH($C33,cards[object_id order],0)),"")</f>
        <v/>
      </c>
      <c r="S33" s="5" t="str">
        <f ca="1">IF(G33=1,INDEX(cards[[name]:[control]],MATCH($C33,cards[object_id order],0),'Group code'!J33),"")</f>
        <v/>
      </c>
      <c r="T33" s="5" t="str">
        <f ca="1">IF(G33=3,INDEX(cards[[1]:[25]],MATCH($C33,cards[object_id order],0),'Group code'!I33),"")</f>
        <v>automation.rmbd_fan_off_at_12_pm</v>
      </c>
      <c r="U33" s="5" t="str">
        <f ca="1">VLOOKUP(G33,'Group code'!$Z$9:$AC$13,4,FALSE)</f>
        <v/>
      </c>
      <c r="V33" s="5" t="str">
        <f ca="1">IF(J33="","",VLOOKUP(J33,'Group code'!$Z$15:$AC$18,4,FALSE))</f>
        <v/>
      </c>
      <c r="W33" s="23" t="str">
        <f t="shared" ca="1" si="15"/>
        <v xml:space="preserve">    - automation.rmbd_fan_off_at_12_pm</v>
      </c>
      <c r="X33" s="5" t="str">
        <f t="shared" ca="1" si="4"/>
        <v/>
      </c>
    </row>
    <row r="34" spans="2:24" x14ac:dyDescent="0.25">
      <c r="B34" s="5">
        <f t="shared" si="0"/>
        <v>28</v>
      </c>
      <c r="C34" s="5">
        <f t="shared" ca="1" si="16"/>
        <v>4</v>
      </c>
      <c r="D34" s="5" t="str">
        <f ca="1">INDEX(cards[Attribute Index],MATCH('Group code'!C34,cards[object_id order],0))</f>
        <v>1</v>
      </c>
      <c r="E34" s="5">
        <f t="shared" ca="1" si="1"/>
        <v>1</v>
      </c>
      <c r="F34" s="14">
        <f ca="1">INDEX(cards[Entities count],MATCH('Group code'!C34,cards[object_id order],0))</f>
        <v>3</v>
      </c>
      <c r="G34" s="14">
        <f t="shared" ca="1" si="6"/>
        <v>3</v>
      </c>
      <c r="H34" s="14" t="str">
        <f t="shared" ca="1" si="7"/>
        <v/>
      </c>
      <c r="I34" s="5">
        <f t="shared" ca="1" si="8"/>
        <v>2</v>
      </c>
      <c r="J34" s="5" t="str">
        <f t="shared" ca="1" si="2"/>
        <v/>
      </c>
      <c r="K34" s="5" t="str">
        <f t="shared" ca="1" si="9"/>
        <v/>
      </c>
      <c r="L34" s="5" t="str">
        <f t="shared" ca="1" si="10"/>
        <v/>
      </c>
      <c r="M34" s="5" t="str">
        <f t="shared" ca="1" si="11"/>
        <v/>
      </c>
      <c r="N34" s="5">
        <f t="shared" ca="1" si="12"/>
        <v>0</v>
      </c>
      <c r="O34" s="5" t="str">
        <f t="shared" ca="1" si="13"/>
        <v/>
      </c>
      <c r="P34" s="5" t="str">
        <f ca="1">VLOOKUP(G34,'Group code'!$Z$9:$AC$13,3,FALSE)</f>
        <v xml:space="preserve">    - </v>
      </c>
      <c r="Q34" s="5" t="str">
        <f t="shared" ca="1" si="14"/>
        <v/>
      </c>
      <c r="R34" s="5" t="str">
        <f ca="1">IF(G34=0,INDEX(cards[object_id],MATCH($C34,cards[object_id order],0)),"")</f>
        <v/>
      </c>
      <c r="S34" s="5" t="str">
        <f ca="1">IF(G34=1,INDEX(cards[[name]:[control]],MATCH($C34,cards[object_id order],0),'Group code'!J34),"")</f>
        <v/>
      </c>
      <c r="T34" s="5" t="str">
        <f ca="1">IF(G34=3,INDEX(cards[[1]:[25]],MATCH($C34,cards[object_id order],0),'Group code'!I34),"")</f>
        <v>automation.rmbd_one_bulb_off_at_sunset</v>
      </c>
      <c r="U34" s="5" t="str">
        <f ca="1">VLOOKUP(G34,'Group code'!$Z$9:$AC$13,4,FALSE)</f>
        <v/>
      </c>
      <c r="V34" s="5" t="str">
        <f ca="1">IF(J34="","",VLOOKUP(J34,'Group code'!$Z$15:$AC$18,4,FALSE))</f>
        <v/>
      </c>
      <c r="W34" s="23" t="str">
        <f t="shared" ca="1" si="15"/>
        <v xml:space="preserve">    - automation.rmbd_one_bulb_off_at_sunset</v>
      </c>
      <c r="X34" s="5" t="str">
        <f t="shared" ca="1" si="4"/>
        <v/>
      </c>
    </row>
    <row r="35" spans="2:24" x14ac:dyDescent="0.25">
      <c r="B35" s="5">
        <f t="shared" si="0"/>
        <v>29</v>
      </c>
      <c r="C35" s="5">
        <f t="shared" ca="1" si="16"/>
        <v>4</v>
      </c>
      <c r="D35" s="5" t="str">
        <f ca="1">INDEX(cards[Attribute Index],MATCH('Group code'!C35,cards[object_id order],0))</f>
        <v>1</v>
      </c>
      <c r="E35" s="5">
        <f t="shared" ca="1" si="1"/>
        <v>1</v>
      </c>
      <c r="F35" s="14">
        <f ca="1">INDEX(cards[Entities count],MATCH('Group code'!C35,cards[object_id order],0))</f>
        <v>3</v>
      </c>
      <c r="G35" s="14">
        <f t="shared" ca="1" si="6"/>
        <v>3</v>
      </c>
      <c r="H35" s="14" t="str">
        <f t="shared" ca="1" si="7"/>
        <v/>
      </c>
      <c r="I35" s="5">
        <f t="shared" ca="1" si="8"/>
        <v>3</v>
      </c>
      <c r="J35" s="5" t="str">
        <f t="shared" ca="1" si="2"/>
        <v/>
      </c>
      <c r="K35" s="5" t="str">
        <f t="shared" ca="1" si="9"/>
        <v/>
      </c>
      <c r="L35" s="5" t="str">
        <f t="shared" ca="1" si="10"/>
        <v/>
      </c>
      <c r="M35" s="5" t="str">
        <f t="shared" ca="1" si="11"/>
        <v/>
      </c>
      <c r="N35" s="5">
        <f t="shared" ca="1" si="12"/>
        <v>1</v>
      </c>
      <c r="O35" s="5" t="str">
        <f t="shared" ca="1" si="13"/>
        <v/>
      </c>
      <c r="P35" s="5" t="str">
        <f ca="1">VLOOKUP(G35,'Group code'!$Z$9:$AC$13,3,FALSE)</f>
        <v xml:space="preserve">    - </v>
      </c>
      <c r="Q35" s="5" t="str">
        <f t="shared" ca="1" si="14"/>
        <v/>
      </c>
      <c r="R35" s="5" t="str">
        <f ca="1">IF(G35=0,INDEX(cards[object_id],MATCH($C35,cards[object_id order],0)),"")</f>
        <v/>
      </c>
      <c r="S35" s="5" t="str">
        <f ca="1">IF(G35=1,INDEX(cards[[name]:[control]],MATCH($C35,cards[object_id order],0),'Group code'!J35),"")</f>
        <v/>
      </c>
      <c r="T35" s="5" t="str">
        <f ca="1">IF(G35=3,INDEX(cards[[1]:[25]],MATCH($C35,cards[object_id order],0),'Group code'!I35),"")</f>
        <v>automation.rmbd_one_bulb_on_with_switch_at_night</v>
      </c>
      <c r="U35" s="5" t="str">
        <f ca="1">VLOOKUP(G35,'Group code'!$Z$9:$AC$13,4,FALSE)</f>
        <v/>
      </c>
      <c r="V35" s="5" t="str">
        <f ca="1">IF(J35="","",VLOOKUP(J35,'Group code'!$Z$15:$AC$18,4,FALSE))</f>
        <v/>
      </c>
      <c r="W35" s="23" t="str">
        <f t="shared" ca="1" si="15"/>
        <v xml:space="preserve">    - automation.rmbd_one_bulb_on_with_switch_at_night</v>
      </c>
      <c r="X35" s="5" t="str">
        <f t="shared" ca="1" si="4"/>
        <v/>
      </c>
    </row>
    <row r="36" spans="2:24" x14ac:dyDescent="0.25">
      <c r="B36" s="5">
        <f t="shared" si="0"/>
        <v>30</v>
      </c>
      <c r="C36" s="5">
        <f t="shared" ca="1" si="16"/>
        <v>4</v>
      </c>
      <c r="D36" s="5" t="str">
        <f ca="1">INDEX(cards[Attribute Index],MATCH('Group code'!C36,cards[object_id order],0))</f>
        <v>1</v>
      </c>
      <c r="E36" s="5">
        <f t="shared" ca="1" si="1"/>
        <v>1</v>
      </c>
      <c r="F36" s="14">
        <f ca="1">INDEX(cards[Entities count],MATCH('Group code'!C36,cards[object_id order],0))</f>
        <v>3</v>
      </c>
      <c r="G36" s="14">
        <f t="shared" ca="1" si="6"/>
        <v>4</v>
      </c>
      <c r="H36" s="14" t="str">
        <f t="shared" ca="1" si="7"/>
        <v/>
      </c>
      <c r="I36" s="5" t="str">
        <f t="shared" ca="1" si="8"/>
        <v/>
      </c>
      <c r="J36" s="5" t="str">
        <f t="shared" ca="1" si="2"/>
        <v/>
      </c>
      <c r="K36" s="5" t="str">
        <f t="shared" ca="1" si="9"/>
        <v/>
      </c>
      <c r="L36" s="5" t="str">
        <f t="shared" ca="1" si="10"/>
        <v/>
      </c>
      <c r="M36" s="5" t="str">
        <f t="shared" ca="1" si="11"/>
        <v/>
      </c>
      <c r="N36" s="5" t="str">
        <f t="shared" ca="1" si="12"/>
        <v/>
      </c>
      <c r="O36" s="5">
        <f t="shared" ca="1" si="13"/>
        <v>-4</v>
      </c>
      <c r="P36" s="5" t="str">
        <f ca="1">VLOOKUP(G36,'Group code'!$Z$9:$AC$13,3,FALSE)</f>
        <v/>
      </c>
      <c r="Q36" s="5" t="str">
        <f t="shared" ca="1" si="14"/>
        <v/>
      </c>
      <c r="R36" s="5" t="str">
        <f ca="1">IF(G36=0,INDEX(cards[object_id],MATCH($C36,cards[object_id order],0)),"")</f>
        <v/>
      </c>
      <c r="S36" s="5" t="str">
        <f ca="1">IF(G36=1,INDEX(cards[[name]:[control]],MATCH($C36,cards[object_id order],0),'Group code'!J36),"")</f>
        <v/>
      </c>
      <c r="T36" s="5" t="str">
        <f ca="1">IF(G36=3,INDEX(cards[[1]:[25]],MATCH($C36,cards[object_id order],0),'Group code'!I36),"")</f>
        <v/>
      </c>
      <c r="U36" s="5" t="str">
        <f ca="1">VLOOKUP(G36,'Group code'!$Z$9:$AC$13,4,FALSE)</f>
        <v/>
      </c>
      <c r="V36" s="5" t="str">
        <f ca="1">IF(J36="","",VLOOKUP(J36,'Group code'!$Z$15:$AC$18,4,FALSE))</f>
        <v/>
      </c>
      <c r="W36" s="23" t="str">
        <f t="shared" ca="1" si="15"/>
        <v/>
      </c>
      <c r="X36" s="5" t="str">
        <f t="shared" ca="1" si="4"/>
        <v/>
      </c>
    </row>
    <row r="37" spans="2:24" x14ac:dyDescent="0.25">
      <c r="B37" s="5">
        <f t="shared" si="0"/>
        <v>31</v>
      </c>
      <c r="C37" s="5">
        <f t="shared" ca="1" si="16"/>
        <v>5</v>
      </c>
      <c r="D37" s="5" t="str">
        <f ca="1">INDEX(cards[Attribute Index],MATCH('Group code'!C37,cards[object_id order],0))</f>
        <v>1</v>
      </c>
      <c r="E37" s="5">
        <f t="shared" ca="1" si="1"/>
        <v>1</v>
      </c>
      <c r="F37" s="14">
        <f ca="1">INDEX(cards[Entities count],MATCH('Group code'!C37,cards[object_id order],0))</f>
        <v>2</v>
      </c>
      <c r="G37" s="14">
        <f t="shared" ca="1" si="6"/>
        <v>0</v>
      </c>
      <c r="H37" s="14" t="str">
        <f t="shared" ca="1" si="7"/>
        <v/>
      </c>
      <c r="I37" s="5" t="str">
        <f t="shared" ca="1" si="8"/>
        <v/>
      </c>
      <c r="J37" s="5" t="str">
        <f t="shared" ca="1" si="2"/>
        <v/>
      </c>
      <c r="K37" s="5">
        <f t="shared" ca="1" si="9"/>
        <v>1</v>
      </c>
      <c r="L37" s="5" t="str">
        <f t="shared" ca="1" si="10"/>
        <v/>
      </c>
      <c r="M37" s="5" t="str">
        <f t="shared" ca="1" si="11"/>
        <v/>
      </c>
      <c r="N37" s="5" t="str">
        <f t="shared" ca="1" si="12"/>
        <v/>
      </c>
      <c r="O37" s="5" t="str">
        <f t="shared" ca="1" si="13"/>
        <v/>
      </c>
      <c r="P37" s="5" t="str">
        <f ca="1">VLOOKUP(G37,'Group code'!$Z$9:$AC$13,3,FALSE)</f>
        <v/>
      </c>
      <c r="Q37" s="5" t="str">
        <f t="shared" ca="1" si="14"/>
        <v/>
      </c>
      <c r="R37" s="5" t="str">
        <f ca="1">IF(G37=0,INDEX(cards[object_id],MATCH($C37,cards[object_id order],0)),"")</f>
        <v>automation_rmlv</v>
      </c>
      <c r="S37" s="5" t="str">
        <f ca="1">IF(G37=1,INDEX(cards[[name]:[control]],MATCH($C37,cards[object_id order],0),'Group code'!J37),"")</f>
        <v/>
      </c>
      <c r="T37" s="5" t="str">
        <f ca="1">IF(G37=3,INDEX(cards[[1]:[25]],MATCH($C37,cards[object_id order],0),'Group code'!I37),"")</f>
        <v/>
      </c>
      <c r="U37" s="5" t="str">
        <f ca="1">VLOOKUP(G37,'Group code'!$Z$9:$AC$13,4,FALSE)</f>
        <v>:</v>
      </c>
      <c r="V37" s="5" t="str">
        <f ca="1">IF(J37="","",VLOOKUP(J37,'Group code'!$Z$15:$AC$18,4,FALSE))</f>
        <v/>
      </c>
      <c r="W37" s="23" t="str">
        <f t="shared" ca="1" si="15"/>
        <v>automation_rmlv:</v>
      </c>
      <c r="X37" s="5" t="str">
        <f t="shared" ca="1" si="4"/>
        <v/>
      </c>
    </row>
    <row r="38" spans="2:24" x14ac:dyDescent="0.25">
      <c r="B38" s="5">
        <f t="shared" si="0"/>
        <v>32</v>
      </c>
      <c r="C38" s="5">
        <f t="shared" ca="1" si="16"/>
        <v>5</v>
      </c>
      <c r="D38" s="5" t="str">
        <f ca="1">INDEX(cards[Attribute Index],MATCH('Group code'!C38,cards[object_id order],0))</f>
        <v>1</v>
      </c>
      <c r="E38" s="5">
        <f t="shared" ca="1" si="1"/>
        <v>1</v>
      </c>
      <c r="F38" s="14">
        <f ca="1">INDEX(cards[Entities count],MATCH('Group code'!C38,cards[object_id order],0))</f>
        <v>2</v>
      </c>
      <c r="G38" s="14">
        <f t="shared" ca="1" si="6"/>
        <v>1</v>
      </c>
      <c r="H38" s="14">
        <f t="shared" ca="1" si="7"/>
        <v>1</v>
      </c>
      <c r="I38" s="5" t="str">
        <f t="shared" ca="1" si="8"/>
        <v/>
      </c>
      <c r="J38" s="5">
        <f t="shared" ca="1" si="2"/>
        <v>1</v>
      </c>
      <c r="K38" s="5" t="str">
        <f t="shared" ca="1" si="9"/>
        <v/>
      </c>
      <c r="L38" s="5">
        <f t="shared" ca="1" si="10"/>
        <v>1</v>
      </c>
      <c r="M38" s="5" t="str">
        <f t="shared" ca="1" si="11"/>
        <v/>
      </c>
      <c r="N38" s="5" t="str">
        <f t="shared" ca="1" si="12"/>
        <v/>
      </c>
      <c r="O38" s="5" t="str">
        <f t="shared" ca="1" si="13"/>
        <v/>
      </c>
      <c r="P38" s="5" t="str">
        <f ca="1">VLOOKUP(G38,'Group code'!$Z$9:$AC$13,3,FALSE)</f>
        <v/>
      </c>
      <c r="Q38" s="5" t="str">
        <f t="shared" ca="1" si="14"/>
        <v xml:space="preserve">  name: "</v>
      </c>
      <c r="R38" s="5" t="str">
        <f ca="1">IF(G38=0,INDEX(cards[object_id],MATCH($C38,cards[object_id order],0)),"")</f>
        <v/>
      </c>
      <c r="S38" s="5" t="str">
        <f ca="1">IF(G38=1,INDEX(cards[[name]:[control]],MATCH($C38,cards[object_id order],0),'Group code'!J38),"")</f>
        <v>Automation || Living Room</v>
      </c>
      <c r="T38" s="5" t="str">
        <f ca="1">IF(G38=3,INDEX(cards[[1]:[25]],MATCH($C38,cards[object_id order],0),'Group code'!I38),"")</f>
        <v/>
      </c>
      <c r="U38" s="5" t="str">
        <f ca="1">VLOOKUP(G38,'Group code'!$Z$9:$AC$13,4,FALSE)</f>
        <v/>
      </c>
      <c r="V38" s="5" t="str">
        <f ca="1">IF(J38="","",VLOOKUP(J38,'Group code'!$Z$15:$AC$18,4,FALSE))</f>
        <v>"</v>
      </c>
      <c r="W38" s="23" t="str">
        <f t="shared" ca="1" si="15"/>
        <v xml:space="preserve">  name: "Automation || Living Room"</v>
      </c>
      <c r="X38" s="5" t="str">
        <f t="shared" ca="1" si="4"/>
        <v/>
      </c>
    </row>
    <row r="39" spans="2:24" x14ac:dyDescent="0.25">
      <c r="B39" s="5">
        <f t="shared" si="0"/>
        <v>33</v>
      </c>
      <c r="C39" s="5">
        <f t="shared" ca="1" si="16"/>
        <v>5</v>
      </c>
      <c r="D39" s="5" t="str">
        <f ca="1">INDEX(cards[Attribute Index],MATCH('Group code'!C39,cards[object_id order],0))</f>
        <v>1</v>
      </c>
      <c r="E39" s="5">
        <f t="shared" ca="1" si="1"/>
        <v>1</v>
      </c>
      <c r="F39" s="14">
        <f ca="1">INDEX(cards[Entities count],MATCH('Group code'!C39,cards[object_id order],0))</f>
        <v>2</v>
      </c>
      <c r="G39" s="14">
        <f t="shared" ca="1" si="6"/>
        <v>2</v>
      </c>
      <c r="H39" s="14" t="str">
        <f t="shared" ca="1" si="7"/>
        <v/>
      </c>
      <c r="I39" s="5" t="str">
        <f t="shared" ca="1" si="8"/>
        <v/>
      </c>
      <c r="J39" s="5" t="str">
        <f t="shared" ca="1" si="2"/>
        <v/>
      </c>
      <c r="K39" s="5" t="str">
        <f t="shared" ca="1" si="9"/>
        <v/>
      </c>
      <c r="L39" s="5" t="str">
        <f t="shared" ca="1" si="10"/>
        <v/>
      </c>
      <c r="M39" s="5">
        <f t="shared" ca="1" si="11"/>
        <v>1</v>
      </c>
      <c r="N39" s="5" t="str">
        <f t="shared" ca="1" si="12"/>
        <v/>
      </c>
      <c r="O39" s="5" t="str">
        <f t="shared" ca="1" si="13"/>
        <v/>
      </c>
      <c r="P39" s="5" t="str">
        <f ca="1">VLOOKUP(G39,'Group code'!$Z$9:$AC$13,3,FALSE)</f>
        <v xml:space="preserve">  entities:</v>
      </c>
      <c r="Q39" s="5" t="str">
        <f t="shared" ca="1" si="14"/>
        <v/>
      </c>
      <c r="R39" s="5" t="str">
        <f ca="1">IF(G39=0,INDEX(cards[object_id],MATCH($C39,cards[object_id order],0)),"")</f>
        <v/>
      </c>
      <c r="S39" s="5" t="str">
        <f ca="1">IF(G39=1,INDEX(cards[[name]:[control]],MATCH($C39,cards[object_id order],0),'Group code'!J39),"")</f>
        <v/>
      </c>
      <c r="T39" s="5" t="str">
        <f ca="1">IF(G39=3,INDEX(cards[[1]:[25]],MATCH($C39,cards[object_id order],0),'Group code'!I39),"")</f>
        <v/>
      </c>
      <c r="U39" s="5" t="str">
        <f ca="1">VLOOKUP(G39,'Group code'!$Z$9:$AC$13,4,FALSE)</f>
        <v/>
      </c>
      <c r="V39" s="5" t="str">
        <f ca="1">IF(J39="","",VLOOKUP(J39,'Group code'!$Z$15:$AC$18,4,FALSE))</f>
        <v/>
      </c>
      <c r="W39" s="23" t="str">
        <f t="shared" ca="1" si="15"/>
        <v xml:space="preserve">  entities:</v>
      </c>
      <c r="X39" s="5" t="str">
        <f t="shared" ca="1" si="4"/>
        <v/>
      </c>
    </row>
    <row r="40" spans="2:24" x14ac:dyDescent="0.25">
      <c r="B40" s="5">
        <f t="shared" si="0"/>
        <v>34</v>
      </c>
      <c r="C40" s="5">
        <f t="shared" ca="1" si="16"/>
        <v>5</v>
      </c>
      <c r="D40" s="5" t="str">
        <f ca="1">INDEX(cards[Attribute Index],MATCH('Group code'!C40,cards[object_id order],0))</f>
        <v>1</v>
      </c>
      <c r="E40" s="5">
        <f t="shared" ca="1" si="1"/>
        <v>1</v>
      </c>
      <c r="F40" s="14">
        <f ca="1">INDEX(cards[Entities count],MATCH('Group code'!C40,cards[object_id order],0))</f>
        <v>2</v>
      </c>
      <c r="G40" s="14">
        <f t="shared" ca="1" si="6"/>
        <v>3</v>
      </c>
      <c r="H40" s="14" t="str">
        <f t="shared" ca="1" si="7"/>
        <v/>
      </c>
      <c r="I40" s="5">
        <f t="shared" ca="1" si="8"/>
        <v>1</v>
      </c>
      <c r="J40" s="5" t="str">
        <f t="shared" ca="1" si="2"/>
        <v/>
      </c>
      <c r="K40" s="5" t="str">
        <f t="shared" ca="1" si="9"/>
        <v/>
      </c>
      <c r="L40" s="5" t="str">
        <f t="shared" ca="1" si="10"/>
        <v/>
      </c>
      <c r="M40" s="5" t="str">
        <f t="shared" ca="1" si="11"/>
        <v/>
      </c>
      <c r="N40" s="5">
        <f t="shared" ca="1" si="12"/>
        <v>0</v>
      </c>
      <c r="O40" s="5" t="str">
        <f t="shared" ca="1" si="13"/>
        <v/>
      </c>
      <c r="P40" s="5" t="str">
        <f ca="1">VLOOKUP(G40,'Group code'!$Z$9:$AC$13,3,FALSE)</f>
        <v xml:space="preserve">    - </v>
      </c>
      <c r="Q40" s="5" t="str">
        <f t="shared" ca="1" si="14"/>
        <v/>
      </c>
      <c r="R40" s="5" t="str">
        <f ca="1">IF(G40=0,INDEX(cards[object_id],MATCH($C40,cards[object_id order],0)),"")</f>
        <v/>
      </c>
      <c r="S40" s="5" t="str">
        <f ca="1">IF(G40=1,INDEX(cards[[name]:[control]],MATCH($C40,cards[object_id order],0),'Group code'!J40),"")</f>
        <v/>
      </c>
      <c r="T40" s="5" t="str">
        <f ca="1">IF(G40=3,INDEX(cards[[1]:[25]],MATCH($C40,cards[object_id order],0),'Group code'!I40),"")</f>
        <v>automation.rmlv_amp_off_at_3_am</v>
      </c>
      <c r="U40" s="5" t="str">
        <f ca="1">VLOOKUP(G40,'Group code'!$Z$9:$AC$13,4,FALSE)</f>
        <v/>
      </c>
      <c r="V40" s="5" t="str">
        <f ca="1">IF(J40="","",VLOOKUP(J40,'Group code'!$Z$15:$AC$18,4,FALSE))</f>
        <v/>
      </c>
      <c r="W40" s="23" t="str">
        <f t="shared" ca="1" si="15"/>
        <v xml:space="preserve">    - automation.rmlv_amp_off_at_3_am</v>
      </c>
      <c r="X40" s="5" t="str">
        <f t="shared" ca="1" si="4"/>
        <v/>
      </c>
    </row>
    <row r="41" spans="2:24" x14ac:dyDescent="0.25">
      <c r="B41" s="5">
        <f t="shared" si="0"/>
        <v>35</v>
      </c>
      <c r="C41" s="5">
        <f t="shared" ca="1" si="16"/>
        <v>5</v>
      </c>
      <c r="D41" s="5" t="str">
        <f ca="1">INDEX(cards[Attribute Index],MATCH('Group code'!C41,cards[object_id order],0))</f>
        <v>1</v>
      </c>
      <c r="E41" s="5">
        <f t="shared" ca="1" si="1"/>
        <v>1</v>
      </c>
      <c r="F41" s="14">
        <f ca="1">INDEX(cards[Entities count],MATCH('Group code'!C41,cards[object_id order],0))</f>
        <v>2</v>
      </c>
      <c r="G41" s="14">
        <f t="shared" ca="1" si="6"/>
        <v>3</v>
      </c>
      <c r="H41" s="14" t="str">
        <f t="shared" ca="1" si="7"/>
        <v/>
      </c>
      <c r="I41" s="5">
        <f t="shared" ca="1" si="8"/>
        <v>2</v>
      </c>
      <c r="J41" s="5" t="str">
        <f t="shared" ca="1" si="2"/>
        <v/>
      </c>
      <c r="K41" s="5" t="str">
        <f t="shared" ca="1" si="9"/>
        <v/>
      </c>
      <c r="L41" s="5" t="str">
        <f t="shared" ca="1" si="10"/>
        <v/>
      </c>
      <c r="M41" s="5" t="str">
        <f t="shared" ca="1" si="11"/>
        <v/>
      </c>
      <c r="N41" s="5">
        <f t="shared" ca="1" si="12"/>
        <v>1</v>
      </c>
      <c r="O41" s="5" t="str">
        <f t="shared" ca="1" si="13"/>
        <v/>
      </c>
      <c r="P41" s="5" t="str">
        <f ca="1">VLOOKUP(G41,'Group code'!$Z$9:$AC$13,3,FALSE)</f>
        <v xml:space="preserve">    - </v>
      </c>
      <c r="Q41" s="5" t="str">
        <f t="shared" ca="1" si="14"/>
        <v/>
      </c>
      <c r="R41" s="5" t="str">
        <f ca="1">IF(G41=0,INDEX(cards[object_id],MATCH($C41,cards[object_id order],0)),"")</f>
        <v/>
      </c>
      <c r="S41" s="5" t="str">
        <f ca="1">IF(G41=1,INDEX(cards[[name]:[control]],MATCH($C41,cards[object_id order],0),'Group code'!J41),"")</f>
        <v/>
      </c>
      <c r="T41" s="5" t="str">
        <f ca="1">IF(G41=3,INDEX(cards[[1]:[25]],MATCH($C41,cards[object_id order],0),'Group code'!I41),"")</f>
        <v>automation.rmlv_amp_off_with_humvee</v>
      </c>
      <c r="U41" s="5" t="str">
        <f ca="1">VLOOKUP(G41,'Group code'!$Z$9:$AC$13,4,FALSE)</f>
        <v/>
      </c>
      <c r="V41" s="5" t="str">
        <f ca="1">IF(J41="","",VLOOKUP(J41,'Group code'!$Z$15:$AC$18,4,FALSE))</f>
        <v/>
      </c>
      <c r="W41" s="23" t="str">
        <f t="shared" ca="1" si="15"/>
        <v xml:space="preserve">    - automation.rmlv_amp_off_with_humvee</v>
      </c>
      <c r="X41" s="5" t="str">
        <f t="shared" ca="1" si="4"/>
        <v/>
      </c>
    </row>
    <row r="42" spans="2:24" x14ac:dyDescent="0.25">
      <c r="B42" s="5">
        <f t="shared" si="0"/>
        <v>36</v>
      </c>
      <c r="C42" s="5">
        <f t="shared" ca="1" si="16"/>
        <v>5</v>
      </c>
      <c r="D42" s="5" t="str">
        <f ca="1">INDEX(cards[Attribute Index],MATCH('Group code'!C42,cards[object_id order],0))</f>
        <v>1</v>
      </c>
      <c r="E42" s="5">
        <f t="shared" ca="1" si="1"/>
        <v>1</v>
      </c>
      <c r="F42" s="14">
        <f ca="1">INDEX(cards[Entities count],MATCH('Group code'!C42,cards[object_id order],0))</f>
        <v>2</v>
      </c>
      <c r="G42" s="14">
        <f t="shared" ca="1" si="6"/>
        <v>4</v>
      </c>
      <c r="H42" s="14" t="str">
        <f t="shared" ca="1" si="7"/>
        <v/>
      </c>
      <c r="I42" s="5" t="str">
        <f t="shared" ca="1" si="8"/>
        <v/>
      </c>
      <c r="J42" s="5" t="str">
        <f t="shared" ca="1" si="2"/>
        <v/>
      </c>
      <c r="K42" s="5" t="str">
        <f t="shared" ca="1" si="9"/>
        <v/>
      </c>
      <c r="L42" s="5" t="str">
        <f t="shared" ca="1" si="10"/>
        <v/>
      </c>
      <c r="M42" s="5" t="str">
        <f t="shared" ca="1" si="11"/>
        <v/>
      </c>
      <c r="N42" s="5" t="str">
        <f t="shared" ca="1" si="12"/>
        <v/>
      </c>
      <c r="O42" s="5">
        <f t="shared" ca="1" si="13"/>
        <v>-4</v>
      </c>
      <c r="P42" s="5" t="str">
        <f ca="1">VLOOKUP(G42,'Group code'!$Z$9:$AC$13,3,FALSE)</f>
        <v/>
      </c>
      <c r="Q42" s="5" t="str">
        <f t="shared" ca="1" si="14"/>
        <v/>
      </c>
      <c r="R42" s="5" t="str">
        <f ca="1">IF(G42=0,INDEX(cards[object_id],MATCH($C42,cards[object_id order],0)),"")</f>
        <v/>
      </c>
      <c r="S42" s="5" t="str">
        <f ca="1">IF(G42=1,INDEX(cards[[name]:[control]],MATCH($C42,cards[object_id order],0),'Group code'!J42),"")</f>
        <v/>
      </c>
      <c r="T42" s="5" t="str">
        <f ca="1">IF(G42=3,INDEX(cards[[1]:[25]],MATCH($C42,cards[object_id order],0),'Group code'!I42),"")</f>
        <v/>
      </c>
      <c r="U42" s="5" t="str">
        <f ca="1">VLOOKUP(G42,'Group code'!$Z$9:$AC$13,4,FALSE)</f>
        <v/>
      </c>
      <c r="V42" s="5" t="str">
        <f ca="1">IF(J42="","",VLOOKUP(J42,'Group code'!$Z$15:$AC$18,4,FALSE))</f>
        <v/>
      </c>
      <c r="W42" s="23" t="str">
        <f t="shared" ca="1" si="15"/>
        <v/>
      </c>
      <c r="X42" s="5" t="str">
        <f t="shared" ca="1" si="4"/>
        <v/>
      </c>
    </row>
    <row r="43" spans="2:24" x14ac:dyDescent="0.25">
      <c r="B43" s="5">
        <f t="shared" si="0"/>
        <v>37</v>
      </c>
      <c r="C43" s="5">
        <f t="shared" ca="1" si="16"/>
        <v>6</v>
      </c>
      <c r="D43" s="5" t="str">
        <f ca="1">INDEX(cards[Attribute Index],MATCH('Group code'!C43,cards[object_id order],0))</f>
        <v>1</v>
      </c>
      <c r="E43" s="5">
        <f t="shared" ca="1" si="1"/>
        <v>1</v>
      </c>
      <c r="F43" s="14">
        <f ca="1">INDEX(cards[Entities count],MATCH('Group code'!C43,cards[object_id order],0))</f>
        <v>6</v>
      </c>
      <c r="G43" s="14">
        <f t="shared" ca="1" si="6"/>
        <v>0</v>
      </c>
      <c r="H43" s="14" t="str">
        <f t="shared" ca="1" si="7"/>
        <v/>
      </c>
      <c r="I43" s="5" t="str">
        <f t="shared" ca="1" si="8"/>
        <v/>
      </c>
      <c r="J43" s="5" t="str">
        <f t="shared" ca="1" si="2"/>
        <v/>
      </c>
      <c r="K43" s="5">
        <f t="shared" ca="1" si="9"/>
        <v>1</v>
      </c>
      <c r="L43" s="5" t="str">
        <f t="shared" ca="1" si="10"/>
        <v/>
      </c>
      <c r="M43" s="5" t="str">
        <f t="shared" ca="1" si="11"/>
        <v/>
      </c>
      <c r="N43" s="5" t="str">
        <f t="shared" ca="1" si="12"/>
        <v/>
      </c>
      <c r="O43" s="5" t="str">
        <f t="shared" ca="1" si="13"/>
        <v/>
      </c>
      <c r="P43" s="5" t="str">
        <f ca="1">VLOOKUP(G43,'Group code'!$Z$9:$AC$13,3,FALSE)</f>
        <v/>
      </c>
      <c r="Q43" s="5" t="str">
        <f t="shared" ca="1" si="14"/>
        <v/>
      </c>
      <c r="R43" s="5" t="str">
        <f ca="1">IF(G43=0,INDEX(cards[object_id],MATCH($C43,cards[object_id order],0)),"")</f>
        <v>automation_rmlvtv</v>
      </c>
      <c r="S43" s="5" t="str">
        <f ca="1">IF(G43=1,INDEX(cards[[name]:[control]],MATCH($C43,cards[object_id order],0),'Group code'!J43),"")</f>
        <v/>
      </c>
      <c r="T43" s="5" t="str">
        <f ca="1">IF(G43=3,INDEX(cards[[1]:[25]],MATCH($C43,cards[object_id order],0),'Group code'!I43),"")</f>
        <v/>
      </c>
      <c r="U43" s="5" t="str">
        <f ca="1">VLOOKUP(G43,'Group code'!$Z$9:$AC$13,4,FALSE)</f>
        <v>:</v>
      </c>
      <c r="V43" s="5" t="str">
        <f ca="1">IF(J43="","",VLOOKUP(J43,'Group code'!$Z$15:$AC$18,4,FALSE))</f>
        <v/>
      </c>
      <c r="W43" s="23" t="str">
        <f t="shared" ca="1" si="15"/>
        <v>automation_rmlvtv:</v>
      </c>
      <c r="X43" s="5" t="str">
        <f t="shared" ca="1" si="4"/>
        <v/>
      </c>
    </row>
    <row r="44" spans="2:24" x14ac:dyDescent="0.25">
      <c r="B44" s="5">
        <f t="shared" si="0"/>
        <v>38</v>
      </c>
      <c r="C44" s="5">
        <f t="shared" ca="1" si="16"/>
        <v>6</v>
      </c>
      <c r="D44" s="5" t="str">
        <f ca="1">INDEX(cards[Attribute Index],MATCH('Group code'!C44,cards[object_id order],0))</f>
        <v>1</v>
      </c>
      <c r="E44" s="5">
        <f t="shared" ca="1" si="1"/>
        <v>1</v>
      </c>
      <c r="F44" s="14">
        <f ca="1">INDEX(cards[Entities count],MATCH('Group code'!C44,cards[object_id order],0))</f>
        <v>6</v>
      </c>
      <c r="G44" s="14">
        <f t="shared" ca="1" si="6"/>
        <v>1</v>
      </c>
      <c r="H44" s="14">
        <f t="shared" ca="1" si="7"/>
        <v>1</v>
      </c>
      <c r="I44" s="5" t="str">
        <f t="shared" ca="1" si="8"/>
        <v/>
      </c>
      <c r="J44" s="5">
        <f t="shared" ca="1" si="2"/>
        <v>1</v>
      </c>
      <c r="K44" s="5" t="str">
        <f t="shared" ca="1" si="9"/>
        <v/>
      </c>
      <c r="L44" s="5">
        <f t="shared" ca="1" si="10"/>
        <v>1</v>
      </c>
      <c r="M44" s="5" t="str">
        <f t="shared" ca="1" si="11"/>
        <v/>
      </c>
      <c r="N44" s="5" t="str">
        <f t="shared" ca="1" si="12"/>
        <v/>
      </c>
      <c r="O44" s="5" t="str">
        <f t="shared" ca="1" si="13"/>
        <v/>
      </c>
      <c r="P44" s="5" t="str">
        <f ca="1">VLOOKUP(G44,'Group code'!$Z$9:$AC$13,3,FALSE)</f>
        <v/>
      </c>
      <c r="Q44" s="5" t="str">
        <f t="shared" ca="1" si="14"/>
        <v xml:space="preserve">  name: "</v>
      </c>
      <c r="R44" s="5" t="str">
        <f ca="1">IF(G44=0,INDEX(cards[object_id],MATCH($C44,cards[object_id order],0)),"")</f>
        <v/>
      </c>
      <c r="S44" s="5" t="str">
        <f ca="1">IF(G44=1,INDEX(cards[[name]:[control]],MATCH($C44,cards[object_id order],0),'Group code'!J44),"")</f>
        <v>Automation || Living Room TV</v>
      </c>
      <c r="T44" s="5" t="str">
        <f ca="1">IF(G44=3,INDEX(cards[[1]:[25]],MATCH($C44,cards[object_id order],0),'Group code'!I44),"")</f>
        <v/>
      </c>
      <c r="U44" s="5" t="str">
        <f ca="1">VLOOKUP(G44,'Group code'!$Z$9:$AC$13,4,FALSE)</f>
        <v/>
      </c>
      <c r="V44" s="5" t="str">
        <f ca="1">IF(J44="","",VLOOKUP(J44,'Group code'!$Z$15:$AC$18,4,FALSE))</f>
        <v>"</v>
      </c>
      <c r="W44" s="23" t="str">
        <f t="shared" ca="1" si="15"/>
        <v xml:space="preserve">  name: "Automation || Living Room TV"</v>
      </c>
      <c r="X44" s="5" t="str">
        <f t="shared" ca="1" si="4"/>
        <v/>
      </c>
    </row>
    <row r="45" spans="2:24" x14ac:dyDescent="0.25">
      <c r="B45" s="5">
        <f t="shared" si="0"/>
        <v>39</v>
      </c>
      <c r="C45" s="5">
        <f t="shared" ca="1" si="16"/>
        <v>6</v>
      </c>
      <c r="D45" s="5" t="str">
        <f ca="1">INDEX(cards[Attribute Index],MATCH('Group code'!C45,cards[object_id order],0))</f>
        <v>1</v>
      </c>
      <c r="E45" s="5">
        <f t="shared" ca="1" si="1"/>
        <v>1</v>
      </c>
      <c r="F45" s="14">
        <f ca="1">INDEX(cards[Entities count],MATCH('Group code'!C45,cards[object_id order],0))</f>
        <v>6</v>
      </c>
      <c r="G45" s="14">
        <f t="shared" ca="1" si="6"/>
        <v>2</v>
      </c>
      <c r="H45" s="14" t="str">
        <f t="shared" ca="1" si="7"/>
        <v/>
      </c>
      <c r="I45" s="5" t="str">
        <f t="shared" ca="1" si="8"/>
        <v/>
      </c>
      <c r="J45" s="5" t="str">
        <f t="shared" ca="1" si="2"/>
        <v/>
      </c>
      <c r="K45" s="5" t="str">
        <f t="shared" ca="1" si="9"/>
        <v/>
      </c>
      <c r="L45" s="5" t="str">
        <f t="shared" ca="1" si="10"/>
        <v/>
      </c>
      <c r="M45" s="5">
        <f t="shared" ca="1" si="11"/>
        <v>1</v>
      </c>
      <c r="N45" s="5" t="str">
        <f t="shared" ca="1" si="12"/>
        <v/>
      </c>
      <c r="O45" s="5" t="str">
        <f t="shared" ca="1" si="13"/>
        <v/>
      </c>
      <c r="P45" s="5" t="str">
        <f ca="1">VLOOKUP(G45,'Group code'!$Z$9:$AC$13,3,FALSE)</f>
        <v xml:space="preserve">  entities:</v>
      </c>
      <c r="Q45" s="5" t="str">
        <f t="shared" ca="1" si="14"/>
        <v/>
      </c>
      <c r="R45" s="5" t="str">
        <f ca="1">IF(G45=0,INDEX(cards[object_id],MATCH($C45,cards[object_id order],0)),"")</f>
        <v/>
      </c>
      <c r="S45" s="5" t="str">
        <f ca="1">IF(G45=1,INDEX(cards[[name]:[control]],MATCH($C45,cards[object_id order],0),'Group code'!J45),"")</f>
        <v/>
      </c>
      <c r="T45" s="5" t="str">
        <f ca="1">IF(G45=3,INDEX(cards[[1]:[25]],MATCH($C45,cards[object_id order],0),'Group code'!I45),"")</f>
        <v/>
      </c>
      <c r="U45" s="5" t="str">
        <f ca="1">VLOOKUP(G45,'Group code'!$Z$9:$AC$13,4,FALSE)</f>
        <v/>
      </c>
      <c r="V45" s="5" t="str">
        <f ca="1">IF(J45="","",VLOOKUP(J45,'Group code'!$Z$15:$AC$18,4,FALSE))</f>
        <v/>
      </c>
      <c r="W45" s="23" t="str">
        <f t="shared" ca="1" si="15"/>
        <v xml:space="preserve">  entities:</v>
      </c>
      <c r="X45" s="5" t="str">
        <f t="shared" ca="1" si="4"/>
        <v/>
      </c>
    </row>
    <row r="46" spans="2:24" x14ac:dyDescent="0.25">
      <c r="B46" s="5">
        <f t="shared" si="0"/>
        <v>40</v>
      </c>
      <c r="C46" s="5">
        <f t="shared" ca="1" si="16"/>
        <v>6</v>
      </c>
      <c r="D46" s="5" t="str">
        <f ca="1">INDEX(cards[Attribute Index],MATCH('Group code'!C46,cards[object_id order],0))</f>
        <v>1</v>
      </c>
      <c r="E46" s="5">
        <f t="shared" ca="1" si="1"/>
        <v>1</v>
      </c>
      <c r="F46" s="14">
        <f ca="1">INDEX(cards[Entities count],MATCH('Group code'!C46,cards[object_id order],0))</f>
        <v>6</v>
      </c>
      <c r="G46" s="14">
        <f t="shared" ca="1" si="6"/>
        <v>3</v>
      </c>
      <c r="H46" s="14" t="str">
        <f t="shared" ca="1" si="7"/>
        <v/>
      </c>
      <c r="I46" s="5">
        <f t="shared" ca="1" si="8"/>
        <v>1</v>
      </c>
      <c r="J46" s="5" t="str">
        <f t="shared" ca="1" si="2"/>
        <v/>
      </c>
      <c r="K46" s="5" t="str">
        <f t="shared" ca="1" si="9"/>
        <v/>
      </c>
      <c r="L46" s="5" t="str">
        <f t="shared" ca="1" si="10"/>
        <v/>
      </c>
      <c r="M46" s="5" t="str">
        <f t="shared" ca="1" si="11"/>
        <v/>
      </c>
      <c r="N46" s="5">
        <f t="shared" ca="1" si="12"/>
        <v>0</v>
      </c>
      <c r="O46" s="5" t="str">
        <f t="shared" ca="1" si="13"/>
        <v/>
      </c>
      <c r="P46" s="5" t="str">
        <f ca="1">VLOOKUP(G46,'Group code'!$Z$9:$AC$13,3,FALSE)</f>
        <v xml:space="preserve">    - </v>
      </c>
      <c r="Q46" s="5" t="str">
        <f t="shared" ca="1" si="14"/>
        <v/>
      </c>
      <c r="R46" s="5" t="str">
        <f ca="1">IF(G46=0,INDEX(cards[object_id],MATCH($C46,cards[object_id order],0)),"")</f>
        <v/>
      </c>
      <c r="S46" s="5" t="str">
        <f ca="1">IF(G46=1,INDEX(cards[[name]:[control]],MATCH($C46,cards[object_id order],0),'Group code'!J46),"")</f>
        <v/>
      </c>
      <c r="T46" s="5" t="str">
        <f ca="1">IF(G46=3,INDEX(cards[[1]:[25]],MATCH($C46,cards[object_id order],0),'Group code'!I46),"")</f>
        <v>automation.rmlvtv_chromecast_volume_to_4_on_start</v>
      </c>
      <c r="U46" s="5" t="str">
        <f ca="1">VLOOKUP(G46,'Group code'!$Z$9:$AC$13,4,FALSE)</f>
        <v/>
      </c>
      <c r="V46" s="5" t="str">
        <f ca="1">IF(J46="","",VLOOKUP(J46,'Group code'!$Z$15:$AC$18,4,FALSE))</f>
        <v/>
      </c>
      <c r="W46" s="23" t="str">
        <f t="shared" ca="1" si="15"/>
        <v xml:space="preserve">    - automation.rmlvtv_chromecast_volume_to_4_on_start</v>
      </c>
      <c r="X46" s="5" t="str">
        <f t="shared" ca="1" si="4"/>
        <v/>
      </c>
    </row>
    <row r="47" spans="2:24" x14ac:dyDescent="0.25">
      <c r="B47" s="5">
        <f t="shared" si="0"/>
        <v>41</v>
      </c>
      <c r="C47" s="5">
        <f t="shared" ca="1" si="16"/>
        <v>6</v>
      </c>
      <c r="D47" s="5" t="str">
        <f ca="1">INDEX(cards[Attribute Index],MATCH('Group code'!C47,cards[object_id order],0))</f>
        <v>1</v>
      </c>
      <c r="E47" s="5">
        <f t="shared" ca="1" si="1"/>
        <v>1</v>
      </c>
      <c r="F47" s="14">
        <f ca="1">INDEX(cards[Entities count],MATCH('Group code'!C47,cards[object_id order],0))</f>
        <v>6</v>
      </c>
      <c r="G47" s="14">
        <f t="shared" ca="1" si="6"/>
        <v>3</v>
      </c>
      <c r="H47" s="14" t="str">
        <f t="shared" ca="1" si="7"/>
        <v/>
      </c>
      <c r="I47" s="5">
        <f t="shared" ca="1" si="8"/>
        <v>2</v>
      </c>
      <c r="J47" s="5" t="str">
        <f t="shared" ca="1" si="2"/>
        <v/>
      </c>
      <c r="K47" s="5" t="str">
        <f t="shared" ca="1" si="9"/>
        <v/>
      </c>
      <c r="L47" s="5" t="str">
        <f t="shared" ca="1" si="10"/>
        <v/>
      </c>
      <c r="M47" s="5" t="str">
        <f t="shared" ca="1" si="11"/>
        <v/>
      </c>
      <c r="N47" s="5">
        <f t="shared" ca="1" si="12"/>
        <v>0</v>
      </c>
      <c r="O47" s="5" t="str">
        <f t="shared" ca="1" si="13"/>
        <v/>
      </c>
      <c r="P47" s="5" t="str">
        <f ca="1">VLOOKUP(G47,'Group code'!$Z$9:$AC$13,3,FALSE)</f>
        <v xml:space="preserve">    - </v>
      </c>
      <c r="Q47" s="5" t="str">
        <f t="shared" ca="1" si="14"/>
        <v/>
      </c>
      <c r="R47" s="5" t="str">
        <f ca="1">IF(G47=0,INDEX(cards[object_id],MATCH($C47,cards[object_id order],0)),"")</f>
        <v/>
      </c>
      <c r="S47" s="5" t="str">
        <f ca="1">IF(G47=1,INDEX(cards[[name]:[control]],MATCH($C47,cards[object_id order],0),'Group code'!J47),"")</f>
        <v/>
      </c>
      <c r="T47" s="5" t="str">
        <f ca="1">IF(G47=3,INDEX(cards[[1]:[25]],MATCH($C47,cards[object_id order],0),'Group code'!I47),"")</f>
        <v>automation.rmlvtv_tv_off_with_chromecast_from_playing</v>
      </c>
      <c r="U47" s="5" t="str">
        <f ca="1">VLOOKUP(G47,'Group code'!$Z$9:$AC$13,4,FALSE)</f>
        <v/>
      </c>
      <c r="V47" s="5" t="str">
        <f ca="1">IF(J47="","",VLOOKUP(J47,'Group code'!$Z$15:$AC$18,4,FALSE))</f>
        <v/>
      </c>
      <c r="W47" s="23" t="str">
        <f t="shared" ca="1" si="15"/>
        <v xml:space="preserve">    - automation.rmlvtv_tv_off_with_chromecast_from_playing</v>
      </c>
      <c r="X47" s="5" t="str">
        <f t="shared" ca="1" si="4"/>
        <v/>
      </c>
    </row>
    <row r="48" spans="2:24" x14ac:dyDescent="0.25">
      <c r="B48" s="5">
        <f t="shared" si="0"/>
        <v>42</v>
      </c>
      <c r="C48" s="5">
        <f t="shared" ca="1" si="16"/>
        <v>6</v>
      </c>
      <c r="D48" s="5" t="str">
        <f ca="1">INDEX(cards[Attribute Index],MATCH('Group code'!C48,cards[object_id order],0))</f>
        <v>1</v>
      </c>
      <c r="E48" s="5">
        <f t="shared" ca="1" si="1"/>
        <v>1</v>
      </c>
      <c r="F48" s="14">
        <f ca="1">INDEX(cards[Entities count],MATCH('Group code'!C48,cards[object_id order],0))</f>
        <v>6</v>
      </c>
      <c r="G48" s="14">
        <f t="shared" ca="1" si="6"/>
        <v>3</v>
      </c>
      <c r="H48" s="14" t="str">
        <f t="shared" ca="1" si="7"/>
        <v/>
      </c>
      <c r="I48" s="5">
        <f t="shared" ca="1" si="8"/>
        <v>3</v>
      </c>
      <c r="J48" s="5" t="str">
        <f t="shared" ca="1" si="2"/>
        <v/>
      </c>
      <c r="K48" s="5" t="str">
        <f t="shared" ca="1" si="9"/>
        <v/>
      </c>
      <c r="L48" s="5" t="str">
        <f t="shared" ca="1" si="10"/>
        <v/>
      </c>
      <c r="M48" s="5" t="str">
        <f t="shared" ca="1" si="11"/>
        <v/>
      </c>
      <c r="N48" s="5">
        <f t="shared" ca="1" si="12"/>
        <v>0</v>
      </c>
      <c r="O48" s="5" t="str">
        <f t="shared" ca="1" si="13"/>
        <v/>
      </c>
      <c r="P48" s="5" t="str">
        <f ca="1">VLOOKUP(G48,'Group code'!$Z$9:$AC$13,3,FALSE)</f>
        <v xml:space="preserve">    - </v>
      </c>
      <c r="Q48" s="5" t="str">
        <f t="shared" ca="1" si="14"/>
        <v/>
      </c>
      <c r="R48" s="5" t="str">
        <f ca="1">IF(G48=0,INDEX(cards[object_id],MATCH($C48,cards[object_id order],0)),"")</f>
        <v/>
      </c>
      <c r="S48" s="5" t="str">
        <f ca="1">IF(G48=1,INDEX(cards[[name]:[control]],MATCH($C48,cards[object_id order],0),'Group code'!J48),"")</f>
        <v/>
      </c>
      <c r="T48" s="5" t="str">
        <f ca="1">IF(G48=3,INDEX(cards[[1]:[25]],MATCH($C48,cards[object_id order],0),'Group code'!I48),"")</f>
        <v>automation.rmlvtv_tv_off_with_chromecast_from_idle</v>
      </c>
      <c r="U48" s="5" t="str">
        <f ca="1">VLOOKUP(G48,'Group code'!$Z$9:$AC$13,4,FALSE)</f>
        <v/>
      </c>
      <c r="V48" s="5" t="str">
        <f ca="1">IF(J48="","",VLOOKUP(J48,'Group code'!$Z$15:$AC$18,4,FALSE))</f>
        <v/>
      </c>
      <c r="W48" s="23" t="str">
        <f t="shared" ca="1" si="15"/>
        <v xml:space="preserve">    - automation.rmlvtv_tv_off_with_chromecast_from_idle</v>
      </c>
      <c r="X48" s="5" t="str">
        <f t="shared" ca="1" si="4"/>
        <v/>
      </c>
    </row>
    <row r="49" spans="2:24" x14ac:dyDescent="0.25">
      <c r="B49" s="5">
        <f t="shared" si="0"/>
        <v>43</v>
      </c>
      <c r="C49" s="5">
        <f t="shared" ca="1" si="16"/>
        <v>6</v>
      </c>
      <c r="D49" s="5" t="str">
        <f ca="1">INDEX(cards[Attribute Index],MATCH('Group code'!C49,cards[object_id order],0))</f>
        <v>1</v>
      </c>
      <c r="E49" s="5">
        <f t="shared" ca="1" si="1"/>
        <v>1</v>
      </c>
      <c r="F49" s="14">
        <f ca="1">INDEX(cards[Entities count],MATCH('Group code'!C49,cards[object_id order],0))</f>
        <v>6</v>
      </c>
      <c r="G49" s="14">
        <f t="shared" ca="1" si="6"/>
        <v>3</v>
      </c>
      <c r="H49" s="14" t="str">
        <f t="shared" ca="1" si="7"/>
        <v/>
      </c>
      <c r="I49" s="5">
        <f t="shared" ca="1" si="8"/>
        <v>4</v>
      </c>
      <c r="J49" s="5" t="str">
        <f t="shared" ca="1" si="2"/>
        <v/>
      </c>
      <c r="K49" s="5" t="str">
        <f t="shared" ca="1" si="9"/>
        <v/>
      </c>
      <c r="L49" s="5" t="str">
        <f t="shared" ca="1" si="10"/>
        <v/>
      </c>
      <c r="M49" s="5" t="str">
        <f t="shared" ca="1" si="11"/>
        <v/>
      </c>
      <c r="N49" s="5">
        <f t="shared" ca="1" si="12"/>
        <v>0</v>
      </c>
      <c r="O49" s="5" t="str">
        <f t="shared" ca="1" si="13"/>
        <v/>
      </c>
      <c r="P49" s="5" t="str">
        <f ca="1">VLOOKUP(G49,'Group code'!$Z$9:$AC$13,3,FALSE)</f>
        <v xml:space="preserve">    - </v>
      </c>
      <c r="Q49" s="5" t="str">
        <f t="shared" ca="1" si="14"/>
        <v/>
      </c>
      <c r="R49" s="5" t="str">
        <f ca="1">IF(G49=0,INDEX(cards[object_id],MATCH($C49,cards[object_id order],0)),"")</f>
        <v/>
      </c>
      <c r="S49" s="5" t="str">
        <f ca="1">IF(G49=1,INDEX(cards[[name]:[control]],MATCH($C49,cards[object_id order],0),'Group code'!J49),"")</f>
        <v/>
      </c>
      <c r="T49" s="5" t="str">
        <f ca="1">IF(G49=3,INDEX(cards[[1]:[25]],MATCH($C49,cards[object_id order],0),'Group code'!I49),"")</f>
        <v>automation.rmlvtv_tv_off_with_chromecast_from_paused</v>
      </c>
      <c r="U49" s="5" t="str">
        <f ca="1">VLOOKUP(G49,'Group code'!$Z$9:$AC$13,4,FALSE)</f>
        <v/>
      </c>
      <c r="V49" s="5" t="str">
        <f ca="1">IF(J49="","",VLOOKUP(J49,'Group code'!$Z$15:$AC$18,4,FALSE))</f>
        <v/>
      </c>
      <c r="W49" s="23" t="str">
        <f t="shared" ca="1" si="15"/>
        <v xml:space="preserve">    - automation.rmlvtv_tv_off_with_chromecast_from_paused</v>
      </c>
      <c r="X49" s="5" t="str">
        <f t="shared" ca="1" si="4"/>
        <v/>
      </c>
    </row>
    <row r="50" spans="2:24" x14ac:dyDescent="0.25">
      <c r="B50" s="5">
        <f t="shared" si="0"/>
        <v>44</v>
      </c>
      <c r="C50" s="5">
        <f t="shared" ca="1" si="16"/>
        <v>6</v>
      </c>
      <c r="D50" s="5" t="str">
        <f ca="1">INDEX(cards[Attribute Index],MATCH('Group code'!C50,cards[object_id order],0))</f>
        <v>1</v>
      </c>
      <c r="E50" s="5">
        <f t="shared" ca="1" si="1"/>
        <v>1</v>
      </c>
      <c r="F50" s="14">
        <f ca="1">INDEX(cards[Entities count],MATCH('Group code'!C50,cards[object_id order],0))</f>
        <v>6</v>
      </c>
      <c r="G50" s="14">
        <f t="shared" ca="1" si="6"/>
        <v>3</v>
      </c>
      <c r="H50" s="14" t="str">
        <f t="shared" ca="1" si="7"/>
        <v/>
      </c>
      <c r="I50" s="5">
        <f t="shared" ca="1" si="8"/>
        <v>5</v>
      </c>
      <c r="J50" s="5" t="str">
        <f t="shared" ca="1" si="2"/>
        <v/>
      </c>
      <c r="K50" s="5" t="str">
        <f t="shared" ca="1" si="9"/>
        <v/>
      </c>
      <c r="L50" s="5" t="str">
        <f t="shared" ca="1" si="10"/>
        <v/>
      </c>
      <c r="M50" s="5" t="str">
        <f t="shared" ca="1" si="11"/>
        <v/>
      </c>
      <c r="N50" s="5">
        <f t="shared" ca="1" si="12"/>
        <v>0</v>
      </c>
      <c r="O50" s="5" t="str">
        <f t="shared" ca="1" si="13"/>
        <v/>
      </c>
      <c r="P50" s="5" t="str">
        <f ca="1">VLOOKUP(G50,'Group code'!$Z$9:$AC$13,3,FALSE)</f>
        <v xml:space="preserve">    - </v>
      </c>
      <c r="Q50" s="5" t="str">
        <f t="shared" ca="1" si="14"/>
        <v/>
      </c>
      <c r="R50" s="5" t="str">
        <f ca="1">IF(G50=0,INDEX(cards[object_id],MATCH($C50,cards[object_id order],0)),"")</f>
        <v/>
      </c>
      <c r="S50" s="5" t="str">
        <f ca="1">IF(G50=1,INDEX(cards[[name]:[control]],MATCH($C50,cards[object_id order],0),'Group code'!J50),"")</f>
        <v/>
      </c>
      <c r="T50" s="5" t="str">
        <f ca="1">IF(G50=3,INDEX(cards[[1]:[25]],MATCH($C50,cards[object_id order],0),'Group code'!I50),"")</f>
        <v>automation.rmlvtv_tv_on_with_chromecast</v>
      </c>
      <c r="U50" s="5" t="str">
        <f ca="1">VLOOKUP(G50,'Group code'!$Z$9:$AC$13,4,FALSE)</f>
        <v/>
      </c>
      <c r="V50" s="5" t="str">
        <f ca="1">IF(J50="","",VLOOKUP(J50,'Group code'!$Z$15:$AC$18,4,FALSE))</f>
        <v/>
      </c>
      <c r="W50" s="23" t="str">
        <f t="shared" ca="1" si="15"/>
        <v xml:space="preserve">    - automation.rmlvtv_tv_on_with_chromecast</v>
      </c>
      <c r="X50" s="5" t="str">
        <f t="shared" ca="1" si="4"/>
        <v/>
      </c>
    </row>
    <row r="51" spans="2:24" x14ac:dyDescent="0.25">
      <c r="B51" s="5">
        <f t="shared" si="0"/>
        <v>45</v>
      </c>
      <c r="C51" s="5">
        <f t="shared" ca="1" si="16"/>
        <v>6</v>
      </c>
      <c r="D51" s="5" t="str">
        <f ca="1">INDEX(cards[Attribute Index],MATCH('Group code'!C51,cards[object_id order],0))</f>
        <v>1</v>
      </c>
      <c r="E51" s="5">
        <f t="shared" ca="1" si="1"/>
        <v>1</v>
      </c>
      <c r="F51" s="14">
        <f ca="1">INDEX(cards[Entities count],MATCH('Group code'!C51,cards[object_id order],0))</f>
        <v>6</v>
      </c>
      <c r="G51" s="14">
        <f t="shared" ca="1" si="6"/>
        <v>3</v>
      </c>
      <c r="H51" s="14" t="str">
        <f t="shared" ca="1" si="7"/>
        <v/>
      </c>
      <c r="I51" s="5">
        <f t="shared" ca="1" si="8"/>
        <v>6</v>
      </c>
      <c r="J51" s="5" t="str">
        <f t="shared" ca="1" si="2"/>
        <v/>
      </c>
      <c r="K51" s="5" t="str">
        <f t="shared" ca="1" si="9"/>
        <v/>
      </c>
      <c r="L51" s="5" t="str">
        <f t="shared" ca="1" si="10"/>
        <v/>
      </c>
      <c r="M51" s="5" t="str">
        <f t="shared" ca="1" si="11"/>
        <v/>
      </c>
      <c r="N51" s="5">
        <f t="shared" ca="1" si="12"/>
        <v>1</v>
      </c>
      <c r="O51" s="5" t="str">
        <f t="shared" ca="1" si="13"/>
        <v/>
      </c>
      <c r="P51" s="5" t="str">
        <f ca="1">VLOOKUP(G51,'Group code'!$Z$9:$AC$13,3,FALSE)</f>
        <v xml:space="preserve">    - </v>
      </c>
      <c r="Q51" s="5" t="str">
        <f t="shared" ca="1" si="14"/>
        <v/>
      </c>
      <c r="R51" s="5" t="str">
        <f ca="1">IF(G51=0,INDEX(cards[object_id],MATCH($C51,cards[object_id order],0)),"")</f>
        <v/>
      </c>
      <c r="S51" s="5" t="str">
        <f ca="1">IF(G51=1,INDEX(cards[[name]:[control]],MATCH($C51,cards[object_id order],0),'Group code'!J51),"")</f>
        <v/>
      </c>
      <c r="T51" s="5" t="str">
        <f ca="1">IF(G51=3,INDEX(cards[[1]:[25]],MATCH($C51,cards[object_id order],0),'Group code'!I51),"")</f>
        <v>automation.rmlvtv_turn_off_tv_if_chromecast_off</v>
      </c>
      <c r="U51" s="5" t="str">
        <f ca="1">VLOOKUP(G51,'Group code'!$Z$9:$AC$13,4,FALSE)</f>
        <v/>
      </c>
      <c r="V51" s="5" t="str">
        <f ca="1">IF(J51="","",VLOOKUP(J51,'Group code'!$Z$15:$AC$18,4,FALSE))</f>
        <v/>
      </c>
      <c r="W51" s="23" t="str">
        <f t="shared" ca="1" si="15"/>
        <v xml:space="preserve">    - automation.rmlvtv_turn_off_tv_if_chromecast_off</v>
      </c>
      <c r="X51" s="5" t="str">
        <f t="shared" ca="1" si="4"/>
        <v/>
      </c>
    </row>
    <row r="52" spans="2:24" x14ac:dyDescent="0.25">
      <c r="B52" s="5">
        <f t="shared" si="0"/>
        <v>46</v>
      </c>
      <c r="C52" s="5">
        <f t="shared" ca="1" si="16"/>
        <v>6</v>
      </c>
      <c r="D52" s="5" t="str">
        <f ca="1">INDEX(cards[Attribute Index],MATCH('Group code'!C52,cards[object_id order],0))</f>
        <v>1</v>
      </c>
      <c r="E52" s="5">
        <f t="shared" ca="1" si="1"/>
        <v>1</v>
      </c>
      <c r="F52" s="14">
        <f ca="1">INDEX(cards[Entities count],MATCH('Group code'!C52,cards[object_id order],0))</f>
        <v>6</v>
      </c>
      <c r="G52" s="14">
        <f t="shared" ca="1" si="6"/>
        <v>4</v>
      </c>
      <c r="H52" s="14" t="str">
        <f t="shared" ca="1" si="7"/>
        <v/>
      </c>
      <c r="I52" s="5" t="str">
        <f t="shared" ca="1" si="8"/>
        <v/>
      </c>
      <c r="J52" s="5" t="str">
        <f t="shared" ca="1" si="2"/>
        <v/>
      </c>
      <c r="K52" s="5" t="str">
        <f t="shared" ca="1" si="9"/>
        <v/>
      </c>
      <c r="L52" s="5" t="str">
        <f t="shared" ca="1" si="10"/>
        <v/>
      </c>
      <c r="M52" s="5" t="str">
        <f t="shared" ca="1" si="11"/>
        <v/>
      </c>
      <c r="N52" s="5" t="str">
        <f t="shared" ca="1" si="12"/>
        <v/>
      </c>
      <c r="O52" s="5">
        <f t="shared" ca="1" si="13"/>
        <v>-4</v>
      </c>
      <c r="P52" s="5" t="str">
        <f ca="1">VLOOKUP(G52,'Group code'!$Z$9:$AC$13,3,FALSE)</f>
        <v/>
      </c>
      <c r="Q52" s="5" t="str">
        <f t="shared" ca="1" si="14"/>
        <v/>
      </c>
      <c r="R52" s="5" t="str">
        <f ca="1">IF(G52=0,INDEX(cards[object_id],MATCH($C52,cards[object_id order],0)),"")</f>
        <v/>
      </c>
      <c r="S52" s="5" t="str">
        <f ca="1">IF(G52=1,INDEX(cards[[name]:[control]],MATCH($C52,cards[object_id order],0),'Group code'!J52),"")</f>
        <v/>
      </c>
      <c r="T52" s="5" t="str">
        <f ca="1">IF(G52=3,INDEX(cards[[1]:[25]],MATCH($C52,cards[object_id order],0),'Group code'!I52),"")</f>
        <v/>
      </c>
      <c r="U52" s="5" t="str">
        <f ca="1">VLOOKUP(G52,'Group code'!$Z$9:$AC$13,4,FALSE)</f>
        <v/>
      </c>
      <c r="V52" s="5" t="str">
        <f ca="1">IF(J52="","",VLOOKUP(J52,'Group code'!$Z$15:$AC$18,4,FALSE))</f>
        <v/>
      </c>
      <c r="W52" s="23" t="str">
        <f t="shared" ca="1" si="15"/>
        <v/>
      </c>
      <c r="X52" s="5" t="str">
        <f t="shared" ca="1" si="4"/>
        <v/>
      </c>
    </row>
    <row r="53" spans="2:24" x14ac:dyDescent="0.25">
      <c r="B53" s="5">
        <f t="shared" si="0"/>
        <v>47</v>
      </c>
      <c r="C53" s="5">
        <f t="shared" ca="1" si="16"/>
        <v>7</v>
      </c>
      <c r="D53" s="5" t="str">
        <f ca="1">INDEX(cards[Attribute Index],MATCH('Group code'!C53,cards[object_id order],0))</f>
        <v>1</v>
      </c>
      <c r="E53" s="5">
        <f t="shared" ca="1" si="1"/>
        <v>1</v>
      </c>
      <c r="F53" s="14">
        <f ca="1">INDEX(cards[Entities count],MATCH('Group code'!C53,cards[object_id order],0))</f>
        <v>5</v>
      </c>
      <c r="G53" s="14">
        <f t="shared" ca="1" si="6"/>
        <v>0</v>
      </c>
      <c r="H53" s="14" t="str">
        <f t="shared" ca="1" si="7"/>
        <v/>
      </c>
      <c r="I53" s="5" t="str">
        <f t="shared" ca="1" si="8"/>
        <v/>
      </c>
      <c r="J53" s="5" t="str">
        <f t="shared" ca="1" si="2"/>
        <v/>
      </c>
      <c r="K53" s="5">
        <f t="shared" ca="1" si="9"/>
        <v>1</v>
      </c>
      <c r="L53" s="5" t="str">
        <f t="shared" ca="1" si="10"/>
        <v/>
      </c>
      <c r="M53" s="5" t="str">
        <f t="shared" ca="1" si="11"/>
        <v/>
      </c>
      <c r="N53" s="5" t="str">
        <f t="shared" ca="1" si="12"/>
        <v/>
      </c>
      <c r="O53" s="5" t="str">
        <f t="shared" ca="1" si="13"/>
        <v/>
      </c>
      <c r="P53" s="5" t="str">
        <f ca="1">VLOOKUP(G53,'Group code'!$Z$9:$AC$13,3,FALSE)</f>
        <v/>
      </c>
      <c r="Q53" s="5" t="str">
        <f t="shared" ca="1" si="14"/>
        <v/>
      </c>
      <c r="R53" s="5" t="str">
        <f ca="1">IF(G53=0,INDEX(cards[object_id],MATCH($C53,cards[object_id order],0)),"")</f>
        <v>automation_statron</v>
      </c>
      <c r="S53" s="5" t="str">
        <f ca="1">IF(G53=1,INDEX(cards[[name]:[control]],MATCH($C53,cards[object_id order],0),'Group code'!J53),"")</f>
        <v/>
      </c>
      <c r="T53" s="5" t="str">
        <f ca="1">IF(G53=3,INDEX(cards[[1]:[25]],MATCH($C53,cards[object_id order],0),'Group code'!I53),"")</f>
        <v/>
      </c>
      <c r="U53" s="5" t="str">
        <f ca="1">VLOOKUP(G53,'Group code'!$Z$9:$AC$13,4,FALSE)</f>
        <v>:</v>
      </c>
      <c r="V53" s="5" t="str">
        <f ca="1">IF(J53="","",VLOOKUP(J53,'Group code'!$Z$15:$AC$18,4,FALSE))</f>
        <v/>
      </c>
      <c r="W53" s="23" t="str">
        <f t="shared" ca="1" si="15"/>
        <v>automation_statron:</v>
      </c>
      <c r="X53" s="5" t="str">
        <f t="shared" ca="1" si="4"/>
        <v/>
      </c>
    </row>
    <row r="54" spans="2:24" x14ac:dyDescent="0.25">
      <c r="B54" s="5">
        <f t="shared" si="0"/>
        <v>48</v>
      </c>
      <c r="C54" s="5">
        <f t="shared" ca="1" si="16"/>
        <v>7</v>
      </c>
      <c r="D54" s="5" t="str">
        <f ca="1">INDEX(cards[Attribute Index],MATCH('Group code'!C54,cards[object_id order],0))</f>
        <v>1</v>
      </c>
      <c r="E54" s="5">
        <f t="shared" ca="1" si="1"/>
        <v>1</v>
      </c>
      <c r="F54" s="14">
        <f ca="1">INDEX(cards[Entities count],MATCH('Group code'!C54,cards[object_id order],0))</f>
        <v>5</v>
      </c>
      <c r="G54" s="14">
        <f t="shared" ca="1" si="6"/>
        <v>1</v>
      </c>
      <c r="H54" s="14">
        <f t="shared" ca="1" si="7"/>
        <v>1</v>
      </c>
      <c r="I54" s="5" t="str">
        <f t="shared" ca="1" si="8"/>
        <v/>
      </c>
      <c r="J54" s="5">
        <f t="shared" ca="1" si="2"/>
        <v>1</v>
      </c>
      <c r="K54" s="5" t="str">
        <f t="shared" ca="1" si="9"/>
        <v/>
      </c>
      <c r="L54" s="5">
        <f t="shared" ca="1" si="10"/>
        <v>1</v>
      </c>
      <c r="M54" s="5" t="str">
        <f t="shared" ca="1" si="11"/>
        <v/>
      </c>
      <c r="N54" s="5" t="str">
        <f t="shared" ca="1" si="12"/>
        <v/>
      </c>
      <c r="O54" s="5" t="str">
        <f t="shared" ca="1" si="13"/>
        <v/>
      </c>
      <c r="P54" s="5" t="str">
        <f ca="1">VLOOKUP(G54,'Group code'!$Z$9:$AC$13,3,FALSE)</f>
        <v/>
      </c>
      <c r="Q54" s="5" t="str">
        <f t="shared" ca="1" si="14"/>
        <v xml:space="preserve">  name: "</v>
      </c>
      <c r="R54" s="5" t="str">
        <f ca="1">IF(G54=0,INDEX(cards[object_id],MATCH($C54,cards[object_id order],0)),"")</f>
        <v/>
      </c>
      <c r="S54" s="5" t="str">
        <f ca="1">IF(G54=1,INDEX(cards[[name]:[control]],MATCH($C54,cards[object_id order],0),'Group code'!J54),"")</f>
        <v>Automation || Ron Status</v>
      </c>
      <c r="T54" s="5" t="str">
        <f ca="1">IF(G54=3,INDEX(cards[[1]:[25]],MATCH($C54,cards[object_id order],0),'Group code'!I54),"")</f>
        <v/>
      </c>
      <c r="U54" s="5" t="str">
        <f ca="1">VLOOKUP(G54,'Group code'!$Z$9:$AC$13,4,FALSE)</f>
        <v/>
      </c>
      <c r="V54" s="5" t="str">
        <f ca="1">IF(J54="","",VLOOKUP(J54,'Group code'!$Z$15:$AC$18,4,FALSE))</f>
        <v>"</v>
      </c>
      <c r="W54" s="23" t="str">
        <f t="shared" ca="1" si="15"/>
        <v xml:space="preserve">  name: "Automation || Ron Status"</v>
      </c>
      <c r="X54" s="5" t="str">
        <f t="shared" ca="1" si="4"/>
        <v/>
      </c>
    </row>
    <row r="55" spans="2:24" x14ac:dyDescent="0.25">
      <c r="B55" s="5">
        <f t="shared" si="0"/>
        <v>49</v>
      </c>
      <c r="C55" s="5">
        <f t="shared" ca="1" si="16"/>
        <v>7</v>
      </c>
      <c r="D55" s="5" t="str">
        <f ca="1">INDEX(cards[Attribute Index],MATCH('Group code'!C55,cards[object_id order],0))</f>
        <v>1</v>
      </c>
      <c r="E55" s="5">
        <f t="shared" ca="1" si="1"/>
        <v>1</v>
      </c>
      <c r="F55" s="14">
        <f ca="1">INDEX(cards[Entities count],MATCH('Group code'!C55,cards[object_id order],0))</f>
        <v>5</v>
      </c>
      <c r="G55" s="14">
        <f t="shared" ca="1" si="6"/>
        <v>2</v>
      </c>
      <c r="H55" s="14" t="str">
        <f t="shared" ca="1" si="7"/>
        <v/>
      </c>
      <c r="I55" s="5" t="str">
        <f t="shared" ca="1" si="8"/>
        <v/>
      </c>
      <c r="J55" s="5" t="str">
        <f t="shared" ca="1" si="2"/>
        <v/>
      </c>
      <c r="K55" s="5" t="str">
        <f t="shared" ca="1" si="9"/>
        <v/>
      </c>
      <c r="L55" s="5" t="str">
        <f t="shared" ca="1" si="10"/>
        <v/>
      </c>
      <c r="M55" s="5">
        <f t="shared" ca="1" si="11"/>
        <v>1</v>
      </c>
      <c r="N55" s="5" t="str">
        <f t="shared" ca="1" si="12"/>
        <v/>
      </c>
      <c r="O55" s="5" t="str">
        <f t="shared" ca="1" si="13"/>
        <v/>
      </c>
      <c r="P55" s="5" t="str">
        <f ca="1">VLOOKUP(G55,'Group code'!$Z$9:$AC$13,3,FALSE)</f>
        <v xml:space="preserve">  entities:</v>
      </c>
      <c r="Q55" s="5" t="str">
        <f t="shared" ca="1" si="14"/>
        <v/>
      </c>
      <c r="R55" s="5" t="str">
        <f ca="1">IF(G55=0,INDEX(cards[object_id],MATCH($C55,cards[object_id order],0)),"")</f>
        <v/>
      </c>
      <c r="S55" s="5" t="str">
        <f ca="1">IF(G55=1,INDEX(cards[[name]:[control]],MATCH($C55,cards[object_id order],0),'Group code'!J55),"")</f>
        <v/>
      </c>
      <c r="T55" s="5" t="str">
        <f ca="1">IF(G55=3,INDEX(cards[[1]:[25]],MATCH($C55,cards[object_id order],0),'Group code'!I55),"")</f>
        <v/>
      </c>
      <c r="U55" s="5" t="str">
        <f ca="1">VLOOKUP(G55,'Group code'!$Z$9:$AC$13,4,FALSE)</f>
        <v/>
      </c>
      <c r="V55" s="5" t="str">
        <f ca="1">IF(J55="","",VLOOKUP(J55,'Group code'!$Z$15:$AC$18,4,FALSE))</f>
        <v/>
      </c>
      <c r="W55" s="23" t="str">
        <f t="shared" ca="1" si="15"/>
        <v xml:space="preserve">  entities:</v>
      </c>
      <c r="X55" s="5" t="str">
        <f t="shared" ca="1" si="4"/>
        <v/>
      </c>
    </row>
    <row r="56" spans="2:24" x14ac:dyDescent="0.25">
      <c r="B56" s="5">
        <f t="shared" si="0"/>
        <v>50</v>
      </c>
      <c r="C56" s="5">
        <f t="shared" ca="1" si="16"/>
        <v>7</v>
      </c>
      <c r="D56" s="5" t="str">
        <f ca="1">INDEX(cards[Attribute Index],MATCH('Group code'!C56,cards[object_id order],0))</f>
        <v>1</v>
      </c>
      <c r="E56" s="5">
        <f t="shared" ca="1" si="1"/>
        <v>1</v>
      </c>
      <c r="F56" s="14">
        <f ca="1">INDEX(cards[Entities count],MATCH('Group code'!C56,cards[object_id order],0))</f>
        <v>5</v>
      </c>
      <c r="G56" s="14">
        <f t="shared" ca="1" si="6"/>
        <v>3</v>
      </c>
      <c r="H56" s="14" t="str">
        <f t="shared" ca="1" si="7"/>
        <v/>
      </c>
      <c r="I56" s="5">
        <f t="shared" ca="1" si="8"/>
        <v>1</v>
      </c>
      <c r="J56" s="5" t="str">
        <f t="shared" ca="1" si="2"/>
        <v/>
      </c>
      <c r="K56" s="5" t="str">
        <f t="shared" ca="1" si="9"/>
        <v/>
      </c>
      <c r="L56" s="5" t="str">
        <f t="shared" ca="1" si="10"/>
        <v/>
      </c>
      <c r="M56" s="5" t="str">
        <f t="shared" ca="1" si="11"/>
        <v/>
      </c>
      <c r="N56" s="5">
        <f t="shared" ca="1" si="12"/>
        <v>0</v>
      </c>
      <c r="O56" s="5" t="str">
        <f t="shared" ca="1" si="13"/>
        <v/>
      </c>
      <c r="P56" s="5" t="str">
        <f ca="1">VLOOKUP(G56,'Group code'!$Z$9:$AC$13,3,FALSE)</f>
        <v xml:space="preserve">    - </v>
      </c>
      <c r="Q56" s="5" t="str">
        <f t="shared" ca="1" si="14"/>
        <v/>
      </c>
      <c r="R56" s="5" t="str">
        <f ca="1">IF(G56=0,INDEX(cards[object_id],MATCH($C56,cards[object_id order],0)),"")</f>
        <v/>
      </c>
      <c r="S56" s="5" t="str">
        <f ca="1">IF(G56=1,INDEX(cards[[name]:[control]],MATCH($C56,cards[object_id order],0),'Group code'!J56),"")</f>
        <v/>
      </c>
      <c r="T56" s="5" t="str">
        <f ca="1">IF(G56=3,INDEX(cards[[1]:[25]],MATCH($C56,cards[object_id order],0),'Group code'!I56),"")</f>
        <v>automation.statron_away_status_from_device_tracker</v>
      </c>
      <c r="U56" s="5" t="str">
        <f ca="1">VLOOKUP(G56,'Group code'!$Z$9:$AC$13,4,FALSE)</f>
        <v/>
      </c>
      <c r="V56" s="5" t="str">
        <f ca="1">IF(J56="","",VLOOKUP(J56,'Group code'!$Z$15:$AC$18,4,FALSE))</f>
        <v/>
      </c>
      <c r="W56" s="23" t="str">
        <f t="shared" ca="1" si="15"/>
        <v xml:space="preserve">    - automation.statron_away_status_from_device_tracker</v>
      </c>
      <c r="X56" s="5" t="str">
        <f t="shared" ca="1" si="4"/>
        <v/>
      </c>
    </row>
    <row r="57" spans="2:24" x14ac:dyDescent="0.25">
      <c r="B57" s="5">
        <f t="shared" si="0"/>
        <v>51</v>
      </c>
      <c r="C57" s="5">
        <f t="shared" ca="1" si="16"/>
        <v>7</v>
      </c>
      <c r="D57" s="5" t="str">
        <f ca="1">INDEX(cards[Attribute Index],MATCH('Group code'!C57,cards[object_id order],0))</f>
        <v>1</v>
      </c>
      <c r="E57" s="5">
        <f t="shared" ca="1" si="1"/>
        <v>1</v>
      </c>
      <c r="F57" s="14">
        <f ca="1">INDEX(cards[Entities count],MATCH('Group code'!C57,cards[object_id order],0))</f>
        <v>5</v>
      </c>
      <c r="G57" s="14">
        <f t="shared" ca="1" si="6"/>
        <v>3</v>
      </c>
      <c r="H57" s="14" t="str">
        <f t="shared" ca="1" si="7"/>
        <v/>
      </c>
      <c r="I57" s="5">
        <f t="shared" ca="1" si="8"/>
        <v>2</v>
      </c>
      <c r="J57" s="5" t="str">
        <f t="shared" ca="1" si="2"/>
        <v/>
      </c>
      <c r="K57" s="5" t="str">
        <f t="shared" ca="1" si="9"/>
        <v/>
      </c>
      <c r="L57" s="5" t="str">
        <f t="shared" ca="1" si="10"/>
        <v/>
      </c>
      <c r="M57" s="5" t="str">
        <f t="shared" ca="1" si="11"/>
        <v/>
      </c>
      <c r="N57" s="5">
        <f t="shared" ca="1" si="12"/>
        <v>0</v>
      </c>
      <c r="O57" s="5" t="str">
        <f t="shared" ca="1" si="13"/>
        <v/>
      </c>
      <c r="P57" s="5" t="str">
        <f ca="1">VLOOKUP(G57,'Group code'!$Z$9:$AC$13,3,FALSE)</f>
        <v xml:space="preserve">    - </v>
      </c>
      <c r="Q57" s="5" t="str">
        <f t="shared" ca="1" si="14"/>
        <v/>
      </c>
      <c r="R57" s="5" t="str">
        <f ca="1">IF(G57=0,INDEX(cards[object_id],MATCH($C57,cards[object_id order],0)),"")</f>
        <v/>
      </c>
      <c r="S57" s="5" t="str">
        <f ca="1">IF(G57=1,INDEX(cards[[name]:[control]],MATCH($C57,cards[object_id order],0),'Group code'!J57),"")</f>
        <v/>
      </c>
      <c r="T57" s="5" t="str">
        <f ca="1">IF(G57=3,INDEX(cards[[1]:[25]],MATCH($C57,cards[object_id order],0),'Group code'!I57),"")</f>
        <v>automation.statron_computer_status_from_monitor_status</v>
      </c>
      <c r="U57" s="5" t="str">
        <f ca="1">VLOOKUP(G57,'Group code'!$Z$9:$AC$13,4,FALSE)</f>
        <v/>
      </c>
      <c r="V57" s="5" t="str">
        <f ca="1">IF(J57="","",VLOOKUP(J57,'Group code'!$Z$15:$AC$18,4,FALSE))</f>
        <v/>
      </c>
      <c r="W57" s="23" t="str">
        <f t="shared" ca="1" si="15"/>
        <v xml:space="preserve">    - automation.statron_computer_status_from_monitor_status</v>
      </c>
      <c r="X57" s="5" t="str">
        <f t="shared" ca="1" si="4"/>
        <v/>
      </c>
    </row>
    <row r="58" spans="2:24" x14ac:dyDescent="0.25">
      <c r="B58" s="5">
        <f t="shared" si="0"/>
        <v>52</v>
      </c>
      <c r="C58" s="5">
        <f t="shared" ca="1" si="16"/>
        <v>7</v>
      </c>
      <c r="D58" s="5" t="str">
        <f ca="1">INDEX(cards[Attribute Index],MATCH('Group code'!C58,cards[object_id order],0))</f>
        <v>1</v>
      </c>
      <c r="E58" s="5">
        <f t="shared" ca="1" si="1"/>
        <v>1</v>
      </c>
      <c r="F58" s="14">
        <f ca="1">INDEX(cards[Entities count],MATCH('Group code'!C58,cards[object_id order],0))</f>
        <v>5</v>
      </c>
      <c r="G58" s="14">
        <f t="shared" ca="1" si="6"/>
        <v>3</v>
      </c>
      <c r="H58" s="14" t="str">
        <f t="shared" ca="1" si="7"/>
        <v/>
      </c>
      <c r="I58" s="5">
        <f t="shared" ca="1" si="8"/>
        <v>3</v>
      </c>
      <c r="J58" s="5" t="str">
        <f t="shared" ca="1" si="2"/>
        <v/>
      </c>
      <c r="K58" s="5" t="str">
        <f t="shared" ca="1" si="9"/>
        <v/>
      </c>
      <c r="L58" s="5" t="str">
        <f t="shared" ca="1" si="10"/>
        <v/>
      </c>
      <c r="M58" s="5" t="str">
        <f t="shared" ca="1" si="11"/>
        <v/>
      </c>
      <c r="N58" s="5">
        <f t="shared" ca="1" si="12"/>
        <v>0</v>
      </c>
      <c r="O58" s="5" t="str">
        <f t="shared" ca="1" si="13"/>
        <v/>
      </c>
      <c r="P58" s="5" t="str">
        <f ca="1">VLOOKUP(G58,'Group code'!$Z$9:$AC$13,3,FALSE)</f>
        <v xml:space="preserve">    - </v>
      </c>
      <c r="Q58" s="5" t="str">
        <f t="shared" ca="1" si="14"/>
        <v/>
      </c>
      <c r="R58" s="5" t="str">
        <f ca="1">IF(G58=0,INDEX(cards[object_id],MATCH($C58,cards[object_id order],0)),"")</f>
        <v/>
      </c>
      <c r="S58" s="5" t="str">
        <f ca="1">IF(G58=1,INDEX(cards[[name]:[control]],MATCH($C58,cards[object_id order],0),'Group code'!J58),"")</f>
        <v/>
      </c>
      <c r="T58" s="5" t="str">
        <f ca="1">IF(G58=3,INDEX(cards[[1]:[25]],MATCH($C58,cards[object_id order],0),'Group code'!I58),"")</f>
        <v>automation.statron_tv_status_from_chromecast</v>
      </c>
      <c r="U58" s="5" t="str">
        <f ca="1">VLOOKUP(G58,'Group code'!$Z$9:$AC$13,4,FALSE)</f>
        <v/>
      </c>
      <c r="V58" s="5" t="str">
        <f ca="1">IF(J58="","",VLOOKUP(J58,'Group code'!$Z$15:$AC$18,4,FALSE))</f>
        <v/>
      </c>
      <c r="W58" s="23" t="str">
        <f t="shared" ca="1" si="15"/>
        <v xml:space="preserve">    - automation.statron_tv_status_from_chromecast</v>
      </c>
      <c r="X58" s="5" t="str">
        <f t="shared" ca="1" si="4"/>
        <v/>
      </c>
    </row>
    <row r="59" spans="2:24" x14ac:dyDescent="0.25">
      <c r="B59" s="5">
        <f t="shared" si="0"/>
        <v>53</v>
      </c>
      <c r="C59" s="5">
        <f t="shared" ca="1" si="16"/>
        <v>7</v>
      </c>
      <c r="D59" s="5" t="str">
        <f ca="1">INDEX(cards[Attribute Index],MATCH('Group code'!C59,cards[object_id order],0))</f>
        <v>1</v>
      </c>
      <c r="E59" s="5">
        <f t="shared" ca="1" si="1"/>
        <v>1</v>
      </c>
      <c r="F59" s="14">
        <f ca="1">INDEX(cards[Entities count],MATCH('Group code'!C59,cards[object_id order],0))</f>
        <v>5</v>
      </c>
      <c r="G59" s="14">
        <f t="shared" ca="1" si="6"/>
        <v>3</v>
      </c>
      <c r="H59" s="14" t="str">
        <f t="shared" ca="1" si="7"/>
        <v/>
      </c>
      <c r="I59" s="5">
        <f t="shared" ca="1" si="8"/>
        <v>4</v>
      </c>
      <c r="J59" s="5" t="str">
        <f t="shared" ca="1" si="2"/>
        <v/>
      </c>
      <c r="K59" s="5" t="str">
        <f t="shared" ca="1" si="9"/>
        <v/>
      </c>
      <c r="L59" s="5" t="str">
        <f t="shared" ca="1" si="10"/>
        <v/>
      </c>
      <c r="M59" s="5" t="str">
        <f t="shared" ca="1" si="11"/>
        <v/>
      </c>
      <c r="N59" s="5">
        <f t="shared" ca="1" si="12"/>
        <v>0</v>
      </c>
      <c r="O59" s="5" t="str">
        <f t="shared" ca="1" si="13"/>
        <v/>
      </c>
      <c r="P59" s="5" t="str">
        <f ca="1">VLOOKUP(G59,'Group code'!$Z$9:$AC$13,3,FALSE)</f>
        <v xml:space="preserve">    - </v>
      </c>
      <c r="Q59" s="5" t="str">
        <f t="shared" ca="1" si="14"/>
        <v/>
      </c>
      <c r="R59" s="5" t="str">
        <f ca="1">IF(G59=0,INDEX(cards[object_id],MATCH($C59,cards[object_id order],0)),"")</f>
        <v/>
      </c>
      <c r="S59" s="5" t="str">
        <f ca="1">IF(G59=1,INDEX(cards[[name]:[control]],MATCH($C59,cards[object_id order],0),'Group code'!J59),"")</f>
        <v/>
      </c>
      <c r="T59" s="5" t="str">
        <f ca="1">IF(G59=3,INDEX(cards[[1]:[25]],MATCH($C59,cards[object_id order],0),'Group code'!I59),"")</f>
        <v>automation.statron_home_status_from_device_tracker</v>
      </c>
      <c r="U59" s="5" t="str">
        <f ca="1">VLOOKUP(G59,'Group code'!$Z$9:$AC$13,4,FALSE)</f>
        <v/>
      </c>
      <c r="V59" s="5" t="str">
        <f ca="1">IF(J59="","",VLOOKUP(J59,'Group code'!$Z$15:$AC$18,4,FALSE))</f>
        <v/>
      </c>
      <c r="W59" s="23" t="str">
        <f t="shared" ca="1" si="15"/>
        <v xml:space="preserve">    - automation.statron_home_status_from_device_tracker</v>
      </c>
      <c r="X59" s="5" t="str">
        <f t="shared" ca="1" si="4"/>
        <v/>
      </c>
    </row>
    <row r="60" spans="2:24" x14ac:dyDescent="0.25">
      <c r="B60" s="5">
        <f t="shared" si="0"/>
        <v>54</v>
      </c>
      <c r="C60" s="5">
        <f t="shared" ca="1" si="16"/>
        <v>7</v>
      </c>
      <c r="D60" s="5" t="str">
        <f ca="1">INDEX(cards[Attribute Index],MATCH('Group code'!C60,cards[object_id order],0))</f>
        <v>1</v>
      </c>
      <c r="E60" s="5">
        <f t="shared" ca="1" si="1"/>
        <v>1</v>
      </c>
      <c r="F60" s="14">
        <f ca="1">INDEX(cards[Entities count],MATCH('Group code'!C60,cards[object_id order],0))</f>
        <v>5</v>
      </c>
      <c r="G60" s="14">
        <f t="shared" ca="1" si="6"/>
        <v>3</v>
      </c>
      <c r="H60" s="14" t="str">
        <f t="shared" ca="1" si="7"/>
        <v/>
      </c>
      <c r="I60" s="5">
        <f t="shared" ca="1" si="8"/>
        <v>5</v>
      </c>
      <c r="J60" s="5" t="str">
        <f t="shared" ca="1" si="2"/>
        <v/>
      </c>
      <c r="K60" s="5" t="str">
        <f t="shared" ca="1" si="9"/>
        <v/>
      </c>
      <c r="L60" s="5" t="str">
        <f t="shared" ca="1" si="10"/>
        <v/>
      </c>
      <c r="M60" s="5" t="str">
        <f t="shared" ca="1" si="11"/>
        <v/>
      </c>
      <c r="N60" s="5">
        <f t="shared" ca="1" si="12"/>
        <v>1</v>
      </c>
      <c r="O60" s="5" t="str">
        <f t="shared" ca="1" si="13"/>
        <v/>
      </c>
      <c r="P60" s="5" t="str">
        <f ca="1">VLOOKUP(G60,'Group code'!$Z$9:$AC$13,3,FALSE)</f>
        <v xml:space="preserve">    - </v>
      </c>
      <c r="Q60" s="5" t="str">
        <f t="shared" ca="1" si="14"/>
        <v/>
      </c>
      <c r="R60" s="5" t="str">
        <f ca="1">IF(G60=0,INDEX(cards[object_id],MATCH($C60,cards[object_id order],0)),"")</f>
        <v/>
      </c>
      <c r="S60" s="5" t="str">
        <f ca="1">IF(G60=1,INDEX(cards[[name]:[control]],MATCH($C60,cards[object_id order],0),'Group code'!J60),"")</f>
        <v/>
      </c>
      <c r="T60" s="5" t="str">
        <f ca="1">IF(G60=3,INDEX(cards[[1]:[25]],MATCH($C60,cards[object_id order],0),'Group code'!I60),"")</f>
        <v>automation.statron_home_status_from_monitor_status</v>
      </c>
      <c r="U60" s="5" t="str">
        <f ca="1">VLOOKUP(G60,'Group code'!$Z$9:$AC$13,4,FALSE)</f>
        <v/>
      </c>
      <c r="V60" s="5" t="str">
        <f ca="1">IF(J60="","",VLOOKUP(J60,'Group code'!$Z$15:$AC$18,4,FALSE))</f>
        <v/>
      </c>
      <c r="W60" s="23" t="str">
        <f t="shared" ca="1" si="15"/>
        <v xml:space="preserve">    - automation.statron_home_status_from_monitor_status</v>
      </c>
      <c r="X60" s="5" t="str">
        <f t="shared" ca="1" si="4"/>
        <v/>
      </c>
    </row>
    <row r="61" spans="2:24" x14ac:dyDescent="0.25">
      <c r="B61" s="5">
        <f t="shared" si="0"/>
        <v>55</v>
      </c>
      <c r="C61" s="5">
        <f t="shared" ca="1" si="16"/>
        <v>7</v>
      </c>
      <c r="D61" s="5" t="str">
        <f ca="1">INDEX(cards[Attribute Index],MATCH('Group code'!C61,cards[object_id order],0))</f>
        <v>1</v>
      </c>
      <c r="E61" s="5">
        <f t="shared" ca="1" si="1"/>
        <v>1</v>
      </c>
      <c r="F61" s="14">
        <f ca="1">INDEX(cards[Entities count],MATCH('Group code'!C61,cards[object_id order],0))</f>
        <v>5</v>
      </c>
      <c r="G61" s="14">
        <f t="shared" ca="1" si="6"/>
        <v>4</v>
      </c>
      <c r="H61" s="14" t="str">
        <f t="shared" ca="1" si="7"/>
        <v/>
      </c>
      <c r="I61" s="5" t="str">
        <f t="shared" ca="1" si="8"/>
        <v/>
      </c>
      <c r="J61" s="5" t="str">
        <f t="shared" ca="1" si="2"/>
        <v/>
      </c>
      <c r="K61" s="5" t="str">
        <f t="shared" ca="1" si="9"/>
        <v/>
      </c>
      <c r="L61" s="5" t="str">
        <f t="shared" ca="1" si="10"/>
        <v/>
      </c>
      <c r="M61" s="5" t="str">
        <f t="shared" ca="1" si="11"/>
        <v/>
      </c>
      <c r="N61" s="5" t="str">
        <f t="shared" ca="1" si="12"/>
        <v/>
      </c>
      <c r="O61" s="5">
        <f t="shared" ca="1" si="13"/>
        <v>-4</v>
      </c>
      <c r="P61" s="5" t="str">
        <f ca="1">VLOOKUP(G61,'Group code'!$Z$9:$AC$13,3,FALSE)</f>
        <v/>
      </c>
      <c r="Q61" s="5" t="str">
        <f t="shared" ca="1" si="14"/>
        <v/>
      </c>
      <c r="R61" s="5" t="str">
        <f ca="1">IF(G61=0,INDEX(cards[object_id],MATCH($C61,cards[object_id order],0)),"")</f>
        <v/>
      </c>
      <c r="S61" s="5" t="str">
        <f ca="1">IF(G61=1,INDEX(cards[[name]:[control]],MATCH($C61,cards[object_id order],0),'Group code'!J61),"")</f>
        <v/>
      </c>
      <c r="T61" s="5" t="str">
        <f ca="1">IF(G61=3,INDEX(cards[[1]:[25]],MATCH($C61,cards[object_id order],0),'Group code'!I61),"")</f>
        <v/>
      </c>
      <c r="U61" s="5" t="str">
        <f ca="1">VLOOKUP(G61,'Group code'!$Z$9:$AC$13,4,FALSE)</f>
        <v/>
      </c>
      <c r="V61" s="5" t="str">
        <f ca="1">IF(J61="","",VLOOKUP(J61,'Group code'!$Z$15:$AC$18,4,FALSE))</f>
        <v/>
      </c>
      <c r="W61" s="23" t="str">
        <f t="shared" ca="1" si="15"/>
        <v/>
      </c>
      <c r="X61" s="5" t="str">
        <f t="shared" ca="1" si="4"/>
        <v/>
      </c>
    </row>
    <row r="62" spans="2:24" x14ac:dyDescent="0.25">
      <c r="B62" s="5">
        <f t="shared" si="0"/>
        <v>56</v>
      </c>
      <c r="C62" s="5">
        <f t="shared" ca="1" si="16"/>
        <v>8</v>
      </c>
      <c r="D62" s="5" t="str">
        <f ca="1">INDEX(cards[Attribute Index],MATCH('Group code'!C62,cards[object_id order],0))</f>
        <v>1</v>
      </c>
      <c r="E62" s="5">
        <f t="shared" ca="1" si="1"/>
        <v>1</v>
      </c>
      <c r="F62" s="14">
        <f ca="1">INDEX(cards[Entities count],MATCH('Group code'!C62,cards[object_id order],0))</f>
        <v>2</v>
      </c>
      <c r="G62" s="14">
        <f t="shared" ca="1" si="6"/>
        <v>0</v>
      </c>
      <c r="H62" s="14" t="str">
        <f t="shared" ca="1" si="7"/>
        <v/>
      </c>
      <c r="I62" s="5" t="str">
        <f t="shared" ca="1" si="8"/>
        <v/>
      </c>
      <c r="J62" s="5" t="str">
        <f t="shared" ca="1" si="2"/>
        <v/>
      </c>
      <c r="K62" s="5">
        <f t="shared" ca="1" si="9"/>
        <v>1</v>
      </c>
      <c r="L62" s="5" t="str">
        <f t="shared" ca="1" si="10"/>
        <v/>
      </c>
      <c r="M62" s="5" t="str">
        <f t="shared" ca="1" si="11"/>
        <v/>
      </c>
      <c r="N62" s="5" t="str">
        <f t="shared" ca="1" si="12"/>
        <v/>
      </c>
      <c r="O62" s="5" t="str">
        <f t="shared" ca="1" si="13"/>
        <v/>
      </c>
      <c r="P62" s="5" t="str">
        <f ca="1">VLOOKUP(G62,'Group code'!$Z$9:$AC$13,3,FALSE)</f>
        <v/>
      </c>
      <c r="Q62" s="5" t="str">
        <f t="shared" ca="1" si="14"/>
        <v/>
      </c>
      <c r="R62" s="5" t="str">
        <f ca="1">IF(G62=0,INDEX(cards[object_id],MATCH($C62,cards[object_id order],0)),"")</f>
        <v>automation_statfriend</v>
      </c>
      <c r="S62" s="5" t="str">
        <f ca="1">IF(G62=1,INDEX(cards[[name]:[control]],MATCH($C62,cards[object_id order],0),'Group code'!J62),"")</f>
        <v/>
      </c>
      <c r="T62" s="5" t="str">
        <f ca="1">IF(G62=3,INDEX(cards[[1]:[25]],MATCH($C62,cards[object_id order],0),'Group code'!I62),"")</f>
        <v/>
      </c>
      <c r="U62" s="5" t="str">
        <f ca="1">VLOOKUP(G62,'Group code'!$Z$9:$AC$13,4,FALSE)</f>
        <v>:</v>
      </c>
      <c r="V62" s="5" t="str">
        <f ca="1">IF(J62="","",VLOOKUP(J62,'Group code'!$Z$15:$AC$18,4,FALSE))</f>
        <v/>
      </c>
      <c r="W62" s="23" t="str">
        <f t="shared" ca="1" si="15"/>
        <v>automation_statfriend:</v>
      </c>
      <c r="X62" s="5" t="str">
        <f t="shared" ca="1" si="4"/>
        <v/>
      </c>
    </row>
    <row r="63" spans="2:24" x14ac:dyDescent="0.25">
      <c r="B63" s="5">
        <f t="shared" si="0"/>
        <v>57</v>
      </c>
      <c r="C63" s="5">
        <f t="shared" ca="1" si="16"/>
        <v>8</v>
      </c>
      <c r="D63" s="5" t="str">
        <f ca="1">INDEX(cards[Attribute Index],MATCH('Group code'!C63,cards[object_id order],0))</f>
        <v>1</v>
      </c>
      <c r="E63" s="5">
        <f t="shared" ca="1" si="1"/>
        <v>1</v>
      </c>
      <c r="F63" s="14">
        <f ca="1">INDEX(cards[Entities count],MATCH('Group code'!C63,cards[object_id order],0))</f>
        <v>2</v>
      </c>
      <c r="G63" s="14">
        <f t="shared" ca="1" si="6"/>
        <v>1</v>
      </c>
      <c r="H63" s="14">
        <f t="shared" ca="1" si="7"/>
        <v>1</v>
      </c>
      <c r="I63" s="5" t="str">
        <f t="shared" ca="1" si="8"/>
        <v/>
      </c>
      <c r="J63" s="5">
        <f t="shared" ca="1" si="2"/>
        <v>1</v>
      </c>
      <c r="K63" s="5" t="str">
        <f t="shared" ca="1" si="9"/>
        <v/>
      </c>
      <c r="L63" s="5">
        <f t="shared" ca="1" si="10"/>
        <v>1</v>
      </c>
      <c r="M63" s="5" t="str">
        <f t="shared" ca="1" si="11"/>
        <v/>
      </c>
      <c r="N63" s="5" t="str">
        <f t="shared" ca="1" si="12"/>
        <v/>
      </c>
      <c r="O63" s="5" t="str">
        <f t="shared" ca="1" si="13"/>
        <v/>
      </c>
      <c r="P63" s="5" t="str">
        <f ca="1">VLOOKUP(G63,'Group code'!$Z$9:$AC$13,3,FALSE)</f>
        <v/>
      </c>
      <c r="Q63" s="5" t="str">
        <f t="shared" ca="1" si="14"/>
        <v xml:space="preserve">  name: "</v>
      </c>
      <c r="R63" s="5" t="str">
        <f ca="1">IF(G63=0,INDEX(cards[object_id],MATCH($C63,cards[object_id order],0)),"")</f>
        <v/>
      </c>
      <c r="S63" s="5" t="str">
        <f ca="1">IF(G63=1,INDEX(cards[[name]:[control]],MATCH($C63,cards[object_id order],0),'Group code'!J63),"")</f>
        <v>Automation || Friend Status</v>
      </c>
      <c r="T63" s="5" t="str">
        <f ca="1">IF(G63=3,INDEX(cards[[1]:[25]],MATCH($C63,cards[object_id order],0),'Group code'!I63),"")</f>
        <v/>
      </c>
      <c r="U63" s="5" t="str">
        <f ca="1">VLOOKUP(G63,'Group code'!$Z$9:$AC$13,4,FALSE)</f>
        <v/>
      </c>
      <c r="V63" s="5" t="str">
        <f ca="1">IF(J63="","",VLOOKUP(J63,'Group code'!$Z$15:$AC$18,4,FALSE))</f>
        <v>"</v>
      </c>
      <c r="W63" s="23" t="str">
        <f t="shared" ca="1" si="15"/>
        <v xml:space="preserve">  name: "Automation || Friend Status"</v>
      </c>
      <c r="X63" s="5" t="str">
        <f t="shared" ca="1" si="4"/>
        <v/>
      </c>
    </row>
    <row r="64" spans="2:24" x14ac:dyDescent="0.25">
      <c r="B64" s="5">
        <f t="shared" si="0"/>
        <v>58</v>
      </c>
      <c r="C64" s="5">
        <f t="shared" ca="1" si="16"/>
        <v>8</v>
      </c>
      <c r="D64" s="5" t="str">
        <f ca="1">INDEX(cards[Attribute Index],MATCH('Group code'!C64,cards[object_id order],0))</f>
        <v>1</v>
      </c>
      <c r="E64" s="5">
        <f t="shared" ca="1" si="1"/>
        <v>1</v>
      </c>
      <c r="F64" s="14">
        <f ca="1">INDEX(cards[Entities count],MATCH('Group code'!C64,cards[object_id order],0))</f>
        <v>2</v>
      </c>
      <c r="G64" s="14">
        <f t="shared" ca="1" si="6"/>
        <v>2</v>
      </c>
      <c r="H64" s="14" t="str">
        <f t="shared" ca="1" si="7"/>
        <v/>
      </c>
      <c r="I64" s="5" t="str">
        <f t="shared" ca="1" si="8"/>
        <v/>
      </c>
      <c r="J64" s="5" t="str">
        <f t="shared" ca="1" si="2"/>
        <v/>
      </c>
      <c r="K64" s="5" t="str">
        <f t="shared" ca="1" si="9"/>
        <v/>
      </c>
      <c r="L64" s="5" t="str">
        <f t="shared" ca="1" si="10"/>
        <v/>
      </c>
      <c r="M64" s="5">
        <f t="shared" ca="1" si="11"/>
        <v>1</v>
      </c>
      <c r="N64" s="5" t="str">
        <f t="shared" ca="1" si="12"/>
        <v/>
      </c>
      <c r="O64" s="5" t="str">
        <f t="shared" ca="1" si="13"/>
        <v/>
      </c>
      <c r="P64" s="5" t="str">
        <f ca="1">VLOOKUP(G64,'Group code'!$Z$9:$AC$13,3,FALSE)</f>
        <v xml:space="preserve">  entities:</v>
      </c>
      <c r="Q64" s="5" t="str">
        <f t="shared" ca="1" si="14"/>
        <v/>
      </c>
      <c r="R64" s="5" t="str">
        <f ca="1">IF(G64=0,INDEX(cards[object_id],MATCH($C64,cards[object_id order],0)),"")</f>
        <v/>
      </c>
      <c r="S64" s="5" t="str">
        <f ca="1">IF(G64=1,INDEX(cards[[name]:[control]],MATCH($C64,cards[object_id order],0),'Group code'!J64),"")</f>
        <v/>
      </c>
      <c r="T64" s="5" t="str">
        <f ca="1">IF(G64=3,INDEX(cards[[1]:[25]],MATCH($C64,cards[object_id order],0),'Group code'!I64),"")</f>
        <v/>
      </c>
      <c r="U64" s="5" t="str">
        <f ca="1">VLOOKUP(G64,'Group code'!$Z$9:$AC$13,4,FALSE)</f>
        <v/>
      </c>
      <c r="V64" s="5" t="str">
        <f ca="1">IF(J64="","",VLOOKUP(J64,'Group code'!$Z$15:$AC$18,4,FALSE))</f>
        <v/>
      </c>
      <c r="W64" s="23" t="str">
        <f t="shared" ca="1" si="15"/>
        <v xml:space="preserve">  entities:</v>
      </c>
      <c r="X64" s="5" t="str">
        <f t="shared" ca="1" si="4"/>
        <v/>
      </c>
    </row>
    <row r="65" spans="2:24" x14ac:dyDescent="0.25">
      <c r="B65" s="5">
        <f t="shared" si="0"/>
        <v>59</v>
      </c>
      <c r="C65" s="5">
        <f t="shared" ca="1" si="16"/>
        <v>8</v>
      </c>
      <c r="D65" s="5" t="str">
        <f ca="1">INDEX(cards[Attribute Index],MATCH('Group code'!C65,cards[object_id order],0))</f>
        <v>1</v>
      </c>
      <c r="E65" s="5">
        <f t="shared" ca="1" si="1"/>
        <v>1</v>
      </c>
      <c r="F65" s="14">
        <f ca="1">INDEX(cards[Entities count],MATCH('Group code'!C65,cards[object_id order],0))</f>
        <v>2</v>
      </c>
      <c r="G65" s="14">
        <f t="shared" ca="1" si="6"/>
        <v>3</v>
      </c>
      <c r="H65" s="14" t="str">
        <f t="shared" ca="1" si="7"/>
        <v/>
      </c>
      <c r="I65" s="5">
        <f t="shared" ca="1" si="8"/>
        <v>1</v>
      </c>
      <c r="J65" s="5" t="str">
        <f t="shared" ca="1" si="2"/>
        <v/>
      </c>
      <c r="K65" s="5" t="str">
        <f t="shared" ca="1" si="9"/>
        <v/>
      </c>
      <c r="L65" s="5" t="str">
        <f t="shared" ca="1" si="10"/>
        <v/>
      </c>
      <c r="M65" s="5" t="str">
        <f t="shared" ca="1" si="11"/>
        <v/>
      </c>
      <c r="N65" s="5">
        <f t="shared" ca="1" si="12"/>
        <v>0</v>
      </c>
      <c r="O65" s="5" t="str">
        <f t="shared" ca="1" si="13"/>
        <v/>
      </c>
      <c r="P65" s="5" t="str">
        <f ca="1">VLOOKUP(G65,'Group code'!$Z$9:$AC$13,3,FALSE)</f>
        <v xml:space="preserve">    - </v>
      </c>
      <c r="Q65" s="5" t="str">
        <f t="shared" ca="1" si="14"/>
        <v/>
      </c>
      <c r="R65" s="5" t="str">
        <f ca="1">IF(G65=0,INDEX(cards[object_id],MATCH($C65,cards[object_id order],0)),"")</f>
        <v/>
      </c>
      <c r="S65" s="5" t="str">
        <f ca="1">IF(G65=1,INDEX(cards[[name]:[control]],MATCH($C65,cards[object_id order],0),'Group code'!J65),"")</f>
        <v/>
      </c>
      <c r="T65" s="5" t="str">
        <f ca="1">IF(G65=3,INDEX(cards[[1]:[25]],MATCH($C65,cards[object_id order],0),'Group code'!I65),"")</f>
        <v>automation.statfriend_friend_visiting_off_from_device_tracker</v>
      </c>
      <c r="U65" s="5" t="str">
        <f ca="1">VLOOKUP(G65,'Group code'!$Z$9:$AC$13,4,FALSE)</f>
        <v/>
      </c>
      <c r="V65" s="5" t="str">
        <f ca="1">IF(J65="","",VLOOKUP(J65,'Group code'!$Z$15:$AC$18,4,FALSE))</f>
        <v/>
      </c>
      <c r="W65" s="23" t="str">
        <f t="shared" ca="1" si="15"/>
        <v xml:space="preserve">    - automation.statfriend_friend_visiting_off_from_device_tracker</v>
      </c>
      <c r="X65" s="5" t="str">
        <f t="shared" ca="1" si="4"/>
        <v/>
      </c>
    </row>
    <row r="66" spans="2:24" x14ac:dyDescent="0.25">
      <c r="B66" s="5">
        <f t="shared" si="0"/>
        <v>60</v>
      </c>
      <c r="C66" s="5">
        <f t="shared" ca="1" si="16"/>
        <v>8</v>
      </c>
      <c r="D66" s="5" t="str">
        <f ca="1">INDEX(cards[Attribute Index],MATCH('Group code'!C66,cards[object_id order],0))</f>
        <v>1</v>
      </c>
      <c r="E66" s="5">
        <f t="shared" ca="1" si="1"/>
        <v>1</v>
      </c>
      <c r="F66" s="14">
        <f ca="1">INDEX(cards[Entities count],MATCH('Group code'!C66,cards[object_id order],0))</f>
        <v>2</v>
      </c>
      <c r="G66" s="14">
        <f t="shared" ca="1" si="6"/>
        <v>3</v>
      </c>
      <c r="H66" s="14" t="str">
        <f t="shared" ca="1" si="7"/>
        <v/>
      </c>
      <c r="I66" s="5">
        <f t="shared" ca="1" si="8"/>
        <v>2</v>
      </c>
      <c r="J66" s="5" t="str">
        <f t="shared" ca="1" si="2"/>
        <v/>
      </c>
      <c r="K66" s="5" t="str">
        <f t="shared" ca="1" si="9"/>
        <v/>
      </c>
      <c r="L66" s="5" t="str">
        <f t="shared" ca="1" si="10"/>
        <v/>
      </c>
      <c r="M66" s="5" t="str">
        <f t="shared" ca="1" si="11"/>
        <v/>
      </c>
      <c r="N66" s="5">
        <f t="shared" ca="1" si="12"/>
        <v>1</v>
      </c>
      <c r="O66" s="5" t="str">
        <f t="shared" ca="1" si="13"/>
        <v/>
      </c>
      <c r="P66" s="5" t="str">
        <f ca="1">VLOOKUP(G66,'Group code'!$Z$9:$AC$13,3,FALSE)</f>
        <v xml:space="preserve">    - </v>
      </c>
      <c r="Q66" s="5" t="str">
        <f t="shared" ca="1" si="14"/>
        <v/>
      </c>
      <c r="R66" s="5" t="str">
        <f ca="1">IF(G66=0,INDEX(cards[object_id],MATCH($C66,cards[object_id order],0)),"")</f>
        <v/>
      </c>
      <c r="S66" s="5" t="str">
        <f ca="1">IF(G66=1,INDEX(cards[[name]:[control]],MATCH($C66,cards[object_id order],0),'Group code'!J66),"")</f>
        <v/>
      </c>
      <c r="T66" s="5" t="str">
        <f ca="1">IF(G66=3,INDEX(cards[[1]:[25]],MATCH($C66,cards[object_id order],0),'Group code'!I66),"")</f>
        <v>automation.statfriend_friend_visiting_on_from_device_tracker</v>
      </c>
      <c r="U66" s="5" t="str">
        <f ca="1">VLOOKUP(G66,'Group code'!$Z$9:$AC$13,4,FALSE)</f>
        <v/>
      </c>
      <c r="V66" s="5" t="str">
        <f ca="1">IF(J66="","",VLOOKUP(J66,'Group code'!$Z$15:$AC$18,4,FALSE))</f>
        <v/>
      </c>
      <c r="W66" s="23" t="str">
        <f t="shared" ca="1" si="15"/>
        <v xml:space="preserve">    - automation.statfriend_friend_visiting_on_from_device_tracker</v>
      </c>
      <c r="X66" s="5" t="str">
        <f t="shared" ca="1" si="4"/>
        <v/>
      </c>
    </row>
    <row r="67" spans="2:24" x14ac:dyDescent="0.25">
      <c r="B67" s="5">
        <f t="shared" si="0"/>
        <v>61</v>
      </c>
      <c r="C67" s="5">
        <f t="shared" ca="1" si="16"/>
        <v>8</v>
      </c>
      <c r="D67" s="5" t="str">
        <f ca="1">INDEX(cards[Attribute Index],MATCH('Group code'!C67,cards[object_id order],0))</f>
        <v>1</v>
      </c>
      <c r="E67" s="5">
        <f t="shared" ca="1" si="1"/>
        <v>1</v>
      </c>
      <c r="F67" s="14">
        <f ca="1">INDEX(cards[Entities count],MATCH('Group code'!C67,cards[object_id order],0))</f>
        <v>2</v>
      </c>
      <c r="G67" s="14">
        <f t="shared" ca="1" si="6"/>
        <v>4</v>
      </c>
      <c r="H67" s="14" t="str">
        <f t="shared" ca="1" si="7"/>
        <v/>
      </c>
      <c r="I67" s="5" t="str">
        <f t="shared" ca="1" si="8"/>
        <v/>
      </c>
      <c r="J67" s="5" t="str">
        <f t="shared" ca="1" si="2"/>
        <v/>
      </c>
      <c r="K67" s="5" t="str">
        <f t="shared" ca="1" si="9"/>
        <v/>
      </c>
      <c r="L67" s="5" t="str">
        <f t="shared" ca="1" si="10"/>
        <v/>
      </c>
      <c r="M67" s="5" t="str">
        <f t="shared" ca="1" si="11"/>
        <v/>
      </c>
      <c r="N67" s="5" t="str">
        <f t="shared" ca="1" si="12"/>
        <v/>
      </c>
      <c r="O67" s="5">
        <f t="shared" ca="1" si="13"/>
        <v>-4</v>
      </c>
      <c r="P67" s="5" t="str">
        <f ca="1">VLOOKUP(G67,'Group code'!$Z$9:$AC$13,3,FALSE)</f>
        <v/>
      </c>
      <c r="Q67" s="5" t="str">
        <f t="shared" ca="1" si="14"/>
        <v/>
      </c>
      <c r="R67" s="5" t="str">
        <f ca="1">IF(G67=0,INDEX(cards[object_id],MATCH($C67,cards[object_id order],0)),"")</f>
        <v/>
      </c>
      <c r="S67" s="5" t="str">
        <f ca="1">IF(G67=1,INDEX(cards[[name]:[control]],MATCH($C67,cards[object_id order],0),'Group code'!J67),"")</f>
        <v/>
      </c>
      <c r="T67" s="5" t="str">
        <f ca="1">IF(G67=3,INDEX(cards[[1]:[25]],MATCH($C67,cards[object_id order],0),'Group code'!I67),"")</f>
        <v/>
      </c>
      <c r="U67" s="5" t="str">
        <f ca="1">VLOOKUP(G67,'Group code'!$Z$9:$AC$13,4,FALSE)</f>
        <v/>
      </c>
      <c r="V67" s="5" t="str">
        <f ca="1">IF(J67="","",VLOOKUP(J67,'Group code'!$Z$15:$AC$18,4,FALSE))</f>
        <v/>
      </c>
      <c r="W67" s="23" t="str">
        <f t="shared" ca="1" si="15"/>
        <v/>
      </c>
      <c r="X67" s="5" t="str">
        <f t="shared" ca="1" si="4"/>
        <v/>
      </c>
    </row>
    <row r="68" spans="2:24" x14ac:dyDescent="0.25">
      <c r="B68" s="5">
        <f t="shared" si="0"/>
        <v>62</v>
      </c>
      <c r="C68" s="5">
        <f t="shared" ca="1" si="16"/>
        <v>9</v>
      </c>
      <c r="D68" s="5" t="str">
        <f ca="1">INDEX(cards[Attribute Index],MATCH('Group code'!C68,cards[object_id order],0))</f>
        <v>1</v>
      </c>
      <c r="E68" s="5">
        <f t="shared" ca="1" si="1"/>
        <v>1</v>
      </c>
      <c r="F68" s="14">
        <f ca="1">INDEX(cards[Entities count],MATCH('Group code'!C68,cards[object_id order],0))</f>
        <v>2</v>
      </c>
      <c r="G68" s="14">
        <f t="shared" ca="1" si="6"/>
        <v>0</v>
      </c>
      <c r="H68" s="14" t="str">
        <f t="shared" ca="1" si="7"/>
        <v/>
      </c>
      <c r="I68" s="5" t="str">
        <f t="shared" ca="1" si="8"/>
        <v/>
      </c>
      <c r="J68" s="5" t="str">
        <f t="shared" ca="1" si="2"/>
        <v/>
      </c>
      <c r="K68" s="5">
        <f t="shared" ca="1" si="9"/>
        <v>1</v>
      </c>
      <c r="L68" s="5" t="str">
        <f t="shared" ca="1" si="10"/>
        <v/>
      </c>
      <c r="M68" s="5" t="str">
        <f t="shared" ca="1" si="11"/>
        <v/>
      </c>
      <c r="N68" s="5" t="str">
        <f t="shared" ca="1" si="12"/>
        <v/>
      </c>
      <c r="O68" s="5" t="str">
        <f t="shared" ca="1" si="13"/>
        <v/>
      </c>
      <c r="P68" s="5" t="str">
        <f ca="1">VLOOKUP(G68,'Group code'!$Z$9:$AC$13,3,FALSE)</f>
        <v/>
      </c>
      <c r="Q68" s="5" t="str">
        <f t="shared" ca="1" si="14"/>
        <v/>
      </c>
      <c r="R68" s="5" t="str">
        <f ca="1">IF(G68=0,INDEX(cards[object_id],MATCH($C68,cards[object_id order],0)),"")</f>
        <v>automation_statvac</v>
      </c>
      <c r="S68" s="5" t="str">
        <f ca="1">IF(G68=1,INDEX(cards[[name]:[control]],MATCH($C68,cards[object_id order],0),'Group code'!J68),"")</f>
        <v/>
      </c>
      <c r="T68" s="5" t="str">
        <f ca="1">IF(G68=3,INDEX(cards[[1]:[25]],MATCH($C68,cards[object_id order],0),'Group code'!I68),"")</f>
        <v/>
      </c>
      <c r="U68" s="5" t="str">
        <f ca="1">VLOOKUP(G68,'Group code'!$Z$9:$AC$13,4,FALSE)</f>
        <v>:</v>
      </c>
      <c r="V68" s="5" t="str">
        <f ca="1">IF(J68="","",VLOOKUP(J68,'Group code'!$Z$15:$AC$18,4,FALSE))</f>
        <v/>
      </c>
      <c r="W68" s="23" t="str">
        <f t="shared" ca="1" si="15"/>
        <v>automation_statvac:</v>
      </c>
      <c r="X68" s="5" t="str">
        <f t="shared" ca="1" si="4"/>
        <v/>
      </c>
    </row>
    <row r="69" spans="2:24" x14ac:dyDescent="0.25">
      <c r="B69" s="5">
        <f t="shared" si="0"/>
        <v>63</v>
      </c>
      <c r="C69" s="5">
        <f t="shared" ca="1" si="16"/>
        <v>9</v>
      </c>
      <c r="D69" s="5" t="str">
        <f ca="1">INDEX(cards[Attribute Index],MATCH('Group code'!C69,cards[object_id order],0))</f>
        <v>1</v>
      </c>
      <c r="E69" s="5">
        <f t="shared" ca="1" si="1"/>
        <v>1</v>
      </c>
      <c r="F69" s="14">
        <f ca="1">INDEX(cards[Entities count],MATCH('Group code'!C69,cards[object_id order],0))</f>
        <v>2</v>
      </c>
      <c r="G69" s="14">
        <f t="shared" ca="1" si="6"/>
        <v>1</v>
      </c>
      <c r="H69" s="14">
        <f t="shared" ca="1" si="7"/>
        <v>1</v>
      </c>
      <c r="I69" s="5" t="str">
        <f t="shared" ca="1" si="8"/>
        <v/>
      </c>
      <c r="J69" s="5">
        <f t="shared" ca="1" si="2"/>
        <v>1</v>
      </c>
      <c r="K69" s="5" t="str">
        <f t="shared" ca="1" si="9"/>
        <v/>
      </c>
      <c r="L69" s="5">
        <f t="shared" ca="1" si="10"/>
        <v>1</v>
      </c>
      <c r="M69" s="5" t="str">
        <f t="shared" ca="1" si="11"/>
        <v/>
      </c>
      <c r="N69" s="5" t="str">
        <f t="shared" ca="1" si="12"/>
        <v/>
      </c>
      <c r="O69" s="5" t="str">
        <f t="shared" ca="1" si="13"/>
        <v/>
      </c>
      <c r="P69" s="5" t="str">
        <f ca="1">VLOOKUP(G69,'Group code'!$Z$9:$AC$13,3,FALSE)</f>
        <v/>
      </c>
      <c r="Q69" s="5" t="str">
        <f t="shared" ca="1" si="14"/>
        <v xml:space="preserve">  name: "</v>
      </c>
      <c r="R69" s="5" t="str">
        <f ca="1">IF(G69=0,INDEX(cards[object_id],MATCH($C69,cards[object_id order],0)),"")</f>
        <v/>
      </c>
      <c r="S69" s="5" t="str">
        <f ca="1">IF(G69=1,INDEX(cards[[name]:[control]],MATCH($C69,cards[object_id order],0),'Group code'!J69),"")</f>
        <v>Automation - Vacation Status</v>
      </c>
      <c r="T69" s="5" t="str">
        <f ca="1">IF(G69=3,INDEX(cards[[1]:[25]],MATCH($C69,cards[object_id order],0),'Group code'!I69),"")</f>
        <v/>
      </c>
      <c r="U69" s="5" t="str">
        <f ca="1">VLOOKUP(G69,'Group code'!$Z$9:$AC$13,4,FALSE)</f>
        <v/>
      </c>
      <c r="V69" s="5" t="str">
        <f ca="1">IF(J69="","",VLOOKUP(J69,'Group code'!$Z$15:$AC$18,4,FALSE))</f>
        <v>"</v>
      </c>
      <c r="W69" s="23" t="str">
        <f t="shared" ca="1" si="15"/>
        <v xml:space="preserve">  name: "Automation - Vacation Status"</v>
      </c>
      <c r="X69" s="5" t="str">
        <f t="shared" ca="1" si="4"/>
        <v/>
      </c>
    </row>
    <row r="70" spans="2:24" x14ac:dyDescent="0.25">
      <c r="B70" s="5">
        <f t="shared" si="0"/>
        <v>64</v>
      </c>
      <c r="C70" s="5">
        <f t="shared" ca="1" si="16"/>
        <v>9</v>
      </c>
      <c r="D70" s="5" t="str">
        <f ca="1">INDEX(cards[Attribute Index],MATCH('Group code'!C70,cards[object_id order],0))</f>
        <v>1</v>
      </c>
      <c r="E70" s="5">
        <f t="shared" ca="1" si="1"/>
        <v>1</v>
      </c>
      <c r="F70" s="14">
        <f ca="1">INDEX(cards[Entities count],MATCH('Group code'!C70,cards[object_id order],0))</f>
        <v>2</v>
      </c>
      <c r="G70" s="14">
        <f t="shared" ca="1" si="6"/>
        <v>2</v>
      </c>
      <c r="H70" s="14" t="str">
        <f t="shared" ca="1" si="7"/>
        <v/>
      </c>
      <c r="I70" s="5" t="str">
        <f t="shared" ca="1" si="8"/>
        <v/>
      </c>
      <c r="J70" s="5" t="str">
        <f t="shared" ca="1" si="2"/>
        <v/>
      </c>
      <c r="K70" s="5" t="str">
        <f t="shared" ca="1" si="9"/>
        <v/>
      </c>
      <c r="L70" s="5" t="str">
        <f t="shared" ca="1" si="10"/>
        <v/>
      </c>
      <c r="M70" s="5">
        <f t="shared" ca="1" si="11"/>
        <v>1</v>
      </c>
      <c r="N70" s="5" t="str">
        <f t="shared" ca="1" si="12"/>
        <v/>
      </c>
      <c r="O70" s="5" t="str">
        <f t="shared" ca="1" si="13"/>
        <v/>
      </c>
      <c r="P70" s="5" t="str">
        <f ca="1">VLOOKUP(G70,'Group code'!$Z$9:$AC$13,3,FALSE)</f>
        <v xml:space="preserve">  entities:</v>
      </c>
      <c r="Q70" s="5" t="str">
        <f t="shared" ca="1" si="14"/>
        <v/>
      </c>
      <c r="R70" s="5" t="str">
        <f ca="1">IF(G70=0,INDEX(cards[object_id],MATCH($C70,cards[object_id order],0)),"")</f>
        <v/>
      </c>
      <c r="S70" s="5" t="str">
        <f ca="1">IF(G70=1,INDEX(cards[[name]:[control]],MATCH($C70,cards[object_id order],0),'Group code'!J70),"")</f>
        <v/>
      </c>
      <c r="T70" s="5" t="str">
        <f ca="1">IF(G70=3,INDEX(cards[[1]:[25]],MATCH($C70,cards[object_id order],0),'Group code'!I70),"")</f>
        <v/>
      </c>
      <c r="U70" s="5" t="str">
        <f ca="1">VLOOKUP(G70,'Group code'!$Z$9:$AC$13,4,FALSE)</f>
        <v/>
      </c>
      <c r="V70" s="5" t="str">
        <f ca="1">IF(J70="","",VLOOKUP(J70,'Group code'!$Z$15:$AC$18,4,FALSE))</f>
        <v/>
      </c>
      <c r="W70" s="23" t="str">
        <f t="shared" ca="1" si="15"/>
        <v xml:space="preserve">  entities:</v>
      </c>
      <c r="X70" s="5" t="str">
        <f t="shared" ca="1" si="4"/>
        <v/>
      </c>
    </row>
    <row r="71" spans="2:24" x14ac:dyDescent="0.25">
      <c r="B71" s="5">
        <f t="shared" si="0"/>
        <v>65</v>
      </c>
      <c r="C71" s="5">
        <f t="shared" ca="1" si="16"/>
        <v>9</v>
      </c>
      <c r="D71" s="5" t="str">
        <f ca="1">INDEX(cards[Attribute Index],MATCH('Group code'!C71,cards[object_id order],0))</f>
        <v>1</v>
      </c>
      <c r="E71" s="5">
        <f t="shared" ca="1" si="1"/>
        <v>1</v>
      </c>
      <c r="F71" s="14">
        <f ca="1">INDEX(cards[Entities count],MATCH('Group code'!C71,cards[object_id order],0))</f>
        <v>2</v>
      </c>
      <c r="G71" s="14">
        <f t="shared" ca="1" si="6"/>
        <v>3</v>
      </c>
      <c r="H71" s="14" t="str">
        <f t="shared" ca="1" si="7"/>
        <v/>
      </c>
      <c r="I71" s="5">
        <f t="shared" ca="1" si="8"/>
        <v>1</v>
      </c>
      <c r="J71" s="5" t="str">
        <f t="shared" ca="1" si="2"/>
        <v/>
      </c>
      <c r="K71" s="5" t="str">
        <f t="shared" ca="1" si="9"/>
        <v/>
      </c>
      <c r="L71" s="5" t="str">
        <f t="shared" ca="1" si="10"/>
        <v/>
      </c>
      <c r="M71" s="5" t="str">
        <f t="shared" ca="1" si="11"/>
        <v/>
      </c>
      <c r="N71" s="5">
        <f t="shared" ca="1" si="12"/>
        <v>0</v>
      </c>
      <c r="O71" s="5" t="str">
        <f t="shared" ca="1" si="13"/>
        <v/>
      </c>
      <c r="P71" s="5" t="str">
        <f ca="1">VLOOKUP(G71,'Group code'!$Z$9:$AC$13,3,FALSE)</f>
        <v xml:space="preserve">    - </v>
      </c>
      <c r="Q71" s="5" t="str">
        <f t="shared" ca="1" si="14"/>
        <v/>
      </c>
      <c r="R71" s="5" t="str">
        <f ca="1">IF(G71=0,INDEX(cards[object_id],MATCH($C71,cards[object_id order],0)),"")</f>
        <v/>
      </c>
      <c r="S71" s="5" t="str">
        <f ca="1">IF(G71=1,INDEX(cards[[name]:[control]],MATCH($C71,cards[object_id order],0),'Group code'!J71),"")</f>
        <v/>
      </c>
      <c r="T71" s="5" t="str">
        <f ca="1">IF(G71=3,INDEX(cards[[1]:[25]],MATCH($C71,cards[object_id order],0),'Group code'!I71),"")</f>
        <v>automation.statvac_vacation_mode_off_when_home</v>
      </c>
      <c r="U71" s="5" t="str">
        <f ca="1">VLOOKUP(G71,'Group code'!$Z$9:$AC$13,4,FALSE)</f>
        <v/>
      </c>
      <c r="V71" s="5" t="str">
        <f ca="1">IF(J71="","",VLOOKUP(J71,'Group code'!$Z$15:$AC$18,4,FALSE))</f>
        <v/>
      </c>
      <c r="W71" s="23" t="str">
        <f t="shared" ca="1" si="15"/>
        <v xml:space="preserve">    - automation.statvac_vacation_mode_off_when_home</v>
      </c>
      <c r="X71" s="5" t="str">
        <f t="shared" ca="1" si="4"/>
        <v/>
      </c>
    </row>
    <row r="72" spans="2:24" x14ac:dyDescent="0.25">
      <c r="B72" s="5">
        <f t="shared" si="0"/>
        <v>66</v>
      </c>
      <c r="C72" s="5">
        <f t="shared" ca="1" si="16"/>
        <v>9</v>
      </c>
      <c r="D72" s="5" t="str">
        <f ca="1">INDEX(cards[Attribute Index],MATCH('Group code'!C72,cards[object_id order],0))</f>
        <v>1</v>
      </c>
      <c r="E72" s="5">
        <f t="shared" ca="1" si="1"/>
        <v>1</v>
      </c>
      <c r="F72" s="14">
        <f ca="1">INDEX(cards[Entities count],MATCH('Group code'!C72,cards[object_id order],0))</f>
        <v>2</v>
      </c>
      <c r="G72" s="14">
        <f t="shared" ca="1" si="6"/>
        <v>3</v>
      </c>
      <c r="H72" s="14" t="str">
        <f t="shared" ca="1" si="7"/>
        <v/>
      </c>
      <c r="I72" s="5">
        <f t="shared" ca="1" si="8"/>
        <v>2</v>
      </c>
      <c r="J72" s="5" t="str">
        <f t="shared" ca="1" si="2"/>
        <v/>
      </c>
      <c r="K72" s="5" t="str">
        <f t="shared" ca="1" si="9"/>
        <v/>
      </c>
      <c r="L72" s="5" t="str">
        <f t="shared" ca="1" si="10"/>
        <v/>
      </c>
      <c r="M72" s="5" t="str">
        <f t="shared" ca="1" si="11"/>
        <v/>
      </c>
      <c r="N72" s="5">
        <f t="shared" ca="1" si="12"/>
        <v>1</v>
      </c>
      <c r="O72" s="5" t="str">
        <f t="shared" ca="1" si="13"/>
        <v/>
      </c>
      <c r="P72" s="5" t="str">
        <f ca="1">VLOOKUP(G72,'Group code'!$Z$9:$AC$13,3,FALSE)</f>
        <v xml:space="preserve">    - </v>
      </c>
      <c r="Q72" s="5" t="str">
        <f t="shared" ca="1" si="14"/>
        <v/>
      </c>
      <c r="R72" s="5" t="str">
        <f ca="1">IF(G72=0,INDEX(cards[object_id],MATCH($C72,cards[object_id order],0)),"")</f>
        <v/>
      </c>
      <c r="S72" s="5" t="str">
        <f ca="1">IF(G72=1,INDEX(cards[[name]:[control]],MATCH($C72,cards[object_id order],0),'Group code'!J72),"")</f>
        <v/>
      </c>
      <c r="T72" s="5" t="str">
        <f ca="1">IF(G72=3,INDEX(cards[[1]:[25]],MATCH($C72,cards[object_id order],0),'Group code'!I72),"")</f>
        <v>automation.statvac_vacation_mode_on_when_gone_24_hours</v>
      </c>
      <c r="U72" s="5" t="str">
        <f ca="1">VLOOKUP(G72,'Group code'!$Z$9:$AC$13,4,FALSE)</f>
        <v/>
      </c>
      <c r="V72" s="5" t="str">
        <f ca="1">IF(J72="","",VLOOKUP(J72,'Group code'!$Z$15:$AC$18,4,FALSE))</f>
        <v/>
      </c>
      <c r="W72" s="23" t="str">
        <f t="shared" ca="1" si="15"/>
        <v xml:space="preserve">    - automation.statvac_vacation_mode_on_when_gone_24_hours</v>
      </c>
      <c r="X72" s="5" t="str">
        <f t="shared" ca="1" si="4"/>
        <v/>
      </c>
    </row>
    <row r="73" spans="2:24" x14ac:dyDescent="0.25">
      <c r="B73" s="5">
        <f t="shared" ref="B73:B136" si="17">B72+1</f>
        <v>67</v>
      </c>
      <c r="C73" s="5">
        <f t="shared" ca="1" si="16"/>
        <v>9</v>
      </c>
      <c r="D73" s="5" t="str">
        <f ca="1">INDEX(cards[Attribute Index],MATCH('Group code'!C73,cards[object_id order],0))</f>
        <v>1</v>
      </c>
      <c r="E73" s="5">
        <f t="shared" ref="E73:E136" ca="1" si="18">LEN(D73)</f>
        <v>1</v>
      </c>
      <c r="F73" s="14">
        <f ca="1">INDEX(cards[Entities count],MATCH('Group code'!C73,cards[object_id order],0))</f>
        <v>2</v>
      </c>
      <c r="G73" s="14">
        <f t="shared" ca="1" si="6"/>
        <v>4</v>
      </c>
      <c r="H73" s="14" t="str">
        <f t="shared" ca="1" si="7"/>
        <v/>
      </c>
      <c r="I73" s="5" t="str">
        <f t="shared" ca="1" si="8"/>
        <v/>
      </c>
      <c r="J73" s="5" t="str">
        <f t="shared" ref="J73:J136" ca="1" si="19">IF(H73="","",VALUE(MID(D73,H73,1)))</f>
        <v/>
      </c>
      <c r="K73" s="5" t="str">
        <f t="shared" ca="1" si="9"/>
        <v/>
      </c>
      <c r="L73" s="5" t="str">
        <f t="shared" ca="1" si="10"/>
        <v/>
      </c>
      <c r="M73" s="5" t="str">
        <f t="shared" ca="1" si="11"/>
        <v/>
      </c>
      <c r="N73" s="5" t="str">
        <f t="shared" ca="1" si="12"/>
        <v/>
      </c>
      <c r="O73" s="5">
        <f t="shared" ca="1" si="13"/>
        <v>-4</v>
      </c>
      <c r="P73" s="5" t="str">
        <f ca="1">VLOOKUP(G73,'Group code'!$Z$9:$AC$13,3,FALSE)</f>
        <v/>
      </c>
      <c r="Q73" s="5" t="str">
        <f t="shared" ca="1" si="14"/>
        <v/>
      </c>
      <c r="R73" s="5" t="str">
        <f ca="1">IF(G73=0,INDEX(cards[object_id],MATCH($C73,cards[object_id order],0)),"")</f>
        <v/>
      </c>
      <c r="S73" s="5" t="str">
        <f ca="1">IF(G73=1,INDEX(cards[[name]:[control]],MATCH($C73,cards[object_id order],0),'Group code'!J73),"")</f>
        <v/>
      </c>
      <c r="T73" s="5" t="str">
        <f ca="1">IF(G73=3,INDEX(cards[[1]:[25]],MATCH($C73,cards[object_id order],0),'Group code'!I73),"")</f>
        <v/>
      </c>
      <c r="U73" s="5" t="str">
        <f ca="1">VLOOKUP(G73,'Group code'!$Z$9:$AC$13,4,FALSE)</f>
        <v/>
      </c>
      <c r="V73" s="5" t="str">
        <f ca="1">IF(J73="","",VLOOKUP(J73,'Group code'!$Z$15:$AC$18,4,FALSE))</f>
        <v/>
      </c>
      <c r="W73" s="23" t="str">
        <f t="shared" ca="1" si="15"/>
        <v/>
      </c>
      <c r="X73" s="5" t="str">
        <f t="shared" ref="X73:X136" ca="1" si="20">IF(AND(NOT(ISNA(F73)),ISNA(F74)),"END","")</f>
        <v/>
      </c>
    </row>
    <row r="74" spans="2:24" x14ac:dyDescent="0.25">
      <c r="B74" s="5">
        <f t="shared" si="17"/>
        <v>68</v>
      </c>
      <c r="C74" s="5">
        <f t="shared" ca="1" si="16"/>
        <v>10</v>
      </c>
      <c r="D74" s="5" t="str">
        <f ca="1">INDEX(cards[Attribute Index],MATCH('Group code'!C74,cards[object_id order],0))</f>
        <v>14</v>
      </c>
      <c r="E74" s="5">
        <f t="shared" ca="1" si="18"/>
        <v>2</v>
      </c>
      <c r="F74" s="14">
        <f ca="1">INDEX(cards[Entities count],MATCH('Group code'!C74,cards[object_id order],0))</f>
        <v>3</v>
      </c>
      <c r="G74" s="14">
        <f t="shared" ref="G74:G137" ca="1" si="21">G73+SUM(K73:O73)</f>
        <v>0</v>
      </c>
      <c r="H74" s="14" t="str">
        <f t="shared" ref="H74:H137" ca="1" si="22">IF(AND(G73=0,D73&lt;&gt;""),1,IF(G74=1,H73+1,""))</f>
        <v/>
      </c>
      <c r="I74" s="5" t="str">
        <f t="shared" ref="I74:I137" ca="1" si="23">IF(G73=2,1,IF(G74=3,I73+1,""))</f>
        <v/>
      </c>
      <c r="J74" s="5" t="str">
        <f t="shared" ca="1" si="19"/>
        <v/>
      </c>
      <c r="K74" s="5">
        <f t="shared" ref="K74:K137" ca="1" si="24">IF(G74=0,
IF(D74&lt;&gt;"",1,2),
"")</f>
        <v>1</v>
      </c>
      <c r="L74" s="5" t="str">
        <f t="shared" ref="L74:L137" ca="1" si="25">IF(G74=1,
IF(E74=H74,1,0),
"")</f>
        <v/>
      </c>
      <c r="M74" s="5" t="str">
        <f t="shared" ref="M74:M137" ca="1" si="26">IF(G74=2,
1,
"")</f>
        <v/>
      </c>
      <c r="N74" s="5" t="str">
        <f t="shared" ref="N74:N137" ca="1" si="27">IF(G74=3,
IF(F74=I74,1,0),
"")</f>
        <v/>
      </c>
      <c r="O74" s="5" t="str">
        <f t="shared" ref="O74:O137" ca="1" si="28">IF(G74=4,
-4,
"")</f>
        <v/>
      </c>
      <c r="P74" s="5" t="str">
        <f ca="1">VLOOKUP(G74,'Group code'!$Z$9:$AC$13,3,FALSE)</f>
        <v/>
      </c>
      <c r="Q74" s="5" t="str">
        <f t="shared" ref="Q74:Q137" ca="1" si="29">IF(J74="","",VLOOKUP(J74,$Z$15:$AC$18,3,FALSE))</f>
        <v/>
      </c>
      <c r="R74" s="5" t="str">
        <f ca="1">IF(G74=0,INDEX(cards[object_id],MATCH($C74,cards[object_id order],0)),"")</f>
        <v>status</v>
      </c>
      <c r="S74" s="5" t="str">
        <f ca="1">IF(G74=1,INDEX(cards[[name]:[control]],MATCH($C74,cards[object_id order],0),'Group code'!J74),"")</f>
        <v/>
      </c>
      <c r="T74" s="5" t="str">
        <f ca="1">IF(G74=3,INDEX(cards[[1]:[25]],MATCH($C74,cards[object_id order],0),'Group code'!I74),"")</f>
        <v/>
      </c>
      <c r="U74" s="5" t="str">
        <f ca="1">VLOOKUP(G74,'Group code'!$Z$9:$AC$13,4,FALSE)</f>
        <v>:</v>
      </c>
      <c r="V74" s="5" t="str">
        <f ca="1">IF(J74="","",VLOOKUP(J74,'Group code'!$Z$15:$AC$18,4,FALSE))</f>
        <v/>
      </c>
      <c r="W74" s="23" t="str">
        <f t="shared" ref="W74:W137" ca="1" si="30">_xlfn.IFNA(  CONCATENATE(P74,Q74,R74,S74,T74,U74,V74),  "")</f>
        <v>status:</v>
      </c>
      <c r="X74" s="5" t="str">
        <f t="shared" ca="1" si="20"/>
        <v/>
      </c>
    </row>
    <row r="75" spans="2:24" x14ac:dyDescent="0.25">
      <c r="B75" s="5">
        <f t="shared" si="17"/>
        <v>69</v>
      </c>
      <c r="C75" s="5">
        <f t="shared" ref="C75:C138" ca="1" si="31">IF(G74=4,C74+1,C74)</f>
        <v>10</v>
      </c>
      <c r="D75" s="5" t="str">
        <f ca="1">INDEX(cards[Attribute Index],MATCH('Group code'!C75,cards[object_id order],0))</f>
        <v>14</v>
      </c>
      <c r="E75" s="5">
        <f t="shared" ca="1" si="18"/>
        <v>2</v>
      </c>
      <c r="F75" s="14">
        <f ca="1">INDEX(cards[Entities count],MATCH('Group code'!C75,cards[object_id order],0))</f>
        <v>3</v>
      </c>
      <c r="G75" s="14">
        <f t="shared" ca="1" si="21"/>
        <v>1</v>
      </c>
      <c r="H75" s="14">
        <f t="shared" ca="1" si="22"/>
        <v>1</v>
      </c>
      <c r="I75" s="5" t="str">
        <f t="shared" ca="1" si="23"/>
        <v/>
      </c>
      <c r="J75" s="5">
        <f t="shared" ca="1" si="19"/>
        <v>1</v>
      </c>
      <c r="K75" s="5" t="str">
        <f t="shared" ca="1" si="24"/>
        <v/>
      </c>
      <c r="L75" s="5">
        <f t="shared" ca="1" si="25"/>
        <v>0</v>
      </c>
      <c r="M75" s="5" t="str">
        <f t="shared" ca="1" si="26"/>
        <v/>
      </c>
      <c r="N75" s="5" t="str">
        <f t="shared" ca="1" si="27"/>
        <v/>
      </c>
      <c r="O75" s="5" t="str">
        <f t="shared" ca="1" si="28"/>
        <v/>
      </c>
      <c r="P75" s="5" t="str">
        <f ca="1">VLOOKUP(G75,'Group code'!$Z$9:$AC$13,3,FALSE)</f>
        <v/>
      </c>
      <c r="Q75" s="5" t="str">
        <f t="shared" ca="1" si="29"/>
        <v xml:space="preserve">  name: "</v>
      </c>
      <c r="R75" s="5" t="str">
        <f ca="1">IF(G75=0,INDEX(cards[object_id],MATCH($C75,cards[object_id order],0)),"")</f>
        <v/>
      </c>
      <c r="S75" s="5" t="str">
        <f ca="1">IF(G75=1,INDEX(cards[[name]:[control]],MATCH($C75,cards[object_id order],0),'Group code'!J75),"")</f>
        <v>Status</v>
      </c>
      <c r="T75" s="5" t="str">
        <f ca="1">IF(G75=3,INDEX(cards[[1]:[25]],MATCH($C75,cards[object_id order],0),'Group code'!I75),"")</f>
        <v/>
      </c>
      <c r="U75" s="5" t="str">
        <f ca="1">VLOOKUP(G75,'Group code'!$Z$9:$AC$13,4,FALSE)</f>
        <v/>
      </c>
      <c r="V75" s="5" t="str">
        <f ca="1">IF(J75="","",VLOOKUP(J75,'Group code'!$Z$15:$AC$18,4,FALSE))</f>
        <v>"</v>
      </c>
      <c r="W75" s="23" t="str">
        <f t="shared" ca="1" si="30"/>
        <v xml:space="preserve">  name: "Status"</v>
      </c>
      <c r="X75" s="5" t="str">
        <f t="shared" ca="1" si="20"/>
        <v/>
      </c>
    </row>
    <row r="76" spans="2:24" x14ac:dyDescent="0.25">
      <c r="B76" s="5">
        <f t="shared" si="17"/>
        <v>70</v>
      </c>
      <c r="C76" s="5">
        <f t="shared" ca="1" si="31"/>
        <v>10</v>
      </c>
      <c r="D76" s="5" t="str">
        <f ca="1">INDEX(cards[Attribute Index],MATCH('Group code'!C76,cards[object_id order],0))</f>
        <v>14</v>
      </c>
      <c r="E76" s="5">
        <f t="shared" ca="1" si="18"/>
        <v>2</v>
      </c>
      <c r="F76" s="14">
        <f ca="1">INDEX(cards[Entities count],MATCH('Group code'!C76,cards[object_id order],0))</f>
        <v>3</v>
      </c>
      <c r="G76" s="14">
        <f t="shared" ca="1" si="21"/>
        <v>1</v>
      </c>
      <c r="H76" s="14">
        <f t="shared" ca="1" si="22"/>
        <v>2</v>
      </c>
      <c r="I76" s="5" t="str">
        <f t="shared" ca="1" si="23"/>
        <v/>
      </c>
      <c r="J76" s="5">
        <f t="shared" ca="1" si="19"/>
        <v>4</v>
      </c>
      <c r="K76" s="5" t="str">
        <f t="shared" ca="1" si="24"/>
        <v/>
      </c>
      <c r="L76" s="5">
        <f t="shared" ca="1" si="25"/>
        <v>1</v>
      </c>
      <c r="M76" s="5" t="str">
        <f t="shared" ca="1" si="26"/>
        <v/>
      </c>
      <c r="N76" s="5" t="str">
        <f t="shared" ca="1" si="27"/>
        <v/>
      </c>
      <c r="O76" s="5" t="str">
        <f t="shared" ca="1" si="28"/>
        <v/>
      </c>
      <c r="P76" s="5" t="str">
        <f ca="1">VLOOKUP(G76,'Group code'!$Z$9:$AC$13,3,FALSE)</f>
        <v/>
      </c>
      <c r="Q76" s="5" t="str">
        <f t="shared" ca="1" si="29"/>
        <v xml:space="preserve">  control: </v>
      </c>
      <c r="R76" s="5" t="str">
        <f ca="1">IF(G76=0,INDEX(cards[object_id],MATCH($C76,cards[object_id order],0)),"")</f>
        <v/>
      </c>
      <c r="S76" s="5" t="str">
        <f ca="1">IF(G76=1,INDEX(cards[[name]:[control]],MATCH($C76,cards[object_id order],0),'Group code'!J76),"")</f>
        <v>hidden</v>
      </c>
      <c r="T76" s="5" t="str">
        <f ca="1">IF(G76=3,INDEX(cards[[1]:[25]],MATCH($C76,cards[object_id order],0),'Group code'!I76),"")</f>
        <v/>
      </c>
      <c r="U76" s="5" t="str">
        <f ca="1">VLOOKUP(G76,'Group code'!$Z$9:$AC$13,4,FALSE)</f>
        <v/>
      </c>
      <c r="V76" s="5" t="str">
        <f ca="1">IF(J76="","",VLOOKUP(J76,'Group code'!$Z$15:$AC$18,4,FALSE))</f>
        <v/>
      </c>
      <c r="W76" s="23" t="str">
        <f t="shared" ca="1" si="30"/>
        <v xml:space="preserve">  control: hidden</v>
      </c>
      <c r="X76" s="5" t="str">
        <f t="shared" ca="1" si="20"/>
        <v/>
      </c>
    </row>
    <row r="77" spans="2:24" x14ac:dyDescent="0.25">
      <c r="B77" s="5">
        <f t="shared" si="17"/>
        <v>71</v>
      </c>
      <c r="C77" s="5">
        <f t="shared" ca="1" si="31"/>
        <v>10</v>
      </c>
      <c r="D77" s="5" t="str">
        <f ca="1">INDEX(cards[Attribute Index],MATCH('Group code'!C77,cards[object_id order],0))</f>
        <v>14</v>
      </c>
      <c r="E77" s="5">
        <f t="shared" ca="1" si="18"/>
        <v>2</v>
      </c>
      <c r="F77" s="14">
        <f ca="1">INDEX(cards[Entities count],MATCH('Group code'!C77,cards[object_id order],0))</f>
        <v>3</v>
      </c>
      <c r="G77" s="14">
        <f t="shared" ca="1" si="21"/>
        <v>2</v>
      </c>
      <c r="H77" s="14" t="str">
        <f t="shared" ca="1" si="22"/>
        <v/>
      </c>
      <c r="I77" s="5" t="str">
        <f t="shared" ca="1" si="23"/>
        <v/>
      </c>
      <c r="J77" s="5" t="str">
        <f t="shared" ca="1" si="19"/>
        <v/>
      </c>
      <c r="K77" s="5" t="str">
        <f t="shared" ca="1" si="24"/>
        <v/>
      </c>
      <c r="L77" s="5" t="str">
        <f t="shared" ca="1" si="25"/>
        <v/>
      </c>
      <c r="M77" s="5">
        <f t="shared" ca="1" si="26"/>
        <v>1</v>
      </c>
      <c r="N77" s="5" t="str">
        <f t="shared" ca="1" si="27"/>
        <v/>
      </c>
      <c r="O77" s="5" t="str">
        <f t="shared" ca="1" si="28"/>
        <v/>
      </c>
      <c r="P77" s="5" t="str">
        <f ca="1">VLOOKUP(G77,'Group code'!$Z$9:$AC$13,3,FALSE)</f>
        <v xml:space="preserve">  entities:</v>
      </c>
      <c r="Q77" s="5" t="str">
        <f t="shared" ca="1" si="29"/>
        <v/>
      </c>
      <c r="R77" s="5" t="str">
        <f ca="1">IF(G77=0,INDEX(cards[object_id],MATCH($C77,cards[object_id order],0)),"")</f>
        <v/>
      </c>
      <c r="S77" s="5" t="str">
        <f ca="1">IF(G77=1,INDEX(cards[[name]:[control]],MATCH($C77,cards[object_id order],0),'Group code'!J77),"")</f>
        <v/>
      </c>
      <c r="T77" s="5" t="str">
        <f ca="1">IF(G77=3,INDEX(cards[[1]:[25]],MATCH($C77,cards[object_id order],0),'Group code'!I77),"")</f>
        <v/>
      </c>
      <c r="U77" s="5" t="str">
        <f ca="1">VLOOKUP(G77,'Group code'!$Z$9:$AC$13,4,FALSE)</f>
        <v/>
      </c>
      <c r="V77" s="5" t="str">
        <f ca="1">IF(J77="","",VLOOKUP(J77,'Group code'!$Z$15:$AC$18,4,FALSE))</f>
        <v/>
      </c>
      <c r="W77" s="23" t="str">
        <f t="shared" ca="1" si="30"/>
        <v xml:space="preserve">  entities:</v>
      </c>
      <c r="X77" s="5" t="str">
        <f t="shared" ca="1" si="20"/>
        <v/>
      </c>
    </row>
    <row r="78" spans="2:24" x14ac:dyDescent="0.25">
      <c r="B78" s="5">
        <f t="shared" si="17"/>
        <v>72</v>
      </c>
      <c r="C78" s="5">
        <f t="shared" ca="1" si="31"/>
        <v>10</v>
      </c>
      <c r="D78" s="5" t="str">
        <f ca="1">INDEX(cards[Attribute Index],MATCH('Group code'!C78,cards[object_id order],0))</f>
        <v>14</v>
      </c>
      <c r="E78" s="5">
        <f t="shared" ca="1" si="18"/>
        <v>2</v>
      </c>
      <c r="F78" s="14">
        <f ca="1">INDEX(cards[Entities count],MATCH('Group code'!C78,cards[object_id order],0))</f>
        <v>3</v>
      </c>
      <c r="G78" s="14">
        <f t="shared" ca="1" si="21"/>
        <v>3</v>
      </c>
      <c r="H78" s="14" t="str">
        <f t="shared" ca="1" si="22"/>
        <v/>
      </c>
      <c r="I78" s="5">
        <f t="shared" ca="1" si="23"/>
        <v>1</v>
      </c>
      <c r="J78" s="5" t="str">
        <f t="shared" ca="1" si="19"/>
        <v/>
      </c>
      <c r="K78" s="5" t="str">
        <f t="shared" ca="1" si="24"/>
        <v/>
      </c>
      <c r="L78" s="5" t="str">
        <f t="shared" ca="1" si="25"/>
        <v/>
      </c>
      <c r="M78" s="5" t="str">
        <f t="shared" ca="1" si="26"/>
        <v/>
      </c>
      <c r="N78" s="5">
        <f t="shared" ca="1" si="27"/>
        <v>0</v>
      </c>
      <c r="O78" s="5" t="str">
        <f t="shared" ca="1" si="28"/>
        <v/>
      </c>
      <c r="P78" s="5" t="str">
        <f ca="1">VLOOKUP(G78,'Group code'!$Z$9:$AC$13,3,FALSE)</f>
        <v xml:space="preserve">    - </v>
      </c>
      <c r="Q78" s="5" t="str">
        <f t="shared" ca="1" si="29"/>
        <v/>
      </c>
      <c r="R78" s="5" t="str">
        <f ca="1">IF(G78=0,INDEX(cards[object_id],MATCH($C78,cards[object_id order],0)),"")</f>
        <v/>
      </c>
      <c r="S78" s="5" t="str">
        <f ca="1">IF(G78=1,INDEX(cards[[name]:[control]],MATCH($C78,cards[object_id order],0),'Group code'!J78),"")</f>
        <v/>
      </c>
      <c r="T78" s="5" t="str">
        <f ca="1">IF(G78=3,INDEX(cards[[1]:[25]],MATCH($C78,cards[object_id order],0),'Group code'!I78),"")</f>
        <v>input_select.ron_status</v>
      </c>
      <c r="U78" s="5" t="str">
        <f ca="1">VLOOKUP(G78,'Group code'!$Z$9:$AC$13,4,FALSE)</f>
        <v/>
      </c>
      <c r="V78" s="5" t="str">
        <f ca="1">IF(J78="","",VLOOKUP(J78,'Group code'!$Z$15:$AC$18,4,FALSE))</f>
        <v/>
      </c>
      <c r="W78" s="23" t="str">
        <f t="shared" ca="1" si="30"/>
        <v xml:space="preserve">    - input_select.ron_status</v>
      </c>
      <c r="X78" s="5" t="str">
        <f t="shared" ca="1" si="20"/>
        <v/>
      </c>
    </row>
    <row r="79" spans="2:24" x14ac:dyDescent="0.25">
      <c r="B79" s="5">
        <f t="shared" si="17"/>
        <v>73</v>
      </c>
      <c r="C79" s="5">
        <f t="shared" ca="1" si="31"/>
        <v>10</v>
      </c>
      <c r="D79" s="5" t="str">
        <f ca="1">INDEX(cards[Attribute Index],MATCH('Group code'!C79,cards[object_id order],0))</f>
        <v>14</v>
      </c>
      <c r="E79" s="5">
        <f t="shared" ca="1" si="18"/>
        <v>2</v>
      </c>
      <c r="F79" s="14">
        <f ca="1">INDEX(cards[Entities count],MATCH('Group code'!C79,cards[object_id order],0))</f>
        <v>3</v>
      </c>
      <c r="G79" s="14">
        <f t="shared" ca="1" si="21"/>
        <v>3</v>
      </c>
      <c r="H79" s="14" t="str">
        <f t="shared" ca="1" si="22"/>
        <v/>
      </c>
      <c r="I79" s="5">
        <f t="shared" ca="1" si="23"/>
        <v>2</v>
      </c>
      <c r="J79" s="5" t="str">
        <f t="shared" ca="1" si="19"/>
        <v/>
      </c>
      <c r="K79" s="5" t="str">
        <f t="shared" ca="1" si="24"/>
        <v/>
      </c>
      <c r="L79" s="5" t="str">
        <f t="shared" ca="1" si="25"/>
        <v/>
      </c>
      <c r="M79" s="5" t="str">
        <f t="shared" ca="1" si="26"/>
        <v/>
      </c>
      <c r="N79" s="5">
        <f t="shared" ca="1" si="27"/>
        <v>0</v>
      </c>
      <c r="O79" s="5" t="str">
        <f t="shared" ca="1" si="28"/>
        <v/>
      </c>
      <c r="P79" s="5" t="str">
        <f ca="1">VLOOKUP(G79,'Group code'!$Z$9:$AC$13,3,FALSE)</f>
        <v xml:space="preserve">    - </v>
      </c>
      <c r="Q79" s="5" t="str">
        <f t="shared" ca="1" si="29"/>
        <v/>
      </c>
      <c r="R79" s="5" t="str">
        <f ca="1">IF(G79=0,INDEX(cards[object_id],MATCH($C79,cards[object_id order],0)),"")</f>
        <v/>
      </c>
      <c r="S79" s="5" t="str">
        <f ca="1">IF(G79=1,INDEX(cards[[name]:[control]],MATCH($C79,cards[object_id order],0),'Group code'!J79),"")</f>
        <v/>
      </c>
      <c r="T79" s="5" t="str">
        <f ca="1">IF(G79=3,INDEX(cards[[1]:[25]],MATCH($C79,cards[object_id order],0),'Group code'!I79),"")</f>
        <v>input_boolean.friend_visiting</v>
      </c>
      <c r="U79" s="5" t="str">
        <f ca="1">VLOOKUP(G79,'Group code'!$Z$9:$AC$13,4,FALSE)</f>
        <v/>
      </c>
      <c r="V79" s="5" t="str">
        <f ca="1">IF(J79="","",VLOOKUP(J79,'Group code'!$Z$15:$AC$18,4,FALSE))</f>
        <v/>
      </c>
      <c r="W79" s="23" t="str">
        <f t="shared" ca="1" si="30"/>
        <v xml:space="preserve">    - input_boolean.friend_visiting</v>
      </c>
      <c r="X79" s="5" t="str">
        <f t="shared" ca="1" si="20"/>
        <v/>
      </c>
    </row>
    <row r="80" spans="2:24" x14ac:dyDescent="0.25">
      <c r="B80" s="5">
        <f t="shared" si="17"/>
        <v>74</v>
      </c>
      <c r="C80" s="5">
        <f t="shared" ca="1" si="31"/>
        <v>10</v>
      </c>
      <c r="D80" s="5" t="str">
        <f ca="1">INDEX(cards[Attribute Index],MATCH('Group code'!C80,cards[object_id order],0))</f>
        <v>14</v>
      </c>
      <c r="E80" s="5">
        <f t="shared" ca="1" si="18"/>
        <v>2</v>
      </c>
      <c r="F80" s="14">
        <f ca="1">INDEX(cards[Entities count],MATCH('Group code'!C80,cards[object_id order],0))</f>
        <v>3</v>
      </c>
      <c r="G80" s="14">
        <f t="shared" ca="1" si="21"/>
        <v>3</v>
      </c>
      <c r="H80" s="14" t="str">
        <f t="shared" ca="1" si="22"/>
        <v/>
      </c>
      <c r="I80" s="5">
        <f t="shared" ca="1" si="23"/>
        <v>3</v>
      </c>
      <c r="J80" s="5" t="str">
        <f t="shared" ca="1" si="19"/>
        <v/>
      </c>
      <c r="K80" s="5" t="str">
        <f t="shared" ca="1" si="24"/>
        <v/>
      </c>
      <c r="L80" s="5" t="str">
        <f t="shared" ca="1" si="25"/>
        <v/>
      </c>
      <c r="M80" s="5" t="str">
        <f t="shared" ca="1" si="26"/>
        <v/>
      </c>
      <c r="N80" s="5">
        <f t="shared" ca="1" si="27"/>
        <v>1</v>
      </c>
      <c r="O80" s="5" t="str">
        <f t="shared" ca="1" si="28"/>
        <v/>
      </c>
      <c r="P80" s="5" t="str">
        <f ca="1">VLOOKUP(G80,'Group code'!$Z$9:$AC$13,3,FALSE)</f>
        <v xml:space="preserve">    - </v>
      </c>
      <c r="Q80" s="5" t="str">
        <f t="shared" ca="1" si="29"/>
        <v/>
      </c>
      <c r="R80" s="5" t="str">
        <f ca="1">IF(G80=0,INDEX(cards[object_id],MATCH($C80,cards[object_id order],0)),"")</f>
        <v/>
      </c>
      <c r="S80" s="5" t="str">
        <f ca="1">IF(G80=1,INDEX(cards[[name]:[control]],MATCH($C80,cards[object_id order],0),'Group code'!J80),"")</f>
        <v/>
      </c>
      <c r="T80" s="5" t="str">
        <f ca="1">IF(G80=3,INDEX(cards[[1]:[25]],MATCH($C80,cards[object_id order],0),'Group code'!I80),"")</f>
        <v>input_boolean.vacation_mode</v>
      </c>
      <c r="U80" s="5" t="str">
        <f ca="1">VLOOKUP(G80,'Group code'!$Z$9:$AC$13,4,FALSE)</f>
        <v/>
      </c>
      <c r="V80" s="5" t="str">
        <f ca="1">IF(J80="","",VLOOKUP(J80,'Group code'!$Z$15:$AC$18,4,FALSE))</f>
        <v/>
      </c>
      <c r="W80" s="23" t="str">
        <f t="shared" ca="1" si="30"/>
        <v xml:space="preserve">    - input_boolean.vacation_mode</v>
      </c>
      <c r="X80" s="5" t="str">
        <f t="shared" ca="1" si="20"/>
        <v/>
      </c>
    </row>
    <row r="81" spans="2:24" x14ac:dyDescent="0.25">
      <c r="B81" s="5">
        <f t="shared" si="17"/>
        <v>75</v>
      </c>
      <c r="C81" s="5">
        <f t="shared" ca="1" si="31"/>
        <v>10</v>
      </c>
      <c r="D81" s="5" t="str">
        <f ca="1">INDEX(cards[Attribute Index],MATCH('Group code'!C81,cards[object_id order],0))</f>
        <v>14</v>
      </c>
      <c r="E81" s="5">
        <f t="shared" ca="1" si="18"/>
        <v>2</v>
      </c>
      <c r="F81" s="14">
        <f ca="1">INDEX(cards[Entities count],MATCH('Group code'!C81,cards[object_id order],0))</f>
        <v>3</v>
      </c>
      <c r="G81" s="14">
        <f t="shared" ca="1" si="21"/>
        <v>4</v>
      </c>
      <c r="H81" s="14" t="str">
        <f t="shared" ca="1" si="22"/>
        <v/>
      </c>
      <c r="I81" s="5" t="str">
        <f t="shared" ca="1" si="23"/>
        <v/>
      </c>
      <c r="J81" s="5" t="str">
        <f t="shared" ca="1" si="19"/>
        <v/>
      </c>
      <c r="K81" s="5" t="str">
        <f t="shared" ca="1" si="24"/>
        <v/>
      </c>
      <c r="L81" s="5" t="str">
        <f t="shared" ca="1" si="25"/>
        <v/>
      </c>
      <c r="M81" s="5" t="str">
        <f t="shared" ca="1" si="26"/>
        <v/>
      </c>
      <c r="N81" s="5" t="str">
        <f t="shared" ca="1" si="27"/>
        <v/>
      </c>
      <c r="O81" s="5">
        <f t="shared" ca="1" si="28"/>
        <v>-4</v>
      </c>
      <c r="P81" s="5" t="str">
        <f ca="1">VLOOKUP(G81,'Group code'!$Z$9:$AC$13,3,FALSE)</f>
        <v/>
      </c>
      <c r="Q81" s="5" t="str">
        <f t="shared" ca="1" si="29"/>
        <v/>
      </c>
      <c r="R81" s="5" t="str">
        <f ca="1">IF(G81=0,INDEX(cards[object_id],MATCH($C81,cards[object_id order],0)),"")</f>
        <v/>
      </c>
      <c r="S81" s="5" t="str">
        <f ca="1">IF(G81=1,INDEX(cards[[name]:[control]],MATCH($C81,cards[object_id order],0),'Group code'!J81),"")</f>
        <v/>
      </c>
      <c r="T81" s="5" t="str">
        <f ca="1">IF(G81=3,INDEX(cards[[1]:[25]],MATCH($C81,cards[object_id order],0),'Group code'!I81),"")</f>
        <v/>
      </c>
      <c r="U81" s="5" t="str">
        <f ca="1">VLOOKUP(G81,'Group code'!$Z$9:$AC$13,4,FALSE)</f>
        <v/>
      </c>
      <c r="V81" s="5" t="str">
        <f ca="1">IF(J81="","",VLOOKUP(J81,'Group code'!$Z$15:$AC$18,4,FALSE))</f>
        <v/>
      </c>
      <c r="W81" s="23" t="str">
        <f t="shared" ca="1" si="30"/>
        <v/>
      </c>
      <c r="X81" s="5" t="str">
        <f t="shared" ca="1" si="20"/>
        <v/>
      </c>
    </row>
    <row r="82" spans="2:24" x14ac:dyDescent="0.25">
      <c r="B82" s="5">
        <f t="shared" si="17"/>
        <v>76</v>
      </c>
      <c r="C82" s="5">
        <f t="shared" ca="1" si="31"/>
        <v>11</v>
      </c>
      <c r="D82" s="5" t="str">
        <f ca="1">INDEX(cards[Attribute Index],MATCH('Group code'!C82,cards[object_id order],0))</f>
        <v>1</v>
      </c>
      <c r="E82" s="5">
        <f t="shared" ca="1" si="18"/>
        <v>1</v>
      </c>
      <c r="F82" s="14">
        <f ca="1">INDEX(cards[Entities count],MATCH('Group code'!C82,cards[object_id order],0))</f>
        <v>1</v>
      </c>
      <c r="G82" s="14">
        <f t="shared" ca="1" si="21"/>
        <v>0</v>
      </c>
      <c r="H82" s="14" t="str">
        <f t="shared" ca="1" si="22"/>
        <v/>
      </c>
      <c r="I82" s="5" t="str">
        <f t="shared" ca="1" si="23"/>
        <v/>
      </c>
      <c r="J82" s="5" t="str">
        <f t="shared" ca="1" si="19"/>
        <v/>
      </c>
      <c r="K82" s="5">
        <f t="shared" ca="1" si="24"/>
        <v>1</v>
      </c>
      <c r="L82" s="5" t="str">
        <f t="shared" ca="1" si="25"/>
        <v/>
      </c>
      <c r="M82" s="5" t="str">
        <f t="shared" ca="1" si="26"/>
        <v/>
      </c>
      <c r="N82" s="5" t="str">
        <f t="shared" ca="1" si="27"/>
        <v/>
      </c>
      <c r="O82" s="5" t="str">
        <f t="shared" ca="1" si="28"/>
        <v/>
      </c>
      <c r="P82" s="5" t="str">
        <f ca="1">VLOOKUP(G82,'Group code'!$Z$9:$AC$13,3,FALSE)</f>
        <v/>
      </c>
      <c r="Q82" s="5" t="str">
        <f t="shared" ca="1" si="29"/>
        <v/>
      </c>
      <c r="R82" s="5" t="str">
        <f ca="1">IF(G82=0,INDEX(cards[object_id],MATCH($C82,cards[object_id order],0)),"")</f>
        <v>living_room</v>
      </c>
      <c r="S82" s="5" t="str">
        <f ca="1">IF(G82=1,INDEX(cards[[name]:[control]],MATCH($C82,cards[object_id order],0),'Group code'!J82),"")</f>
        <v/>
      </c>
      <c r="T82" s="5" t="str">
        <f ca="1">IF(G82=3,INDEX(cards[[1]:[25]],MATCH($C82,cards[object_id order],0),'Group code'!I82),"")</f>
        <v/>
      </c>
      <c r="U82" s="5" t="str">
        <f ca="1">VLOOKUP(G82,'Group code'!$Z$9:$AC$13,4,FALSE)</f>
        <v>:</v>
      </c>
      <c r="V82" s="5" t="str">
        <f ca="1">IF(J82="","",VLOOKUP(J82,'Group code'!$Z$15:$AC$18,4,FALSE))</f>
        <v/>
      </c>
      <c r="W82" s="23" t="str">
        <f t="shared" ca="1" si="30"/>
        <v>living_room:</v>
      </c>
      <c r="X82" s="5" t="str">
        <f t="shared" ca="1" si="20"/>
        <v/>
      </c>
    </row>
    <row r="83" spans="2:24" x14ac:dyDescent="0.25">
      <c r="B83" s="5">
        <f t="shared" si="17"/>
        <v>77</v>
      </c>
      <c r="C83" s="5">
        <f t="shared" ca="1" si="31"/>
        <v>11</v>
      </c>
      <c r="D83" s="5" t="str">
        <f ca="1">INDEX(cards[Attribute Index],MATCH('Group code'!C83,cards[object_id order],0))</f>
        <v>1</v>
      </c>
      <c r="E83" s="5">
        <f t="shared" ca="1" si="18"/>
        <v>1</v>
      </c>
      <c r="F83" s="14">
        <f ca="1">INDEX(cards[Entities count],MATCH('Group code'!C83,cards[object_id order],0))</f>
        <v>1</v>
      </c>
      <c r="G83" s="14">
        <f t="shared" ca="1" si="21"/>
        <v>1</v>
      </c>
      <c r="H83" s="14">
        <f t="shared" ca="1" si="22"/>
        <v>1</v>
      </c>
      <c r="I83" s="5" t="str">
        <f t="shared" ca="1" si="23"/>
        <v/>
      </c>
      <c r="J83" s="5">
        <f t="shared" ca="1" si="19"/>
        <v>1</v>
      </c>
      <c r="K83" s="5" t="str">
        <f t="shared" ca="1" si="24"/>
        <v/>
      </c>
      <c r="L83" s="5">
        <f t="shared" ca="1" si="25"/>
        <v>1</v>
      </c>
      <c r="M83" s="5" t="str">
        <f t="shared" ca="1" si="26"/>
        <v/>
      </c>
      <c r="N83" s="5" t="str">
        <f t="shared" ca="1" si="27"/>
        <v/>
      </c>
      <c r="O83" s="5" t="str">
        <f t="shared" ca="1" si="28"/>
        <v/>
      </c>
      <c r="P83" s="5" t="str">
        <f ca="1">VLOOKUP(G83,'Group code'!$Z$9:$AC$13,3,FALSE)</f>
        <v/>
      </c>
      <c r="Q83" s="5" t="str">
        <f t="shared" ca="1" si="29"/>
        <v xml:space="preserve">  name: "</v>
      </c>
      <c r="R83" s="5" t="str">
        <f ca="1">IF(G83=0,INDEX(cards[object_id],MATCH($C83,cards[object_id order],0)),"")</f>
        <v/>
      </c>
      <c r="S83" s="5" t="str">
        <f ca="1">IF(G83=1,INDEX(cards[[name]:[control]],MATCH($C83,cards[object_id order],0),'Group code'!J83),"")</f>
        <v>Living Room</v>
      </c>
      <c r="T83" s="5" t="str">
        <f ca="1">IF(G83=3,INDEX(cards[[1]:[25]],MATCH($C83,cards[object_id order],0),'Group code'!I83),"")</f>
        <v/>
      </c>
      <c r="U83" s="5" t="str">
        <f ca="1">VLOOKUP(G83,'Group code'!$Z$9:$AC$13,4,FALSE)</f>
        <v/>
      </c>
      <c r="V83" s="5" t="str">
        <f ca="1">IF(J83="","",VLOOKUP(J83,'Group code'!$Z$15:$AC$18,4,FALSE))</f>
        <v>"</v>
      </c>
      <c r="W83" s="23" t="str">
        <f t="shared" ca="1" si="30"/>
        <v xml:space="preserve">  name: "Living Room"</v>
      </c>
      <c r="X83" s="5" t="str">
        <f t="shared" ca="1" si="20"/>
        <v/>
      </c>
    </row>
    <row r="84" spans="2:24" x14ac:dyDescent="0.25">
      <c r="B84" s="5">
        <f t="shared" si="17"/>
        <v>78</v>
      </c>
      <c r="C84" s="5">
        <f t="shared" ca="1" si="31"/>
        <v>11</v>
      </c>
      <c r="D84" s="5" t="str">
        <f ca="1">INDEX(cards[Attribute Index],MATCH('Group code'!C84,cards[object_id order],0))</f>
        <v>1</v>
      </c>
      <c r="E84" s="5">
        <f t="shared" ca="1" si="18"/>
        <v>1</v>
      </c>
      <c r="F84" s="14">
        <f ca="1">INDEX(cards[Entities count],MATCH('Group code'!C84,cards[object_id order],0))</f>
        <v>1</v>
      </c>
      <c r="G84" s="14">
        <f t="shared" ca="1" si="21"/>
        <v>2</v>
      </c>
      <c r="H84" s="14" t="str">
        <f t="shared" ca="1" si="22"/>
        <v/>
      </c>
      <c r="I84" s="5" t="str">
        <f t="shared" ca="1" si="23"/>
        <v/>
      </c>
      <c r="J84" s="5" t="str">
        <f t="shared" ca="1" si="19"/>
        <v/>
      </c>
      <c r="K84" s="5" t="str">
        <f t="shared" ca="1" si="24"/>
        <v/>
      </c>
      <c r="L84" s="5" t="str">
        <f t="shared" ca="1" si="25"/>
        <v/>
      </c>
      <c r="M84" s="5">
        <f t="shared" ca="1" si="26"/>
        <v>1</v>
      </c>
      <c r="N84" s="5" t="str">
        <f t="shared" ca="1" si="27"/>
        <v/>
      </c>
      <c r="O84" s="5" t="str">
        <f t="shared" ca="1" si="28"/>
        <v/>
      </c>
      <c r="P84" s="5" t="str">
        <f ca="1">VLOOKUP(G84,'Group code'!$Z$9:$AC$13,3,FALSE)</f>
        <v xml:space="preserve">  entities:</v>
      </c>
      <c r="Q84" s="5" t="str">
        <f t="shared" ca="1" si="29"/>
        <v/>
      </c>
      <c r="R84" s="5" t="str">
        <f ca="1">IF(G84=0,INDEX(cards[object_id],MATCH($C84,cards[object_id order],0)),"")</f>
        <v/>
      </c>
      <c r="S84" s="5" t="str">
        <f ca="1">IF(G84=1,INDEX(cards[[name]:[control]],MATCH($C84,cards[object_id order],0),'Group code'!J84),"")</f>
        <v/>
      </c>
      <c r="T84" s="5" t="str">
        <f ca="1">IF(G84=3,INDEX(cards[[1]:[25]],MATCH($C84,cards[object_id order],0),'Group code'!I84),"")</f>
        <v/>
      </c>
      <c r="U84" s="5" t="str">
        <f ca="1">VLOOKUP(G84,'Group code'!$Z$9:$AC$13,4,FALSE)</f>
        <v/>
      </c>
      <c r="V84" s="5" t="str">
        <f ca="1">IF(J84="","",VLOOKUP(J84,'Group code'!$Z$15:$AC$18,4,FALSE))</f>
        <v/>
      </c>
      <c r="W84" s="23" t="str">
        <f t="shared" ca="1" si="30"/>
        <v xml:space="preserve">  entities:</v>
      </c>
      <c r="X84" s="5" t="str">
        <f t="shared" ca="1" si="20"/>
        <v/>
      </c>
    </row>
    <row r="85" spans="2:24" x14ac:dyDescent="0.25">
      <c r="B85" s="5">
        <f t="shared" si="17"/>
        <v>79</v>
      </c>
      <c r="C85" s="5">
        <f t="shared" ca="1" si="31"/>
        <v>11</v>
      </c>
      <c r="D85" s="5" t="str">
        <f ca="1">INDEX(cards[Attribute Index],MATCH('Group code'!C85,cards[object_id order],0))</f>
        <v>1</v>
      </c>
      <c r="E85" s="5">
        <f t="shared" ca="1" si="18"/>
        <v>1</v>
      </c>
      <c r="F85" s="14">
        <f ca="1">INDEX(cards[Entities count],MATCH('Group code'!C85,cards[object_id order],0))</f>
        <v>1</v>
      </c>
      <c r="G85" s="14">
        <f t="shared" ca="1" si="21"/>
        <v>3</v>
      </c>
      <c r="H85" s="14" t="str">
        <f t="shared" ca="1" si="22"/>
        <v/>
      </c>
      <c r="I85" s="5">
        <f t="shared" ca="1" si="23"/>
        <v>1</v>
      </c>
      <c r="J85" s="5" t="str">
        <f t="shared" ca="1" si="19"/>
        <v/>
      </c>
      <c r="K85" s="5" t="str">
        <f t="shared" ca="1" si="24"/>
        <v/>
      </c>
      <c r="L85" s="5" t="str">
        <f t="shared" ca="1" si="25"/>
        <v/>
      </c>
      <c r="M85" s="5" t="str">
        <f t="shared" ca="1" si="26"/>
        <v/>
      </c>
      <c r="N85" s="5">
        <f t="shared" ca="1" si="27"/>
        <v>1</v>
      </c>
      <c r="O85" s="5" t="str">
        <f t="shared" ca="1" si="28"/>
        <v/>
      </c>
      <c r="P85" s="5" t="str">
        <f ca="1">VLOOKUP(G85,'Group code'!$Z$9:$AC$13,3,FALSE)</f>
        <v xml:space="preserve">    - </v>
      </c>
      <c r="Q85" s="5" t="str">
        <f t="shared" ca="1" si="29"/>
        <v/>
      </c>
      <c r="R85" s="5" t="str">
        <f ca="1">IF(G85=0,INDEX(cards[object_id],MATCH($C85,cards[object_id order],0)),"")</f>
        <v/>
      </c>
      <c r="S85" s="5" t="str">
        <f ca="1">IF(G85=1,INDEX(cards[[name]:[control]],MATCH($C85,cards[object_id order],0),'Group code'!J85),"")</f>
        <v/>
      </c>
      <c r="T85" s="5" t="str">
        <f ca="1">IF(G85=3,INDEX(cards[[1]:[25]],MATCH($C85,cards[object_id order],0),'Group code'!I85),"")</f>
        <v>switch.amp</v>
      </c>
      <c r="U85" s="5" t="str">
        <f ca="1">VLOOKUP(G85,'Group code'!$Z$9:$AC$13,4,FALSE)</f>
        <v/>
      </c>
      <c r="V85" s="5" t="str">
        <f ca="1">IF(J85="","",VLOOKUP(J85,'Group code'!$Z$15:$AC$18,4,FALSE))</f>
        <v/>
      </c>
      <c r="W85" s="23" t="str">
        <f t="shared" ca="1" si="30"/>
        <v xml:space="preserve">    - switch.amp</v>
      </c>
      <c r="X85" s="5" t="str">
        <f t="shared" ca="1" si="20"/>
        <v/>
      </c>
    </row>
    <row r="86" spans="2:24" x14ac:dyDescent="0.25">
      <c r="B86" s="5">
        <f t="shared" si="17"/>
        <v>80</v>
      </c>
      <c r="C86" s="5">
        <f t="shared" ca="1" si="31"/>
        <v>11</v>
      </c>
      <c r="D86" s="5" t="str">
        <f ca="1">INDEX(cards[Attribute Index],MATCH('Group code'!C86,cards[object_id order],0))</f>
        <v>1</v>
      </c>
      <c r="E86" s="5">
        <f t="shared" ca="1" si="18"/>
        <v>1</v>
      </c>
      <c r="F86" s="14">
        <f ca="1">INDEX(cards[Entities count],MATCH('Group code'!C86,cards[object_id order],0))</f>
        <v>1</v>
      </c>
      <c r="G86" s="14">
        <f t="shared" ca="1" si="21"/>
        <v>4</v>
      </c>
      <c r="H86" s="14" t="str">
        <f t="shared" ca="1" si="22"/>
        <v/>
      </c>
      <c r="I86" s="5" t="str">
        <f t="shared" ca="1" si="23"/>
        <v/>
      </c>
      <c r="J86" s="5" t="str">
        <f t="shared" ca="1" si="19"/>
        <v/>
      </c>
      <c r="K86" s="5" t="str">
        <f t="shared" ca="1" si="24"/>
        <v/>
      </c>
      <c r="L86" s="5" t="str">
        <f t="shared" ca="1" si="25"/>
        <v/>
      </c>
      <c r="M86" s="5" t="str">
        <f t="shared" ca="1" si="26"/>
        <v/>
      </c>
      <c r="N86" s="5" t="str">
        <f t="shared" ca="1" si="27"/>
        <v/>
      </c>
      <c r="O86" s="5">
        <f t="shared" ca="1" si="28"/>
        <v>-4</v>
      </c>
      <c r="P86" s="5" t="str">
        <f ca="1">VLOOKUP(G86,'Group code'!$Z$9:$AC$13,3,FALSE)</f>
        <v/>
      </c>
      <c r="Q86" s="5" t="str">
        <f t="shared" ca="1" si="29"/>
        <v/>
      </c>
      <c r="R86" s="5" t="str">
        <f ca="1">IF(G86=0,INDEX(cards[object_id],MATCH($C86,cards[object_id order],0)),"")</f>
        <v/>
      </c>
      <c r="S86" s="5" t="str">
        <f ca="1">IF(G86=1,INDEX(cards[[name]:[control]],MATCH($C86,cards[object_id order],0),'Group code'!J86),"")</f>
        <v/>
      </c>
      <c r="T86" s="5" t="str">
        <f ca="1">IF(G86=3,INDEX(cards[[1]:[25]],MATCH($C86,cards[object_id order],0),'Group code'!I86),"")</f>
        <v/>
      </c>
      <c r="U86" s="5" t="str">
        <f ca="1">VLOOKUP(G86,'Group code'!$Z$9:$AC$13,4,FALSE)</f>
        <v/>
      </c>
      <c r="V86" s="5" t="str">
        <f ca="1">IF(J86="","",VLOOKUP(J86,'Group code'!$Z$15:$AC$18,4,FALSE))</f>
        <v/>
      </c>
      <c r="W86" s="23" t="str">
        <f t="shared" ca="1" si="30"/>
        <v/>
      </c>
      <c r="X86" s="5" t="str">
        <f t="shared" ca="1" si="20"/>
        <v/>
      </c>
    </row>
    <row r="87" spans="2:24" x14ac:dyDescent="0.25">
      <c r="B87" s="5">
        <f t="shared" si="17"/>
        <v>81</v>
      </c>
      <c r="C87" s="5">
        <f t="shared" ca="1" si="31"/>
        <v>12</v>
      </c>
      <c r="D87" s="5" t="str">
        <f ca="1">INDEX(cards[Attribute Index],MATCH('Group code'!C87,cards[object_id order],0))</f>
        <v>14</v>
      </c>
      <c r="E87" s="5">
        <f t="shared" ca="1" si="18"/>
        <v>2</v>
      </c>
      <c r="F87" s="14">
        <f ca="1">INDEX(cards[Entities count],MATCH('Group code'!C87,cards[object_id order],0))</f>
        <v>6</v>
      </c>
      <c r="G87" s="14">
        <f t="shared" ca="1" si="21"/>
        <v>0</v>
      </c>
      <c r="H87" s="14" t="str">
        <f t="shared" ca="1" si="22"/>
        <v/>
      </c>
      <c r="I87" s="5" t="str">
        <f t="shared" ca="1" si="23"/>
        <v/>
      </c>
      <c r="J87" s="5" t="str">
        <f t="shared" ca="1" si="19"/>
        <v/>
      </c>
      <c r="K87" s="5">
        <f t="shared" ca="1" si="24"/>
        <v>1</v>
      </c>
      <c r="L87" s="5" t="str">
        <f t="shared" ca="1" si="25"/>
        <v/>
      </c>
      <c r="M87" s="5" t="str">
        <f t="shared" ca="1" si="26"/>
        <v/>
      </c>
      <c r="N87" s="5" t="str">
        <f t="shared" ca="1" si="27"/>
        <v/>
      </c>
      <c r="O87" s="5" t="str">
        <f t="shared" ca="1" si="28"/>
        <v/>
      </c>
      <c r="P87" s="5" t="str">
        <f ca="1">VLOOKUP(G87,'Group code'!$Z$9:$AC$13,3,FALSE)</f>
        <v/>
      </c>
      <c r="Q87" s="5" t="str">
        <f t="shared" ca="1" si="29"/>
        <v/>
      </c>
      <c r="R87" s="5" t="str">
        <f ca="1">IF(G87=0,INDEX(cards[object_id],MATCH($C87,cards[object_id order],0)),"")</f>
        <v>bedroom</v>
      </c>
      <c r="S87" s="5" t="str">
        <f ca="1">IF(G87=1,INDEX(cards[[name]:[control]],MATCH($C87,cards[object_id order],0),'Group code'!J87),"")</f>
        <v/>
      </c>
      <c r="T87" s="5" t="str">
        <f ca="1">IF(G87=3,INDEX(cards[[1]:[25]],MATCH($C87,cards[object_id order],0),'Group code'!I87),"")</f>
        <v/>
      </c>
      <c r="U87" s="5" t="str">
        <f ca="1">VLOOKUP(G87,'Group code'!$Z$9:$AC$13,4,FALSE)</f>
        <v>:</v>
      </c>
      <c r="V87" s="5" t="str">
        <f ca="1">IF(J87="","",VLOOKUP(J87,'Group code'!$Z$15:$AC$18,4,FALSE))</f>
        <v/>
      </c>
      <c r="W87" s="23" t="str">
        <f t="shared" ca="1" si="30"/>
        <v>bedroom:</v>
      </c>
      <c r="X87" s="5" t="str">
        <f t="shared" ca="1" si="20"/>
        <v/>
      </c>
    </row>
    <row r="88" spans="2:24" x14ac:dyDescent="0.25">
      <c r="B88" s="5">
        <f t="shared" si="17"/>
        <v>82</v>
      </c>
      <c r="C88" s="5">
        <f t="shared" ca="1" si="31"/>
        <v>12</v>
      </c>
      <c r="D88" s="5" t="str">
        <f ca="1">INDEX(cards[Attribute Index],MATCH('Group code'!C88,cards[object_id order],0))</f>
        <v>14</v>
      </c>
      <c r="E88" s="5">
        <f t="shared" ca="1" si="18"/>
        <v>2</v>
      </c>
      <c r="F88" s="14">
        <f ca="1">INDEX(cards[Entities count],MATCH('Group code'!C88,cards[object_id order],0))</f>
        <v>6</v>
      </c>
      <c r="G88" s="14">
        <f t="shared" ca="1" si="21"/>
        <v>1</v>
      </c>
      <c r="H88" s="14">
        <f t="shared" ca="1" si="22"/>
        <v>1</v>
      </c>
      <c r="I88" s="5" t="str">
        <f t="shared" ca="1" si="23"/>
        <v/>
      </c>
      <c r="J88" s="5">
        <f t="shared" ca="1" si="19"/>
        <v>1</v>
      </c>
      <c r="K88" s="5" t="str">
        <f t="shared" ca="1" si="24"/>
        <v/>
      </c>
      <c r="L88" s="5">
        <f t="shared" ca="1" si="25"/>
        <v>0</v>
      </c>
      <c r="M88" s="5" t="str">
        <f t="shared" ca="1" si="26"/>
        <v/>
      </c>
      <c r="N88" s="5" t="str">
        <f t="shared" ca="1" si="27"/>
        <v/>
      </c>
      <c r="O88" s="5" t="str">
        <f t="shared" ca="1" si="28"/>
        <v/>
      </c>
      <c r="P88" s="5" t="str">
        <f ca="1">VLOOKUP(G88,'Group code'!$Z$9:$AC$13,3,FALSE)</f>
        <v/>
      </c>
      <c r="Q88" s="5" t="str">
        <f t="shared" ca="1" si="29"/>
        <v xml:space="preserve">  name: "</v>
      </c>
      <c r="R88" s="5" t="str">
        <f ca="1">IF(G88=0,INDEX(cards[object_id],MATCH($C88,cards[object_id order],0)),"")</f>
        <v/>
      </c>
      <c r="S88" s="5" t="str">
        <f ca="1">IF(G88=1,INDEX(cards[[name]:[control]],MATCH($C88,cards[object_id order],0),'Group code'!J88),"")</f>
        <v>Bedroom</v>
      </c>
      <c r="T88" s="5" t="str">
        <f ca="1">IF(G88=3,INDEX(cards[[1]:[25]],MATCH($C88,cards[object_id order],0),'Group code'!I88),"")</f>
        <v/>
      </c>
      <c r="U88" s="5" t="str">
        <f ca="1">VLOOKUP(G88,'Group code'!$Z$9:$AC$13,4,FALSE)</f>
        <v/>
      </c>
      <c r="V88" s="5" t="str">
        <f ca="1">IF(J88="","",VLOOKUP(J88,'Group code'!$Z$15:$AC$18,4,FALSE))</f>
        <v>"</v>
      </c>
      <c r="W88" s="23" t="str">
        <f t="shared" ca="1" si="30"/>
        <v xml:space="preserve">  name: "Bedroom"</v>
      </c>
      <c r="X88" s="5" t="str">
        <f t="shared" ca="1" si="20"/>
        <v/>
      </c>
    </row>
    <row r="89" spans="2:24" x14ac:dyDescent="0.25">
      <c r="B89" s="5">
        <f t="shared" si="17"/>
        <v>83</v>
      </c>
      <c r="C89" s="5">
        <f t="shared" ca="1" si="31"/>
        <v>12</v>
      </c>
      <c r="D89" s="5" t="str">
        <f ca="1">INDEX(cards[Attribute Index],MATCH('Group code'!C89,cards[object_id order],0))</f>
        <v>14</v>
      </c>
      <c r="E89" s="5">
        <f t="shared" ca="1" si="18"/>
        <v>2</v>
      </c>
      <c r="F89" s="14">
        <f ca="1">INDEX(cards[Entities count],MATCH('Group code'!C89,cards[object_id order],0))</f>
        <v>6</v>
      </c>
      <c r="G89" s="14">
        <f t="shared" ca="1" si="21"/>
        <v>1</v>
      </c>
      <c r="H89" s="14">
        <f t="shared" ca="1" si="22"/>
        <v>2</v>
      </c>
      <c r="I89" s="5" t="str">
        <f t="shared" ca="1" si="23"/>
        <v/>
      </c>
      <c r="J89" s="5">
        <f t="shared" ca="1" si="19"/>
        <v>4</v>
      </c>
      <c r="K89" s="5" t="str">
        <f t="shared" ca="1" si="24"/>
        <v/>
      </c>
      <c r="L89" s="5">
        <f t="shared" ca="1" si="25"/>
        <v>1</v>
      </c>
      <c r="M89" s="5" t="str">
        <f t="shared" ca="1" si="26"/>
        <v/>
      </c>
      <c r="N89" s="5" t="str">
        <f t="shared" ca="1" si="27"/>
        <v/>
      </c>
      <c r="O89" s="5" t="str">
        <f t="shared" ca="1" si="28"/>
        <v/>
      </c>
      <c r="P89" s="5" t="str">
        <f ca="1">VLOOKUP(G89,'Group code'!$Z$9:$AC$13,3,FALSE)</f>
        <v/>
      </c>
      <c r="Q89" s="5" t="str">
        <f t="shared" ca="1" si="29"/>
        <v xml:space="preserve">  control: </v>
      </c>
      <c r="R89" s="5" t="str">
        <f ca="1">IF(G89=0,INDEX(cards[object_id],MATCH($C89,cards[object_id order],0)),"")</f>
        <v/>
      </c>
      <c r="S89" s="5" t="str">
        <f ca="1">IF(G89=1,INDEX(cards[[name]:[control]],MATCH($C89,cards[object_id order],0),'Group code'!J89),"")</f>
        <v>hidden</v>
      </c>
      <c r="T89" s="5" t="str">
        <f ca="1">IF(G89=3,INDEX(cards[[1]:[25]],MATCH($C89,cards[object_id order],0),'Group code'!I89),"")</f>
        <v/>
      </c>
      <c r="U89" s="5" t="str">
        <f ca="1">VLOOKUP(G89,'Group code'!$Z$9:$AC$13,4,FALSE)</f>
        <v/>
      </c>
      <c r="V89" s="5" t="str">
        <f ca="1">IF(J89="","",VLOOKUP(J89,'Group code'!$Z$15:$AC$18,4,FALSE))</f>
        <v/>
      </c>
      <c r="W89" s="23" t="str">
        <f t="shared" ca="1" si="30"/>
        <v xml:space="preserve">  control: hidden</v>
      </c>
      <c r="X89" s="5" t="str">
        <f t="shared" ca="1" si="20"/>
        <v/>
      </c>
    </row>
    <row r="90" spans="2:24" x14ac:dyDescent="0.25">
      <c r="B90" s="5">
        <f t="shared" si="17"/>
        <v>84</v>
      </c>
      <c r="C90" s="5">
        <f t="shared" ca="1" si="31"/>
        <v>12</v>
      </c>
      <c r="D90" s="5" t="str">
        <f ca="1">INDEX(cards[Attribute Index],MATCH('Group code'!C90,cards[object_id order],0))</f>
        <v>14</v>
      </c>
      <c r="E90" s="5">
        <f t="shared" ca="1" si="18"/>
        <v>2</v>
      </c>
      <c r="F90" s="14">
        <f ca="1">INDEX(cards[Entities count],MATCH('Group code'!C90,cards[object_id order],0))</f>
        <v>6</v>
      </c>
      <c r="G90" s="14">
        <f t="shared" ca="1" si="21"/>
        <v>2</v>
      </c>
      <c r="H90" s="14" t="str">
        <f t="shared" ca="1" si="22"/>
        <v/>
      </c>
      <c r="I90" s="5" t="str">
        <f t="shared" ca="1" si="23"/>
        <v/>
      </c>
      <c r="J90" s="5" t="str">
        <f t="shared" ca="1" si="19"/>
        <v/>
      </c>
      <c r="K90" s="5" t="str">
        <f t="shared" ca="1" si="24"/>
        <v/>
      </c>
      <c r="L90" s="5" t="str">
        <f t="shared" ca="1" si="25"/>
        <v/>
      </c>
      <c r="M90" s="5">
        <f t="shared" ca="1" si="26"/>
        <v>1</v>
      </c>
      <c r="N90" s="5" t="str">
        <f t="shared" ca="1" si="27"/>
        <v/>
      </c>
      <c r="O90" s="5" t="str">
        <f t="shared" ca="1" si="28"/>
        <v/>
      </c>
      <c r="P90" s="5" t="str">
        <f ca="1">VLOOKUP(G90,'Group code'!$Z$9:$AC$13,3,FALSE)</f>
        <v xml:space="preserve">  entities:</v>
      </c>
      <c r="Q90" s="5" t="str">
        <f t="shared" ca="1" si="29"/>
        <v/>
      </c>
      <c r="R90" s="5" t="str">
        <f ca="1">IF(G90=0,INDEX(cards[object_id],MATCH($C90,cards[object_id order],0)),"")</f>
        <v/>
      </c>
      <c r="S90" s="5" t="str">
        <f ca="1">IF(G90=1,INDEX(cards[[name]:[control]],MATCH($C90,cards[object_id order],0),'Group code'!J90),"")</f>
        <v/>
      </c>
      <c r="T90" s="5" t="str">
        <f ca="1">IF(G90=3,INDEX(cards[[1]:[25]],MATCH($C90,cards[object_id order],0),'Group code'!I90),"")</f>
        <v/>
      </c>
      <c r="U90" s="5" t="str">
        <f ca="1">VLOOKUP(G90,'Group code'!$Z$9:$AC$13,4,FALSE)</f>
        <v/>
      </c>
      <c r="V90" s="5" t="str">
        <f ca="1">IF(J90="","",VLOOKUP(J90,'Group code'!$Z$15:$AC$18,4,FALSE))</f>
        <v/>
      </c>
      <c r="W90" s="23" t="str">
        <f t="shared" ca="1" si="30"/>
        <v xml:space="preserve">  entities:</v>
      </c>
      <c r="X90" s="5" t="str">
        <f t="shared" ca="1" si="20"/>
        <v/>
      </c>
    </row>
    <row r="91" spans="2:24" x14ac:dyDescent="0.25">
      <c r="B91" s="5">
        <f t="shared" si="17"/>
        <v>85</v>
      </c>
      <c r="C91" s="5">
        <f t="shared" ca="1" si="31"/>
        <v>12</v>
      </c>
      <c r="D91" s="5" t="str">
        <f ca="1">INDEX(cards[Attribute Index],MATCH('Group code'!C91,cards[object_id order],0))</f>
        <v>14</v>
      </c>
      <c r="E91" s="5">
        <f t="shared" ca="1" si="18"/>
        <v>2</v>
      </c>
      <c r="F91" s="14">
        <f ca="1">INDEX(cards[Entities count],MATCH('Group code'!C91,cards[object_id order],0))</f>
        <v>6</v>
      </c>
      <c r="G91" s="14">
        <f t="shared" ca="1" si="21"/>
        <v>3</v>
      </c>
      <c r="H91" s="14" t="str">
        <f t="shared" ca="1" si="22"/>
        <v/>
      </c>
      <c r="I91" s="5">
        <f t="shared" ca="1" si="23"/>
        <v>1</v>
      </c>
      <c r="J91" s="5" t="str">
        <f t="shared" ca="1" si="19"/>
        <v/>
      </c>
      <c r="K91" s="5" t="str">
        <f t="shared" ca="1" si="24"/>
        <v/>
      </c>
      <c r="L91" s="5" t="str">
        <f t="shared" ca="1" si="25"/>
        <v/>
      </c>
      <c r="M91" s="5" t="str">
        <f t="shared" ca="1" si="26"/>
        <v/>
      </c>
      <c r="N91" s="5">
        <f t="shared" ca="1" si="27"/>
        <v>0</v>
      </c>
      <c r="O91" s="5" t="str">
        <f t="shared" ca="1" si="28"/>
        <v/>
      </c>
      <c r="P91" s="5" t="str">
        <f ca="1">VLOOKUP(G91,'Group code'!$Z$9:$AC$13,3,FALSE)</f>
        <v xml:space="preserve">    - </v>
      </c>
      <c r="Q91" s="5" t="str">
        <f t="shared" ca="1" si="29"/>
        <v/>
      </c>
      <c r="R91" s="5" t="str">
        <f ca="1">IF(G91=0,INDEX(cards[object_id],MATCH($C91,cards[object_id order],0)),"")</f>
        <v/>
      </c>
      <c r="S91" s="5" t="str">
        <f ca="1">IF(G91=1,INDEX(cards[[name]:[control]],MATCH($C91,cards[object_id order],0),'Group code'!J91),"")</f>
        <v/>
      </c>
      <c r="T91" s="5" t="str">
        <f ca="1">IF(G91=3,INDEX(cards[[1]:[25]],MATCH($C91,cards[object_id order],0),'Group code'!I91),"")</f>
        <v>script.bright</v>
      </c>
      <c r="U91" s="5" t="str">
        <f ca="1">VLOOKUP(G91,'Group code'!$Z$9:$AC$13,4,FALSE)</f>
        <v/>
      </c>
      <c r="V91" s="5" t="str">
        <f ca="1">IF(J91="","",VLOOKUP(J91,'Group code'!$Z$15:$AC$18,4,FALSE))</f>
        <v/>
      </c>
      <c r="W91" s="23" t="str">
        <f t="shared" ca="1" si="30"/>
        <v xml:space="preserve">    - script.bright</v>
      </c>
      <c r="X91" s="5" t="str">
        <f t="shared" ca="1" si="20"/>
        <v/>
      </c>
    </row>
    <row r="92" spans="2:24" x14ac:dyDescent="0.25">
      <c r="B92" s="5">
        <f t="shared" si="17"/>
        <v>86</v>
      </c>
      <c r="C92" s="5">
        <f t="shared" ca="1" si="31"/>
        <v>12</v>
      </c>
      <c r="D92" s="5" t="str">
        <f ca="1">INDEX(cards[Attribute Index],MATCH('Group code'!C92,cards[object_id order],0))</f>
        <v>14</v>
      </c>
      <c r="E92" s="5">
        <f t="shared" ca="1" si="18"/>
        <v>2</v>
      </c>
      <c r="F92" s="14">
        <f ca="1">INDEX(cards[Entities count],MATCH('Group code'!C92,cards[object_id order],0))</f>
        <v>6</v>
      </c>
      <c r="G92" s="14">
        <f t="shared" ca="1" si="21"/>
        <v>3</v>
      </c>
      <c r="H92" s="14" t="str">
        <f t="shared" ca="1" si="22"/>
        <v/>
      </c>
      <c r="I92" s="5">
        <f t="shared" ca="1" si="23"/>
        <v>2</v>
      </c>
      <c r="J92" s="5" t="str">
        <f t="shared" ca="1" si="19"/>
        <v/>
      </c>
      <c r="K92" s="5" t="str">
        <f t="shared" ca="1" si="24"/>
        <v/>
      </c>
      <c r="L92" s="5" t="str">
        <f t="shared" ca="1" si="25"/>
        <v/>
      </c>
      <c r="M92" s="5" t="str">
        <f t="shared" ca="1" si="26"/>
        <v/>
      </c>
      <c r="N92" s="5">
        <f t="shared" ca="1" si="27"/>
        <v>0</v>
      </c>
      <c r="O92" s="5" t="str">
        <f t="shared" ca="1" si="28"/>
        <v/>
      </c>
      <c r="P92" s="5" t="str">
        <f ca="1">VLOOKUP(G92,'Group code'!$Z$9:$AC$13,3,FALSE)</f>
        <v xml:space="preserve">    - </v>
      </c>
      <c r="Q92" s="5" t="str">
        <f t="shared" ca="1" si="29"/>
        <v/>
      </c>
      <c r="R92" s="5" t="str">
        <f ca="1">IF(G92=0,INDEX(cards[object_id],MATCH($C92,cards[object_id order],0)),"")</f>
        <v/>
      </c>
      <c r="S92" s="5" t="str">
        <f ca="1">IF(G92=1,INDEX(cards[[name]:[control]],MATCH($C92,cards[object_id order],0),'Group code'!J92),"")</f>
        <v/>
      </c>
      <c r="T92" s="5" t="str">
        <f ca="1">IF(G92=3,INDEX(cards[[1]:[25]],MATCH($C92,cards[object_id order],0),'Group code'!I92),"")</f>
        <v>script.twilight</v>
      </c>
      <c r="U92" s="5" t="str">
        <f ca="1">VLOOKUP(G92,'Group code'!$Z$9:$AC$13,4,FALSE)</f>
        <v/>
      </c>
      <c r="V92" s="5" t="str">
        <f ca="1">IF(J92="","",VLOOKUP(J92,'Group code'!$Z$15:$AC$18,4,FALSE))</f>
        <v/>
      </c>
      <c r="W92" s="23" t="str">
        <f t="shared" ca="1" si="30"/>
        <v xml:space="preserve">    - script.twilight</v>
      </c>
      <c r="X92" s="5" t="str">
        <f t="shared" ca="1" si="20"/>
        <v/>
      </c>
    </row>
    <row r="93" spans="2:24" x14ac:dyDescent="0.25">
      <c r="B93" s="5">
        <f t="shared" si="17"/>
        <v>87</v>
      </c>
      <c r="C93" s="5">
        <f t="shared" ca="1" si="31"/>
        <v>12</v>
      </c>
      <c r="D93" s="5" t="str">
        <f ca="1">INDEX(cards[Attribute Index],MATCH('Group code'!C93,cards[object_id order],0))</f>
        <v>14</v>
      </c>
      <c r="E93" s="5">
        <f t="shared" ca="1" si="18"/>
        <v>2</v>
      </c>
      <c r="F93" s="14">
        <f ca="1">INDEX(cards[Entities count],MATCH('Group code'!C93,cards[object_id order],0))</f>
        <v>6</v>
      </c>
      <c r="G93" s="14">
        <f t="shared" ca="1" si="21"/>
        <v>3</v>
      </c>
      <c r="H93" s="14" t="str">
        <f t="shared" ca="1" si="22"/>
        <v/>
      </c>
      <c r="I93" s="5">
        <f t="shared" ca="1" si="23"/>
        <v>3</v>
      </c>
      <c r="J93" s="5" t="str">
        <f t="shared" ca="1" si="19"/>
        <v/>
      </c>
      <c r="K93" s="5" t="str">
        <f t="shared" ca="1" si="24"/>
        <v/>
      </c>
      <c r="L93" s="5" t="str">
        <f t="shared" ca="1" si="25"/>
        <v/>
      </c>
      <c r="M93" s="5" t="str">
        <f t="shared" ca="1" si="26"/>
        <v/>
      </c>
      <c r="N93" s="5">
        <f t="shared" ca="1" si="27"/>
        <v>0</v>
      </c>
      <c r="O93" s="5" t="str">
        <f t="shared" ca="1" si="28"/>
        <v/>
      </c>
      <c r="P93" s="5" t="str">
        <f ca="1">VLOOKUP(G93,'Group code'!$Z$9:$AC$13,3,FALSE)</f>
        <v xml:space="preserve">    - </v>
      </c>
      <c r="Q93" s="5" t="str">
        <f t="shared" ca="1" si="29"/>
        <v/>
      </c>
      <c r="R93" s="5" t="str">
        <f ca="1">IF(G93=0,INDEX(cards[object_id],MATCH($C93,cards[object_id order],0)),"")</f>
        <v/>
      </c>
      <c r="S93" s="5" t="str">
        <f ca="1">IF(G93=1,INDEX(cards[[name]:[control]],MATCH($C93,cards[object_id order],0),'Group code'!J93),"")</f>
        <v/>
      </c>
      <c r="T93" s="5" t="str">
        <f ca="1">IF(G93=3,INDEX(cards[[1]:[25]],MATCH($C93,cards[object_id order],0),'Group code'!I93),"")</f>
        <v>script.dusk</v>
      </c>
      <c r="U93" s="5" t="str">
        <f ca="1">VLOOKUP(G93,'Group code'!$Z$9:$AC$13,4,FALSE)</f>
        <v/>
      </c>
      <c r="V93" s="5" t="str">
        <f ca="1">IF(J93="","",VLOOKUP(J93,'Group code'!$Z$15:$AC$18,4,FALSE))</f>
        <v/>
      </c>
      <c r="W93" s="23" t="str">
        <f t="shared" ca="1" si="30"/>
        <v xml:space="preserve">    - script.dusk</v>
      </c>
      <c r="X93" s="5" t="str">
        <f t="shared" ca="1" si="20"/>
        <v/>
      </c>
    </row>
    <row r="94" spans="2:24" x14ac:dyDescent="0.25">
      <c r="B94" s="5">
        <f t="shared" si="17"/>
        <v>88</v>
      </c>
      <c r="C94" s="5">
        <f t="shared" ca="1" si="31"/>
        <v>12</v>
      </c>
      <c r="D94" s="5" t="str">
        <f ca="1">INDEX(cards[Attribute Index],MATCH('Group code'!C94,cards[object_id order],0))</f>
        <v>14</v>
      </c>
      <c r="E94" s="5">
        <f t="shared" ca="1" si="18"/>
        <v>2</v>
      </c>
      <c r="F94" s="14">
        <f ca="1">INDEX(cards[Entities count],MATCH('Group code'!C94,cards[object_id order],0))</f>
        <v>6</v>
      </c>
      <c r="G94" s="14">
        <f t="shared" ca="1" si="21"/>
        <v>3</v>
      </c>
      <c r="H94" s="14" t="str">
        <f t="shared" ca="1" si="22"/>
        <v/>
      </c>
      <c r="I94" s="5">
        <f t="shared" ca="1" si="23"/>
        <v>4</v>
      </c>
      <c r="J94" s="5" t="str">
        <f t="shared" ca="1" si="19"/>
        <v/>
      </c>
      <c r="K94" s="5" t="str">
        <f t="shared" ca="1" si="24"/>
        <v/>
      </c>
      <c r="L94" s="5" t="str">
        <f t="shared" ca="1" si="25"/>
        <v/>
      </c>
      <c r="M94" s="5" t="str">
        <f t="shared" ca="1" si="26"/>
        <v/>
      </c>
      <c r="N94" s="5">
        <f t="shared" ca="1" si="27"/>
        <v>0</v>
      </c>
      <c r="O94" s="5" t="str">
        <f t="shared" ca="1" si="28"/>
        <v/>
      </c>
      <c r="P94" s="5" t="str">
        <f ca="1">VLOOKUP(G94,'Group code'!$Z$9:$AC$13,3,FALSE)</f>
        <v xml:space="preserve">    - </v>
      </c>
      <c r="Q94" s="5" t="str">
        <f t="shared" ca="1" si="29"/>
        <v/>
      </c>
      <c r="R94" s="5" t="str">
        <f ca="1">IF(G94=0,INDEX(cards[object_id],MATCH($C94,cards[object_id order],0)),"")</f>
        <v/>
      </c>
      <c r="S94" s="5" t="str">
        <f ca="1">IF(G94=1,INDEX(cards[[name]:[control]],MATCH($C94,cards[object_id order],0),'Group code'!J94),"")</f>
        <v/>
      </c>
      <c r="T94" s="5" t="str">
        <f ca="1">IF(G94=3,INDEX(cards[[1]:[25]],MATCH($C94,cards[object_id order],0),'Group code'!I94),"")</f>
        <v>script.reading</v>
      </c>
      <c r="U94" s="5" t="str">
        <f ca="1">VLOOKUP(G94,'Group code'!$Z$9:$AC$13,4,FALSE)</f>
        <v/>
      </c>
      <c r="V94" s="5" t="str">
        <f ca="1">IF(J94="","",VLOOKUP(J94,'Group code'!$Z$15:$AC$18,4,FALSE))</f>
        <v/>
      </c>
      <c r="W94" s="23" t="str">
        <f t="shared" ca="1" si="30"/>
        <v xml:space="preserve">    - script.reading</v>
      </c>
      <c r="X94" s="5" t="str">
        <f t="shared" ca="1" si="20"/>
        <v/>
      </c>
    </row>
    <row r="95" spans="2:24" x14ac:dyDescent="0.25">
      <c r="B95" s="5">
        <f t="shared" si="17"/>
        <v>89</v>
      </c>
      <c r="C95" s="5">
        <f t="shared" ca="1" si="31"/>
        <v>12</v>
      </c>
      <c r="D95" s="5" t="str">
        <f ca="1">INDEX(cards[Attribute Index],MATCH('Group code'!C95,cards[object_id order],0))</f>
        <v>14</v>
      </c>
      <c r="E95" s="5">
        <f t="shared" ca="1" si="18"/>
        <v>2</v>
      </c>
      <c r="F95" s="14">
        <f ca="1">INDEX(cards[Entities count],MATCH('Group code'!C95,cards[object_id order],0))</f>
        <v>6</v>
      </c>
      <c r="G95" s="14">
        <f t="shared" ca="1" si="21"/>
        <v>3</v>
      </c>
      <c r="H95" s="14" t="str">
        <f t="shared" ca="1" si="22"/>
        <v/>
      </c>
      <c r="I95" s="5">
        <f t="shared" ca="1" si="23"/>
        <v>5</v>
      </c>
      <c r="J95" s="5" t="str">
        <f t="shared" ca="1" si="19"/>
        <v/>
      </c>
      <c r="K95" s="5" t="str">
        <f t="shared" ca="1" si="24"/>
        <v/>
      </c>
      <c r="L95" s="5" t="str">
        <f t="shared" ca="1" si="25"/>
        <v/>
      </c>
      <c r="M95" s="5" t="str">
        <f t="shared" ca="1" si="26"/>
        <v/>
      </c>
      <c r="N95" s="5">
        <f t="shared" ca="1" si="27"/>
        <v>0</v>
      </c>
      <c r="O95" s="5" t="str">
        <f t="shared" ca="1" si="28"/>
        <v/>
      </c>
      <c r="P95" s="5" t="str">
        <f ca="1">VLOOKUP(G95,'Group code'!$Z$9:$AC$13,3,FALSE)</f>
        <v xml:space="preserve">    - </v>
      </c>
      <c r="Q95" s="5" t="str">
        <f t="shared" ca="1" si="29"/>
        <v/>
      </c>
      <c r="R95" s="5" t="str">
        <f ca="1">IF(G95=0,INDEX(cards[object_id],MATCH($C95,cards[object_id order],0)),"")</f>
        <v/>
      </c>
      <c r="S95" s="5" t="str">
        <f ca="1">IF(G95=1,INDEX(cards[[name]:[control]],MATCH($C95,cards[object_id order],0),'Group code'!J95),"")</f>
        <v/>
      </c>
      <c r="T95" s="5" t="str">
        <f ca="1">IF(G95=3,INDEX(cards[[1]:[25]],MATCH($C95,cards[object_id order],0),'Group code'!I95),"")</f>
        <v>script.all_off</v>
      </c>
      <c r="U95" s="5" t="str">
        <f ca="1">VLOOKUP(G95,'Group code'!$Z$9:$AC$13,4,FALSE)</f>
        <v/>
      </c>
      <c r="V95" s="5" t="str">
        <f ca="1">IF(J95="","",VLOOKUP(J95,'Group code'!$Z$15:$AC$18,4,FALSE))</f>
        <v/>
      </c>
      <c r="W95" s="23" t="str">
        <f t="shared" ca="1" si="30"/>
        <v xml:space="preserve">    - script.all_off</v>
      </c>
      <c r="X95" s="5" t="str">
        <f t="shared" ca="1" si="20"/>
        <v/>
      </c>
    </row>
    <row r="96" spans="2:24" x14ac:dyDescent="0.25">
      <c r="B96" s="5">
        <f t="shared" si="17"/>
        <v>90</v>
      </c>
      <c r="C96" s="5">
        <f t="shared" ca="1" si="31"/>
        <v>12</v>
      </c>
      <c r="D96" s="5" t="str">
        <f ca="1">INDEX(cards[Attribute Index],MATCH('Group code'!C96,cards[object_id order],0))</f>
        <v>14</v>
      </c>
      <c r="E96" s="5">
        <f t="shared" ca="1" si="18"/>
        <v>2</v>
      </c>
      <c r="F96" s="14">
        <f ca="1">INDEX(cards[Entities count],MATCH('Group code'!C96,cards[object_id order],0))</f>
        <v>6</v>
      </c>
      <c r="G96" s="14">
        <f t="shared" ca="1" si="21"/>
        <v>3</v>
      </c>
      <c r="H96" s="14" t="str">
        <f t="shared" ca="1" si="22"/>
        <v/>
      </c>
      <c r="I96" s="5">
        <f t="shared" ca="1" si="23"/>
        <v>6</v>
      </c>
      <c r="J96" s="5" t="str">
        <f t="shared" ca="1" si="19"/>
        <v/>
      </c>
      <c r="K96" s="5" t="str">
        <f t="shared" ca="1" si="24"/>
        <v/>
      </c>
      <c r="L96" s="5" t="str">
        <f t="shared" ca="1" si="25"/>
        <v/>
      </c>
      <c r="M96" s="5" t="str">
        <f t="shared" ca="1" si="26"/>
        <v/>
      </c>
      <c r="N96" s="5">
        <f t="shared" ca="1" si="27"/>
        <v>1</v>
      </c>
      <c r="O96" s="5" t="str">
        <f t="shared" ca="1" si="28"/>
        <v/>
      </c>
      <c r="P96" s="5" t="str">
        <f ca="1">VLOOKUP(G96,'Group code'!$Z$9:$AC$13,3,FALSE)</f>
        <v xml:space="preserve">    - </v>
      </c>
      <c r="Q96" s="5" t="str">
        <f t="shared" ca="1" si="29"/>
        <v/>
      </c>
      <c r="R96" s="5" t="str">
        <f ca="1">IF(G96=0,INDEX(cards[object_id],MATCH($C96,cards[object_id order],0)),"")</f>
        <v/>
      </c>
      <c r="S96" s="5" t="str">
        <f ca="1">IF(G96=1,INDEX(cards[[name]:[control]],MATCH($C96,cards[object_id order],0),'Group code'!J96),"")</f>
        <v/>
      </c>
      <c r="T96" s="5" t="str">
        <f ca="1">IF(G96=3,INDEX(cards[[1]:[25]],MATCH($C96,cards[object_id order],0),'Group code'!I96),"")</f>
        <v>script.good_night</v>
      </c>
      <c r="U96" s="5" t="str">
        <f ca="1">VLOOKUP(G96,'Group code'!$Z$9:$AC$13,4,FALSE)</f>
        <v/>
      </c>
      <c r="V96" s="5" t="str">
        <f ca="1">IF(J96="","",VLOOKUP(J96,'Group code'!$Z$15:$AC$18,4,FALSE))</f>
        <v/>
      </c>
      <c r="W96" s="23" t="str">
        <f t="shared" ca="1" si="30"/>
        <v xml:space="preserve">    - script.good_night</v>
      </c>
      <c r="X96" s="5" t="str">
        <f t="shared" ca="1" si="20"/>
        <v/>
      </c>
    </row>
    <row r="97" spans="2:24" x14ac:dyDescent="0.25">
      <c r="B97" s="5">
        <f t="shared" si="17"/>
        <v>91</v>
      </c>
      <c r="C97" s="5">
        <f t="shared" ca="1" si="31"/>
        <v>12</v>
      </c>
      <c r="D97" s="5" t="str">
        <f ca="1">INDEX(cards[Attribute Index],MATCH('Group code'!C97,cards[object_id order],0))</f>
        <v>14</v>
      </c>
      <c r="E97" s="5">
        <f t="shared" ca="1" si="18"/>
        <v>2</v>
      </c>
      <c r="F97" s="14">
        <f ca="1">INDEX(cards[Entities count],MATCH('Group code'!C97,cards[object_id order],0))</f>
        <v>6</v>
      </c>
      <c r="G97" s="14">
        <f t="shared" ca="1" si="21"/>
        <v>4</v>
      </c>
      <c r="H97" s="14" t="str">
        <f t="shared" ca="1" si="22"/>
        <v/>
      </c>
      <c r="I97" s="5" t="str">
        <f t="shared" ca="1" si="23"/>
        <v/>
      </c>
      <c r="J97" s="5" t="str">
        <f t="shared" ca="1" si="19"/>
        <v/>
      </c>
      <c r="K97" s="5" t="str">
        <f t="shared" ca="1" si="24"/>
        <v/>
      </c>
      <c r="L97" s="5" t="str">
        <f t="shared" ca="1" si="25"/>
        <v/>
      </c>
      <c r="M97" s="5" t="str">
        <f t="shared" ca="1" si="26"/>
        <v/>
      </c>
      <c r="N97" s="5" t="str">
        <f t="shared" ca="1" si="27"/>
        <v/>
      </c>
      <c r="O97" s="5">
        <f t="shared" ca="1" si="28"/>
        <v>-4</v>
      </c>
      <c r="P97" s="5" t="str">
        <f ca="1">VLOOKUP(G97,'Group code'!$Z$9:$AC$13,3,FALSE)</f>
        <v/>
      </c>
      <c r="Q97" s="5" t="str">
        <f t="shared" ca="1" si="29"/>
        <v/>
      </c>
      <c r="R97" s="5" t="str">
        <f ca="1">IF(G97=0,INDEX(cards[object_id],MATCH($C97,cards[object_id order],0)),"")</f>
        <v/>
      </c>
      <c r="S97" s="5" t="str">
        <f ca="1">IF(G97=1,INDEX(cards[[name]:[control]],MATCH($C97,cards[object_id order],0),'Group code'!J97),"")</f>
        <v/>
      </c>
      <c r="T97" s="5" t="str">
        <f ca="1">IF(G97=3,INDEX(cards[[1]:[25]],MATCH($C97,cards[object_id order],0),'Group code'!I97),"")</f>
        <v/>
      </c>
      <c r="U97" s="5" t="str">
        <f ca="1">VLOOKUP(G97,'Group code'!$Z$9:$AC$13,4,FALSE)</f>
        <v/>
      </c>
      <c r="V97" s="5" t="str">
        <f ca="1">IF(J97="","",VLOOKUP(J97,'Group code'!$Z$15:$AC$18,4,FALSE))</f>
        <v/>
      </c>
      <c r="W97" s="23" t="str">
        <f t="shared" ca="1" si="30"/>
        <v/>
      </c>
      <c r="X97" s="5" t="str">
        <f t="shared" ca="1" si="20"/>
        <v/>
      </c>
    </row>
    <row r="98" spans="2:24" x14ac:dyDescent="0.25">
      <c r="B98" s="5">
        <f t="shared" si="17"/>
        <v>92</v>
      </c>
      <c r="C98" s="5">
        <f t="shared" ca="1" si="31"/>
        <v>13</v>
      </c>
      <c r="D98" s="5" t="str">
        <f ca="1">INDEX(cards[Attribute Index],MATCH('Group code'!C98,cards[object_id order],0))</f>
        <v>1</v>
      </c>
      <c r="E98" s="5">
        <f t="shared" ca="1" si="18"/>
        <v>1</v>
      </c>
      <c r="F98" s="14">
        <f ca="1">INDEX(cards[Entities count],MATCH('Group code'!C98,cards[object_id order],0))</f>
        <v>3</v>
      </c>
      <c r="G98" s="14">
        <f t="shared" ca="1" si="21"/>
        <v>0</v>
      </c>
      <c r="H98" s="14" t="str">
        <f t="shared" ca="1" si="22"/>
        <v/>
      </c>
      <c r="I98" s="5" t="str">
        <f t="shared" ca="1" si="23"/>
        <v/>
      </c>
      <c r="J98" s="5" t="str">
        <f t="shared" ca="1" si="19"/>
        <v/>
      </c>
      <c r="K98" s="5">
        <f t="shared" ca="1" si="24"/>
        <v>1</v>
      </c>
      <c r="L98" s="5" t="str">
        <f t="shared" ca="1" si="25"/>
        <v/>
      </c>
      <c r="M98" s="5" t="str">
        <f t="shared" ca="1" si="26"/>
        <v/>
      </c>
      <c r="N98" s="5" t="str">
        <f t="shared" ca="1" si="27"/>
        <v/>
      </c>
      <c r="O98" s="5" t="str">
        <f t="shared" ca="1" si="28"/>
        <v/>
      </c>
      <c r="P98" s="5" t="str">
        <f ca="1">VLOOKUP(G98,'Group code'!$Z$9:$AC$13,3,FALSE)</f>
        <v/>
      </c>
      <c r="Q98" s="5" t="str">
        <f t="shared" ca="1" si="29"/>
        <v/>
      </c>
      <c r="R98" s="5" t="str">
        <f ca="1">IF(G98=0,INDEX(cards[object_id],MATCH($C98,cards[object_id order],0)),"")</f>
        <v>bedroom_devices</v>
      </c>
      <c r="S98" s="5" t="str">
        <f ca="1">IF(G98=1,INDEX(cards[[name]:[control]],MATCH($C98,cards[object_id order],0),'Group code'!J98),"")</f>
        <v/>
      </c>
      <c r="T98" s="5" t="str">
        <f ca="1">IF(G98=3,INDEX(cards[[1]:[25]],MATCH($C98,cards[object_id order],0),'Group code'!I98),"")</f>
        <v/>
      </c>
      <c r="U98" s="5" t="str">
        <f ca="1">VLOOKUP(G98,'Group code'!$Z$9:$AC$13,4,FALSE)</f>
        <v>:</v>
      </c>
      <c r="V98" s="5" t="str">
        <f ca="1">IF(J98="","",VLOOKUP(J98,'Group code'!$Z$15:$AC$18,4,FALSE))</f>
        <v/>
      </c>
      <c r="W98" s="23" t="str">
        <f t="shared" ca="1" si="30"/>
        <v>bedroom_devices:</v>
      </c>
      <c r="X98" s="5" t="str">
        <f t="shared" ca="1" si="20"/>
        <v/>
      </c>
    </row>
    <row r="99" spans="2:24" x14ac:dyDescent="0.25">
      <c r="B99" s="5">
        <f t="shared" si="17"/>
        <v>93</v>
      </c>
      <c r="C99" s="5">
        <f t="shared" ca="1" si="31"/>
        <v>13</v>
      </c>
      <c r="D99" s="5" t="str">
        <f ca="1">INDEX(cards[Attribute Index],MATCH('Group code'!C99,cards[object_id order],0))</f>
        <v>1</v>
      </c>
      <c r="E99" s="5">
        <f t="shared" ca="1" si="18"/>
        <v>1</v>
      </c>
      <c r="F99" s="14">
        <f ca="1">INDEX(cards[Entities count],MATCH('Group code'!C99,cards[object_id order],0))</f>
        <v>3</v>
      </c>
      <c r="G99" s="14">
        <f t="shared" ca="1" si="21"/>
        <v>1</v>
      </c>
      <c r="H99" s="14">
        <f t="shared" ca="1" si="22"/>
        <v>1</v>
      </c>
      <c r="I99" s="5" t="str">
        <f t="shared" ca="1" si="23"/>
        <v/>
      </c>
      <c r="J99" s="5">
        <f t="shared" ca="1" si="19"/>
        <v>1</v>
      </c>
      <c r="K99" s="5" t="str">
        <f t="shared" ca="1" si="24"/>
        <v/>
      </c>
      <c r="L99" s="5">
        <f t="shared" ca="1" si="25"/>
        <v>1</v>
      </c>
      <c r="M99" s="5" t="str">
        <f t="shared" ca="1" si="26"/>
        <v/>
      </c>
      <c r="N99" s="5" t="str">
        <f t="shared" ca="1" si="27"/>
        <v/>
      </c>
      <c r="O99" s="5" t="str">
        <f t="shared" ca="1" si="28"/>
        <v/>
      </c>
      <c r="P99" s="5" t="str">
        <f ca="1">VLOOKUP(G99,'Group code'!$Z$9:$AC$13,3,FALSE)</f>
        <v/>
      </c>
      <c r="Q99" s="5" t="str">
        <f t="shared" ca="1" si="29"/>
        <v xml:space="preserve">  name: "</v>
      </c>
      <c r="R99" s="5" t="str">
        <f ca="1">IF(G99=0,INDEX(cards[object_id],MATCH($C99,cards[object_id order],0)),"")</f>
        <v/>
      </c>
      <c r="S99" s="5" t="str">
        <f ca="1">IF(G99=1,INDEX(cards[[name]:[control]],MATCH($C99,cards[object_id order],0),'Group code'!J99),"")</f>
        <v>Bedroom || Devices</v>
      </c>
      <c r="T99" s="5" t="str">
        <f ca="1">IF(G99=3,INDEX(cards[[1]:[25]],MATCH($C99,cards[object_id order],0),'Group code'!I99),"")</f>
        <v/>
      </c>
      <c r="U99" s="5" t="str">
        <f ca="1">VLOOKUP(G99,'Group code'!$Z$9:$AC$13,4,FALSE)</f>
        <v/>
      </c>
      <c r="V99" s="5" t="str">
        <f ca="1">IF(J99="","",VLOOKUP(J99,'Group code'!$Z$15:$AC$18,4,FALSE))</f>
        <v>"</v>
      </c>
      <c r="W99" s="23" t="str">
        <f t="shared" ca="1" si="30"/>
        <v xml:space="preserve">  name: "Bedroom || Devices"</v>
      </c>
      <c r="X99" s="5" t="str">
        <f t="shared" ca="1" si="20"/>
        <v/>
      </c>
    </row>
    <row r="100" spans="2:24" x14ac:dyDescent="0.25">
      <c r="B100" s="5">
        <f t="shared" si="17"/>
        <v>94</v>
      </c>
      <c r="C100" s="5">
        <f t="shared" ca="1" si="31"/>
        <v>13</v>
      </c>
      <c r="D100" s="5" t="str">
        <f ca="1">INDEX(cards[Attribute Index],MATCH('Group code'!C100,cards[object_id order],0))</f>
        <v>1</v>
      </c>
      <c r="E100" s="5">
        <f t="shared" ca="1" si="18"/>
        <v>1</v>
      </c>
      <c r="F100" s="14">
        <f ca="1">INDEX(cards[Entities count],MATCH('Group code'!C100,cards[object_id order],0))</f>
        <v>3</v>
      </c>
      <c r="G100" s="14">
        <f t="shared" ca="1" si="21"/>
        <v>2</v>
      </c>
      <c r="H100" s="14" t="str">
        <f t="shared" ca="1" si="22"/>
        <v/>
      </c>
      <c r="I100" s="5" t="str">
        <f t="shared" ca="1" si="23"/>
        <v/>
      </c>
      <c r="J100" s="5" t="str">
        <f t="shared" ca="1" si="19"/>
        <v/>
      </c>
      <c r="K100" s="5" t="str">
        <f t="shared" ca="1" si="24"/>
        <v/>
      </c>
      <c r="L100" s="5" t="str">
        <f t="shared" ca="1" si="25"/>
        <v/>
      </c>
      <c r="M100" s="5">
        <f t="shared" ca="1" si="26"/>
        <v>1</v>
      </c>
      <c r="N100" s="5" t="str">
        <f t="shared" ca="1" si="27"/>
        <v/>
      </c>
      <c r="O100" s="5" t="str">
        <f t="shared" ca="1" si="28"/>
        <v/>
      </c>
      <c r="P100" s="5" t="str">
        <f ca="1">VLOOKUP(G100,'Group code'!$Z$9:$AC$13,3,FALSE)</f>
        <v xml:space="preserve">  entities:</v>
      </c>
      <c r="Q100" s="5" t="str">
        <f t="shared" ca="1" si="29"/>
        <v/>
      </c>
      <c r="R100" s="5" t="str">
        <f ca="1">IF(G100=0,INDEX(cards[object_id],MATCH($C100,cards[object_id order],0)),"")</f>
        <v/>
      </c>
      <c r="S100" s="5" t="str">
        <f ca="1">IF(G100=1,INDEX(cards[[name]:[control]],MATCH($C100,cards[object_id order],0),'Group code'!J100),"")</f>
        <v/>
      </c>
      <c r="T100" s="5" t="str">
        <f ca="1">IF(G100=3,INDEX(cards[[1]:[25]],MATCH($C100,cards[object_id order],0),'Group code'!I100),"")</f>
        <v/>
      </c>
      <c r="U100" s="5" t="str">
        <f ca="1">VLOOKUP(G100,'Group code'!$Z$9:$AC$13,4,FALSE)</f>
        <v/>
      </c>
      <c r="V100" s="5" t="str">
        <f ca="1">IF(J100="","",VLOOKUP(J100,'Group code'!$Z$15:$AC$18,4,FALSE))</f>
        <v/>
      </c>
      <c r="W100" s="23" t="str">
        <f t="shared" ca="1" si="30"/>
        <v xml:space="preserve">  entities:</v>
      </c>
      <c r="X100" s="5" t="str">
        <f t="shared" ca="1" si="20"/>
        <v/>
      </c>
    </row>
    <row r="101" spans="2:24" x14ac:dyDescent="0.25">
      <c r="B101" s="5">
        <f t="shared" si="17"/>
        <v>95</v>
      </c>
      <c r="C101" s="5">
        <f t="shared" ca="1" si="31"/>
        <v>13</v>
      </c>
      <c r="D101" s="5" t="str">
        <f ca="1">INDEX(cards[Attribute Index],MATCH('Group code'!C101,cards[object_id order],0))</f>
        <v>1</v>
      </c>
      <c r="E101" s="5">
        <f t="shared" ca="1" si="18"/>
        <v>1</v>
      </c>
      <c r="F101" s="14">
        <f ca="1">INDEX(cards[Entities count],MATCH('Group code'!C101,cards[object_id order],0))</f>
        <v>3</v>
      </c>
      <c r="G101" s="14">
        <f t="shared" ca="1" si="21"/>
        <v>3</v>
      </c>
      <c r="H101" s="14" t="str">
        <f t="shared" ca="1" si="22"/>
        <v/>
      </c>
      <c r="I101" s="5">
        <f t="shared" ca="1" si="23"/>
        <v>1</v>
      </c>
      <c r="J101" s="5" t="str">
        <f t="shared" ca="1" si="19"/>
        <v/>
      </c>
      <c r="K101" s="5" t="str">
        <f t="shared" ca="1" si="24"/>
        <v/>
      </c>
      <c r="L101" s="5" t="str">
        <f t="shared" ca="1" si="25"/>
        <v/>
      </c>
      <c r="M101" s="5" t="str">
        <f t="shared" ca="1" si="26"/>
        <v/>
      </c>
      <c r="N101" s="5">
        <f t="shared" ca="1" si="27"/>
        <v>0</v>
      </c>
      <c r="O101" s="5" t="str">
        <f t="shared" ca="1" si="28"/>
        <v/>
      </c>
      <c r="P101" s="5" t="str">
        <f ca="1">VLOOKUP(G101,'Group code'!$Z$9:$AC$13,3,FALSE)</f>
        <v xml:space="preserve">    - </v>
      </c>
      <c r="Q101" s="5" t="str">
        <f t="shared" ca="1" si="29"/>
        <v/>
      </c>
      <c r="R101" s="5" t="str">
        <f ca="1">IF(G101=0,INDEX(cards[object_id],MATCH($C101,cards[object_id order],0)),"")</f>
        <v/>
      </c>
      <c r="S101" s="5" t="str">
        <f ca="1">IF(G101=1,INDEX(cards[[name]:[control]],MATCH($C101,cards[object_id order],0),'Group code'!J101),"")</f>
        <v/>
      </c>
      <c r="T101" s="5" t="str">
        <f ca="1">IF(G101=3,INDEX(cards[[1]:[25]],MATCH($C101,cards[object_id order],0),'Group code'!I101),"")</f>
        <v>group.bedroom_lights</v>
      </c>
      <c r="U101" s="5" t="str">
        <f ca="1">VLOOKUP(G101,'Group code'!$Z$9:$AC$13,4,FALSE)</f>
        <v/>
      </c>
      <c r="V101" s="5" t="str">
        <f ca="1">IF(J101="","",VLOOKUP(J101,'Group code'!$Z$15:$AC$18,4,FALSE))</f>
        <v/>
      </c>
      <c r="W101" s="23" t="str">
        <f t="shared" ca="1" si="30"/>
        <v xml:space="preserve">    - group.bedroom_lights</v>
      </c>
      <c r="X101" s="5" t="str">
        <f t="shared" ca="1" si="20"/>
        <v/>
      </c>
    </row>
    <row r="102" spans="2:24" x14ac:dyDescent="0.25">
      <c r="B102" s="5">
        <f t="shared" si="17"/>
        <v>96</v>
      </c>
      <c r="C102" s="5">
        <f t="shared" ca="1" si="31"/>
        <v>13</v>
      </c>
      <c r="D102" s="5" t="str">
        <f ca="1">INDEX(cards[Attribute Index],MATCH('Group code'!C102,cards[object_id order],0))</f>
        <v>1</v>
      </c>
      <c r="E102" s="5">
        <f t="shared" ca="1" si="18"/>
        <v>1</v>
      </c>
      <c r="F102" s="14">
        <f ca="1">INDEX(cards[Entities count],MATCH('Group code'!C102,cards[object_id order],0))</f>
        <v>3</v>
      </c>
      <c r="G102" s="14">
        <f t="shared" ca="1" si="21"/>
        <v>3</v>
      </c>
      <c r="H102" s="14" t="str">
        <f t="shared" ca="1" si="22"/>
        <v/>
      </c>
      <c r="I102" s="5">
        <f t="shared" ca="1" si="23"/>
        <v>2</v>
      </c>
      <c r="J102" s="5" t="str">
        <f t="shared" ca="1" si="19"/>
        <v/>
      </c>
      <c r="K102" s="5" t="str">
        <f t="shared" ca="1" si="24"/>
        <v/>
      </c>
      <c r="L102" s="5" t="str">
        <f t="shared" ca="1" si="25"/>
        <v/>
      </c>
      <c r="M102" s="5" t="str">
        <f t="shared" ca="1" si="26"/>
        <v/>
      </c>
      <c r="N102" s="5">
        <f t="shared" ca="1" si="27"/>
        <v>0</v>
      </c>
      <c r="O102" s="5" t="str">
        <f t="shared" ca="1" si="28"/>
        <v/>
      </c>
      <c r="P102" s="5" t="str">
        <f ca="1">VLOOKUP(G102,'Group code'!$Z$9:$AC$13,3,FALSE)</f>
        <v xml:space="preserve">    - </v>
      </c>
      <c r="Q102" s="5" t="str">
        <f t="shared" ca="1" si="29"/>
        <v/>
      </c>
      <c r="R102" s="5" t="str">
        <f ca="1">IF(G102=0,INDEX(cards[object_id],MATCH($C102,cards[object_id order],0)),"")</f>
        <v/>
      </c>
      <c r="S102" s="5" t="str">
        <f ca="1">IF(G102=1,INDEX(cards[[name]:[control]],MATCH($C102,cards[object_id order],0),'Group code'!J102),"")</f>
        <v/>
      </c>
      <c r="T102" s="5" t="str">
        <f ca="1">IF(G102=3,INDEX(cards[[1]:[25]],MATCH($C102,cards[object_id order],0),'Group code'!I102),"")</f>
        <v>switch.bedroom_nightstand</v>
      </c>
      <c r="U102" s="5" t="str">
        <f ca="1">VLOOKUP(G102,'Group code'!$Z$9:$AC$13,4,FALSE)</f>
        <v/>
      </c>
      <c r="V102" s="5" t="str">
        <f ca="1">IF(J102="","",VLOOKUP(J102,'Group code'!$Z$15:$AC$18,4,FALSE))</f>
        <v/>
      </c>
      <c r="W102" s="23" t="str">
        <f t="shared" ca="1" si="30"/>
        <v xml:space="preserve">    - switch.bedroom_nightstand</v>
      </c>
      <c r="X102" s="5" t="str">
        <f t="shared" ca="1" si="20"/>
        <v/>
      </c>
    </row>
    <row r="103" spans="2:24" x14ac:dyDescent="0.25">
      <c r="B103" s="5">
        <f t="shared" si="17"/>
        <v>97</v>
      </c>
      <c r="C103" s="5">
        <f t="shared" ca="1" si="31"/>
        <v>13</v>
      </c>
      <c r="D103" s="5" t="str">
        <f ca="1">INDEX(cards[Attribute Index],MATCH('Group code'!C103,cards[object_id order],0))</f>
        <v>1</v>
      </c>
      <c r="E103" s="5">
        <f t="shared" ca="1" si="18"/>
        <v>1</v>
      </c>
      <c r="F103" s="14">
        <f ca="1">INDEX(cards[Entities count],MATCH('Group code'!C103,cards[object_id order],0))</f>
        <v>3</v>
      </c>
      <c r="G103" s="14">
        <f t="shared" ca="1" si="21"/>
        <v>3</v>
      </c>
      <c r="H103" s="14" t="str">
        <f t="shared" ca="1" si="22"/>
        <v/>
      </c>
      <c r="I103" s="5">
        <f t="shared" ca="1" si="23"/>
        <v>3</v>
      </c>
      <c r="J103" s="5" t="str">
        <f t="shared" ca="1" si="19"/>
        <v/>
      </c>
      <c r="K103" s="5" t="str">
        <f t="shared" ca="1" si="24"/>
        <v/>
      </c>
      <c r="L103" s="5" t="str">
        <f t="shared" ca="1" si="25"/>
        <v/>
      </c>
      <c r="M103" s="5" t="str">
        <f t="shared" ca="1" si="26"/>
        <v/>
      </c>
      <c r="N103" s="5">
        <f t="shared" ca="1" si="27"/>
        <v>1</v>
      </c>
      <c r="O103" s="5" t="str">
        <f t="shared" ca="1" si="28"/>
        <v/>
      </c>
      <c r="P103" s="5" t="str">
        <f ca="1">VLOOKUP(G103,'Group code'!$Z$9:$AC$13,3,FALSE)</f>
        <v xml:space="preserve">    - </v>
      </c>
      <c r="Q103" s="5" t="str">
        <f t="shared" ca="1" si="29"/>
        <v/>
      </c>
      <c r="R103" s="5" t="str">
        <f ca="1">IF(G103=0,INDEX(cards[object_id],MATCH($C103,cards[object_id order],0)),"")</f>
        <v/>
      </c>
      <c r="S103" s="5" t="str">
        <f ca="1">IF(G103=1,INDEX(cards[[name]:[control]],MATCH($C103,cards[object_id order],0),'Group code'!J103),"")</f>
        <v/>
      </c>
      <c r="T103" s="5" t="str">
        <f ca="1">IF(G103=3,INDEX(cards[[1]:[25]],MATCH($C103,cards[object_id order],0),'Group code'!I103),"")</f>
        <v>switch.bedroom_fan</v>
      </c>
      <c r="U103" s="5" t="str">
        <f ca="1">VLOOKUP(G103,'Group code'!$Z$9:$AC$13,4,FALSE)</f>
        <v/>
      </c>
      <c r="V103" s="5" t="str">
        <f ca="1">IF(J103="","",VLOOKUP(J103,'Group code'!$Z$15:$AC$18,4,FALSE))</f>
        <v/>
      </c>
      <c r="W103" s="23" t="str">
        <f t="shared" ca="1" si="30"/>
        <v xml:space="preserve">    - switch.bedroom_fan</v>
      </c>
      <c r="X103" s="5" t="str">
        <f t="shared" ca="1" si="20"/>
        <v/>
      </c>
    </row>
    <row r="104" spans="2:24" x14ac:dyDescent="0.25">
      <c r="B104" s="5">
        <f t="shared" si="17"/>
        <v>98</v>
      </c>
      <c r="C104" s="5">
        <f t="shared" ca="1" si="31"/>
        <v>13</v>
      </c>
      <c r="D104" s="5" t="str">
        <f ca="1">INDEX(cards[Attribute Index],MATCH('Group code'!C104,cards[object_id order],0))</f>
        <v>1</v>
      </c>
      <c r="E104" s="5">
        <f t="shared" ca="1" si="18"/>
        <v>1</v>
      </c>
      <c r="F104" s="14">
        <f ca="1">INDEX(cards[Entities count],MATCH('Group code'!C104,cards[object_id order],0))</f>
        <v>3</v>
      </c>
      <c r="G104" s="14">
        <f t="shared" ca="1" si="21"/>
        <v>4</v>
      </c>
      <c r="H104" s="14" t="str">
        <f t="shared" ca="1" si="22"/>
        <v/>
      </c>
      <c r="I104" s="5" t="str">
        <f t="shared" ca="1" si="23"/>
        <v/>
      </c>
      <c r="J104" s="5" t="str">
        <f t="shared" ca="1" si="19"/>
        <v/>
      </c>
      <c r="K104" s="5" t="str">
        <f t="shared" ca="1" si="24"/>
        <v/>
      </c>
      <c r="L104" s="5" t="str">
        <f t="shared" ca="1" si="25"/>
        <v/>
      </c>
      <c r="M104" s="5" t="str">
        <f t="shared" ca="1" si="26"/>
        <v/>
      </c>
      <c r="N104" s="5" t="str">
        <f t="shared" ca="1" si="27"/>
        <v/>
      </c>
      <c r="O104" s="5">
        <f t="shared" ca="1" si="28"/>
        <v>-4</v>
      </c>
      <c r="P104" s="5" t="str">
        <f ca="1">VLOOKUP(G104,'Group code'!$Z$9:$AC$13,3,FALSE)</f>
        <v/>
      </c>
      <c r="Q104" s="5" t="str">
        <f t="shared" ca="1" si="29"/>
        <v/>
      </c>
      <c r="R104" s="5" t="str">
        <f ca="1">IF(G104=0,INDEX(cards[object_id],MATCH($C104,cards[object_id order],0)),"")</f>
        <v/>
      </c>
      <c r="S104" s="5" t="str">
        <f ca="1">IF(G104=1,INDEX(cards[[name]:[control]],MATCH($C104,cards[object_id order],0),'Group code'!J104),"")</f>
        <v/>
      </c>
      <c r="T104" s="5" t="str">
        <f ca="1">IF(G104=3,INDEX(cards[[1]:[25]],MATCH($C104,cards[object_id order],0),'Group code'!I104),"")</f>
        <v/>
      </c>
      <c r="U104" s="5" t="str">
        <f ca="1">VLOOKUP(G104,'Group code'!$Z$9:$AC$13,4,FALSE)</f>
        <v/>
      </c>
      <c r="V104" s="5" t="str">
        <f ca="1">IF(J104="","",VLOOKUP(J104,'Group code'!$Z$15:$AC$18,4,FALSE))</f>
        <v/>
      </c>
      <c r="W104" s="23" t="str">
        <f t="shared" ca="1" si="30"/>
        <v/>
      </c>
      <c r="X104" s="5" t="str">
        <f t="shared" ca="1" si="20"/>
        <v/>
      </c>
    </row>
    <row r="105" spans="2:24" x14ac:dyDescent="0.25">
      <c r="B105" s="5">
        <f t="shared" si="17"/>
        <v>99</v>
      </c>
      <c r="C105" s="5">
        <f t="shared" ca="1" si="31"/>
        <v>14</v>
      </c>
      <c r="D105" s="5" t="str">
        <f ca="1">INDEX(cards[Attribute Index],MATCH('Group code'!C105,cards[object_id order],0))</f>
        <v>1</v>
      </c>
      <c r="E105" s="5">
        <f t="shared" ca="1" si="18"/>
        <v>1</v>
      </c>
      <c r="F105" s="14">
        <f ca="1">INDEX(cards[Entities count],MATCH('Group code'!C105,cards[object_id order],0))</f>
        <v>2</v>
      </c>
      <c r="G105" s="14">
        <f t="shared" ca="1" si="21"/>
        <v>0</v>
      </c>
      <c r="H105" s="14" t="str">
        <f t="shared" ca="1" si="22"/>
        <v/>
      </c>
      <c r="I105" s="5" t="str">
        <f t="shared" ca="1" si="23"/>
        <v/>
      </c>
      <c r="J105" s="5" t="str">
        <f t="shared" ca="1" si="19"/>
        <v/>
      </c>
      <c r="K105" s="5">
        <f t="shared" ca="1" si="24"/>
        <v>1</v>
      </c>
      <c r="L105" s="5" t="str">
        <f t="shared" ca="1" si="25"/>
        <v/>
      </c>
      <c r="M105" s="5" t="str">
        <f t="shared" ca="1" si="26"/>
        <v/>
      </c>
      <c r="N105" s="5" t="str">
        <f t="shared" ca="1" si="27"/>
        <v/>
      </c>
      <c r="O105" s="5" t="str">
        <f t="shared" ca="1" si="28"/>
        <v/>
      </c>
      <c r="P105" s="5" t="str">
        <f ca="1">VLOOKUP(G105,'Group code'!$Z$9:$AC$13,3,FALSE)</f>
        <v/>
      </c>
      <c r="Q105" s="5" t="str">
        <f t="shared" ca="1" si="29"/>
        <v/>
      </c>
      <c r="R105" s="5" t="str">
        <f ca="1">IF(G105=0,INDEX(cards[object_id],MATCH($C105,cards[object_id order],0)),"")</f>
        <v>bedroom_lights</v>
      </c>
      <c r="S105" s="5" t="str">
        <f ca="1">IF(G105=1,INDEX(cards[[name]:[control]],MATCH($C105,cards[object_id order],0),'Group code'!J105),"")</f>
        <v/>
      </c>
      <c r="T105" s="5" t="str">
        <f ca="1">IF(G105=3,INDEX(cards[[1]:[25]],MATCH($C105,cards[object_id order],0),'Group code'!I105),"")</f>
        <v/>
      </c>
      <c r="U105" s="5" t="str">
        <f ca="1">VLOOKUP(G105,'Group code'!$Z$9:$AC$13,4,FALSE)</f>
        <v>:</v>
      </c>
      <c r="V105" s="5" t="str">
        <f ca="1">IF(J105="","",VLOOKUP(J105,'Group code'!$Z$15:$AC$18,4,FALSE))</f>
        <v/>
      </c>
      <c r="W105" s="23" t="str">
        <f t="shared" ca="1" si="30"/>
        <v>bedroom_lights:</v>
      </c>
      <c r="X105" s="5" t="str">
        <f t="shared" ca="1" si="20"/>
        <v/>
      </c>
    </row>
    <row r="106" spans="2:24" x14ac:dyDescent="0.25">
      <c r="B106" s="5">
        <f t="shared" si="17"/>
        <v>100</v>
      </c>
      <c r="C106" s="5">
        <f t="shared" ca="1" si="31"/>
        <v>14</v>
      </c>
      <c r="D106" s="5" t="str">
        <f ca="1">INDEX(cards[Attribute Index],MATCH('Group code'!C106,cards[object_id order],0))</f>
        <v>1</v>
      </c>
      <c r="E106" s="5">
        <f t="shared" ca="1" si="18"/>
        <v>1</v>
      </c>
      <c r="F106" s="14">
        <f ca="1">INDEX(cards[Entities count],MATCH('Group code'!C106,cards[object_id order],0))</f>
        <v>2</v>
      </c>
      <c r="G106" s="14">
        <f t="shared" ca="1" si="21"/>
        <v>1</v>
      </c>
      <c r="H106" s="14">
        <f t="shared" ca="1" si="22"/>
        <v>1</v>
      </c>
      <c r="I106" s="5" t="str">
        <f t="shared" ca="1" si="23"/>
        <v/>
      </c>
      <c r="J106" s="5">
        <f t="shared" ca="1" si="19"/>
        <v>1</v>
      </c>
      <c r="K106" s="5" t="str">
        <f t="shared" ca="1" si="24"/>
        <v/>
      </c>
      <c r="L106" s="5">
        <f t="shared" ca="1" si="25"/>
        <v>1</v>
      </c>
      <c r="M106" s="5" t="str">
        <f t="shared" ca="1" si="26"/>
        <v/>
      </c>
      <c r="N106" s="5" t="str">
        <f t="shared" ca="1" si="27"/>
        <v/>
      </c>
      <c r="O106" s="5" t="str">
        <f t="shared" ca="1" si="28"/>
        <v/>
      </c>
      <c r="P106" s="5" t="str">
        <f ca="1">VLOOKUP(G106,'Group code'!$Z$9:$AC$13,3,FALSE)</f>
        <v/>
      </c>
      <c r="Q106" s="5" t="str">
        <f t="shared" ca="1" si="29"/>
        <v xml:space="preserve">  name: "</v>
      </c>
      <c r="R106" s="5" t="str">
        <f ca="1">IF(G106=0,INDEX(cards[object_id],MATCH($C106,cards[object_id order],0)),"")</f>
        <v/>
      </c>
      <c r="S106" s="5" t="str">
        <f ca="1">IF(G106=1,INDEX(cards[[name]:[control]],MATCH($C106,cards[object_id order],0),'Group code'!J106),"")</f>
        <v>Bedroom Lights</v>
      </c>
      <c r="T106" s="5" t="str">
        <f ca="1">IF(G106=3,INDEX(cards[[1]:[25]],MATCH($C106,cards[object_id order],0),'Group code'!I106),"")</f>
        <v/>
      </c>
      <c r="U106" s="5" t="str">
        <f ca="1">VLOOKUP(G106,'Group code'!$Z$9:$AC$13,4,FALSE)</f>
        <v/>
      </c>
      <c r="V106" s="5" t="str">
        <f ca="1">IF(J106="","",VLOOKUP(J106,'Group code'!$Z$15:$AC$18,4,FALSE))</f>
        <v>"</v>
      </c>
      <c r="W106" s="23" t="str">
        <f t="shared" ca="1" si="30"/>
        <v xml:space="preserve">  name: "Bedroom Lights"</v>
      </c>
      <c r="X106" s="5" t="str">
        <f t="shared" ca="1" si="20"/>
        <v/>
      </c>
    </row>
    <row r="107" spans="2:24" x14ac:dyDescent="0.25">
      <c r="B107" s="5">
        <f t="shared" si="17"/>
        <v>101</v>
      </c>
      <c r="C107" s="5">
        <f t="shared" ca="1" si="31"/>
        <v>14</v>
      </c>
      <c r="D107" s="5" t="str">
        <f ca="1">INDEX(cards[Attribute Index],MATCH('Group code'!C107,cards[object_id order],0))</f>
        <v>1</v>
      </c>
      <c r="E107" s="5">
        <f t="shared" ca="1" si="18"/>
        <v>1</v>
      </c>
      <c r="F107" s="14">
        <f ca="1">INDEX(cards[Entities count],MATCH('Group code'!C107,cards[object_id order],0))</f>
        <v>2</v>
      </c>
      <c r="G107" s="14">
        <f t="shared" ca="1" si="21"/>
        <v>2</v>
      </c>
      <c r="H107" s="14" t="str">
        <f t="shared" ca="1" si="22"/>
        <v/>
      </c>
      <c r="I107" s="5" t="str">
        <f t="shared" ca="1" si="23"/>
        <v/>
      </c>
      <c r="J107" s="5" t="str">
        <f t="shared" ca="1" si="19"/>
        <v/>
      </c>
      <c r="K107" s="5" t="str">
        <f t="shared" ca="1" si="24"/>
        <v/>
      </c>
      <c r="L107" s="5" t="str">
        <f t="shared" ca="1" si="25"/>
        <v/>
      </c>
      <c r="M107" s="5">
        <f t="shared" ca="1" si="26"/>
        <v>1</v>
      </c>
      <c r="N107" s="5" t="str">
        <f t="shared" ca="1" si="27"/>
        <v/>
      </c>
      <c r="O107" s="5" t="str">
        <f t="shared" ca="1" si="28"/>
        <v/>
      </c>
      <c r="P107" s="5" t="str">
        <f ca="1">VLOOKUP(G107,'Group code'!$Z$9:$AC$13,3,FALSE)</f>
        <v xml:space="preserve">  entities:</v>
      </c>
      <c r="Q107" s="5" t="str">
        <f t="shared" ca="1" si="29"/>
        <v/>
      </c>
      <c r="R107" s="5" t="str">
        <f ca="1">IF(G107=0,INDEX(cards[object_id],MATCH($C107,cards[object_id order],0)),"")</f>
        <v/>
      </c>
      <c r="S107" s="5" t="str">
        <f ca="1">IF(G107=1,INDEX(cards[[name]:[control]],MATCH($C107,cards[object_id order],0),'Group code'!J107),"")</f>
        <v/>
      </c>
      <c r="T107" s="5" t="str">
        <f ca="1">IF(G107=3,INDEX(cards[[1]:[25]],MATCH($C107,cards[object_id order],0),'Group code'!I107),"")</f>
        <v/>
      </c>
      <c r="U107" s="5" t="str">
        <f ca="1">VLOOKUP(G107,'Group code'!$Z$9:$AC$13,4,FALSE)</f>
        <v/>
      </c>
      <c r="V107" s="5" t="str">
        <f ca="1">IF(J107="","",VLOOKUP(J107,'Group code'!$Z$15:$AC$18,4,FALSE))</f>
        <v/>
      </c>
      <c r="W107" s="23" t="str">
        <f t="shared" ca="1" si="30"/>
        <v xml:space="preserve">  entities:</v>
      </c>
      <c r="X107" s="5" t="str">
        <f t="shared" ca="1" si="20"/>
        <v/>
      </c>
    </row>
    <row r="108" spans="2:24" x14ac:dyDescent="0.25">
      <c r="B108" s="5">
        <f t="shared" si="17"/>
        <v>102</v>
      </c>
      <c r="C108" s="5">
        <f t="shared" ca="1" si="31"/>
        <v>14</v>
      </c>
      <c r="D108" s="5" t="str">
        <f ca="1">INDEX(cards[Attribute Index],MATCH('Group code'!C108,cards[object_id order],0))</f>
        <v>1</v>
      </c>
      <c r="E108" s="5">
        <f t="shared" ca="1" si="18"/>
        <v>1</v>
      </c>
      <c r="F108" s="14">
        <f ca="1">INDEX(cards[Entities count],MATCH('Group code'!C108,cards[object_id order],0))</f>
        <v>2</v>
      </c>
      <c r="G108" s="14">
        <f t="shared" ca="1" si="21"/>
        <v>3</v>
      </c>
      <c r="H108" s="14" t="str">
        <f t="shared" ca="1" si="22"/>
        <v/>
      </c>
      <c r="I108" s="5">
        <f t="shared" ca="1" si="23"/>
        <v>1</v>
      </c>
      <c r="J108" s="5" t="str">
        <f t="shared" ca="1" si="19"/>
        <v/>
      </c>
      <c r="K108" s="5" t="str">
        <f t="shared" ca="1" si="24"/>
        <v/>
      </c>
      <c r="L108" s="5" t="str">
        <f t="shared" ca="1" si="25"/>
        <v/>
      </c>
      <c r="M108" s="5" t="str">
        <f t="shared" ca="1" si="26"/>
        <v/>
      </c>
      <c r="N108" s="5">
        <f t="shared" ca="1" si="27"/>
        <v>0</v>
      </c>
      <c r="O108" s="5" t="str">
        <f t="shared" ca="1" si="28"/>
        <v/>
      </c>
      <c r="P108" s="5" t="str">
        <f ca="1">VLOOKUP(G108,'Group code'!$Z$9:$AC$13,3,FALSE)</f>
        <v xml:space="preserve">    - </v>
      </c>
      <c r="Q108" s="5" t="str">
        <f t="shared" ca="1" si="29"/>
        <v/>
      </c>
      <c r="R108" s="5" t="str">
        <f ca="1">IF(G108=0,INDEX(cards[object_id],MATCH($C108,cards[object_id order],0)),"")</f>
        <v/>
      </c>
      <c r="S108" s="5" t="str">
        <f ca="1">IF(G108=1,INDEX(cards[[name]:[control]],MATCH($C108,cards[object_id order],0),'Group code'!J108),"")</f>
        <v/>
      </c>
      <c r="T108" s="5" t="str">
        <f ca="1">IF(G108=3,INDEX(cards[[1]:[25]],MATCH($C108,cards[object_id order],0),'Group code'!I108),"")</f>
        <v>light.lux_lamp</v>
      </c>
      <c r="U108" s="5" t="str">
        <f ca="1">VLOOKUP(G108,'Group code'!$Z$9:$AC$13,4,FALSE)</f>
        <v/>
      </c>
      <c r="V108" s="5" t="str">
        <f ca="1">IF(J108="","",VLOOKUP(J108,'Group code'!$Z$15:$AC$18,4,FALSE))</f>
        <v/>
      </c>
      <c r="W108" s="23" t="str">
        <f t="shared" ca="1" si="30"/>
        <v xml:space="preserve">    - light.lux_lamp</v>
      </c>
      <c r="X108" s="5" t="str">
        <f t="shared" ca="1" si="20"/>
        <v/>
      </c>
    </row>
    <row r="109" spans="2:24" x14ac:dyDescent="0.25">
      <c r="B109" s="5">
        <f t="shared" si="17"/>
        <v>103</v>
      </c>
      <c r="C109" s="5">
        <f t="shared" ca="1" si="31"/>
        <v>14</v>
      </c>
      <c r="D109" s="5" t="str">
        <f ca="1">INDEX(cards[Attribute Index],MATCH('Group code'!C109,cards[object_id order],0))</f>
        <v>1</v>
      </c>
      <c r="E109" s="5">
        <f t="shared" ca="1" si="18"/>
        <v>1</v>
      </c>
      <c r="F109" s="14">
        <f ca="1">INDEX(cards[Entities count],MATCH('Group code'!C109,cards[object_id order],0))</f>
        <v>2</v>
      </c>
      <c r="G109" s="14">
        <f t="shared" ca="1" si="21"/>
        <v>3</v>
      </c>
      <c r="H109" s="14" t="str">
        <f t="shared" ca="1" si="22"/>
        <v/>
      </c>
      <c r="I109" s="5">
        <f t="shared" ca="1" si="23"/>
        <v>2</v>
      </c>
      <c r="J109" s="5" t="str">
        <f t="shared" ca="1" si="19"/>
        <v/>
      </c>
      <c r="K109" s="5" t="str">
        <f t="shared" ca="1" si="24"/>
        <v/>
      </c>
      <c r="L109" s="5" t="str">
        <f t="shared" ca="1" si="25"/>
        <v/>
      </c>
      <c r="M109" s="5" t="str">
        <f t="shared" ca="1" si="26"/>
        <v/>
      </c>
      <c r="N109" s="5">
        <f t="shared" ca="1" si="27"/>
        <v>1</v>
      </c>
      <c r="O109" s="5" t="str">
        <f t="shared" ca="1" si="28"/>
        <v/>
      </c>
      <c r="P109" s="5" t="str">
        <f ca="1">VLOOKUP(G109,'Group code'!$Z$9:$AC$13,3,FALSE)</f>
        <v xml:space="preserve">    - </v>
      </c>
      <c r="Q109" s="5" t="str">
        <f t="shared" ca="1" si="29"/>
        <v/>
      </c>
      <c r="R109" s="5" t="str">
        <f ca="1">IF(G109=0,INDEX(cards[object_id],MATCH($C109,cards[object_id order],0)),"")</f>
        <v/>
      </c>
      <c r="S109" s="5" t="str">
        <f ca="1">IF(G109=1,INDEX(cards[[name]:[control]],MATCH($C109,cards[object_id order],0),'Group code'!J109),"")</f>
        <v/>
      </c>
      <c r="T109" s="5" t="str">
        <f ca="1">IF(G109=3,INDEX(cards[[1]:[25]],MATCH($C109,cards[object_id order],0),'Group code'!I109),"")</f>
        <v>light.lux_lamp_1</v>
      </c>
      <c r="U109" s="5" t="str">
        <f ca="1">VLOOKUP(G109,'Group code'!$Z$9:$AC$13,4,FALSE)</f>
        <v/>
      </c>
      <c r="V109" s="5" t="str">
        <f ca="1">IF(J109="","",VLOOKUP(J109,'Group code'!$Z$15:$AC$18,4,FALSE))</f>
        <v/>
      </c>
      <c r="W109" s="23" t="str">
        <f t="shared" ca="1" si="30"/>
        <v xml:space="preserve">    - light.lux_lamp_1</v>
      </c>
      <c r="X109" s="5" t="str">
        <f t="shared" ca="1" si="20"/>
        <v/>
      </c>
    </row>
    <row r="110" spans="2:24" x14ac:dyDescent="0.25">
      <c r="B110" s="5">
        <f t="shared" si="17"/>
        <v>104</v>
      </c>
      <c r="C110" s="5">
        <f t="shared" ca="1" si="31"/>
        <v>14</v>
      </c>
      <c r="D110" s="5" t="str">
        <f ca="1">INDEX(cards[Attribute Index],MATCH('Group code'!C110,cards[object_id order],0))</f>
        <v>1</v>
      </c>
      <c r="E110" s="5">
        <f t="shared" ca="1" si="18"/>
        <v>1</v>
      </c>
      <c r="F110" s="14">
        <f ca="1">INDEX(cards[Entities count],MATCH('Group code'!C110,cards[object_id order],0))</f>
        <v>2</v>
      </c>
      <c r="G110" s="14">
        <f t="shared" ca="1" si="21"/>
        <v>4</v>
      </c>
      <c r="H110" s="14" t="str">
        <f t="shared" ca="1" si="22"/>
        <v/>
      </c>
      <c r="I110" s="5" t="str">
        <f t="shared" ca="1" si="23"/>
        <v/>
      </c>
      <c r="J110" s="5" t="str">
        <f t="shared" ca="1" si="19"/>
        <v/>
      </c>
      <c r="K110" s="5" t="str">
        <f t="shared" ca="1" si="24"/>
        <v/>
      </c>
      <c r="L110" s="5" t="str">
        <f t="shared" ca="1" si="25"/>
        <v/>
      </c>
      <c r="M110" s="5" t="str">
        <f t="shared" ca="1" si="26"/>
        <v/>
      </c>
      <c r="N110" s="5" t="str">
        <f t="shared" ca="1" si="27"/>
        <v/>
      </c>
      <c r="O110" s="5">
        <f t="shared" ca="1" si="28"/>
        <v>-4</v>
      </c>
      <c r="P110" s="5" t="str">
        <f ca="1">VLOOKUP(G110,'Group code'!$Z$9:$AC$13,3,FALSE)</f>
        <v/>
      </c>
      <c r="Q110" s="5" t="str">
        <f t="shared" ca="1" si="29"/>
        <v/>
      </c>
      <c r="R110" s="5" t="str">
        <f ca="1">IF(G110=0,INDEX(cards[object_id],MATCH($C110,cards[object_id order],0)),"")</f>
        <v/>
      </c>
      <c r="S110" s="5" t="str">
        <f ca="1">IF(G110=1,INDEX(cards[[name]:[control]],MATCH($C110,cards[object_id order],0),'Group code'!J110),"")</f>
        <v/>
      </c>
      <c r="T110" s="5" t="str">
        <f ca="1">IF(G110=3,INDEX(cards[[1]:[25]],MATCH($C110,cards[object_id order],0),'Group code'!I110),"")</f>
        <v/>
      </c>
      <c r="U110" s="5" t="str">
        <f ca="1">VLOOKUP(G110,'Group code'!$Z$9:$AC$13,4,FALSE)</f>
        <v/>
      </c>
      <c r="V110" s="5" t="str">
        <f ca="1">IF(J110="","",VLOOKUP(J110,'Group code'!$Z$15:$AC$18,4,FALSE))</f>
        <v/>
      </c>
      <c r="W110" s="23" t="str">
        <f t="shared" ca="1" si="30"/>
        <v/>
      </c>
      <c r="X110" s="5" t="str">
        <f t="shared" ca="1" si="20"/>
        <v/>
      </c>
    </row>
    <row r="111" spans="2:24" x14ac:dyDescent="0.25">
      <c r="B111" s="5">
        <f t="shared" si="17"/>
        <v>105</v>
      </c>
      <c r="C111" s="5">
        <f t="shared" ca="1" si="31"/>
        <v>15</v>
      </c>
      <c r="D111" s="5" t="str">
        <f ca="1">INDEX(cards[Attribute Index],MATCH('Group code'!C111,cards[object_id order],0))</f>
        <v>1</v>
      </c>
      <c r="E111" s="5">
        <f t="shared" ca="1" si="18"/>
        <v>1</v>
      </c>
      <c r="F111" s="14">
        <f ca="1">INDEX(cards[Entities count],MATCH('Group code'!C111,cards[object_id order],0))</f>
        <v>4</v>
      </c>
      <c r="G111" s="14">
        <f t="shared" ca="1" si="21"/>
        <v>0</v>
      </c>
      <c r="H111" s="14" t="str">
        <f t="shared" ca="1" si="22"/>
        <v/>
      </c>
      <c r="I111" s="5" t="str">
        <f t="shared" ca="1" si="23"/>
        <v/>
      </c>
      <c r="J111" s="5" t="str">
        <f t="shared" ca="1" si="19"/>
        <v/>
      </c>
      <c r="K111" s="5">
        <f t="shared" ca="1" si="24"/>
        <v>1</v>
      </c>
      <c r="L111" s="5" t="str">
        <f t="shared" ca="1" si="25"/>
        <v/>
      </c>
      <c r="M111" s="5" t="str">
        <f t="shared" ca="1" si="26"/>
        <v/>
      </c>
      <c r="N111" s="5" t="str">
        <f t="shared" ca="1" si="27"/>
        <v/>
      </c>
      <c r="O111" s="5" t="str">
        <f t="shared" ca="1" si="28"/>
        <v/>
      </c>
      <c r="P111" s="5" t="str">
        <f ca="1">VLOOKUP(G111,'Group code'!$Z$9:$AC$13,3,FALSE)</f>
        <v/>
      </c>
      <c r="Q111" s="5" t="str">
        <f t="shared" ca="1" si="29"/>
        <v/>
      </c>
      <c r="R111" s="5" t="str">
        <f ca="1">IF(G111=0,INDEX(cards[object_id],MATCH($C111,cards[object_id order],0)),"")</f>
        <v>alarm_clock</v>
      </c>
      <c r="S111" s="5" t="str">
        <f ca="1">IF(G111=1,INDEX(cards[[name]:[control]],MATCH($C111,cards[object_id order],0),'Group code'!J111),"")</f>
        <v/>
      </c>
      <c r="T111" s="5" t="str">
        <f ca="1">IF(G111=3,INDEX(cards[[1]:[25]],MATCH($C111,cards[object_id order],0),'Group code'!I111),"")</f>
        <v/>
      </c>
      <c r="U111" s="5" t="str">
        <f ca="1">VLOOKUP(G111,'Group code'!$Z$9:$AC$13,4,FALSE)</f>
        <v>:</v>
      </c>
      <c r="V111" s="5" t="str">
        <f ca="1">IF(J111="","",VLOOKUP(J111,'Group code'!$Z$15:$AC$18,4,FALSE))</f>
        <v/>
      </c>
      <c r="W111" s="23" t="str">
        <f t="shared" ca="1" si="30"/>
        <v>alarm_clock:</v>
      </c>
      <c r="X111" s="5" t="str">
        <f t="shared" ca="1" si="20"/>
        <v/>
      </c>
    </row>
    <row r="112" spans="2:24" x14ac:dyDescent="0.25">
      <c r="B112" s="5">
        <f t="shared" si="17"/>
        <v>106</v>
      </c>
      <c r="C112" s="5">
        <f t="shared" ca="1" si="31"/>
        <v>15</v>
      </c>
      <c r="D112" s="5" t="str">
        <f ca="1">INDEX(cards[Attribute Index],MATCH('Group code'!C112,cards[object_id order],0))</f>
        <v>1</v>
      </c>
      <c r="E112" s="5">
        <f t="shared" ca="1" si="18"/>
        <v>1</v>
      </c>
      <c r="F112" s="14">
        <f ca="1">INDEX(cards[Entities count],MATCH('Group code'!C112,cards[object_id order],0))</f>
        <v>4</v>
      </c>
      <c r="G112" s="14">
        <f t="shared" ca="1" si="21"/>
        <v>1</v>
      </c>
      <c r="H112" s="14">
        <f t="shared" ca="1" si="22"/>
        <v>1</v>
      </c>
      <c r="I112" s="5" t="str">
        <f t="shared" ca="1" si="23"/>
        <v/>
      </c>
      <c r="J112" s="5">
        <f t="shared" ca="1" si="19"/>
        <v>1</v>
      </c>
      <c r="K112" s="5" t="str">
        <f t="shared" ca="1" si="24"/>
        <v/>
      </c>
      <c r="L112" s="5">
        <f t="shared" ca="1" si="25"/>
        <v>1</v>
      </c>
      <c r="M112" s="5" t="str">
        <f t="shared" ca="1" si="26"/>
        <v/>
      </c>
      <c r="N112" s="5" t="str">
        <f t="shared" ca="1" si="27"/>
        <v/>
      </c>
      <c r="O112" s="5" t="str">
        <f t="shared" ca="1" si="28"/>
        <v/>
      </c>
      <c r="P112" s="5" t="str">
        <f ca="1">VLOOKUP(G112,'Group code'!$Z$9:$AC$13,3,FALSE)</f>
        <v/>
      </c>
      <c r="Q112" s="5" t="str">
        <f t="shared" ca="1" si="29"/>
        <v xml:space="preserve">  name: "</v>
      </c>
      <c r="R112" s="5" t="str">
        <f ca="1">IF(G112=0,INDEX(cards[object_id],MATCH($C112,cards[object_id order],0)),"")</f>
        <v/>
      </c>
      <c r="S112" s="5" t="str">
        <f ca="1">IF(G112=1,INDEX(cards[[name]:[control]],MATCH($C112,cards[object_id order],0),'Group code'!J112),"")</f>
        <v>Alarm Clock</v>
      </c>
      <c r="T112" s="5" t="str">
        <f ca="1">IF(G112=3,INDEX(cards[[1]:[25]],MATCH($C112,cards[object_id order],0),'Group code'!I112),"")</f>
        <v/>
      </c>
      <c r="U112" s="5" t="str">
        <f ca="1">VLOOKUP(G112,'Group code'!$Z$9:$AC$13,4,FALSE)</f>
        <v/>
      </c>
      <c r="V112" s="5" t="str">
        <f ca="1">IF(J112="","",VLOOKUP(J112,'Group code'!$Z$15:$AC$18,4,FALSE))</f>
        <v>"</v>
      </c>
      <c r="W112" s="23" t="str">
        <f t="shared" ca="1" si="30"/>
        <v xml:space="preserve">  name: "Alarm Clock"</v>
      </c>
      <c r="X112" s="5" t="str">
        <f t="shared" ca="1" si="20"/>
        <v/>
      </c>
    </row>
    <row r="113" spans="2:24" x14ac:dyDescent="0.25">
      <c r="B113" s="5">
        <f t="shared" si="17"/>
        <v>107</v>
      </c>
      <c r="C113" s="5">
        <f t="shared" ca="1" si="31"/>
        <v>15</v>
      </c>
      <c r="D113" s="5" t="str">
        <f ca="1">INDEX(cards[Attribute Index],MATCH('Group code'!C113,cards[object_id order],0))</f>
        <v>1</v>
      </c>
      <c r="E113" s="5">
        <f t="shared" ca="1" si="18"/>
        <v>1</v>
      </c>
      <c r="F113" s="14">
        <f ca="1">INDEX(cards[Entities count],MATCH('Group code'!C113,cards[object_id order],0))</f>
        <v>4</v>
      </c>
      <c r="G113" s="14">
        <f t="shared" ca="1" si="21"/>
        <v>2</v>
      </c>
      <c r="H113" s="14" t="str">
        <f t="shared" ca="1" si="22"/>
        <v/>
      </c>
      <c r="I113" s="5" t="str">
        <f t="shared" ca="1" si="23"/>
        <v/>
      </c>
      <c r="J113" s="5" t="str">
        <f t="shared" ca="1" si="19"/>
        <v/>
      </c>
      <c r="K113" s="5" t="str">
        <f t="shared" ca="1" si="24"/>
        <v/>
      </c>
      <c r="L113" s="5" t="str">
        <f t="shared" ca="1" si="25"/>
        <v/>
      </c>
      <c r="M113" s="5">
        <f t="shared" ca="1" si="26"/>
        <v>1</v>
      </c>
      <c r="N113" s="5" t="str">
        <f t="shared" ca="1" si="27"/>
        <v/>
      </c>
      <c r="O113" s="5" t="str">
        <f t="shared" ca="1" si="28"/>
        <v/>
      </c>
      <c r="P113" s="5" t="str">
        <f ca="1">VLOOKUP(G113,'Group code'!$Z$9:$AC$13,3,FALSE)</f>
        <v xml:space="preserve">  entities:</v>
      </c>
      <c r="Q113" s="5" t="str">
        <f t="shared" ca="1" si="29"/>
        <v/>
      </c>
      <c r="R113" s="5" t="str">
        <f ca="1">IF(G113=0,INDEX(cards[object_id],MATCH($C113,cards[object_id order],0)),"")</f>
        <v/>
      </c>
      <c r="S113" s="5" t="str">
        <f ca="1">IF(G113=1,INDEX(cards[[name]:[control]],MATCH($C113,cards[object_id order],0),'Group code'!J113),"")</f>
        <v/>
      </c>
      <c r="T113" s="5" t="str">
        <f ca="1">IF(G113=3,INDEX(cards[[1]:[25]],MATCH($C113,cards[object_id order],0),'Group code'!I113),"")</f>
        <v/>
      </c>
      <c r="U113" s="5" t="str">
        <f ca="1">VLOOKUP(G113,'Group code'!$Z$9:$AC$13,4,FALSE)</f>
        <v/>
      </c>
      <c r="V113" s="5" t="str">
        <f ca="1">IF(J113="","",VLOOKUP(J113,'Group code'!$Z$15:$AC$18,4,FALSE))</f>
        <v/>
      </c>
      <c r="W113" s="23" t="str">
        <f t="shared" ca="1" si="30"/>
        <v xml:space="preserve">  entities:</v>
      </c>
      <c r="X113" s="5" t="str">
        <f t="shared" ca="1" si="20"/>
        <v/>
      </c>
    </row>
    <row r="114" spans="2:24" x14ac:dyDescent="0.25">
      <c r="B114" s="5">
        <f t="shared" si="17"/>
        <v>108</v>
      </c>
      <c r="C114" s="5">
        <f t="shared" ca="1" si="31"/>
        <v>15</v>
      </c>
      <c r="D114" s="5" t="str">
        <f ca="1">INDEX(cards[Attribute Index],MATCH('Group code'!C114,cards[object_id order],0))</f>
        <v>1</v>
      </c>
      <c r="E114" s="5">
        <f t="shared" ca="1" si="18"/>
        <v>1</v>
      </c>
      <c r="F114" s="14">
        <f ca="1">INDEX(cards[Entities count],MATCH('Group code'!C114,cards[object_id order],0))</f>
        <v>4</v>
      </c>
      <c r="G114" s="14">
        <f t="shared" ca="1" si="21"/>
        <v>3</v>
      </c>
      <c r="H114" s="14" t="str">
        <f t="shared" ca="1" si="22"/>
        <v/>
      </c>
      <c r="I114" s="5">
        <f t="shared" ca="1" si="23"/>
        <v>1</v>
      </c>
      <c r="J114" s="5" t="str">
        <f t="shared" ca="1" si="19"/>
        <v/>
      </c>
      <c r="K114" s="5" t="str">
        <f t="shared" ca="1" si="24"/>
        <v/>
      </c>
      <c r="L114" s="5" t="str">
        <f t="shared" ca="1" si="25"/>
        <v/>
      </c>
      <c r="M114" s="5" t="str">
        <f t="shared" ca="1" si="26"/>
        <v/>
      </c>
      <c r="N114" s="5">
        <f t="shared" ca="1" si="27"/>
        <v>0</v>
      </c>
      <c r="O114" s="5" t="str">
        <f t="shared" ca="1" si="28"/>
        <v/>
      </c>
      <c r="P114" s="5" t="str">
        <f ca="1">VLOOKUP(G114,'Group code'!$Z$9:$AC$13,3,FALSE)</f>
        <v xml:space="preserve">    - </v>
      </c>
      <c r="Q114" s="5" t="str">
        <f t="shared" ca="1" si="29"/>
        <v/>
      </c>
      <c r="R114" s="5" t="str">
        <f ca="1">IF(G114=0,INDEX(cards[object_id],MATCH($C114,cards[object_id order],0)),"")</f>
        <v/>
      </c>
      <c r="S114" s="5" t="str">
        <f ca="1">IF(G114=1,INDEX(cards[[name]:[control]],MATCH($C114,cards[object_id order],0),'Group code'!J114),"")</f>
        <v/>
      </c>
      <c r="T114" s="5" t="str">
        <f ca="1">IF(G114=3,INDEX(cards[[1]:[25]],MATCH($C114,cards[object_id order],0),'Group code'!I114),"")</f>
        <v>sensor.alarm_clock_time</v>
      </c>
      <c r="U114" s="5" t="str">
        <f ca="1">VLOOKUP(G114,'Group code'!$Z$9:$AC$13,4,FALSE)</f>
        <v/>
      </c>
      <c r="V114" s="5" t="str">
        <f ca="1">IF(J114="","",VLOOKUP(J114,'Group code'!$Z$15:$AC$18,4,FALSE))</f>
        <v/>
      </c>
      <c r="W114" s="23" t="str">
        <f t="shared" ca="1" si="30"/>
        <v xml:space="preserve">    - sensor.alarm_clock_time</v>
      </c>
      <c r="X114" s="5" t="str">
        <f t="shared" ca="1" si="20"/>
        <v/>
      </c>
    </row>
    <row r="115" spans="2:24" x14ac:dyDescent="0.25">
      <c r="B115" s="5">
        <f t="shared" si="17"/>
        <v>109</v>
      </c>
      <c r="C115" s="5">
        <f t="shared" ca="1" si="31"/>
        <v>15</v>
      </c>
      <c r="D115" s="5" t="str">
        <f ca="1">INDEX(cards[Attribute Index],MATCH('Group code'!C115,cards[object_id order],0))</f>
        <v>1</v>
      </c>
      <c r="E115" s="5">
        <f t="shared" ca="1" si="18"/>
        <v>1</v>
      </c>
      <c r="F115" s="14">
        <f ca="1">INDEX(cards[Entities count],MATCH('Group code'!C115,cards[object_id order],0))</f>
        <v>4</v>
      </c>
      <c r="G115" s="14">
        <f t="shared" ca="1" si="21"/>
        <v>3</v>
      </c>
      <c r="H115" s="14" t="str">
        <f t="shared" ca="1" si="22"/>
        <v/>
      </c>
      <c r="I115" s="5">
        <f t="shared" ca="1" si="23"/>
        <v>2</v>
      </c>
      <c r="J115" s="5" t="str">
        <f t="shared" ca="1" si="19"/>
        <v/>
      </c>
      <c r="K115" s="5" t="str">
        <f t="shared" ca="1" si="24"/>
        <v/>
      </c>
      <c r="L115" s="5" t="str">
        <f t="shared" ca="1" si="25"/>
        <v/>
      </c>
      <c r="M115" s="5" t="str">
        <f t="shared" ca="1" si="26"/>
        <v/>
      </c>
      <c r="N115" s="5">
        <f t="shared" ca="1" si="27"/>
        <v>0</v>
      </c>
      <c r="O115" s="5" t="str">
        <f t="shared" ca="1" si="28"/>
        <v/>
      </c>
      <c r="P115" s="5" t="str">
        <f ca="1">VLOOKUP(G115,'Group code'!$Z$9:$AC$13,3,FALSE)</f>
        <v xml:space="preserve">    - </v>
      </c>
      <c r="Q115" s="5" t="str">
        <f t="shared" ca="1" si="29"/>
        <v/>
      </c>
      <c r="R115" s="5" t="str">
        <f ca="1">IF(G115=0,INDEX(cards[object_id],MATCH($C115,cards[object_id order],0)),"")</f>
        <v/>
      </c>
      <c r="S115" s="5" t="str">
        <f ca="1">IF(G115=1,INDEX(cards[[name]:[control]],MATCH($C115,cards[object_id order],0),'Group code'!J115),"")</f>
        <v/>
      </c>
      <c r="T115" s="5" t="str">
        <f ca="1">IF(G115=3,INDEX(cards[[1]:[25]],MATCH($C115,cards[object_id order],0),'Group code'!I115),"")</f>
        <v>input_slider.alarm_clock_hour</v>
      </c>
      <c r="U115" s="5" t="str">
        <f ca="1">VLOOKUP(G115,'Group code'!$Z$9:$AC$13,4,FALSE)</f>
        <v/>
      </c>
      <c r="V115" s="5" t="str">
        <f ca="1">IF(J115="","",VLOOKUP(J115,'Group code'!$Z$15:$AC$18,4,FALSE))</f>
        <v/>
      </c>
      <c r="W115" s="23" t="str">
        <f t="shared" ca="1" si="30"/>
        <v xml:space="preserve">    - input_slider.alarm_clock_hour</v>
      </c>
      <c r="X115" s="5" t="str">
        <f t="shared" ca="1" si="20"/>
        <v/>
      </c>
    </row>
    <row r="116" spans="2:24" x14ac:dyDescent="0.25">
      <c r="B116" s="5">
        <f t="shared" si="17"/>
        <v>110</v>
      </c>
      <c r="C116" s="5">
        <f t="shared" ca="1" si="31"/>
        <v>15</v>
      </c>
      <c r="D116" s="5" t="str">
        <f ca="1">INDEX(cards[Attribute Index],MATCH('Group code'!C116,cards[object_id order],0))</f>
        <v>1</v>
      </c>
      <c r="E116" s="5">
        <f t="shared" ca="1" si="18"/>
        <v>1</v>
      </c>
      <c r="F116" s="14">
        <f ca="1">INDEX(cards[Entities count],MATCH('Group code'!C116,cards[object_id order],0))</f>
        <v>4</v>
      </c>
      <c r="G116" s="14">
        <f t="shared" ca="1" si="21"/>
        <v>3</v>
      </c>
      <c r="H116" s="14" t="str">
        <f t="shared" ca="1" si="22"/>
        <v/>
      </c>
      <c r="I116" s="5">
        <f t="shared" ca="1" si="23"/>
        <v>3</v>
      </c>
      <c r="J116" s="5" t="str">
        <f t="shared" ca="1" si="19"/>
        <v/>
      </c>
      <c r="K116" s="5" t="str">
        <f t="shared" ca="1" si="24"/>
        <v/>
      </c>
      <c r="L116" s="5" t="str">
        <f t="shared" ca="1" si="25"/>
        <v/>
      </c>
      <c r="M116" s="5" t="str">
        <f t="shared" ca="1" si="26"/>
        <v/>
      </c>
      <c r="N116" s="5">
        <f t="shared" ca="1" si="27"/>
        <v>0</v>
      </c>
      <c r="O116" s="5" t="str">
        <f t="shared" ca="1" si="28"/>
        <v/>
      </c>
      <c r="P116" s="5" t="str">
        <f ca="1">VLOOKUP(G116,'Group code'!$Z$9:$AC$13,3,FALSE)</f>
        <v xml:space="preserve">    - </v>
      </c>
      <c r="Q116" s="5" t="str">
        <f t="shared" ca="1" si="29"/>
        <v/>
      </c>
      <c r="R116" s="5" t="str">
        <f ca="1">IF(G116=0,INDEX(cards[object_id],MATCH($C116,cards[object_id order],0)),"")</f>
        <v/>
      </c>
      <c r="S116" s="5" t="str">
        <f ca="1">IF(G116=1,INDEX(cards[[name]:[control]],MATCH($C116,cards[object_id order],0),'Group code'!J116),"")</f>
        <v/>
      </c>
      <c r="T116" s="5" t="str">
        <f ca="1">IF(G116=3,INDEX(cards[[1]:[25]],MATCH($C116,cards[object_id order],0),'Group code'!I116),"")</f>
        <v>input_slider.alarm_clock_minute</v>
      </c>
      <c r="U116" s="5" t="str">
        <f ca="1">VLOOKUP(G116,'Group code'!$Z$9:$AC$13,4,FALSE)</f>
        <v/>
      </c>
      <c r="V116" s="5" t="str">
        <f ca="1">IF(J116="","",VLOOKUP(J116,'Group code'!$Z$15:$AC$18,4,FALSE))</f>
        <v/>
      </c>
      <c r="W116" s="23" t="str">
        <f t="shared" ca="1" si="30"/>
        <v xml:space="preserve">    - input_slider.alarm_clock_minute</v>
      </c>
      <c r="X116" s="5" t="str">
        <f t="shared" ca="1" si="20"/>
        <v/>
      </c>
    </row>
    <row r="117" spans="2:24" x14ac:dyDescent="0.25">
      <c r="B117" s="5">
        <f t="shared" si="17"/>
        <v>111</v>
      </c>
      <c r="C117" s="5">
        <f t="shared" ca="1" si="31"/>
        <v>15</v>
      </c>
      <c r="D117" s="5" t="str">
        <f ca="1">INDEX(cards[Attribute Index],MATCH('Group code'!C117,cards[object_id order],0))</f>
        <v>1</v>
      </c>
      <c r="E117" s="5">
        <f t="shared" ca="1" si="18"/>
        <v>1</v>
      </c>
      <c r="F117" s="14">
        <f ca="1">INDEX(cards[Entities count],MATCH('Group code'!C117,cards[object_id order],0))</f>
        <v>4</v>
      </c>
      <c r="G117" s="14">
        <f t="shared" ca="1" si="21"/>
        <v>3</v>
      </c>
      <c r="H117" s="14" t="str">
        <f t="shared" ca="1" si="22"/>
        <v/>
      </c>
      <c r="I117" s="5">
        <f t="shared" ca="1" si="23"/>
        <v>4</v>
      </c>
      <c r="J117" s="5" t="str">
        <f t="shared" ca="1" si="19"/>
        <v/>
      </c>
      <c r="K117" s="5" t="str">
        <f t="shared" ca="1" si="24"/>
        <v/>
      </c>
      <c r="L117" s="5" t="str">
        <f t="shared" ca="1" si="25"/>
        <v/>
      </c>
      <c r="M117" s="5" t="str">
        <f t="shared" ca="1" si="26"/>
        <v/>
      </c>
      <c r="N117" s="5">
        <f t="shared" ca="1" si="27"/>
        <v>1</v>
      </c>
      <c r="O117" s="5" t="str">
        <f t="shared" ca="1" si="28"/>
        <v/>
      </c>
      <c r="P117" s="5" t="str">
        <f ca="1">VLOOKUP(G117,'Group code'!$Z$9:$AC$13,3,FALSE)</f>
        <v xml:space="preserve">    - </v>
      </c>
      <c r="Q117" s="5" t="str">
        <f t="shared" ca="1" si="29"/>
        <v/>
      </c>
      <c r="R117" s="5" t="str">
        <f ca="1">IF(G117=0,INDEX(cards[object_id],MATCH($C117,cards[object_id order],0)),"")</f>
        <v/>
      </c>
      <c r="S117" s="5" t="str">
        <f ca="1">IF(G117=1,INDEX(cards[[name]:[control]],MATCH($C117,cards[object_id order],0),'Group code'!J117),"")</f>
        <v/>
      </c>
      <c r="T117" s="5" t="str">
        <f ca="1">IF(G117=3,INDEX(cards[[1]:[25]],MATCH($C117,cards[object_id order],0),'Group code'!I117),"")</f>
        <v>input_boolean.alarm_clock_status</v>
      </c>
      <c r="U117" s="5" t="str">
        <f ca="1">VLOOKUP(G117,'Group code'!$Z$9:$AC$13,4,FALSE)</f>
        <v/>
      </c>
      <c r="V117" s="5" t="str">
        <f ca="1">IF(J117="","",VLOOKUP(J117,'Group code'!$Z$15:$AC$18,4,FALSE))</f>
        <v/>
      </c>
      <c r="W117" s="23" t="str">
        <f t="shared" ca="1" si="30"/>
        <v xml:space="preserve">    - input_boolean.alarm_clock_status</v>
      </c>
      <c r="X117" s="5" t="str">
        <f t="shared" ca="1" si="20"/>
        <v/>
      </c>
    </row>
    <row r="118" spans="2:24" x14ac:dyDescent="0.25">
      <c r="B118" s="5">
        <f t="shared" si="17"/>
        <v>112</v>
      </c>
      <c r="C118" s="5">
        <f t="shared" ca="1" si="31"/>
        <v>15</v>
      </c>
      <c r="D118" s="5" t="str">
        <f ca="1">INDEX(cards[Attribute Index],MATCH('Group code'!C118,cards[object_id order],0))</f>
        <v>1</v>
      </c>
      <c r="E118" s="5">
        <f t="shared" ca="1" si="18"/>
        <v>1</v>
      </c>
      <c r="F118" s="14">
        <f ca="1">INDEX(cards[Entities count],MATCH('Group code'!C118,cards[object_id order],0))</f>
        <v>4</v>
      </c>
      <c r="G118" s="14">
        <f t="shared" ca="1" si="21"/>
        <v>4</v>
      </c>
      <c r="H118" s="14" t="str">
        <f t="shared" ca="1" si="22"/>
        <v/>
      </c>
      <c r="I118" s="5" t="str">
        <f t="shared" ca="1" si="23"/>
        <v/>
      </c>
      <c r="J118" s="5" t="str">
        <f t="shared" ca="1" si="19"/>
        <v/>
      </c>
      <c r="K118" s="5" t="str">
        <f t="shared" ca="1" si="24"/>
        <v/>
      </c>
      <c r="L118" s="5" t="str">
        <f t="shared" ca="1" si="25"/>
        <v/>
      </c>
      <c r="M118" s="5" t="str">
        <f t="shared" ca="1" si="26"/>
        <v/>
      </c>
      <c r="N118" s="5" t="str">
        <f t="shared" ca="1" si="27"/>
        <v/>
      </c>
      <c r="O118" s="5">
        <f t="shared" ca="1" si="28"/>
        <v>-4</v>
      </c>
      <c r="P118" s="5" t="str">
        <f ca="1">VLOOKUP(G118,'Group code'!$Z$9:$AC$13,3,FALSE)</f>
        <v/>
      </c>
      <c r="Q118" s="5" t="str">
        <f t="shared" ca="1" si="29"/>
        <v/>
      </c>
      <c r="R118" s="5" t="str">
        <f ca="1">IF(G118=0,INDEX(cards[object_id],MATCH($C118,cards[object_id order],0)),"")</f>
        <v/>
      </c>
      <c r="S118" s="5" t="str">
        <f ca="1">IF(G118=1,INDEX(cards[[name]:[control]],MATCH($C118,cards[object_id order],0),'Group code'!J118),"")</f>
        <v/>
      </c>
      <c r="T118" s="5" t="str">
        <f ca="1">IF(G118=3,INDEX(cards[[1]:[25]],MATCH($C118,cards[object_id order],0),'Group code'!I118),"")</f>
        <v/>
      </c>
      <c r="U118" s="5" t="str">
        <f ca="1">VLOOKUP(G118,'Group code'!$Z$9:$AC$13,4,FALSE)</f>
        <v/>
      </c>
      <c r="V118" s="5" t="str">
        <f ca="1">IF(J118="","",VLOOKUP(J118,'Group code'!$Z$15:$AC$18,4,FALSE))</f>
        <v/>
      </c>
      <c r="W118" s="23" t="str">
        <f t="shared" ca="1" si="30"/>
        <v/>
      </c>
      <c r="X118" s="5" t="str">
        <f t="shared" ca="1" si="20"/>
        <v/>
      </c>
    </row>
    <row r="119" spans="2:24" x14ac:dyDescent="0.25">
      <c r="B119" s="5">
        <f t="shared" si="17"/>
        <v>113</v>
      </c>
      <c r="C119" s="5">
        <f t="shared" ca="1" si="31"/>
        <v>16</v>
      </c>
      <c r="D119" s="5" t="str">
        <f ca="1">INDEX(cards[Attribute Index],MATCH('Group code'!C119,cards[object_id order],0))</f>
        <v>1</v>
      </c>
      <c r="E119" s="5">
        <f t="shared" ca="1" si="18"/>
        <v>1</v>
      </c>
      <c r="F119" s="14">
        <f ca="1">INDEX(cards[Entities count],MATCH('Group code'!C119,cards[object_id order],0))</f>
        <v>5</v>
      </c>
      <c r="G119" s="14">
        <f t="shared" ca="1" si="21"/>
        <v>0</v>
      </c>
      <c r="H119" s="14" t="str">
        <f t="shared" ca="1" si="22"/>
        <v/>
      </c>
      <c r="I119" s="5" t="str">
        <f t="shared" ca="1" si="23"/>
        <v/>
      </c>
      <c r="J119" s="5" t="str">
        <f t="shared" ca="1" si="19"/>
        <v/>
      </c>
      <c r="K119" s="5">
        <f t="shared" ca="1" si="24"/>
        <v>1</v>
      </c>
      <c r="L119" s="5" t="str">
        <f t="shared" ca="1" si="25"/>
        <v/>
      </c>
      <c r="M119" s="5" t="str">
        <f t="shared" ca="1" si="26"/>
        <v/>
      </c>
      <c r="N119" s="5" t="str">
        <f t="shared" ca="1" si="27"/>
        <v/>
      </c>
      <c r="O119" s="5" t="str">
        <f t="shared" ca="1" si="28"/>
        <v/>
      </c>
      <c r="P119" s="5" t="str">
        <f ca="1">VLOOKUP(G119,'Group code'!$Z$9:$AC$13,3,FALSE)</f>
        <v/>
      </c>
      <c r="Q119" s="5" t="str">
        <f t="shared" ca="1" si="29"/>
        <v/>
      </c>
      <c r="R119" s="5" t="str">
        <f ca="1">IF(G119=0,INDEX(cards[object_id],MATCH($C119,cards[object_id order],0)),"")</f>
        <v>environment</v>
      </c>
      <c r="S119" s="5" t="str">
        <f ca="1">IF(G119=1,INDEX(cards[[name]:[control]],MATCH($C119,cards[object_id order],0),'Group code'!J119),"")</f>
        <v/>
      </c>
      <c r="T119" s="5" t="str">
        <f ca="1">IF(G119=3,INDEX(cards[[1]:[25]],MATCH($C119,cards[object_id order],0),'Group code'!I119),"")</f>
        <v/>
      </c>
      <c r="U119" s="5" t="str">
        <f ca="1">VLOOKUP(G119,'Group code'!$Z$9:$AC$13,4,FALSE)</f>
        <v>:</v>
      </c>
      <c r="V119" s="5" t="str">
        <f ca="1">IF(J119="","",VLOOKUP(J119,'Group code'!$Z$15:$AC$18,4,FALSE))</f>
        <v/>
      </c>
      <c r="W119" s="23" t="str">
        <f t="shared" ca="1" si="30"/>
        <v>environment:</v>
      </c>
      <c r="X119" s="5" t="str">
        <f t="shared" ca="1" si="20"/>
        <v/>
      </c>
    </row>
    <row r="120" spans="2:24" x14ac:dyDescent="0.25">
      <c r="B120" s="5">
        <f t="shared" si="17"/>
        <v>114</v>
      </c>
      <c r="C120" s="5">
        <f t="shared" ca="1" si="31"/>
        <v>16</v>
      </c>
      <c r="D120" s="5" t="str">
        <f ca="1">INDEX(cards[Attribute Index],MATCH('Group code'!C120,cards[object_id order],0))</f>
        <v>1</v>
      </c>
      <c r="E120" s="5">
        <f t="shared" ca="1" si="18"/>
        <v>1</v>
      </c>
      <c r="F120" s="14">
        <f ca="1">INDEX(cards[Entities count],MATCH('Group code'!C120,cards[object_id order],0))</f>
        <v>5</v>
      </c>
      <c r="G120" s="14">
        <f t="shared" ca="1" si="21"/>
        <v>1</v>
      </c>
      <c r="H120" s="14">
        <f t="shared" ca="1" si="22"/>
        <v>1</v>
      </c>
      <c r="I120" s="5" t="str">
        <f t="shared" ca="1" si="23"/>
        <v/>
      </c>
      <c r="J120" s="5">
        <f t="shared" ca="1" si="19"/>
        <v>1</v>
      </c>
      <c r="K120" s="5" t="str">
        <f t="shared" ca="1" si="24"/>
        <v/>
      </c>
      <c r="L120" s="5">
        <f t="shared" ca="1" si="25"/>
        <v>1</v>
      </c>
      <c r="M120" s="5" t="str">
        <f t="shared" ca="1" si="26"/>
        <v/>
      </c>
      <c r="N120" s="5" t="str">
        <f t="shared" ca="1" si="27"/>
        <v/>
      </c>
      <c r="O120" s="5" t="str">
        <f t="shared" ca="1" si="28"/>
        <v/>
      </c>
      <c r="P120" s="5" t="str">
        <f ca="1">VLOOKUP(G120,'Group code'!$Z$9:$AC$13,3,FALSE)</f>
        <v/>
      </c>
      <c r="Q120" s="5" t="str">
        <f t="shared" ca="1" si="29"/>
        <v xml:space="preserve">  name: "</v>
      </c>
      <c r="R120" s="5" t="str">
        <f ca="1">IF(G120=0,INDEX(cards[object_id],MATCH($C120,cards[object_id order],0)),"")</f>
        <v/>
      </c>
      <c r="S120" s="5" t="str">
        <f ca="1">IF(G120=1,INDEX(cards[[name]:[control]],MATCH($C120,cards[object_id order],0),'Group code'!J120),"")</f>
        <v>Environment || Forecast</v>
      </c>
      <c r="T120" s="5" t="str">
        <f ca="1">IF(G120=3,INDEX(cards[[1]:[25]],MATCH($C120,cards[object_id order],0),'Group code'!I120),"")</f>
        <v/>
      </c>
      <c r="U120" s="5" t="str">
        <f ca="1">VLOOKUP(G120,'Group code'!$Z$9:$AC$13,4,FALSE)</f>
        <v/>
      </c>
      <c r="V120" s="5" t="str">
        <f ca="1">IF(J120="","",VLOOKUP(J120,'Group code'!$Z$15:$AC$18,4,FALSE))</f>
        <v>"</v>
      </c>
      <c r="W120" s="23" t="str">
        <f t="shared" ca="1" si="30"/>
        <v xml:space="preserve">  name: "Environment || Forecast"</v>
      </c>
      <c r="X120" s="5" t="str">
        <f t="shared" ca="1" si="20"/>
        <v/>
      </c>
    </row>
    <row r="121" spans="2:24" x14ac:dyDescent="0.25">
      <c r="B121" s="5">
        <f t="shared" si="17"/>
        <v>115</v>
      </c>
      <c r="C121" s="5">
        <f t="shared" ca="1" si="31"/>
        <v>16</v>
      </c>
      <c r="D121" s="5" t="str">
        <f ca="1">INDEX(cards[Attribute Index],MATCH('Group code'!C121,cards[object_id order],0))</f>
        <v>1</v>
      </c>
      <c r="E121" s="5">
        <f t="shared" ca="1" si="18"/>
        <v>1</v>
      </c>
      <c r="F121" s="14">
        <f ca="1">INDEX(cards[Entities count],MATCH('Group code'!C121,cards[object_id order],0))</f>
        <v>5</v>
      </c>
      <c r="G121" s="14">
        <f t="shared" ca="1" si="21"/>
        <v>2</v>
      </c>
      <c r="H121" s="14" t="str">
        <f t="shared" ca="1" si="22"/>
        <v/>
      </c>
      <c r="I121" s="5" t="str">
        <f t="shared" ca="1" si="23"/>
        <v/>
      </c>
      <c r="J121" s="5" t="str">
        <f t="shared" ca="1" si="19"/>
        <v/>
      </c>
      <c r="K121" s="5" t="str">
        <f t="shared" ca="1" si="24"/>
        <v/>
      </c>
      <c r="L121" s="5" t="str">
        <f t="shared" ca="1" si="25"/>
        <v/>
      </c>
      <c r="M121" s="5">
        <f t="shared" ca="1" si="26"/>
        <v>1</v>
      </c>
      <c r="N121" s="5" t="str">
        <f t="shared" ca="1" si="27"/>
        <v/>
      </c>
      <c r="O121" s="5" t="str">
        <f t="shared" ca="1" si="28"/>
        <v/>
      </c>
      <c r="P121" s="5" t="str">
        <f ca="1">VLOOKUP(G121,'Group code'!$Z$9:$AC$13,3,FALSE)</f>
        <v xml:space="preserve">  entities:</v>
      </c>
      <c r="Q121" s="5" t="str">
        <f t="shared" ca="1" si="29"/>
        <v/>
      </c>
      <c r="R121" s="5" t="str">
        <f ca="1">IF(G121=0,INDEX(cards[object_id],MATCH($C121,cards[object_id order],0)),"")</f>
        <v/>
      </c>
      <c r="S121" s="5" t="str">
        <f ca="1">IF(G121=1,INDEX(cards[[name]:[control]],MATCH($C121,cards[object_id order],0),'Group code'!J121),"")</f>
        <v/>
      </c>
      <c r="T121" s="5" t="str">
        <f ca="1">IF(G121=3,INDEX(cards[[1]:[25]],MATCH($C121,cards[object_id order],0),'Group code'!I121),"")</f>
        <v/>
      </c>
      <c r="U121" s="5" t="str">
        <f ca="1">VLOOKUP(G121,'Group code'!$Z$9:$AC$13,4,FALSE)</f>
        <v/>
      </c>
      <c r="V121" s="5" t="str">
        <f ca="1">IF(J121="","",VLOOKUP(J121,'Group code'!$Z$15:$AC$18,4,FALSE))</f>
        <v/>
      </c>
      <c r="W121" s="23" t="str">
        <f t="shared" ca="1" si="30"/>
        <v xml:space="preserve">  entities:</v>
      </c>
      <c r="X121" s="5" t="str">
        <f t="shared" ca="1" si="20"/>
        <v/>
      </c>
    </row>
    <row r="122" spans="2:24" x14ac:dyDescent="0.25">
      <c r="B122" s="5">
        <f t="shared" si="17"/>
        <v>116</v>
      </c>
      <c r="C122" s="5">
        <f t="shared" ca="1" si="31"/>
        <v>16</v>
      </c>
      <c r="D122" s="5" t="str">
        <f ca="1">INDEX(cards[Attribute Index],MATCH('Group code'!C122,cards[object_id order],0))</f>
        <v>1</v>
      </c>
      <c r="E122" s="5">
        <f t="shared" ca="1" si="18"/>
        <v>1</v>
      </c>
      <c r="F122" s="14">
        <f ca="1">INDEX(cards[Entities count],MATCH('Group code'!C122,cards[object_id order],0))</f>
        <v>5</v>
      </c>
      <c r="G122" s="14">
        <f t="shared" ca="1" si="21"/>
        <v>3</v>
      </c>
      <c r="H122" s="14" t="str">
        <f t="shared" ca="1" si="22"/>
        <v/>
      </c>
      <c r="I122" s="5">
        <f t="shared" ca="1" si="23"/>
        <v>1</v>
      </c>
      <c r="J122" s="5" t="str">
        <f t="shared" ca="1" si="19"/>
        <v/>
      </c>
      <c r="K122" s="5" t="str">
        <f t="shared" ca="1" si="24"/>
        <v/>
      </c>
      <c r="L122" s="5" t="str">
        <f t="shared" ca="1" si="25"/>
        <v/>
      </c>
      <c r="M122" s="5" t="str">
        <f t="shared" ca="1" si="26"/>
        <v/>
      </c>
      <c r="N122" s="5">
        <f t="shared" ca="1" si="27"/>
        <v>0</v>
      </c>
      <c r="O122" s="5" t="str">
        <f t="shared" ca="1" si="28"/>
        <v/>
      </c>
      <c r="P122" s="5" t="str">
        <f ca="1">VLOOKUP(G122,'Group code'!$Z$9:$AC$13,3,FALSE)</f>
        <v xml:space="preserve">    - </v>
      </c>
      <c r="Q122" s="5" t="str">
        <f t="shared" ca="1" si="29"/>
        <v/>
      </c>
      <c r="R122" s="5" t="str">
        <f ca="1">IF(G122=0,INDEX(cards[object_id],MATCH($C122,cards[object_id order],0)),"")</f>
        <v/>
      </c>
      <c r="S122" s="5" t="str">
        <f ca="1">IF(G122=1,INDEX(cards[[name]:[control]],MATCH($C122,cards[object_id order],0),'Group code'!J122),"")</f>
        <v/>
      </c>
      <c r="T122" s="5" t="str">
        <f ca="1">IF(G122=3,INDEX(cards[[1]:[25]],MATCH($C122,cards[object_id order],0),'Group code'!I122),"")</f>
        <v>sensor.dark_sky_minutely_summary</v>
      </c>
      <c r="U122" s="5" t="str">
        <f ca="1">VLOOKUP(G122,'Group code'!$Z$9:$AC$13,4,FALSE)</f>
        <v/>
      </c>
      <c r="V122" s="5" t="str">
        <f ca="1">IF(J122="","",VLOOKUP(J122,'Group code'!$Z$15:$AC$18,4,FALSE))</f>
        <v/>
      </c>
      <c r="W122" s="23" t="str">
        <f t="shared" ca="1" si="30"/>
        <v xml:space="preserve">    - sensor.dark_sky_minutely_summary</v>
      </c>
      <c r="X122" s="5" t="str">
        <f t="shared" ca="1" si="20"/>
        <v/>
      </c>
    </row>
    <row r="123" spans="2:24" x14ac:dyDescent="0.25">
      <c r="B123" s="5">
        <f t="shared" si="17"/>
        <v>117</v>
      </c>
      <c r="C123" s="5">
        <f t="shared" ca="1" si="31"/>
        <v>16</v>
      </c>
      <c r="D123" s="5" t="str">
        <f ca="1">INDEX(cards[Attribute Index],MATCH('Group code'!C123,cards[object_id order],0))</f>
        <v>1</v>
      </c>
      <c r="E123" s="5">
        <f t="shared" ca="1" si="18"/>
        <v>1</v>
      </c>
      <c r="F123" s="14">
        <f ca="1">INDEX(cards[Entities count],MATCH('Group code'!C123,cards[object_id order],0))</f>
        <v>5</v>
      </c>
      <c r="G123" s="14">
        <f t="shared" ca="1" si="21"/>
        <v>3</v>
      </c>
      <c r="H123" s="14" t="str">
        <f t="shared" ca="1" si="22"/>
        <v/>
      </c>
      <c r="I123" s="5">
        <f t="shared" ca="1" si="23"/>
        <v>2</v>
      </c>
      <c r="J123" s="5" t="str">
        <f t="shared" ca="1" si="19"/>
        <v/>
      </c>
      <c r="K123" s="5" t="str">
        <f t="shared" ca="1" si="24"/>
        <v/>
      </c>
      <c r="L123" s="5" t="str">
        <f t="shared" ca="1" si="25"/>
        <v/>
      </c>
      <c r="M123" s="5" t="str">
        <f t="shared" ca="1" si="26"/>
        <v/>
      </c>
      <c r="N123" s="5">
        <f t="shared" ca="1" si="27"/>
        <v>0</v>
      </c>
      <c r="O123" s="5" t="str">
        <f t="shared" ca="1" si="28"/>
        <v/>
      </c>
      <c r="P123" s="5" t="str">
        <f ca="1">VLOOKUP(G123,'Group code'!$Z$9:$AC$13,3,FALSE)</f>
        <v xml:space="preserve">    - </v>
      </c>
      <c r="Q123" s="5" t="str">
        <f t="shared" ca="1" si="29"/>
        <v/>
      </c>
      <c r="R123" s="5" t="str">
        <f ca="1">IF(G123=0,INDEX(cards[object_id],MATCH($C123,cards[object_id order],0)),"")</f>
        <v/>
      </c>
      <c r="S123" s="5" t="str">
        <f ca="1">IF(G123=1,INDEX(cards[[name]:[control]],MATCH($C123,cards[object_id order],0),'Group code'!J123),"")</f>
        <v/>
      </c>
      <c r="T123" s="5" t="str">
        <f ca="1">IF(G123=3,INDEX(cards[[1]:[25]],MATCH($C123,cards[object_id order],0),'Group code'!I123),"")</f>
        <v>sensor.dark_sky_apparent_temperature</v>
      </c>
      <c r="U123" s="5" t="str">
        <f ca="1">VLOOKUP(G123,'Group code'!$Z$9:$AC$13,4,FALSE)</f>
        <v/>
      </c>
      <c r="V123" s="5" t="str">
        <f ca="1">IF(J123="","",VLOOKUP(J123,'Group code'!$Z$15:$AC$18,4,FALSE))</f>
        <v/>
      </c>
      <c r="W123" s="23" t="str">
        <f t="shared" ca="1" si="30"/>
        <v xml:space="preserve">    - sensor.dark_sky_apparent_temperature</v>
      </c>
      <c r="X123" s="5" t="str">
        <f t="shared" ca="1" si="20"/>
        <v/>
      </c>
    </row>
    <row r="124" spans="2:24" x14ac:dyDescent="0.25">
      <c r="B124" s="5">
        <f t="shared" si="17"/>
        <v>118</v>
      </c>
      <c r="C124" s="5">
        <f t="shared" ca="1" si="31"/>
        <v>16</v>
      </c>
      <c r="D124" s="5" t="str">
        <f ca="1">INDEX(cards[Attribute Index],MATCH('Group code'!C124,cards[object_id order],0))</f>
        <v>1</v>
      </c>
      <c r="E124" s="5">
        <f t="shared" ca="1" si="18"/>
        <v>1</v>
      </c>
      <c r="F124" s="14">
        <f ca="1">INDEX(cards[Entities count],MATCH('Group code'!C124,cards[object_id order],0))</f>
        <v>5</v>
      </c>
      <c r="G124" s="14">
        <f t="shared" ca="1" si="21"/>
        <v>3</v>
      </c>
      <c r="H124" s="14" t="str">
        <f t="shared" ca="1" si="22"/>
        <v/>
      </c>
      <c r="I124" s="5">
        <f t="shared" ca="1" si="23"/>
        <v>3</v>
      </c>
      <c r="J124" s="5" t="str">
        <f t="shared" ca="1" si="19"/>
        <v/>
      </c>
      <c r="K124" s="5" t="str">
        <f t="shared" ca="1" si="24"/>
        <v/>
      </c>
      <c r="L124" s="5" t="str">
        <f t="shared" ca="1" si="25"/>
        <v/>
      </c>
      <c r="M124" s="5" t="str">
        <f t="shared" ca="1" si="26"/>
        <v/>
      </c>
      <c r="N124" s="5">
        <f t="shared" ca="1" si="27"/>
        <v>0</v>
      </c>
      <c r="O124" s="5" t="str">
        <f t="shared" ca="1" si="28"/>
        <v/>
      </c>
      <c r="P124" s="5" t="str">
        <f ca="1">VLOOKUP(G124,'Group code'!$Z$9:$AC$13,3,FALSE)</f>
        <v xml:space="preserve">    - </v>
      </c>
      <c r="Q124" s="5" t="str">
        <f t="shared" ca="1" si="29"/>
        <v/>
      </c>
      <c r="R124" s="5" t="str">
        <f ca="1">IF(G124=0,INDEX(cards[object_id],MATCH($C124,cards[object_id order],0)),"")</f>
        <v/>
      </c>
      <c r="S124" s="5" t="str">
        <f ca="1">IF(G124=1,INDEX(cards[[name]:[control]],MATCH($C124,cards[object_id order],0),'Group code'!J124),"")</f>
        <v/>
      </c>
      <c r="T124" s="5" t="str">
        <f ca="1">IF(G124=3,INDEX(cards[[1]:[25]],MATCH($C124,cards[object_id order],0),'Group code'!I124),"")</f>
        <v>sensor.dark_sky_precip_probability</v>
      </c>
      <c r="U124" s="5" t="str">
        <f ca="1">VLOOKUP(G124,'Group code'!$Z$9:$AC$13,4,FALSE)</f>
        <v/>
      </c>
      <c r="V124" s="5" t="str">
        <f ca="1">IF(J124="","",VLOOKUP(J124,'Group code'!$Z$15:$AC$18,4,FALSE))</f>
        <v/>
      </c>
      <c r="W124" s="23" t="str">
        <f t="shared" ca="1" si="30"/>
        <v xml:space="preserve">    - sensor.dark_sky_precip_probability</v>
      </c>
      <c r="X124" s="5" t="str">
        <f t="shared" ca="1" si="20"/>
        <v/>
      </c>
    </row>
    <row r="125" spans="2:24" x14ac:dyDescent="0.25">
      <c r="B125" s="5">
        <f t="shared" si="17"/>
        <v>119</v>
      </c>
      <c r="C125" s="5">
        <f t="shared" ca="1" si="31"/>
        <v>16</v>
      </c>
      <c r="D125" s="5" t="str">
        <f ca="1">INDEX(cards[Attribute Index],MATCH('Group code'!C125,cards[object_id order],0))</f>
        <v>1</v>
      </c>
      <c r="E125" s="5">
        <f t="shared" ca="1" si="18"/>
        <v>1</v>
      </c>
      <c r="F125" s="14">
        <f ca="1">INDEX(cards[Entities count],MATCH('Group code'!C125,cards[object_id order],0))</f>
        <v>5</v>
      </c>
      <c r="G125" s="14">
        <f t="shared" ca="1" si="21"/>
        <v>3</v>
      </c>
      <c r="H125" s="14" t="str">
        <f t="shared" ca="1" si="22"/>
        <v/>
      </c>
      <c r="I125" s="5">
        <f t="shared" ca="1" si="23"/>
        <v>4</v>
      </c>
      <c r="J125" s="5" t="str">
        <f t="shared" ca="1" si="19"/>
        <v/>
      </c>
      <c r="K125" s="5" t="str">
        <f t="shared" ca="1" si="24"/>
        <v/>
      </c>
      <c r="L125" s="5" t="str">
        <f t="shared" ca="1" si="25"/>
        <v/>
      </c>
      <c r="M125" s="5" t="str">
        <f t="shared" ca="1" si="26"/>
        <v/>
      </c>
      <c r="N125" s="5">
        <f t="shared" ca="1" si="27"/>
        <v>0</v>
      </c>
      <c r="O125" s="5" t="str">
        <f t="shared" ca="1" si="28"/>
        <v/>
      </c>
      <c r="P125" s="5" t="str">
        <f ca="1">VLOOKUP(G125,'Group code'!$Z$9:$AC$13,3,FALSE)</f>
        <v xml:space="preserve">    - </v>
      </c>
      <c r="Q125" s="5" t="str">
        <f t="shared" ca="1" si="29"/>
        <v/>
      </c>
      <c r="R125" s="5" t="str">
        <f ca="1">IF(G125=0,INDEX(cards[object_id],MATCH($C125,cards[object_id order],0)),"")</f>
        <v/>
      </c>
      <c r="S125" s="5" t="str">
        <f ca="1">IF(G125=1,INDEX(cards[[name]:[control]],MATCH($C125,cards[object_id order],0),'Group code'!J125),"")</f>
        <v/>
      </c>
      <c r="T125" s="5" t="str">
        <f ca="1">IF(G125=3,INDEX(cards[[1]:[25]],MATCH($C125,cards[object_id order],0),'Group code'!I125),"")</f>
        <v>sensor.dark_sky_hourly_summary</v>
      </c>
      <c r="U125" s="5" t="str">
        <f ca="1">VLOOKUP(G125,'Group code'!$Z$9:$AC$13,4,FALSE)</f>
        <v/>
      </c>
      <c r="V125" s="5" t="str">
        <f ca="1">IF(J125="","",VLOOKUP(J125,'Group code'!$Z$15:$AC$18,4,FALSE))</f>
        <v/>
      </c>
      <c r="W125" s="23" t="str">
        <f t="shared" ca="1" si="30"/>
        <v xml:space="preserve">    - sensor.dark_sky_hourly_summary</v>
      </c>
      <c r="X125" s="5" t="str">
        <f t="shared" ca="1" si="20"/>
        <v/>
      </c>
    </row>
    <row r="126" spans="2:24" x14ac:dyDescent="0.25">
      <c r="B126" s="5">
        <f t="shared" si="17"/>
        <v>120</v>
      </c>
      <c r="C126" s="5">
        <f t="shared" ca="1" si="31"/>
        <v>16</v>
      </c>
      <c r="D126" s="5" t="str">
        <f ca="1">INDEX(cards[Attribute Index],MATCH('Group code'!C126,cards[object_id order],0))</f>
        <v>1</v>
      </c>
      <c r="E126" s="5">
        <f t="shared" ca="1" si="18"/>
        <v>1</v>
      </c>
      <c r="F126" s="14">
        <f ca="1">INDEX(cards[Entities count],MATCH('Group code'!C126,cards[object_id order],0))</f>
        <v>5</v>
      </c>
      <c r="G126" s="14">
        <f t="shared" ca="1" si="21"/>
        <v>3</v>
      </c>
      <c r="H126" s="14" t="str">
        <f t="shared" ca="1" si="22"/>
        <v/>
      </c>
      <c r="I126" s="5">
        <f t="shared" ca="1" si="23"/>
        <v>5</v>
      </c>
      <c r="J126" s="5" t="str">
        <f t="shared" ca="1" si="19"/>
        <v/>
      </c>
      <c r="K126" s="5" t="str">
        <f t="shared" ca="1" si="24"/>
        <v/>
      </c>
      <c r="L126" s="5" t="str">
        <f t="shared" ca="1" si="25"/>
        <v/>
      </c>
      <c r="M126" s="5" t="str">
        <f t="shared" ca="1" si="26"/>
        <v/>
      </c>
      <c r="N126" s="5">
        <f t="shared" ca="1" si="27"/>
        <v>1</v>
      </c>
      <c r="O126" s="5" t="str">
        <f t="shared" ca="1" si="28"/>
        <v/>
      </c>
      <c r="P126" s="5" t="str">
        <f ca="1">VLOOKUP(G126,'Group code'!$Z$9:$AC$13,3,FALSE)</f>
        <v xml:space="preserve">    - </v>
      </c>
      <c r="Q126" s="5" t="str">
        <f t="shared" ca="1" si="29"/>
        <v/>
      </c>
      <c r="R126" s="5" t="str">
        <f ca="1">IF(G126=0,INDEX(cards[object_id],MATCH($C126,cards[object_id order],0)),"")</f>
        <v/>
      </c>
      <c r="S126" s="5" t="str">
        <f ca="1">IF(G126=1,INDEX(cards[[name]:[control]],MATCH($C126,cards[object_id order],0),'Group code'!J126),"")</f>
        <v/>
      </c>
      <c r="T126" s="5" t="str">
        <f ca="1">IF(G126=3,INDEX(cards[[1]:[25]],MATCH($C126,cards[object_id order],0),'Group code'!I126),"")</f>
        <v>sensor.dark_sky_daily_summary</v>
      </c>
      <c r="U126" s="5" t="str">
        <f ca="1">VLOOKUP(G126,'Group code'!$Z$9:$AC$13,4,FALSE)</f>
        <v/>
      </c>
      <c r="V126" s="5" t="str">
        <f ca="1">IF(J126="","",VLOOKUP(J126,'Group code'!$Z$15:$AC$18,4,FALSE))</f>
        <v/>
      </c>
      <c r="W126" s="23" t="str">
        <f t="shared" ca="1" si="30"/>
        <v xml:space="preserve">    - sensor.dark_sky_daily_summary</v>
      </c>
      <c r="X126" s="5" t="str">
        <f t="shared" ca="1" si="20"/>
        <v/>
      </c>
    </row>
    <row r="127" spans="2:24" x14ac:dyDescent="0.25">
      <c r="B127" s="5">
        <f t="shared" si="17"/>
        <v>121</v>
      </c>
      <c r="C127" s="5">
        <f t="shared" ca="1" si="31"/>
        <v>16</v>
      </c>
      <c r="D127" s="5" t="str">
        <f ca="1">INDEX(cards[Attribute Index],MATCH('Group code'!C127,cards[object_id order],0))</f>
        <v>1</v>
      </c>
      <c r="E127" s="5">
        <f t="shared" ca="1" si="18"/>
        <v>1</v>
      </c>
      <c r="F127" s="14">
        <f ca="1">INDEX(cards[Entities count],MATCH('Group code'!C127,cards[object_id order],0))</f>
        <v>5</v>
      </c>
      <c r="G127" s="14">
        <f t="shared" ca="1" si="21"/>
        <v>4</v>
      </c>
      <c r="H127" s="14" t="str">
        <f t="shared" ca="1" si="22"/>
        <v/>
      </c>
      <c r="I127" s="5" t="str">
        <f t="shared" ca="1" si="23"/>
        <v/>
      </c>
      <c r="J127" s="5" t="str">
        <f t="shared" ca="1" si="19"/>
        <v/>
      </c>
      <c r="K127" s="5" t="str">
        <f t="shared" ca="1" si="24"/>
        <v/>
      </c>
      <c r="L127" s="5" t="str">
        <f t="shared" ca="1" si="25"/>
        <v/>
      </c>
      <c r="M127" s="5" t="str">
        <f t="shared" ca="1" si="26"/>
        <v/>
      </c>
      <c r="N127" s="5" t="str">
        <f t="shared" ca="1" si="27"/>
        <v/>
      </c>
      <c r="O127" s="5">
        <f t="shared" ca="1" si="28"/>
        <v>-4</v>
      </c>
      <c r="P127" s="5" t="str">
        <f ca="1">VLOOKUP(G127,'Group code'!$Z$9:$AC$13,3,FALSE)</f>
        <v/>
      </c>
      <c r="Q127" s="5" t="str">
        <f t="shared" ca="1" si="29"/>
        <v/>
      </c>
      <c r="R127" s="5" t="str">
        <f ca="1">IF(G127=0,INDEX(cards[object_id],MATCH($C127,cards[object_id order],0)),"")</f>
        <v/>
      </c>
      <c r="S127" s="5" t="str">
        <f ca="1">IF(G127=1,INDEX(cards[[name]:[control]],MATCH($C127,cards[object_id order],0),'Group code'!J127),"")</f>
        <v/>
      </c>
      <c r="T127" s="5" t="str">
        <f ca="1">IF(G127=3,INDEX(cards[[1]:[25]],MATCH($C127,cards[object_id order],0),'Group code'!I127),"")</f>
        <v/>
      </c>
      <c r="U127" s="5" t="str">
        <f ca="1">VLOOKUP(G127,'Group code'!$Z$9:$AC$13,4,FALSE)</f>
        <v/>
      </c>
      <c r="V127" s="5" t="str">
        <f ca="1">IF(J127="","",VLOOKUP(J127,'Group code'!$Z$15:$AC$18,4,FALSE))</f>
        <v/>
      </c>
      <c r="W127" s="23" t="str">
        <f t="shared" ca="1" si="30"/>
        <v/>
      </c>
      <c r="X127" s="5" t="str">
        <f t="shared" ca="1" si="20"/>
        <v/>
      </c>
    </row>
    <row r="128" spans="2:24" x14ac:dyDescent="0.25">
      <c r="B128" s="5">
        <f t="shared" si="17"/>
        <v>122</v>
      </c>
      <c r="C128" s="5">
        <f t="shared" ca="1" si="31"/>
        <v>17</v>
      </c>
      <c r="D128" s="5" t="str">
        <f ca="1">INDEX(cards[Attribute Index],MATCH('Group code'!C128,cards[object_id order],0))</f>
        <v>1</v>
      </c>
      <c r="E128" s="5">
        <f t="shared" ca="1" si="18"/>
        <v>1</v>
      </c>
      <c r="F128" s="14">
        <f ca="1">INDEX(cards[Entities count],MATCH('Group code'!C128,cards[object_id order],0))</f>
        <v>13</v>
      </c>
      <c r="G128" s="14">
        <f t="shared" ca="1" si="21"/>
        <v>0</v>
      </c>
      <c r="H128" s="14" t="str">
        <f t="shared" ca="1" si="22"/>
        <v/>
      </c>
      <c r="I128" s="5" t="str">
        <f t="shared" ca="1" si="23"/>
        <v/>
      </c>
      <c r="J128" s="5" t="str">
        <f t="shared" ca="1" si="19"/>
        <v/>
      </c>
      <c r="K128" s="5">
        <f t="shared" ca="1" si="24"/>
        <v>1</v>
      </c>
      <c r="L128" s="5" t="str">
        <f t="shared" ca="1" si="25"/>
        <v/>
      </c>
      <c r="M128" s="5" t="str">
        <f t="shared" ca="1" si="26"/>
        <v/>
      </c>
      <c r="N128" s="5" t="str">
        <f t="shared" ca="1" si="27"/>
        <v/>
      </c>
      <c r="O128" s="5" t="str">
        <f t="shared" ca="1" si="28"/>
        <v/>
      </c>
      <c r="P128" s="5" t="str">
        <f ca="1">VLOOKUP(G128,'Group code'!$Z$9:$AC$13,3,FALSE)</f>
        <v/>
      </c>
      <c r="Q128" s="5" t="str">
        <f t="shared" ca="1" si="29"/>
        <v/>
      </c>
      <c r="R128" s="5" t="str">
        <f ca="1">IF(G128=0,INDEX(cards[object_id],MATCH($C128,cards[object_id order],0)),"")</f>
        <v>environment_detail</v>
      </c>
      <c r="S128" s="5" t="str">
        <f ca="1">IF(G128=1,INDEX(cards[[name]:[control]],MATCH($C128,cards[object_id order],0),'Group code'!J128),"")</f>
        <v/>
      </c>
      <c r="T128" s="5" t="str">
        <f ca="1">IF(G128=3,INDEX(cards[[1]:[25]],MATCH($C128,cards[object_id order],0),'Group code'!I128),"")</f>
        <v/>
      </c>
      <c r="U128" s="5" t="str">
        <f ca="1">VLOOKUP(G128,'Group code'!$Z$9:$AC$13,4,FALSE)</f>
        <v>:</v>
      </c>
      <c r="V128" s="5" t="str">
        <f ca="1">IF(J128="","",VLOOKUP(J128,'Group code'!$Z$15:$AC$18,4,FALSE))</f>
        <v/>
      </c>
      <c r="W128" s="23" t="str">
        <f t="shared" ca="1" si="30"/>
        <v>environment_detail:</v>
      </c>
      <c r="X128" s="5" t="str">
        <f t="shared" ca="1" si="20"/>
        <v/>
      </c>
    </row>
    <row r="129" spans="2:24" x14ac:dyDescent="0.25">
      <c r="B129" s="5">
        <f t="shared" si="17"/>
        <v>123</v>
      </c>
      <c r="C129" s="5">
        <f t="shared" ca="1" si="31"/>
        <v>17</v>
      </c>
      <c r="D129" s="5" t="str">
        <f ca="1">INDEX(cards[Attribute Index],MATCH('Group code'!C129,cards[object_id order],0))</f>
        <v>1</v>
      </c>
      <c r="E129" s="5">
        <f t="shared" ca="1" si="18"/>
        <v>1</v>
      </c>
      <c r="F129" s="14">
        <f ca="1">INDEX(cards[Entities count],MATCH('Group code'!C129,cards[object_id order],0))</f>
        <v>13</v>
      </c>
      <c r="G129" s="14">
        <f t="shared" ca="1" si="21"/>
        <v>1</v>
      </c>
      <c r="H129" s="14">
        <f t="shared" ca="1" si="22"/>
        <v>1</v>
      </c>
      <c r="I129" s="5" t="str">
        <f t="shared" ca="1" si="23"/>
        <v/>
      </c>
      <c r="J129" s="5">
        <f t="shared" ca="1" si="19"/>
        <v>1</v>
      </c>
      <c r="K129" s="5" t="str">
        <f t="shared" ca="1" si="24"/>
        <v/>
      </c>
      <c r="L129" s="5">
        <f t="shared" ca="1" si="25"/>
        <v>1</v>
      </c>
      <c r="M129" s="5" t="str">
        <f t="shared" ca="1" si="26"/>
        <v/>
      </c>
      <c r="N129" s="5" t="str">
        <f t="shared" ca="1" si="27"/>
        <v/>
      </c>
      <c r="O129" s="5" t="str">
        <f t="shared" ca="1" si="28"/>
        <v/>
      </c>
      <c r="P129" s="5" t="str">
        <f ca="1">VLOOKUP(G129,'Group code'!$Z$9:$AC$13,3,FALSE)</f>
        <v/>
      </c>
      <c r="Q129" s="5" t="str">
        <f t="shared" ca="1" si="29"/>
        <v xml:space="preserve">  name: "</v>
      </c>
      <c r="R129" s="5" t="str">
        <f ca="1">IF(G129=0,INDEX(cards[object_id],MATCH($C129,cards[object_id order],0)),"")</f>
        <v/>
      </c>
      <c r="S129" s="5" t="str">
        <f ca="1">IF(G129=1,INDEX(cards[[name]:[control]],MATCH($C129,cards[object_id order],0),'Group code'!J129),"")</f>
        <v>Environment Detail</v>
      </c>
      <c r="T129" s="5" t="str">
        <f ca="1">IF(G129=3,INDEX(cards[[1]:[25]],MATCH($C129,cards[object_id order],0),'Group code'!I129),"")</f>
        <v/>
      </c>
      <c r="U129" s="5" t="str">
        <f ca="1">VLOOKUP(G129,'Group code'!$Z$9:$AC$13,4,FALSE)</f>
        <v/>
      </c>
      <c r="V129" s="5" t="str">
        <f ca="1">IF(J129="","",VLOOKUP(J129,'Group code'!$Z$15:$AC$18,4,FALSE))</f>
        <v>"</v>
      </c>
      <c r="W129" s="23" t="str">
        <f t="shared" ca="1" si="30"/>
        <v xml:space="preserve">  name: "Environment Detail"</v>
      </c>
      <c r="X129" s="5" t="str">
        <f t="shared" ca="1" si="20"/>
        <v/>
      </c>
    </row>
    <row r="130" spans="2:24" x14ac:dyDescent="0.25">
      <c r="B130" s="5">
        <f t="shared" si="17"/>
        <v>124</v>
      </c>
      <c r="C130" s="5">
        <f t="shared" ca="1" si="31"/>
        <v>17</v>
      </c>
      <c r="D130" s="5" t="str">
        <f ca="1">INDEX(cards[Attribute Index],MATCH('Group code'!C130,cards[object_id order],0))</f>
        <v>1</v>
      </c>
      <c r="E130" s="5">
        <f t="shared" ca="1" si="18"/>
        <v>1</v>
      </c>
      <c r="F130" s="14">
        <f ca="1">INDEX(cards[Entities count],MATCH('Group code'!C130,cards[object_id order],0))</f>
        <v>13</v>
      </c>
      <c r="G130" s="14">
        <f t="shared" ca="1" si="21"/>
        <v>2</v>
      </c>
      <c r="H130" s="14" t="str">
        <f t="shared" ca="1" si="22"/>
        <v/>
      </c>
      <c r="I130" s="5" t="str">
        <f t="shared" ca="1" si="23"/>
        <v/>
      </c>
      <c r="J130" s="5" t="str">
        <f t="shared" ca="1" si="19"/>
        <v/>
      </c>
      <c r="K130" s="5" t="str">
        <f t="shared" ca="1" si="24"/>
        <v/>
      </c>
      <c r="L130" s="5" t="str">
        <f t="shared" ca="1" si="25"/>
        <v/>
      </c>
      <c r="M130" s="5">
        <f t="shared" ca="1" si="26"/>
        <v>1</v>
      </c>
      <c r="N130" s="5" t="str">
        <f t="shared" ca="1" si="27"/>
        <v/>
      </c>
      <c r="O130" s="5" t="str">
        <f t="shared" ca="1" si="28"/>
        <v/>
      </c>
      <c r="P130" s="5" t="str">
        <f ca="1">VLOOKUP(G130,'Group code'!$Z$9:$AC$13,3,FALSE)</f>
        <v xml:space="preserve">  entities:</v>
      </c>
      <c r="Q130" s="5" t="str">
        <f t="shared" ca="1" si="29"/>
        <v/>
      </c>
      <c r="R130" s="5" t="str">
        <f ca="1">IF(G130=0,INDEX(cards[object_id],MATCH($C130,cards[object_id order],0)),"")</f>
        <v/>
      </c>
      <c r="S130" s="5" t="str">
        <f ca="1">IF(G130=1,INDEX(cards[[name]:[control]],MATCH($C130,cards[object_id order],0),'Group code'!J130),"")</f>
        <v/>
      </c>
      <c r="T130" s="5" t="str">
        <f ca="1">IF(G130=3,INDEX(cards[[1]:[25]],MATCH($C130,cards[object_id order],0),'Group code'!I130),"")</f>
        <v/>
      </c>
      <c r="U130" s="5" t="str">
        <f ca="1">VLOOKUP(G130,'Group code'!$Z$9:$AC$13,4,FALSE)</f>
        <v/>
      </c>
      <c r="V130" s="5" t="str">
        <f ca="1">IF(J130="","",VLOOKUP(J130,'Group code'!$Z$15:$AC$18,4,FALSE))</f>
        <v/>
      </c>
      <c r="W130" s="23" t="str">
        <f t="shared" ca="1" si="30"/>
        <v xml:space="preserve">  entities:</v>
      </c>
      <c r="X130" s="5" t="str">
        <f t="shared" ca="1" si="20"/>
        <v/>
      </c>
    </row>
    <row r="131" spans="2:24" x14ac:dyDescent="0.25">
      <c r="B131" s="5">
        <f t="shared" si="17"/>
        <v>125</v>
      </c>
      <c r="C131" s="5">
        <f t="shared" ca="1" si="31"/>
        <v>17</v>
      </c>
      <c r="D131" s="5" t="str">
        <f ca="1">INDEX(cards[Attribute Index],MATCH('Group code'!C131,cards[object_id order],0))</f>
        <v>1</v>
      </c>
      <c r="E131" s="5">
        <f t="shared" ca="1" si="18"/>
        <v>1</v>
      </c>
      <c r="F131" s="14">
        <f ca="1">INDEX(cards[Entities count],MATCH('Group code'!C131,cards[object_id order],0))</f>
        <v>13</v>
      </c>
      <c r="G131" s="14">
        <f t="shared" ca="1" si="21"/>
        <v>3</v>
      </c>
      <c r="H131" s="14" t="str">
        <f t="shared" ca="1" si="22"/>
        <v/>
      </c>
      <c r="I131" s="5">
        <f t="shared" ca="1" si="23"/>
        <v>1</v>
      </c>
      <c r="J131" s="5" t="str">
        <f t="shared" ca="1" si="19"/>
        <v/>
      </c>
      <c r="K131" s="5" t="str">
        <f t="shared" ca="1" si="24"/>
        <v/>
      </c>
      <c r="L131" s="5" t="str">
        <f t="shared" ca="1" si="25"/>
        <v/>
      </c>
      <c r="M131" s="5" t="str">
        <f t="shared" ca="1" si="26"/>
        <v/>
      </c>
      <c r="N131" s="5">
        <f t="shared" ca="1" si="27"/>
        <v>0</v>
      </c>
      <c r="O131" s="5" t="str">
        <f t="shared" ca="1" si="28"/>
        <v/>
      </c>
      <c r="P131" s="5" t="str">
        <f ca="1">VLOOKUP(G131,'Group code'!$Z$9:$AC$13,3,FALSE)</f>
        <v xml:space="preserve">    - </v>
      </c>
      <c r="Q131" s="5" t="str">
        <f t="shared" ca="1" si="29"/>
        <v/>
      </c>
      <c r="R131" s="5" t="str">
        <f ca="1">IF(G131=0,INDEX(cards[object_id],MATCH($C131,cards[object_id order],0)),"")</f>
        <v/>
      </c>
      <c r="S131" s="5" t="str">
        <f ca="1">IF(G131=1,INDEX(cards[[name]:[control]],MATCH($C131,cards[object_id order],0),'Group code'!J131),"")</f>
        <v/>
      </c>
      <c r="T131" s="5" t="str">
        <f ca="1">IF(G131=3,INDEX(cards[[1]:[25]],MATCH($C131,cards[object_id order],0),'Group code'!I131),"")</f>
        <v>sensor.dark_sky_precip</v>
      </c>
      <c r="U131" s="5" t="str">
        <f ca="1">VLOOKUP(G131,'Group code'!$Z$9:$AC$13,4,FALSE)</f>
        <v/>
      </c>
      <c r="V131" s="5" t="str">
        <f ca="1">IF(J131="","",VLOOKUP(J131,'Group code'!$Z$15:$AC$18,4,FALSE))</f>
        <v/>
      </c>
      <c r="W131" s="23" t="str">
        <f t="shared" ca="1" si="30"/>
        <v xml:space="preserve">    - sensor.dark_sky_precip</v>
      </c>
      <c r="X131" s="5" t="str">
        <f t="shared" ca="1" si="20"/>
        <v/>
      </c>
    </row>
    <row r="132" spans="2:24" x14ac:dyDescent="0.25">
      <c r="B132" s="5">
        <f t="shared" si="17"/>
        <v>126</v>
      </c>
      <c r="C132" s="5">
        <f t="shared" ca="1" si="31"/>
        <v>17</v>
      </c>
      <c r="D132" s="5" t="str">
        <f ca="1">INDEX(cards[Attribute Index],MATCH('Group code'!C132,cards[object_id order],0))</f>
        <v>1</v>
      </c>
      <c r="E132" s="5">
        <f t="shared" ca="1" si="18"/>
        <v>1</v>
      </c>
      <c r="F132" s="14">
        <f ca="1">INDEX(cards[Entities count],MATCH('Group code'!C132,cards[object_id order],0))</f>
        <v>13</v>
      </c>
      <c r="G132" s="14">
        <f t="shared" ca="1" si="21"/>
        <v>3</v>
      </c>
      <c r="H132" s="14" t="str">
        <f t="shared" ca="1" si="22"/>
        <v/>
      </c>
      <c r="I132" s="5">
        <f t="shared" ca="1" si="23"/>
        <v>2</v>
      </c>
      <c r="J132" s="5" t="str">
        <f t="shared" ca="1" si="19"/>
        <v/>
      </c>
      <c r="K132" s="5" t="str">
        <f t="shared" ca="1" si="24"/>
        <v/>
      </c>
      <c r="L132" s="5" t="str">
        <f t="shared" ca="1" si="25"/>
        <v/>
      </c>
      <c r="M132" s="5" t="str">
        <f t="shared" ca="1" si="26"/>
        <v/>
      </c>
      <c r="N132" s="5">
        <f t="shared" ca="1" si="27"/>
        <v>0</v>
      </c>
      <c r="O132" s="5" t="str">
        <f t="shared" ca="1" si="28"/>
        <v/>
      </c>
      <c r="P132" s="5" t="str">
        <f ca="1">VLOOKUP(G132,'Group code'!$Z$9:$AC$13,3,FALSE)</f>
        <v xml:space="preserve">    - </v>
      </c>
      <c r="Q132" s="5" t="str">
        <f t="shared" ca="1" si="29"/>
        <v/>
      </c>
      <c r="R132" s="5" t="str">
        <f ca="1">IF(G132=0,INDEX(cards[object_id],MATCH($C132,cards[object_id order],0)),"")</f>
        <v/>
      </c>
      <c r="S132" s="5" t="str">
        <f ca="1">IF(G132=1,INDEX(cards[[name]:[control]],MATCH($C132,cards[object_id order],0),'Group code'!J132),"")</f>
        <v/>
      </c>
      <c r="T132" s="5" t="str">
        <f ca="1">IF(G132=3,INDEX(cards[[1]:[25]],MATCH($C132,cards[object_id order],0),'Group code'!I132),"")</f>
        <v>sensor.dark_sky_precip_intensity</v>
      </c>
      <c r="U132" s="5" t="str">
        <f ca="1">VLOOKUP(G132,'Group code'!$Z$9:$AC$13,4,FALSE)</f>
        <v/>
      </c>
      <c r="V132" s="5" t="str">
        <f ca="1">IF(J132="","",VLOOKUP(J132,'Group code'!$Z$15:$AC$18,4,FALSE))</f>
        <v/>
      </c>
      <c r="W132" s="23" t="str">
        <f t="shared" ca="1" si="30"/>
        <v xml:space="preserve">    - sensor.dark_sky_precip_intensity</v>
      </c>
      <c r="X132" s="5" t="str">
        <f t="shared" ca="1" si="20"/>
        <v/>
      </c>
    </row>
    <row r="133" spans="2:24" x14ac:dyDescent="0.25">
      <c r="B133" s="5">
        <f t="shared" si="17"/>
        <v>127</v>
      </c>
      <c r="C133" s="5">
        <f t="shared" ca="1" si="31"/>
        <v>17</v>
      </c>
      <c r="D133" s="5" t="str">
        <f ca="1">INDEX(cards[Attribute Index],MATCH('Group code'!C133,cards[object_id order],0))</f>
        <v>1</v>
      </c>
      <c r="E133" s="5">
        <f t="shared" ca="1" si="18"/>
        <v>1</v>
      </c>
      <c r="F133" s="14">
        <f ca="1">INDEX(cards[Entities count],MATCH('Group code'!C133,cards[object_id order],0))</f>
        <v>13</v>
      </c>
      <c r="G133" s="14">
        <f t="shared" ca="1" si="21"/>
        <v>3</v>
      </c>
      <c r="H133" s="14" t="str">
        <f t="shared" ca="1" si="22"/>
        <v/>
      </c>
      <c r="I133" s="5">
        <f t="shared" ca="1" si="23"/>
        <v>3</v>
      </c>
      <c r="J133" s="5" t="str">
        <f t="shared" ca="1" si="19"/>
        <v/>
      </c>
      <c r="K133" s="5" t="str">
        <f t="shared" ca="1" si="24"/>
        <v/>
      </c>
      <c r="L133" s="5" t="str">
        <f t="shared" ca="1" si="25"/>
        <v/>
      </c>
      <c r="M133" s="5" t="str">
        <f t="shared" ca="1" si="26"/>
        <v/>
      </c>
      <c r="N133" s="5">
        <f t="shared" ca="1" si="27"/>
        <v>0</v>
      </c>
      <c r="O133" s="5" t="str">
        <f t="shared" ca="1" si="28"/>
        <v/>
      </c>
      <c r="P133" s="5" t="str">
        <f ca="1">VLOOKUP(G133,'Group code'!$Z$9:$AC$13,3,FALSE)</f>
        <v xml:space="preserve">    - </v>
      </c>
      <c r="Q133" s="5" t="str">
        <f t="shared" ca="1" si="29"/>
        <v/>
      </c>
      <c r="R133" s="5" t="str">
        <f ca="1">IF(G133=0,INDEX(cards[object_id],MATCH($C133,cards[object_id order],0)),"")</f>
        <v/>
      </c>
      <c r="S133" s="5" t="str">
        <f ca="1">IF(G133=1,INDEX(cards[[name]:[control]],MATCH($C133,cards[object_id order],0),'Group code'!J133),"")</f>
        <v/>
      </c>
      <c r="T133" s="5" t="str">
        <f ca="1">IF(G133=3,INDEX(cards[[1]:[25]],MATCH($C133,cards[object_id order],0),'Group code'!I133),"")</f>
        <v>sensor.dark_sky_daily_max_precip_intensity</v>
      </c>
      <c r="U133" s="5" t="str">
        <f ca="1">VLOOKUP(G133,'Group code'!$Z$9:$AC$13,4,FALSE)</f>
        <v/>
      </c>
      <c r="V133" s="5" t="str">
        <f ca="1">IF(J133="","",VLOOKUP(J133,'Group code'!$Z$15:$AC$18,4,FALSE))</f>
        <v/>
      </c>
      <c r="W133" s="23" t="str">
        <f t="shared" ca="1" si="30"/>
        <v xml:space="preserve">    - sensor.dark_sky_daily_max_precip_intensity</v>
      </c>
      <c r="X133" s="5" t="str">
        <f t="shared" ca="1" si="20"/>
        <v/>
      </c>
    </row>
    <row r="134" spans="2:24" x14ac:dyDescent="0.25">
      <c r="B134" s="5">
        <f t="shared" si="17"/>
        <v>128</v>
      </c>
      <c r="C134" s="5">
        <f t="shared" ca="1" si="31"/>
        <v>17</v>
      </c>
      <c r="D134" s="5" t="str">
        <f ca="1">INDEX(cards[Attribute Index],MATCH('Group code'!C134,cards[object_id order],0))</f>
        <v>1</v>
      </c>
      <c r="E134" s="5">
        <f t="shared" ca="1" si="18"/>
        <v>1</v>
      </c>
      <c r="F134" s="14">
        <f ca="1">INDEX(cards[Entities count],MATCH('Group code'!C134,cards[object_id order],0))</f>
        <v>13</v>
      </c>
      <c r="G134" s="14">
        <f t="shared" ca="1" si="21"/>
        <v>3</v>
      </c>
      <c r="H134" s="14" t="str">
        <f t="shared" ca="1" si="22"/>
        <v/>
      </c>
      <c r="I134" s="5">
        <f t="shared" ca="1" si="23"/>
        <v>4</v>
      </c>
      <c r="J134" s="5" t="str">
        <f t="shared" ca="1" si="19"/>
        <v/>
      </c>
      <c r="K134" s="5" t="str">
        <f t="shared" ca="1" si="24"/>
        <v/>
      </c>
      <c r="L134" s="5" t="str">
        <f t="shared" ca="1" si="25"/>
        <v/>
      </c>
      <c r="M134" s="5" t="str">
        <f t="shared" ca="1" si="26"/>
        <v/>
      </c>
      <c r="N134" s="5">
        <f t="shared" ca="1" si="27"/>
        <v>0</v>
      </c>
      <c r="O134" s="5" t="str">
        <f t="shared" ca="1" si="28"/>
        <v/>
      </c>
      <c r="P134" s="5" t="str">
        <f ca="1">VLOOKUP(G134,'Group code'!$Z$9:$AC$13,3,FALSE)</f>
        <v xml:space="preserve">    - </v>
      </c>
      <c r="Q134" s="5" t="str">
        <f t="shared" ca="1" si="29"/>
        <v/>
      </c>
      <c r="R134" s="5" t="str">
        <f ca="1">IF(G134=0,INDEX(cards[object_id],MATCH($C134,cards[object_id order],0)),"")</f>
        <v/>
      </c>
      <c r="S134" s="5" t="str">
        <f ca="1">IF(G134=1,INDEX(cards[[name]:[control]],MATCH($C134,cards[object_id order],0),'Group code'!J134),"")</f>
        <v/>
      </c>
      <c r="T134" s="5" t="str">
        <f ca="1">IF(G134=3,INDEX(cards[[1]:[25]],MATCH($C134,cards[object_id order],0),'Group code'!I134),"")</f>
        <v>sensor.dark_sky_daily_high_temperature</v>
      </c>
      <c r="U134" s="5" t="str">
        <f ca="1">VLOOKUP(G134,'Group code'!$Z$9:$AC$13,4,FALSE)</f>
        <v/>
      </c>
      <c r="V134" s="5" t="str">
        <f ca="1">IF(J134="","",VLOOKUP(J134,'Group code'!$Z$15:$AC$18,4,FALSE))</f>
        <v/>
      </c>
      <c r="W134" s="23" t="str">
        <f t="shared" ca="1" si="30"/>
        <v xml:space="preserve">    - sensor.dark_sky_daily_high_temperature</v>
      </c>
      <c r="X134" s="5" t="str">
        <f t="shared" ca="1" si="20"/>
        <v/>
      </c>
    </row>
    <row r="135" spans="2:24" x14ac:dyDescent="0.25">
      <c r="B135" s="5">
        <f t="shared" si="17"/>
        <v>129</v>
      </c>
      <c r="C135" s="5">
        <f t="shared" ca="1" si="31"/>
        <v>17</v>
      </c>
      <c r="D135" s="5" t="str">
        <f ca="1">INDEX(cards[Attribute Index],MATCH('Group code'!C135,cards[object_id order],0))</f>
        <v>1</v>
      </c>
      <c r="E135" s="5">
        <f t="shared" ca="1" si="18"/>
        <v>1</v>
      </c>
      <c r="F135" s="14">
        <f ca="1">INDEX(cards[Entities count],MATCH('Group code'!C135,cards[object_id order],0))</f>
        <v>13</v>
      </c>
      <c r="G135" s="14">
        <f t="shared" ca="1" si="21"/>
        <v>3</v>
      </c>
      <c r="H135" s="14" t="str">
        <f t="shared" ca="1" si="22"/>
        <v/>
      </c>
      <c r="I135" s="5">
        <f t="shared" ca="1" si="23"/>
        <v>5</v>
      </c>
      <c r="J135" s="5" t="str">
        <f t="shared" ca="1" si="19"/>
        <v/>
      </c>
      <c r="K135" s="5" t="str">
        <f t="shared" ca="1" si="24"/>
        <v/>
      </c>
      <c r="L135" s="5" t="str">
        <f t="shared" ca="1" si="25"/>
        <v/>
      </c>
      <c r="M135" s="5" t="str">
        <f t="shared" ca="1" si="26"/>
        <v/>
      </c>
      <c r="N135" s="5">
        <f t="shared" ca="1" si="27"/>
        <v>0</v>
      </c>
      <c r="O135" s="5" t="str">
        <f t="shared" ca="1" si="28"/>
        <v/>
      </c>
      <c r="P135" s="5" t="str">
        <f ca="1">VLOOKUP(G135,'Group code'!$Z$9:$AC$13,3,FALSE)</f>
        <v xml:space="preserve">    - </v>
      </c>
      <c r="Q135" s="5" t="str">
        <f t="shared" ca="1" si="29"/>
        <v/>
      </c>
      <c r="R135" s="5" t="str">
        <f ca="1">IF(G135=0,INDEX(cards[object_id],MATCH($C135,cards[object_id order],0)),"")</f>
        <v/>
      </c>
      <c r="S135" s="5" t="str">
        <f ca="1">IF(G135=1,INDEX(cards[[name]:[control]],MATCH($C135,cards[object_id order],0),'Group code'!J135),"")</f>
        <v/>
      </c>
      <c r="T135" s="5" t="str">
        <f ca="1">IF(G135=3,INDEX(cards[[1]:[25]],MATCH($C135,cards[object_id order],0),'Group code'!I135),"")</f>
        <v>sensor.dark_sky_apparent_temperature</v>
      </c>
      <c r="U135" s="5" t="str">
        <f ca="1">VLOOKUP(G135,'Group code'!$Z$9:$AC$13,4,FALSE)</f>
        <v/>
      </c>
      <c r="V135" s="5" t="str">
        <f ca="1">IF(J135="","",VLOOKUP(J135,'Group code'!$Z$15:$AC$18,4,FALSE))</f>
        <v/>
      </c>
      <c r="W135" s="23" t="str">
        <f t="shared" ca="1" si="30"/>
        <v xml:space="preserve">    - sensor.dark_sky_apparent_temperature</v>
      </c>
      <c r="X135" s="5" t="str">
        <f t="shared" ca="1" si="20"/>
        <v/>
      </c>
    </row>
    <row r="136" spans="2:24" x14ac:dyDescent="0.25">
      <c r="B136" s="5">
        <f t="shared" si="17"/>
        <v>130</v>
      </c>
      <c r="C136" s="5">
        <f t="shared" ca="1" si="31"/>
        <v>17</v>
      </c>
      <c r="D136" s="5" t="str">
        <f ca="1">INDEX(cards[Attribute Index],MATCH('Group code'!C136,cards[object_id order],0))</f>
        <v>1</v>
      </c>
      <c r="E136" s="5">
        <f t="shared" ca="1" si="18"/>
        <v>1</v>
      </c>
      <c r="F136" s="14">
        <f ca="1">INDEX(cards[Entities count],MATCH('Group code'!C136,cards[object_id order],0))</f>
        <v>13</v>
      </c>
      <c r="G136" s="14">
        <f t="shared" ca="1" si="21"/>
        <v>3</v>
      </c>
      <c r="H136" s="14" t="str">
        <f t="shared" ca="1" si="22"/>
        <v/>
      </c>
      <c r="I136" s="5">
        <f t="shared" ca="1" si="23"/>
        <v>6</v>
      </c>
      <c r="J136" s="5" t="str">
        <f t="shared" ca="1" si="19"/>
        <v/>
      </c>
      <c r="K136" s="5" t="str">
        <f t="shared" ca="1" si="24"/>
        <v/>
      </c>
      <c r="L136" s="5" t="str">
        <f t="shared" ca="1" si="25"/>
        <v/>
      </c>
      <c r="M136" s="5" t="str">
        <f t="shared" ca="1" si="26"/>
        <v/>
      </c>
      <c r="N136" s="5">
        <f t="shared" ca="1" si="27"/>
        <v>0</v>
      </c>
      <c r="O136" s="5" t="str">
        <f t="shared" ca="1" si="28"/>
        <v/>
      </c>
      <c r="P136" s="5" t="str">
        <f ca="1">VLOOKUP(G136,'Group code'!$Z$9:$AC$13,3,FALSE)</f>
        <v xml:space="preserve">    - </v>
      </c>
      <c r="Q136" s="5" t="str">
        <f t="shared" ca="1" si="29"/>
        <v/>
      </c>
      <c r="R136" s="5" t="str">
        <f ca="1">IF(G136=0,INDEX(cards[object_id],MATCH($C136,cards[object_id order],0)),"")</f>
        <v/>
      </c>
      <c r="S136" s="5" t="str">
        <f ca="1">IF(G136=1,INDEX(cards[[name]:[control]],MATCH($C136,cards[object_id order],0),'Group code'!J136),"")</f>
        <v/>
      </c>
      <c r="T136" s="5" t="str">
        <f ca="1">IF(G136=3,INDEX(cards[[1]:[25]],MATCH($C136,cards[object_id order],0),'Group code'!I136),"")</f>
        <v>sensor.dark_sky_daily_low_temperature</v>
      </c>
      <c r="U136" s="5" t="str">
        <f ca="1">VLOOKUP(G136,'Group code'!$Z$9:$AC$13,4,FALSE)</f>
        <v/>
      </c>
      <c r="V136" s="5" t="str">
        <f ca="1">IF(J136="","",VLOOKUP(J136,'Group code'!$Z$15:$AC$18,4,FALSE))</f>
        <v/>
      </c>
      <c r="W136" s="23" t="str">
        <f t="shared" ca="1" si="30"/>
        <v xml:space="preserve">    - sensor.dark_sky_daily_low_temperature</v>
      </c>
      <c r="X136" s="5" t="str">
        <f t="shared" ca="1" si="20"/>
        <v/>
      </c>
    </row>
    <row r="137" spans="2:24" x14ac:dyDescent="0.25">
      <c r="B137" s="5">
        <f t="shared" ref="B137:B200" si="32">B136+1</f>
        <v>131</v>
      </c>
      <c r="C137" s="5">
        <f t="shared" ca="1" si="31"/>
        <v>17</v>
      </c>
      <c r="D137" s="5" t="str">
        <f ca="1">INDEX(cards[Attribute Index],MATCH('Group code'!C137,cards[object_id order],0))</f>
        <v>1</v>
      </c>
      <c r="E137" s="5">
        <f t="shared" ref="E137:E200" ca="1" si="33">LEN(D137)</f>
        <v>1</v>
      </c>
      <c r="F137" s="14">
        <f ca="1">INDEX(cards[Entities count],MATCH('Group code'!C137,cards[object_id order],0))</f>
        <v>13</v>
      </c>
      <c r="G137" s="14">
        <f t="shared" ca="1" si="21"/>
        <v>3</v>
      </c>
      <c r="H137" s="14" t="str">
        <f t="shared" ca="1" si="22"/>
        <v/>
      </c>
      <c r="I137" s="5">
        <f t="shared" ca="1" si="23"/>
        <v>7</v>
      </c>
      <c r="J137" s="5" t="str">
        <f t="shared" ref="J137:J200" ca="1" si="34">IF(H137="","",VALUE(MID(D137,H137,1)))</f>
        <v/>
      </c>
      <c r="K137" s="5" t="str">
        <f t="shared" ca="1" si="24"/>
        <v/>
      </c>
      <c r="L137" s="5" t="str">
        <f t="shared" ca="1" si="25"/>
        <v/>
      </c>
      <c r="M137" s="5" t="str">
        <f t="shared" ca="1" si="26"/>
        <v/>
      </c>
      <c r="N137" s="5">
        <f t="shared" ca="1" si="27"/>
        <v>0</v>
      </c>
      <c r="O137" s="5" t="str">
        <f t="shared" ca="1" si="28"/>
        <v/>
      </c>
      <c r="P137" s="5" t="str">
        <f ca="1">VLOOKUP(G137,'Group code'!$Z$9:$AC$13,3,FALSE)</f>
        <v xml:space="preserve">    - </v>
      </c>
      <c r="Q137" s="5" t="str">
        <f t="shared" ca="1" si="29"/>
        <v/>
      </c>
      <c r="R137" s="5" t="str">
        <f ca="1">IF(G137=0,INDEX(cards[object_id],MATCH($C137,cards[object_id order],0)),"")</f>
        <v/>
      </c>
      <c r="S137" s="5" t="str">
        <f ca="1">IF(G137=1,INDEX(cards[[name]:[control]],MATCH($C137,cards[object_id order],0),'Group code'!J137),"")</f>
        <v/>
      </c>
      <c r="T137" s="5" t="str">
        <f ca="1">IF(G137=3,INDEX(cards[[1]:[25]],MATCH($C137,cards[object_id order],0),'Group code'!I137),"")</f>
        <v>sensor.dark_sky_daily_high_apparent_temperature</v>
      </c>
      <c r="U137" s="5" t="str">
        <f ca="1">VLOOKUP(G137,'Group code'!$Z$9:$AC$13,4,FALSE)</f>
        <v/>
      </c>
      <c r="V137" s="5" t="str">
        <f ca="1">IF(J137="","",VLOOKUP(J137,'Group code'!$Z$15:$AC$18,4,FALSE))</f>
        <v/>
      </c>
      <c r="W137" s="23" t="str">
        <f t="shared" ca="1" si="30"/>
        <v xml:space="preserve">    - sensor.dark_sky_daily_high_apparent_temperature</v>
      </c>
      <c r="X137" s="5" t="str">
        <f t="shared" ref="X137:X200" ca="1" si="35">IF(AND(NOT(ISNA(F137)),ISNA(F138)),"END","")</f>
        <v/>
      </c>
    </row>
    <row r="138" spans="2:24" x14ac:dyDescent="0.25">
      <c r="B138" s="5">
        <f t="shared" si="32"/>
        <v>132</v>
      </c>
      <c r="C138" s="5">
        <f t="shared" ca="1" si="31"/>
        <v>17</v>
      </c>
      <c r="D138" s="5" t="str">
        <f ca="1">INDEX(cards[Attribute Index],MATCH('Group code'!C138,cards[object_id order],0))</f>
        <v>1</v>
      </c>
      <c r="E138" s="5">
        <f t="shared" ca="1" si="33"/>
        <v>1</v>
      </c>
      <c r="F138" s="14">
        <f ca="1">INDEX(cards[Entities count],MATCH('Group code'!C138,cards[object_id order],0))</f>
        <v>13</v>
      </c>
      <c r="G138" s="14">
        <f t="shared" ref="G138:G201" ca="1" si="36">G137+SUM(K137:O137)</f>
        <v>3</v>
      </c>
      <c r="H138" s="14" t="str">
        <f t="shared" ref="H138:H201" ca="1" si="37">IF(AND(G137=0,D137&lt;&gt;""),1,IF(G138=1,H137+1,""))</f>
        <v/>
      </c>
      <c r="I138" s="5">
        <f t="shared" ref="I138:I201" ca="1" si="38">IF(G137=2,1,IF(G138=3,I137+1,""))</f>
        <v>8</v>
      </c>
      <c r="J138" s="5" t="str">
        <f t="shared" ca="1" si="34"/>
        <v/>
      </c>
      <c r="K138" s="5" t="str">
        <f t="shared" ref="K138:K201" ca="1" si="39">IF(G138=0,
IF(D138&lt;&gt;"",1,2),
"")</f>
        <v/>
      </c>
      <c r="L138" s="5" t="str">
        <f t="shared" ref="L138:L201" ca="1" si="40">IF(G138=1,
IF(E138=H138,1,0),
"")</f>
        <v/>
      </c>
      <c r="M138" s="5" t="str">
        <f t="shared" ref="M138:M201" ca="1" si="41">IF(G138=2,
1,
"")</f>
        <v/>
      </c>
      <c r="N138" s="5">
        <f t="shared" ref="N138:N201" ca="1" si="42">IF(G138=3,
IF(F138=I138,1,0),
"")</f>
        <v>0</v>
      </c>
      <c r="O138" s="5" t="str">
        <f t="shared" ref="O138:O201" ca="1" si="43">IF(G138=4,
-4,
"")</f>
        <v/>
      </c>
      <c r="P138" s="5" t="str">
        <f ca="1">VLOOKUP(G138,'Group code'!$Z$9:$AC$13,3,FALSE)</f>
        <v xml:space="preserve">    - </v>
      </c>
      <c r="Q138" s="5" t="str">
        <f t="shared" ref="Q138:Q201" ca="1" si="44">IF(J138="","",VLOOKUP(J138,$Z$15:$AC$18,3,FALSE))</f>
        <v/>
      </c>
      <c r="R138" s="5" t="str">
        <f ca="1">IF(G138=0,INDEX(cards[object_id],MATCH($C138,cards[object_id order],0)),"")</f>
        <v/>
      </c>
      <c r="S138" s="5" t="str">
        <f ca="1">IF(G138=1,INDEX(cards[[name]:[control]],MATCH($C138,cards[object_id order],0),'Group code'!J138),"")</f>
        <v/>
      </c>
      <c r="T138" s="5" t="str">
        <f ca="1">IF(G138=3,INDEX(cards[[1]:[25]],MATCH($C138,cards[object_id order],0),'Group code'!I138),"")</f>
        <v>sensor.dark_sky_temperature</v>
      </c>
      <c r="U138" s="5" t="str">
        <f ca="1">VLOOKUP(G138,'Group code'!$Z$9:$AC$13,4,FALSE)</f>
        <v/>
      </c>
      <c r="V138" s="5" t="str">
        <f ca="1">IF(J138="","",VLOOKUP(J138,'Group code'!$Z$15:$AC$18,4,FALSE))</f>
        <v/>
      </c>
      <c r="W138" s="23" t="str">
        <f t="shared" ref="W138:W201" ca="1" si="45">_xlfn.IFNA(  CONCATENATE(P138,Q138,R138,S138,T138,U138,V138),  "")</f>
        <v xml:space="preserve">    - sensor.dark_sky_temperature</v>
      </c>
      <c r="X138" s="5" t="str">
        <f t="shared" ca="1" si="35"/>
        <v/>
      </c>
    </row>
    <row r="139" spans="2:24" x14ac:dyDescent="0.25">
      <c r="B139" s="5">
        <f t="shared" si="32"/>
        <v>133</v>
      </c>
      <c r="C139" s="5">
        <f t="shared" ref="C139:C202" ca="1" si="46">IF(G138=4,C138+1,C138)</f>
        <v>17</v>
      </c>
      <c r="D139" s="5" t="str">
        <f ca="1">INDEX(cards[Attribute Index],MATCH('Group code'!C139,cards[object_id order],0))</f>
        <v>1</v>
      </c>
      <c r="E139" s="5">
        <f t="shared" ca="1" si="33"/>
        <v>1</v>
      </c>
      <c r="F139" s="14">
        <f ca="1">INDEX(cards[Entities count],MATCH('Group code'!C139,cards[object_id order],0))</f>
        <v>13</v>
      </c>
      <c r="G139" s="14">
        <f t="shared" ca="1" si="36"/>
        <v>3</v>
      </c>
      <c r="H139" s="14" t="str">
        <f t="shared" ca="1" si="37"/>
        <v/>
      </c>
      <c r="I139" s="5">
        <f t="shared" ca="1" si="38"/>
        <v>9</v>
      </c>
      <c r="J139" s="5" t="str">
        <f t="shared" ca="1" si="34"/>
        <v/>
      </c>
      <c r="K139" s="5" t="str">
        <f t="shared" ca="1" si="39"/>
        <v/>
      </c>
      <c r="L139" s="5" t="str">
        <f t="shared" ca="1" si="40"/>
        <v/>
      </c>
      <c r="M139" s="5" t="str">
        <f t="shared" ca="1" si="41"/>
        <v/>
      </c>
      <c r="N139" s="5">
        <f t="shared" ca="1" si="42"/>
        <v>0</v>
      </c>
      <c r="O139" s="5" t="str">
        <f t="shared" ca="1" si="43"/>
        <v/>
      </c>
      <c r="P139" s="5" t="str">
        <f ca="1">VLOOKUP(G139,'Group code'!$Z$9:$AC$13,3,FALSE)</f>
        <v xml:space="preserve">    - </v>
      </c>
      <c r="Q139" s="5" t="str">
        <f t="shared" ca="1" si="44"/>
        <v/>
      </c>
      <c r="R139" s="5" t="str">
        <f ca="1">IF(G139=0,INDEX(cards[object_id],MATCH($C139,cards[object_id order],0)),"")</f>
        <v/>
      </c>
      <c r="S139" s="5" t="str">
        <f ca="1">IF(G139=1,INDEX(cards[[name]:[control]],MATCH($C139,cards[object_id order],0),'Group code'!J139),"")</f>
        <v/>
      </c>
      <c r="T139" s="5" t="str">
        <f ca="1">IF(G139=3,INDEX(cards[[1]:[25]],MATCH($C139,cards[object_id order],0),'Group code'!I139),"")</f>
        <v>sensor.dark_sky_daily_low_apparent_temperature</v>
      </c>
      <c r="U139" s="5" t="str">
        <f ca="1">VLOOKUP(G139,'Group code'!$Z$9:$AC$13,4,FALSE)</f>
        <v/>
      </c>
      <c r="V139" s="5" t="str">
        <f ca="1">IF(J139="","",VLOOKUP(J139,'Group code'!$Z$15:$AC$18,4,FALSE))</f>
        <v/>
      </c>
      <c r="W139" s="23" t="str">
        <f t="shared" ca="1" si="45"/>
        <v xml:space="preserve">    - sensor.dark_sky_daily_low_apparent_temperature</v>
      </c>
      <c r="X139" s="5" t="str">
        <f t="shared" ca="1" si="35"/>
        <v/>
      </c>
    </row>
    <row r="140" spans="2:24" x14ac:dyDescent="0.25">
      <c r="B140" s="5">
        <f t="shared" si="32"/>
        <v>134</v>
      </c>
      <c r="C140" s="5">
        <f t="shared" ca="1" si="46"/>
        <v>17</v>
      </c>
      <c r="D140" s="5" t="str">
        <f ca="1">INDEX(cards[Attribute Index],MATCH('Group code'!C140,cards[object_id order],0))</f>
        <v>1</v>
      </c>
      <c r="E140" s="5">
        <f t="shared" ca="1" si="33"/>
        <v>1</v>
      </c>
      <c r="F140" s="14">
        <f ca="1">INDEX(cards[Entities count],MATCH('Group code'!C140,cards[object_id order],0))</f>
        <v>13</v>
      </c>
      <c r="G140" s="14">
        <f t="shared" ca="1" si="36"/>
        <v>3</v>
      </c>
      <c r="H140" s="14" t="str">
        <f t="shared" ca="1" si="37"/>
        <v/>
      </c>
      <c r="I140" s="5">
        <f t="shared" ca="1" si="38"/>
        <v>10</v>
      </c>
      <c r="J140" s="5" t="str">
        <f t="shared" ca="1" si="34"/>
        <v/>
      </c>
      <c r="K140" s="5" t="str">
        <f t="shared" ca="1" si="39"/>
        <v/>
      </c>
      <c r="L140" s="5" t="str">
        <f t="shared" ca="1" si="40"/>
        <v/>
      </c>
      <c r="M140" s="5" t="str">
        <f t="shared" ca="1" si="41"/>
        <v/>
      </c>
      <c r="N140" s="5">
        <f t="shared" ca="1" si="42"/>
        <v>0</v>
      </c>
      <c r="O140" s="5" t="str">
        <f t="shared" ca="1" si="43"/>
        <v/>
      </c>
      <c r="P140" s="5" t="str">
        <f ca="1">VLOOKUP(G140,'Group code'!$Z$9:$AC$13,3,FALSE)</f>
        <v xml:space="preserve">    - </v>
      </c>
      <c r="Q140" s="5" t="str">
        <f t="shared" ca="1" si="44"/>
        <v/>
      </c>
      <c r="R140" s="5" t="str">
        <f ca="1">IF(G140=0,INDEX(cards[object_id],MATCH($C140,cards[object_id order],0)),"")</f>
        <v/>
      </c>
      <c r="S140" s="5" t="str">
        <f ca="1">IF(G140=1,INDEX(cards[[name]:[control]],MATCH($C140,cards[object_id order],0),'Group code'!J140),"")</f>
        <v/>
      </c>
      <c r="T140" s="5" t="str">
        <f ca="1">IF(G140=3,INDEX(cards[[1]:[25]],MATCH($C140,cards[object_id order],0),'Group code'!I140),"")</f>
        <v>sensor.dark_sky_cloud_coverage</v>
      </c>
      <c r="U140" s="5" t="str">
        <f ca="1">VLOOKUP(G140,'Group code'!$Z$9:$AC$13,4,FALSE)</f>
        <v/>
      </c>
      <c r="V140" s="5" t="str">
        <f ca="1">IF(J140="","",VLOOKUP(J140,'Group code'!$Z$15:$AC$18,4,FALSE))</f>
        <v/>
      </c>
      <c r="W140" s="23" t="str">
        <f t="shared" ca="1" si="45"/>
        <v xml:space="preserve">    - sensor.dark_sky_cloud_coverage</v>
      </c>
      <c r="X140" s="5" t="str">
        <f t="shared" ca="1" si="35"/>
        <v/>
      </c>
    </row>
    <row r="141" spans="2:24" x14ac:dyDescent="0.25">
      <c r="B141" s="5">
        <f t="shared" si="32"/>
        <v>135</v>
      </c>
      <c r="C141" s="5">
        <f t="shared" ca="1" si="46"/>
        <v>17</v>
      </c>
      <c r="D141" s="5" t="str">
        <f ca="1">INDEX(cards[Attribute Index],MATCH('Group code'!C141,cards[object_id order],0))</f>
        <v>1</v>
      </c>
      <c r="E141" s="5">
        <f t="shared" ca="1" si="33"/>
        <v>1</v>
      </c>
      <c r="F141" s="14">
        <f ca="1">INDEX(cards[Entities count],MATCH('Group code'!C141,cards[object_id order],0))</f>
        <v>13</v>
      </c>
      <c r="G141" s="14">
        <f t="shared" ca="1" si="36"/>
        <v>3</v>
      </c>
      <c r="H141" s="14" t="str">
        <f t="shared" ca="1" si="37"/>
        <v/>
      </c>
      <c r="I141" s="5">
        <f t="shared" ca="1" si="38"/>
        <v>11</v>
      </c>
      <c r="J141" s="5" t="str">
        <f t="shared" ca="1" si="34"/>
        <v/>
      </c>
      <c r="K141" s="5" t="str">
        <f t="shared" ca="1" si="39"/>
        <v/>
      </c>
      <c r="L141" s="5" t="str">
        <f t="shared" ca="1" si="40"/>
        <v/>
      </c>
      <c r="M141" s="5" t="str">
        <f t="shared" ca="1" si="41"/>
        <v/>
      </c>
      <c r="N141" s="5">
        <f t="shared" ca="1" si="42"/>
        <v>0</v>
      </c>
      <c r="O141" s="5" t="str">
        <f t="shared" ca="1" si="43"/>
        <v/>
      </c>
      <c r="P141" s="5" t="str">
        <f ca="1">VLOOKUP(G141,'Group code'!$Z$9:$AC$13,3,FALSE)</f>
        <v xml:space="preserve">    - </v>
      </c>
      <c r="Q141" s="5" t="str">
        <f t="shared" ca="1" si="44"/>
        <v/>
      </c>
      <c r="R141" s="5" t="str">
        <f ca="1">IF(G141=0,INDEX(cards[object_id],MATCH($C141,cards[object_id order],0)),"")</f>
        <v/>
      </c>
      <c r="S141" s="5" t="str">
        <f ca="1">IF(G141=1,INDEX(cards[[name]:[control]],MATCH($C141,cards[object_id order],0),'Group code'!J141),"")</f>
        <v/>
      </c>
      <c r="T141" s="5" t="str">
        <f ca="1">IF(G141=3,INDEX(cards[[1]:[25]],MATCH($C141,cards[object_id order],0),'Group code'!I141),"")</f>
        <v>sensor.dark_sky_humidity</v>
      </c>
      <c r="U141" s="5" t="str">
        <f ca="1">VLOOKUP(G141,'Group code'!$Z$9:$AC$13,4,FALSE)</f>
        <v/>
      </c>
      <c r="V141" s="5" t="str">
        <f ca="1">IF(J141="","",VLOOKUP(J141,'Group code'!$Z$15:$AC$18,4,FALSE))</f>
        <v/>
      </c>
      <c r="W141" s="23" t="str">
        <f t="shared" ca="1" si="45"/>
        <v xml:space="preserve">    - sensor.dark_sky_humidity</v>
      </c>
      <c r="X141" s="5" t="str">
        <f t="shared" ca="1" si="35"/>
        <v/>
      </c>
    </row>
    <row r="142" spans="2:24" x14ac:dyDescent="0.25">
      <c r="B142" s="5">
        <f t="shared" si="32"/>
        <v>136</v>
      </c>
      <c r="C142" s="5">
        <f t="shared" ca="1" si="46"/>
        <v>17</v>
      </c>
      <c r="D142" s="5" t="str">
        <f ca="1">INDEX(cards[Attribute Index],MATCH('Group code'!C142,cards[object_id order],0))</f>
        <v>1</v>
      </c>
      <c r="E142" s="5">
        <f t="shared" ca="1" si="33"/>
        <v>1</v>
      </c>
      <c r="F142" s="14">
        <f ca="1">INDEX(cards[Entities count],MATCH('Group code'!C142,cards[object_id order],0))</f>
        <v>13</v>
      </c>
      <c r="G142" s="14">
        <f t="shared" ca="1" si="36"/>
        <v>3</v>
      </c>
      <c r="H142" s="14" t="str">
        <f t="shared" ca="1" si="37"/>
        <v/>
      </c>
      <c r="I142" s="5">
        <f t="shared" ca="1" si="38"/>
        <v>12</v>
      </c>
      <c r="J142" s="5" t="str">
        <f t="shared" ca="1" si="34"/>
        <v/>
      </c>
      <c r="K142" s="5" t="str">
        <f t="shared" ca="1" si="39"/>
        <v/>
      </c>
      <c r="L142" s="5" t="str">
        <f t="shared" ca="1" si="40"/>
        <v/>
      </c>
      <c r="M142" s="5" t="str">
        <f t="shared" ca="1" si="41"/>
        <v/>
      </c>
      <c r="N142" s="5">
        <f t="shared" ca="1" si="42"/>
        <v>0</v>
      </c>
      <c r="O142" s="5" t="str">
        <f t="shared" ca="1" si="43"/>
        <v/>
      </c>
      <c r="P142" s="5" t="str">
        <f ca="1">VLOOKUP(G142,'Group code'!$Z$9:$AC$13,3,FALSE)</f>
        <v xml:space="preserve">    - </v>
      </c>
      <c r="Q142" s="5" t="str">
        <f t="shared" ca="1" si="44"/>
        <v/>
      </c>
      <c r="R142" s="5" t="str">
        <f ca="1">IF(G142=0,INDEX(cards[object_id],MATCH($C142,cards[object_id order],0)),"")</f>
        <v/>
      </c>
      <c r="S142" s="5" t="str">
        <f ca="1">IF(G142=1,INDEX(cards[[name]:[control]],MATCH($C142,cards[object_id order],0),'Group code'!J142),"")</f>
        <v/>
      </c>
      <c r="T142" s="5" t="str">
        <f ca="1">IF(G142=3,INDEX(cards[[1]:[25]],MATCH($C142,cards[object_id order],0),'Group code'!I142),"")</f>
        <v>sensor.dark_sky_visibility</v>
      </c>
      <c r="U142" s="5" t="str">
        <f ca="1">VLOOKUP(G142,'Group code'!$Z$9:$AC$13,4,FALSE)</f>
        <v/>
      </c>
      <c r="V142" s="5" t="str">
        <f ca="1">IF(J142="","",VLOOKUP(J142,'Group code'!$Z$15:$AC$18,4,FALSE))</f>
        <v/>
      </c>
      <c r="W142" s="23" t="str">
        <f t="shared" ca="1" si="45"/>
        <v xml:space="preserve">    - sensor.dark_sky_visibility</v>
      </c>
      <c r="X142" s="5" t="str">
        <f t="shared" ca="1" si="35"/>
        <v/>
      </c>
    </row>
    <row r="143" spans="2:24" x14ac:dyDescent="0.25">
      <c r="B143" s="5">
        <f t="shared" si="32"/>
        <v>137</v>
      </c>
      <c r="C143" s="5">
        <f t="shared" ca="1" si="46"/>
        <v>17</v>
      </c>
      <c r="D143" s="5" t="str">
        <f ca="1">INDEX(cards[Attribute Index],MATCH('Group code'!C143,cards[object_id order],0))</f>
        <v>1</v>
      </c>
      <c r="E143" s="5">
        <f t="shared" ca="1" si="33"/>
        <v>1</v>
      </c>
      <c r="F143" s="14">
        <f ca="1">INDEX(cards[Entities count],MATCH('Group code'!C143,cards[object_id order],0))</f>
        <v>13</v>
      </c>
      <c r="G143" s="14">
        <f t="shared" ca="1" si="36"/>
        <v>3</v>
      </c>
      <c r="H143" s="14" t="str">
        <f t="shared" ca="1" si="37"/>
        <v/>
      </c>
      <c r="I143" s="5">
        <f t="shared" ca="1" si="38"/>
        <v>13</v>
      </c>
      <c r="J143" s="5" t="str">
        <f t="shared" ca="1" si="34"/>
        <v/>
      </c>
      <c r="K143" s="5" t="str">
        <f t="shared" ca="1" si="39"/>
        <v/>
      </c>
      <c r="L143" s="5" t="str">
        <f t="shared" ca="1" si="40"/>
        <v/>
      </c>
      <c r="M143" s="5" t="str">
        <f t="shared" ca="1" si="41"/>
        <v/>
      </c>
      <c r="N143" s="5">
        <f t="shared" ca="1" si="42"/>
        <v>1</v>
      </c>
      <c r="O143" s="5" t="str">
        <f t="shared" ca="1" si="43"/>
        <v/>
      </c>
      <c r="P143" s="5" t="str">
        <f ca="1">VLOOKUP(G143,'Group code'!$Z$9:$AC$13,3,FALSE)</f>
        <v xml:space="preserve">    - </v>
      </c>
      <c r="Q143" s="5" t="str">
        <f t="shared" ca="1" si="44"/>
        <v/>
      </c>
      <c r="R143" s="5" t="str">
        <f ca="1">IF(G143=0,INDEX(cards[object_id],MATCH($C143,cards[object_id order],0)),"")</f>
        <v/>
      </c>
      <c r="S143" s="5" t="str">
        <f ca="1">IF(G143=1,INDEX(cards[[name]:[control]],MATCH($C143,cards[object_id order],0),'Group code'!J143),"")</f>
        <v/>
      </c>
      <c r="T143" s="5" t="str">
        <f ca="1">IF(G143=3,INDEX(cards[[1]:[25]],MATCH($C143,cards[object_id order],0),'Group code'!I143),"")</f>
        <v>sun.sun</v>
      </c>
      <c r="U143" s="5" t="str">
        <f ca="1">VLOOKUP(G143,'Group code'!$Z$9:$AC$13,4,FALSE)</f>
        <v/>
      </c>
      <c r="V143" s="5" t="str">
        <f ca="1">IF(J143="","",VLOOKUP(J143,'Group code'!$Z$15:$AC$18,4,FALSE))</f>
        <v/>
      </c>
      <c r="W143" s="23" t="str">
        <f t="shared" ca="1" si="45"/>
        <v xml:space="preserve">    - sun.sun</v>
      </c>
      <c r="X143" s="5" t="str">
        <f t="shared" ca="1" si="35"/>
        <v/>
      </c>
    </row>
    <row r="144" spans="2:24" x14ac:dyDescent="0.25">
      <c r="B144" s="5">
        <f t="shared" si="32"/>
        <v>138</v>
      </c>
      <c r="C144" s="5">
        <f t="shared" ca="1" si="46"/>
        <v>17</v>
      </c>
      <c r="D144" s="5" t="str">
        <f ca="1">INDEX(cards[Attribute Index],MATCH('Group code'!C144,cards[object_id order],0))</f>
        <v>1</v>
      </c>
      <c r="E144" s="5">
        <f t="shared" ca="1" si="33"/>
        <v>1</v>
      </c>
      <c r="F144" s="14">
        <f ca="1">INDEX(cards[Entities count],MATCH('Group code'!C144,cards[object_id order],0))</f>
        <v>13</v>
      </c>
      <c r="G144" s="14">
        <f t="shared" ca="1" si="36"/>
        <v>4</v>
      </c>
      <c r="H144" s="14" t="str">
        <f t="shared" ca="1" si="37"/>
        <v/>
      </c>
      <c r="I144" s="5" t="str">
        <f t="shared" ca="1" si="38"/>
        <v/>
      </c>
      <c r="J144" s="5" t="str">
        <f t="shared" ca="1" si="34"/>
        <v/>
      </c>
      <c r="K144" s="5" t="str">
        <f t="shared" ca="1" si="39"/>
        <v/>
      </c>
      <c r="L144" s="5" t="str">
        <f t="shared" ca="1" si="40"/>
        <v/>
      </c>
      <c r="M144" s="5" t="str">
        <f t="shared" ca="1" si="41"/>
        <v/>
      </c>
      <c r="N144" s="5" t="str">
        <f t="shared" ca="1" si="42"/>
        <v/>
      </c>
      <c r="O144" s="5">
        <f t="shared" ca="1" si="43"/>
        <v>-4</v>
      </c>
      <c r="P144" s="5" t="str">
        <f ca="1">VLOOKUP(G144,'Group code'!$Z$9:$AC$13,3,FALSE)</f>
        <v/>
      </c>
      <c r="Q144" s="5" t="str">
        <f t="shared" ca="1" si="44"/>
        <v/>
      </c>
      <c r="R144" s="5" t="str">
        <f ca="1">IF(G144=0,INDEX(cards[object_id],MATCH($C144,cards[object_id order],0)),"")</f>
        <v/>
      </c>
      <c r="S144" s="5" t="str">
        <f ca="1">IF(G144=1,INDEX(cards[[name]:[control]],MATCH($C144,cards[object_id order],0),'Group code'!J144),"")</f>
        <v/>
      </c>
      <c r="T144" s="5" t="str">
        <f ca="1">IF(G144=3,INDEX(cards[[1]:[25]],MATCH($C144,cards[object_id order],0),'Group code'!I144),"")</f>
        <v/>
      </c>
      <c r="U144" s="5" t="str">
        <f ca="1">VLOOKUP(G144,'Group code'!$Z$9:$AC$13,4,FALSE)</f>
        <v/>
      </c>
      <c r="V144" s="5" t="str">
        <f ca="1">IF(J144="","",VLOOKUP(J144,'Group code'!$Z$15:$AC$18,4,FALSE))</f>
        <v/>
      </c>
      <c r="W144" s="23" t="str">
        <f t="shared" ca="1" si="45"/>
        <v/>
      </c>
      <c r="X144" s="5" t="str">
        <f t="shared" ca="1" si="35"/>
        <v/>
      </c>
    </row>
    <row r="145" spans="2:24" x14ac:dyDescent="0.25">
      <c r="B145" s="5">
        <f t="shared" si="32"/>
        <v>139</v>
      </c>
      <c r="C145" s="5">
        <f t="shared" ca="1" si="46"/>
        <v>18</v>
      </c>
      <c r="D145" s="5" t="str">
        <f ca="1">INDEX(cards[Attribute Index],MATCH('Group code'!C145,cards[object_id order],0))</f>
        <v>1</v>
      </c>
      <c r="E145" s="5">
        <f t="shared" ca="1" si="33"/>
        <v>1</v>
      </c>
      <c r="F145" s="14">
        <f ca="1">INDEX(cards[Entities count],MATCH('Group code'!C145,cards[object_id order],0))</f>
        <v>5</v>
      </c>
      <c r="G145" s="14">
        <f t="shared" ca="1" si="36"/>
        <v>0</v>
      </c>
      <c r="H145" s="14" t="str">
        <f t="shared" ca="1" si="37"/>
        <v/>
      </c>
      <c r="I145" s="5" t="str">
        <f t="shared" ca="1" si="38"/>
        <v/>
      </c>
      <c r="J145" s="5" t="str">
        <f t="shared" ca="1" si="34"/>
        <v/>
      </c>
      <c r="K145" s="5">
        <f t="shared" ca="1" si="39"/>
        <v>1</v>
      </c>
      <c r="L145" s="5" t="str">
        <f t="shared" ca="1" si="40"/>
        <v/>
      </c>
      <c r="M145" s="5" t="str">
        <f t="shared" ca="1" si="41"/>
        <v/>
      </c>
      <c r="N145" s="5" t="str">
        <f t="shared" ca="1" si="42"/>
        <v/>
      </c>
      <c r="O145" s="5" t="str">
        <f t="shared" ca="1" si="43"/>
        <v/>
      </c>
      <c r="P145" s="5" t="str">
        <f ca="1">VLOOKUP(G145,'Group code'!$Z$9:$AC$13,3,FALSE)</f>
        <v/>
      </c>
      <c r="Q145" s="5" t="str">
        <f t="shared" ca="1" si="44"/>
        <v/>
      </c>
      <c r="R145" s="5" t="str">
        <f ca="1">IF(G145=0,INDEX(cards[object_id],MATCH($C145,cards[object_id order],0)),"")</f>
        <v>environment_living_room</v>
      </c>
      <c r="S145" s="5" t="str">
        <f ca="1">IF(G145=1,INDEX(cards[[name]:[control]],MATCH($C145,cards[object_id order],0),'Group code'!J145),"")</f>
        <v/>
      </c>
      <c r="T145" s="5" t="str">
        <f ca="1">IF(G145=3,INDEX(cards[[1]:[25]],MATCH($C145,cards[object_id order],0),'Group code'!I145),"")</f>
        <v/>
      </c>
      <c r="U145" s="5" t="str">
        <f ca="1">VLOOKUP(G145,'Group code'!$Z$9:$AC$13,4,FALSE)</f>
        <v>:</v>
      </c>
      <c r="V145" s="5" t="str">
        <f ca="1">IF(J145="","",VLOOKUP(J145,'Group code'!$Z$15:$AC$18,4,FALSE))</f>
        <v/>
      </c>
      <c r="W145" s="23" t="str">
        <f t="shared" ca="1" si="45"/>
        <v>environment_living_room:</v>
      </c>
      <c r="X145" s="5" t="str">
        <f t="shared" ca="1" si="35"/>
        <v/>
      </c>
    </row>
    <row r="146" spans="2:24" x14ac:dyDescent="0.25">
      <c r="B146" s="5">
        <f t="shared" si="32"/>
        <v>140</v>
      </c>
      <c r="C146" s="5">
        <f t="shared" ca="1" si="46"/>
        <v>18</v>
      </c>
      <c r="D146" s="5" t="str">
        <f ca="1">INDEX(cards[Attribute Index],MATCH('Group code'!C146,cards[object_id order],0))</f>
        <v>1</v>
      </c>
      <c r="E146" s="5">
        <f t="shared" ca="1" si="33"/>
        <v>1</v>
      </c>
      <c r="F146" s="14">
        <f ca="1">INDEX(cards[Entities count],MATCH('Group code'!C146,cards[object_id order],0))</f>
        <v>5</v>
      </c>
      <c r="G146" s="14">
        <f t="shared" ca="1" si="36"/>
        <v>1</v>
      </c>
      <c r="H146" s="14">
        <f t="shared" ca="1" si="37"/>
        <v>1</v>
      </c>
      <c r="I146" s="5" t="str">
        <f t="shared" ca="1" si="38"/>
        <v/>
      </c>
      <c r="J146" s="5">
        <f t="shared" ca="1" si="34"/>
        <v>1</v>
      </c>
      <c r="K146" s="5" t="str">
        <f t="shared" ca="1" si="39"/>
        <v/>
      </c>
      <c r="L146" s="5">
        <f t="shared" ca="1" si="40"/>
        <v>1</v>
      </c>
      <c r="M146" s="5" t="str">
        <f t="shared" ca="1" si="41"/>
        <v/>
      </c>
      <c r="N146" s="5" t="str">
        <f t="shared" ca="1" si="42"/>
        <v/>
      </c>
      <c r="O146" s="5" t="str">
        <f t="shared" ca="1" si="43"/>
        <v/>
      </c>
      <c r="P146" s="5" t="str">
        <f ca="1">VLOOKUP(G146,'Group code'!$Z$9:$AC$13,3,FALSE)</f>
        <v/>
      </c>
      <c r="Q146" s="5" t="str">
        <f t="shared" ca="1" si="44"/>
        <v xml:space="preserve">  name: "</v>
      </c>
      <c r="R146" s="5" t="str">
        <f ca="1">IF(G146=0,INDEX(cards[object_id],MATCH($C146,cards[object_id order],0)),"")</f>
        <v/>
      </c>
      <c r="S146" s="5" t="str">
        <f ca="1">IF(G146=1,INDEX(cards[[name]:[control]],MATCH($C146,cards[object_id order],0),'Group code'!J146),"")</f>
        <v>Environment || Living Room</v>
      </c>
      <c r="T146" s="5" t="str">
        <f ca="1">IF(G146=3,INDEX(cards[[1]:[25]],MATCH($C146,cards[object_id order],0),'Group code'!I146),"")</f>
        <v/>
      </c>
      <c r="U146" s="5" t="str">
        <f ca="1">VLOOKUP(G146,'Group code'!$Z$9:$AC$13,4,FALSE)</f>
        <v/>
      </c>
      <c r="V146" s="5" t="str">
        <f ca="1">IF(J146="","",VLOOKUP(J146,'Group code'!$Z$15:$AC$18,4,FALSE))</f>
        <v>"</v>
      </c>
      <c r="W146" s="23" t="str">
        <f t="shared" ca="1" si="45"/>
        <v xml:space="preserve">  name: "Environment || Living Room"</v>
      </c>
      <c r="X146" s="5" t="str">
        <f t="shared" ca="1" si="35"/>
        <v/>
      </c>
    </row>
    <row r="147" spans="2:24" x14ac:dyDescent="0.25">
      <c r="B147" s="5">
        <f t="shared" si="32"/>
        <v>141</v>
      </c>
      <c r="C147" s="5">
        <f t="shared" ca="1" si="46"/>
        <v>18</v>
      </c>
      <c r="D147" s="5" t="str">
        <f ca="1">INDEX(cards[Attribute Index],MATCH('Group code'!C147,cards[object_id order],0))</f>
        <v>1</v>
      </c>
      <c r="E147" s="5">
        <f t="shared" ca="1" si="33"/>
        <v>1</v>
      </c>
      <c r="F147" s="14">
        <f ca="1">INDEX(cards[Entities count],MATCH('Group code'!C147,cards[object_id order],0))</f>
        <v>5</v>
      </c>
      <c r="G147" s="14">
        <f t="shared" ca="1" si="36"/>
        <v>2</v>
      </c>
      <c r="H147" s="14" t="str">
        <f t="shared" ca="1" si="37"/>
        <v/>
      </c>
      <c r="I147" s="5" t="str">
        <f t="shared" ca="1" si="38"/>
        <v/>
      </c>
      <c r="J147" s="5" t="str">
        <f t="shared" ca="1" si="34"/>
        <v/>
      </c>
      <c r="K147" s="5" t="str">
        <f t="shared" ca="1" si="39"/>
        <v/>
      </c>
      <c r="L147" s="5" t="str">
        <f t="shared" ca="1" si="40"/>
        <v/>
      </c>
      <c r="M147" s="5">
        <f t="shared" ca="1" si="41"/>
        <v>1</v>
      </c>
      <c r="N147" s="5" t="str">
        <f t="shared" ca="1" si="42"/>
        <v/>
      </c>
      <c r="O147" s="5" t="str">
        <f t="shared" ca="1" si="43"/>
        <v/>
      </c>
      <c r="P147" s="5" t="str">
        <f ca="1">VLOOKUP(G147,'Group code'!$Z$9:$AC$13,3,FALSE)</f>
        <v xml:space="preserve">  entities:</v>
      </c>
      <c r="Q147" s="5" t="str">
        <f t="shared" ca="1" si="44"/>
        <v/>
      </c>
      <c r="R147" s="5" t="str">
        <f ca="1">IF(G147=0,INDEX(cards[object_id],MATCH($C147,cards[object_id order],0)),"")</f>
        <v/>
      </c>
      <c r="S147" s="5" t="str">
        <f ca="1">IF(G147=1,INDEX(cards[[name]:[control]],MATCH($C147,cards[object_id order],0),'Group code'!J147),"")</f>
        <v/>
      </c>
      <c r="T147" s="5" t="str">
        <f ca="1">IF(G147=3,INDEX(cards[[1]:[25]],MATCH($C147,cards[object_id order],0),'Group code'!I147),"")</f>
        <v/>
      </c>
      <c r="U147" s="5" t="str">
        <f ca="1">VLOOKUP(G147,'Group code'!$Z$9:$AC$13,4,FALSE)</f>
        <v/>
      </c>
      <c r="V147" s="5" t="str">
        <f ca="1">IF(J147="","",VLOOKUP(J147,'Group code'!$Z$15:$AC$18,4,FALSE))</f>
        <v/>
      </c>
      <c r="W147" s="23" t="str">
        <f t="shared" ca="1" si="45"/>
        <v xml:space="preserve">  entities:</v>
      </c>
      <c r="X147" s="5" t="str">
        <f t="shared" ca="1" si="35"/>
        <v/>
      </c>
    </row>
    <row r="148" spans="2:24" x14ac:dyDescent="0.25">
      <c r="B148" s="5">
        <f t="shared" si="32"/>
        <v>142</v>
      </c>
      <c r="C148" s="5">
        <f t="shared" ca="1" si="46"/>
        <v>18</v>
      </c>
      <c r="D148" s="5" t="str">
        <f ca="1">INDEX(cards[Attribute Index],MATCH('Group code'!C148,cards[object_id order],0))</f>
        <v>1</v>
      </c>
      <c r="E148" s="5">
        <f t="shared" ca="1" si="33"/>
        <v>1</v>
      </c>
      <c r="F148" s="14">
        <f ca="1">INDEX(cards[Entities count],MATCH('Group code'!C148,cards[object_id order],0))</f>
        <v>5</v>
      </c>
      <c r="G148" s="14">
        <f t="shared" ca="1" si="36"/>
        <v>3</v>
      </c>
      <c r="H148" s="14" t="str">
        <f t="shared" ca="1" si="37"/>
        <v/>
      </c>
      <c r="I148" s="5">
        <f t="shared" ca="1" si="38"/>
        <v>1</v>
      </c>
      <c r="J148" s="5" t="str">
        <f t="shared" ca="1" si="34"/>
        <v/>
      </c>
      <c r="K148" s="5" t="str">
        <f t="shared" ca="1" si="39"/>
        <v/>
      </c>
      <c r="L148" s="5" t="str">
        <f t="shared" ca="1" si="40"/>
        <v/>
      </c>
      <c r="M148" s="5" t="str">
        <f t="shared" ca="1" si="41"/>
        <v/>
      </c>
      <c r="N148" s="5">
        <f t="shared" ca="1" si="42"/>
        <v>0</v>
      </c>
      <c r="O148" s="5" t="str">
        <f t="shared" ca="1" si="43"/>
        <v/>
      </c>
      <c r="P148" s="5" t="str">
        <f ca="1">VLOOKUP(G148,'Group code'!$Z$9:$AC$13,3,FALSE)</f>
        <v xml:space="preserve">    - </v>
      </c>
      <c r="Q148" s="5" t="str">
        <f t="shared" ca="1" si="44"/>
        <v/>
      </c>
      <c r="R148" s="5" t="str">
        <f ca="1">IF(G148=0,INDEX(cards[object_id],MATCH($C148,cards[object_id order],0)),"")</f>
        <v/>
      </c>
      <c r="S148" s="5" t="str">
        <f ca="1">IF(G148=1,INDEX(cards[[name]:[control]],MATCH($C148,cards[object_id order],0),'Group code'!J148),"")</f>
        <v/>
      </c>
      <c r="T148" s="5" t="str">
        <f ca="1">IF(G148=3,INDEX(cards[[1]:[25]],MATCH($C148,cards[object_id order],0),'Group code'!I148),"")</f>
        <v>sensor.temperature_sensor_12</v>
      </c>
      <c r="U148" s="5" t="str">
        <f ca="1">VLOOKUP(G148,'Group code'!$Z$9:$AC$13,4,FALSE)</f>
        <v/>
      </c>
      <c r="V148" s="5" t="str">
        <f ca="1">IF(J148="","",VLOOKUP(J148,'Group code'!$Z$15:$AC$18,4,FALSE))</f>
        <v/>
      </c>
      <c r="W148" s="23" t="str">
        <f t="shared" ca="1" si="45"/>
        <v xml:space="preserve">    - sensor.temperature_sensor_12</v>
      </c>
      <c r="X148" s="5" t="str">
        <f t="shared" ca="1" si="35"/>
        <v/>
      </c>
    </row>
    <row r="149" spans="2:24" x14ac:dyDescent="0.25">
      <c r="B149" s="5">
        <f t="shared" si="32"/>
        <v>143</v>
      </c>
      <c r="C149" s="5">
        <f t="shared" ca="1" si="46"/>
        <v>18</v>
      </c>
      <c r="D149" s="5" t="str">
        <f ca="1">INDEX(cards[Attribute Index],MATCH('Group code'!C149,cards[object_id order],0))</f>
        <v>1</v>
      </c>
      <c r="E149" s="5">
        <f t="shared" ca="1" si="33"/>
        <v>1</v>
      </c>
      <c r="F149" s="14">
        <f ca="1">INDEX(cards[Entities count],MATCH('Group code'!C149,cards[object_id order],0))</f>
        <v>5</v>
      </c>
      <c r="G149" s="14">
        <f t="shared" ca="1" si="36"/>
        <v>3</v>
      </c>
      <c r="H149" s="14" t="str">
        <f t="shared" ca="1" si="37"/>
        <v/>
      </c>
      <c r="I149" s="5">
        <f t="shared" ca="1" si="38"/>
        <v>2</v>
      </c>
      <c r="J149" s="5" t="str">
        <f t="shared" ca="1" si="34"/>
        <v/>
      </c>
      <c r="K149" s="5" t="str">
        <f t="shared" ca="1" si="39"/>
        <v/>
      </c>
      <c r="L149" s="5" t="str">
        <f t="shared" ca="1" si="40"/>
        <v/>
      </c>
      <c r="M149" s="5" t="str">
        <f t="shared" ca="1" si="41"/>
        <v/>
      </c>
      <c r="N149" s="5">
        <f t="shared" ca="1" si="42"/>
        <v>0</v>
      </c>
      <c r="O149" s="5" t="str">
        <f t="shared" ca="1" si="43"/>
        <v/>
      </c>
      <c r="P149" s="5" t="str">
        <f ca="1">VLOOKUP(G149,'Group code'!$Z$9:$AC$13,3,FALSE)</f>
        <v xml:space="preserve">    - </v>
      </c>
      <c r="Q149" s="5" t="str">
        <f t="shared" ca="1" si="44"/>
        <v/>
      </c>
      <c r="R149" s="5" t="str">
        <f ca="1">IF(G149=0,INDEX(cards[object_id],MATCH($C149,cards[object_id order],0)),"")</f>
        <v/>
      </c>
      <c r="S149" s="5" t="str">
        <f ca="1">IF(G149=1,INDEX(cards[[name]:[control]],MATCH($C149,cards[object_id order],0),'Group code'!J149),"")</f>
        <v/>
      </c>
      <c r="T149" s="5" t="str">
        <f ca="1">IF(G149=3,INDEX(cards[[1]:[25]],MATCH($C149,cards[object_id order],0),'Group code'!I149),"")</f>
        <v>sensor.light_sensor_13</v>
      </c>
      <c r="U149" s="5" t="str">
        <f ca="1">VLOOKUP(G149,'Group code'!$Z$9:$AC$13,4,FALSE)</f>
        <v/>
      </c>
      <c r="V149" s="5" t="str">
        <f ca="1">IF(J149="","",VLOOKUP(J149,'Group code'!$Z$15:$AC$18,4,FALSE))</f>
        <v/>
      </c>
      <c r="W149" s="23" t="str">
        <f t="shared" ca="1" si="45"/>
        <v xml:space="preserve">    - sensor.light_sensor_13</v>
      </c>
      <c r="X149" s="5" t="str">
        <f t="shared" ca="1" si="35"/>
        <v/>
      </c>
    </row>
    <row r="150" spans="2:24" x14ac:dyDescent="0.25">
      <c r="B150" s="5">
        <f t="shared" si="32"/>
        <v>144</v>
      </c>
      <c r="C150" s="5">
        <f t="shared" ca="1" si="46"/>
        <v>18</v>
      </c>
      <c r="D150" s="5" t="str">
        <f ca="1">INDEX(cards[Attribute Index],MATCH('Group code'!C150,cards[object_id order],0))</f>
        <v>1</v>
      </c>
      <c r="E150" s="5">
        <f t="shared" ca="1" si="33"/>
        <v>1</v>
      </c>
      <c r="F150" s="14">
        <f ca="1">INDEX(cards[Entities count],MATCH('Group code'!C150,cards[object_id order],0))</f>
        <v>5</v>
      </c>
      <c r="G150" s="14">
        <f t="shared" ca="1" si="36"/>
        <v>3</v>
      </c>
      <c r="H150" s="14" t="str">
        <f t="shared" ca="1" si="37"/>
        <v/>
      </c>
      <c r="I150" s="5">
        <f t="shared" ca="1" si="38"/>
        <v>3</v>
      </c>
      <c r="J150" s="5" t="str">
        <f t="shared" ca="1" si="34"/>
        <v/>
      </c>
      <c r="K150" s="5" t="str">
        <f t="shared" ca="1" si="39"/>
        <v/>
      </c>
      <c r="L150" s="5" t="str">
        <f t="shared" ca="1" si="40"/>
        <v/>
      </c>
      <c r="M150" s="5" t="str">
        <f t="shared" ca="1" si="41"/>
        <v/>
      </c>
      <c r="N150" s="5">
        <f t="shared" ca="1" si="42"/>
        <v>0</v>
      </c>
      <c r="O150" s="5" t="str">
        <f t="shared" ca="1" si="43"/>
        <v/>
      </c>
      <c r="P150" s="5" t="str">
        <f ca="1">VLOOKUP(G150,'Group code'!$Z$9:$AC$13,3,FALSE)</f>
        <v xml:space="preserve">    - </v>
      </c>
      <c r="Q150" s="5" t="str">
        <f t="shared" ca="1" si="44"/>
        <v/>
      </c>
      <c r="R150" s="5" t="str">
        <f ca="1">IF(G150=0,INDEX(cards[object_id],MATCH($C150,cards[object_id order],0)),"")</f>
        <v/>
      </c>
      <c r="S150" s="5" t="str">
        <f ca="1">IF(G150=1,INDEX(cards[[name]:[control]],MATCH($C150,cards[object_id order],0),'Group code'!J150),"")</f>
        <v/>
      </c>
      <c r="T150" s="5" t="str">
        <f ca="1">IF(G150=3,INDEX(cards[[1]:[25]],MATCH($C150,cards[object_id order],0),'Group code'!I150),"")</f>
        <v>sensor.humidity_sensor_14</v>
      </c>
      <c r="U150" s="5" t="str">
        <f ca="1">VLOOKUP(G150,'Group code'!$Z$9:$AC$13,4,FALSE)</f>
        <v/>
      </c>
      <c r="V150" s="5" t="str">
        <f ca="1">IF(J150="","",VLOOKUP(J150,'Group code'!$Z$15:$AC$18,4,FALSE))</f>
        <v/>
      </c>
      <c r="W150" s="23" t="str">
        <f t="shared" ca="1" si="45"/>
        <v xml:space="preserve">    - sensor.humidity_sensor_14</v>
      </c>
      <c r="X150" s="5" t="str">
        <f t="shared" ca="1" si="35"/>
        <v/>
      </c>
    </row>
    <row r="151" spans="2:24" x14ac:dyDescent="0.25">
      <c r="B151" s="5">
        <f t="shared" si="32"/>
        <v>145</v>
      </c>
      <c r="C151" s="5">
        <f t="shared" ca="1" si="46"/>
        <v>18</v>
      </c>
      <c r="D151" s="5" t="str">
        <f ca="1">INDEX(cards[Attribute Index],MATCH('Group code'!C151,cards[object_id order],0))</f>
        <v>1</v>
      </c>
      <c r="E151" s="5">
        <f t="shared" ca="1" si="33"/>
        <v>1</v>
      </c>
      <c r="F151" s="14">
        <f ca="1">INDEX(cards[Entities count],MATCH('Group code'!C151,cards[object_id order],0))</f>
        <v>5</v>
      </c>
      <c r="G151" s="14">
        <f t="shared" ca="1" si="36"/>
        <v>3</v>
      </c>
      <c r="H151" s="14" t="str">
        <f t="shared" ca="1" si="37"/>
        <v/>
      </c>
      <c r="I151" s="5">
        <f t="shared" ca="1" si="38"/>
        <v>4</v>
      </c>
      <c r="J151" s="5" t="str">
        <f t="shared" ca="1" si="34"/>
        <v/>
      </c>
      <c r="K151" s="5" t="str">
        <f t="shared" ca="1" si="39"/>
        <v/>
      </c>
      <c r="L151" s="5" t="str">
        <f t="shared" ca="1" si="40"/>
        <v/>
      </c>
      <c r="M151" s="5" t="str">
        <f t="shared" ca="1" si="41"/>
        <v/>
      </c>
      <c r="N151" s="5">
        <f t="shared" ca="1" si="42"/>
        <v>0</v>
      </c>
      <c r="O151" s="5" t="str">
        <f t="shared" ca="1" si="43"/>
        <v/>
      </c>
      <c r="P151" s="5" t="str">
        <f ca="1">VLOOKUP(G151,'Group code'!$Z$9:$AC$13,3,FALSE)</f>
        <v xml:space="preserve">    - </v>
      </c>
      <c r="Q151" s="5" t="str">
        <f t="shared" ca="1" si="44"/>
        <v/>
      </c>
      <c r="R151" s="5" t="str">
        <f ca="1">IF(G151=0,INDEX(cards[object_id],MATCH($C151,cards[object_id order],0)),"")</f>
        <v/>
      </c>
      <c r="S151" s="5" t="str">
        <f ca="1">IF(G151=1,INDEX(cards[[name]:[control]],MATCH($C151,cards[object_id order],0),'Group code'!J151),"")</f>
        <v/>
      </c>
      <c r="T151" s="5" t="str">
        <f ca="1">IF(G151=3,INDEX(cards[[1]:[25]],MATCH($C151,cards[object_id order],0),'Group code'!I151),"")</f>
        <v>binary_sensor.multi_sensor_4</v>
      </c>
      <c r="U151" s="5" t="str">
        <f ca="1">VLOOKUP(G151,'Group code'!$Z$9:$AC$13,4,FALSE)</f>
        <v/>
      </c>
      <c r="V151" s="5" t="str">
        <f ca="1">IF(J151="","",VLOOKUP(J151,'Group code'!$Z$15:$AC$18,4,FALSE))</f>
        <v/>
      </c>
      <c r="W151" s="23" t="str">
        <f t="shared" ca="1" si="45"/>
        <v xml:space="preserve">    - binary_sensor.multi_sensor_4</v>
      </c>
      <c r="X151" s="5" t="str">
        <f t="shared" ca="1" si="35"/>
        <v/>
      </c>
    </row>
    <row r="152" spans="2:24" x14ac:dyDescent="0.25">
      <c r="B152" s="5">
        <f t="shared" si="32"/>
        <v>146</v>
      </c>
      <c r="C152" s="5">
        <f t="shared" ca="1" si="46"/>
        <v>18</v>
      </c>
      <c r="D152" s="5" t="str">
        <f ca="1">INDEX(cards[Attribute Index],MATCH('Group code'!C152,cards[object_id order],0))</f>
        <v>1</v>
      </c>
      <c r="E152" s="5">
        <f t="shared" ca="1" si="33"/>
        <v>1</v>
      </c>
      <c r="F152" s="14">
        <f ca="1">INDEX(cards[Entities count],MATCH('Group code'!C152,cards[object_id order],0))</f>
        <v>5</v>
      </c>
      <c r="G152" s="14">
        <f t="shared" ca="1" si="36"/>
        <v>3</v>
      </c>
      <c r="H152" s="14" t="str">
        <f t="shared" ca="1" si="37"/>
        <v/>
      </c>
      <c r="I152" s="5">
        <f t="shared" ca="1" si="38"/>
        <v>5</v>
      </c>
      <c r="J152" s="5" t="str">
        <f t="shared" ca="1" si="34"/>
        <v/>
      </c>
      <c r="K152" s="5" t="str">
        <f t="shared" ca="1" si="39"/>
        <v/>
      </c>
      <c r="L152" s="5" t="str">
        <f t="shared" ca="1" si="40"/>
        <v/>
      </c>
      <c r="M152" s="5" t="str">
        <f t="shared" ca="1" si="41"/>
        <v/>
      </c>
      <c r="N152" s="5">
        <f t="shared" ca="1" si="42"/>
        <v>1</v>
      </c>
      <c r="O152" s="5" t="str">
        <f t="shared" ca="1" si="43"/>
        <v/>
      </c>
      <c r="P152" s="5" t="str">
        <f ca="1">VLOOKUP(G152,'Group code'!$Z$9:$AC$13,3,FALSE)</f>
        <v xml:space="preserve">    - </v>
      </c>
      <c r="Q152" s="5" t="str">
        <f t="shared" ca="1" si="44"/>
        <v/>
      </c>
      <c r="R152" s="5" t="str">
        <f ca="1">IF(G152=0,INDEX(cards[object_id],MATCH($C152,cards[object_id order],0)),"")</f>
        <v/>
      </c>
      <c r="S152" s="5" t="str">
        <f ca="1">IF(G152=1,INDEX(cards[[name]:[control]],MATCH($C152,cards[object_id order],0),'Group code'!J152),"")</f>
        <v/>
      </c>
      <c r="T152" s="5" t="str">
        <f ca="1">IF(G152=3,INDEX(cards[[1]:[25]],MATCH($C152,cards[object_id order],0),'Group code'!I152),"")</f>
        <v>sensor.batt_multi_sensor</v>
      </c>
      <c r="U152" s="5" t="str">
        <f ca="1">VLOOKUP(G152,'Group code'!$Z$9:$AC$13,4,FALSE)</f>
        <v/>
      </c>
      <c r="V152" s="5" t="str">
        <f ca="1">IF(J152="","",VLOOKUP(J152,'Group code'!$Z$15:$AC$18,4,FALSE))</f>
        <v/>
      </c>
      <c r="W152" s="23" t="str">
        <f t="shared" ca="1" si="45"/>
        <v xml:space="preserve">    - sensor.batt_multi_sensor</v>
      </c>
      <c r="X152" s="5" t="str">
        <f t="shared" ca="1" si="35"/>
        <v/>
      </c>
    </row>
    <row r="153" spans="2:24" x14ac:dyDescent="0.25">
      <c r="B153" s="5">
        <f t="shared" si="32"/>
        <v>147</v>
      </c>
      <c r="C153" s="5">
        <f t="shared" ca="1" si="46"/>
        <v>18</v>
      </c>
      <c r="D153" s="5" t="str">
        <f ca="1">INDEX(cards[Attribute Index],MATCH('Group code'!C153,cards[object_id order],0))</f>
        <v>1</v>
      </c>
      <c r="E153" s="5">
        <f t="shared" ca="1" si="33"/>
        <v>1</v>
      </c>
      <c r="F153" s="14">
        <f ca="1">INDEX(cards[Entities count],MATCH('Group code'!C153,cards[object_id order],0))</f>
        <v>5</v>
      </c>
      <c r="G153" s="14">
        <f t="shared" ca="1" si="36"/>
        <v>4</v>
      </c>
      <c r="H153" s="14" t="str">
        <f t="shared" ca="1" si="37"/>
        <v/>
      </c>
      <c r="I153" s="5" t="str">
        <f t="shared" ca="1" si="38"/>
        <v/>
      </c>
      <c r="J153" s="5" t="str">
        <f t="shared" ca="1" si="34"/>
        <v/>
      </c>
      <c r="K153" s="5" t="str">
        <f t="shared" ca="1" si="39"/>
        <v/>
      </c>
      <c r="L153" s="5" t="str">
        <f t="shared" ca="1" si="40"/>
        <v/>
      </c>
      <c r="M153" s="5" t="str">
        <f t="shared" ca="1" si="41"/>
        <v/>
      </c>
      <c r="N153" s="5" t="str">
        <f t="shared" ca="1" si="42"/>
        <v/>
      </c>
      <c r="O153" s="5">
        <f t="shared" ca="1" si="43"/>
        <v>-4</v>
      </c>
      <c r="P153" s="5" t="str">
        <f ca="1">VLOOKUP(G153,'Group code'!$Z$9:$AC$13,3,FALSE)</f>
        <v/>
      </c>
      <c r="Q153" s="5" t="str">
        <f t="shared" ca="1" si="44"/>
        <v/>
      </c>
      <c r="R153" s="5" t="str">
        <f ca="1">IF(G153=0,INDEX(cards[object_id],MATCH($C153,cards[object_id order],0)),"")</f>
        <v/>
      </c>
      <c r="S153" s="5" t="str">
        <f ca="1">IF(G153=1,INDEX(cards[[name]:[control]],MATCH($C153,cards[object_id order],0),'Group code'!J153),"")</f>
        <v/>
      </c>
      <c r="T153" s="5" t="str">
        <f ca="1">IF(G153=3,INDEX(cards[[1]:[25]],MATCH($C153,cards[object_id order],0),'Group code'!I153),"")</f>
        <v/>
      </c>
      <c r="U153" s="5" t="str">
        <f ca="1">VLOOKUP(G153,'Group code'!$Z$9:$AC$13,4,FALSE)</f>
        <v/>
      </c>
      <c r="V153" s="5" t="str">
        <f ca="1">IF(J153="","",VLOOKUP(J153,'Group code'!$Z$15:$AC$18,4,FALSE))</f>
        <v/>
      </c>
      <c r="W153" s="23" t="str">
        <f t="shared" ca="1" si="45"/>
        <v/>
      </c>
      <c r="X153" s="5" t="str">
        <f t="shared" ca="1" si="35"/>
        <v/>
      </c>
    </row>
    <row r="154" spans="2:24" x14ac:dyDescent="0.25">
      <c r="B154" s="5">
        <f t="shared" si="32"/>
        <v>148</v>
      </c>
      <c r="C154" s="5">
        <f t="shared" ca="1" si="46"/>
        <v>19</v>
      </c>
      <c r="D154" s="5" t="str">
        <f ca="1">INDEX(cards[Attribute Index],MATCH('Group code'!C154,cards[object_id order],0))</f>
        <v>1</v>
      </c>
      <c r="E154" s="5">
        <f t="shared" ca="1" si="33"/>
        <v>1</v>
      </c>
      <c r="F154" s="14">
        <f ca="1">INDEX(cards[Entities count],MATCH('Group code'!C154,cards[object_id order],0))</f>
        <v>3</v>
      </c>
      <c r="G154" s="14">
        <f t="shared" ca="1" si="36"/>
        <v>0</v>
      </c>
      <c r="H154" s="14" t="str">
        <f t="shared" ca="1" si="37"/>
        <v/>
      </c>
      <c r="I154" s="5" t="str">
        <f t="shared" ca="1" si="38"/>
        <v/>
      </c>
      <c r="J154" s="5" t="str">
        <f t="shared" ca="1" si="34"/>
        <v/>
      </c>
      <c r="K154" s="5">
        <f t="shared" ca="1" si="39"/>
        <v>1</v>
      </c>
      <c r="L154" s="5" t="str">
        <f t="shared" ca="1" si="40"/>
        <v/>
      </c>
      <c r="M154" s="5" t="str">
        <f t="shared" ca="1" si="41"/>
        <v/>
      </c>
      <c r="N154" s="5" t="str">
        <f t="shared" ca="1" si="42"/>
        <v/>
      </c>
      <c r="O154" s="5" t="str">
        <f t="shared" ca="1" si="43"/>
        <v/>
      </c>
      <c r="P154" s="5" t="str">
        <f ca="1">VLOOKUP(G154,'Group code'!$Z$9:$AC$13,3,FALSE)</f>
        <v/>
      </c>
      <c r="Q154" s="5" t="str">
        <f t="shared" ca="1" si="44"/>
        <v/>
      </c>
      <c r="R154" s="5" t="str">
        <f ca="1">IF(G154=0,INDEX(cards[object_id],MATCH($C154,cards[object_id order],0)),"")</f>
        <v>phones</v>
      </c>
      <c r="S154" s="5" t="str">
        <f ca="1">IF(G154=1,INDEX(cards[[name]:[control]],MATCH($C154,cards[object_id order],0),'Group code'!J154),"")</f>
        <v/>
      </c>
      <c r="T154" s="5" t="str">
        <f ca="1">IF(G154=3,INDEX(cards[[1]:[25]],MATCH($C154,cards[object_id order],0),'Group code'!I154),"")</f>
        <v/>
      </c>
      <c r="U154" s="5" t="str">
        <f ca="1">VLOOKUP(G154,'Group code'!$Z$9:$AC$13,4,FALSE)</f>
        <v>:</v>
      </c>
      <c r="V154" s="5" t="str">
        <f ca="1">IF(J154="","",VLOOKUP(J154,'Group code'!$Z$15:$AC$18,4,FALSE))</f>
        <v/>
      </c>
      <c r="W154" s="23" t="str">
        <f t="shared" ca="1" si="45"/>
        <v>phones:</v>
      </c>
      <c r="X154" s="5" t="str">
        <f t="shared" ca="1" si="35"/>
        <v/>
      </c>
    </row>
    <row r="155" spans="2:24" x14ac:dyDescent="0.25">
      <c r="B155" s="5">
        <f t="shared" si="32"/>
        <v>149</v>
      </c>
      <c r="C155" s="5">
        <f t="shared" ca="1" si="46"/>
        <v>19</v>
      </c>
      <c r="D155" s="5" t="str">
        <f ca="1">INDEX(cards[Attribute Index],MATCH('Group code'!C155,cards[object_id order],0))</f>
        <v>1</v>
      </c>
      <c r="E155" s="5">
        <f t="shared" ca="1" si="33"/>
        <v>1</v>
      </c>
      <c r="F155" s="14">
        <f ca="1">INDEX(cards[Entities count],MATCH('Group code'!C155,cards[object_id order],0))</f>
        <v>3</v>
      </c>
      <c r="G155" s="14">
        <f t="shared" ca="1" si="36"/>
        <v>1</v>
      </c>
      <c r="H155" s="14">
        <f t="shared" ca="1" si="37"/>
        <v>1</v>
      </c>
      <c r="I155" s="5" t="str">
        <f t="shared" ca="1" si="38"/>
        <v/>
      </c>
      <c r="J155" s="5">
        <f t="shared" ca="1" si="34"/>
        <v>1</v>
      </c>
      <c r="K155" s="5" t="str">
        <f t="shared" ca="1" si="39"/>
        <v/>
      </c>
      <c r="L155" s="5">
        <f t="shared" ca="1" si="40"/>
        <v>1</v>
      </c>
      <c r="M155" s="5" t="str">
        <f t="shared" ca="1" si="41"/>
        <v/>
      </c>
      <c r="N155" s="5" t="str">
        <f t="shared" ca="1" si="42"/>
        <v/>
      </c>
      <c r="O155" s="5" t="str">
        <f t="shared" ca="1" si="43"/>
        <v/>
      </c>
      <c r="P155" s="5" t="str">
        <f ca="1">VLOOKUP(G155,'Group code'!$Z$9:$AC$13,3,FALSE)</f>
        <v/>
      </c>
      <c r="Q155" s="5" t="str">
        <f t="shared" ca="1" si="44"/>
        <v xml:space="preserve">  name: "</v>
      </c>
      <c r="R155" s="5" t="str">
        <f ca="1">IF(G155=0,INDEX(cards[object_id],MATCH($C155,cards[object_id order],0)),"")</f>
        <v/>
      </c>
      <c r="S155" s="5" t="str">
        <f ca="1">IF(G155=1,INDEX(cards[[name]:[control]],MATCH($C155,cards[object_id order],0),'Group code'!J155),"")</f>
        <v>LAN || Phones</v>
      </c>
      <c r="T155" s="5" t="str">
        <f ca="1">IF(G155=3,INDEX(cards[[1]:[25]],MATCH($C155,cards[object_id order],0),'Group code'!I155),"")</f>
        <v/>
      </c>
      <c r="U155" s="5" t="str">
        <f ca="1">VLOOKUP(G155,'Group code'!$Z$9:$AC$13,4,FALSE)</f>
        <v/>
      </c>
      <c r="V155" s="5" t="str">
        <f ca="1">IF(J155="","",VLOOKUP(J155,'Group code'!$Z$15:$AC$18,4,FALSE))</f>
        <v>"</v>
      </c>
      <c r="W155" s="23" t="str">
        <f t="shared" ca="1" si="45"/>
        <v xml:space="preserve">  name: "LAN || Phones"</v>
      </c>
      <c r="X155" s="5" t="str">
        <f t="shared" ca="1" si="35"/>
        <v/>
      </c>
    </row>
    <row r="156" spans="2:24" x14ac:dyDescent="0.25">
      <c r="B156" s="5">
        <f t="shared" si="32"/>
        <v>150</v>
      </c>
      <c r="C156" s="5">
        <f t="shared" ca="1" si="46"/>
        <v>19</v>
      </c>
      <c r="D156" s="5" t="str">
        <f ca="1">INDEX(cards[Attribute Index],MATCH('Group code'!C156,cards[object_id order],0))</f>
        <v>1</v>
      </c>
      <c r="E156" s="5">
        <f t="shared" ca="1" si="33"/>
        <v>1</v>
      </c>
      <c r="F156" s="14">
        <f ca="1">INDEX(cards[Entities count],MATCH('Group code'!C156,cards[object_id order],0))</f>
        <v>3</v>
      </c>
      <c r="G156" s="14">
        <f t="shared" ca="1" si="36"/>
        <v>2</v>
      </c>
      <c r="H156" s="14" t="str">
        <f t="shared" ca="1" si="37"/>
        <v/>
      </c>
      <c r="I156" s="5" t="str">
        <f t="shared" ca="1" si="38"/>
        <v/>
      </c>
      <c r="J156" s="5" t="str">
        <f t="shared" ca="1" si="34"/>
        <v/>
      </c>
      <c r="K156" s="5" t="str">
        <f t="shared" ca="1" si="39"/>
        <v/>
      </c>
      <c r="L156" s="5" t="str">
        <f t="shared" ca="1" si="40"/>
        <v/>
      </c>
      <c r="M156" s="5">
        <f t="shared" ca="1" si="41"/>
        <v>1</v>
      </c>
      <c r="N156" s="5" t="str">
        <f t="shared" ca="1" si="42"/>
        <v/>
      </c>
      <c r="O156" s="5" t="str">
        <f t="shared" ca="1" si="43"/>
        <v/>
      </c>
      <c r="P156" s="5" t="str">
        <f ca="1">VLOOKUP(G156,'Group code'!$Z$9:$AC$13,3,FALSE)</f>
        <v xml:space="preserve">  entities:</v>
      </c>
      <c r="Q156" s="5" t="str">
        <f t="shared" ca="1" si="44"/>
        <v/>
      </c>
      <c r="R156" s="5" t="str">
        <f ca="1">IF(G156=0,INDEX(cards[object_id],MATCH($C156,cards[object_id order],0)),"")</f>
        <v/>
      </c>
      <c r="S156" s="5" t="str">
        <f ca="1">IF(G156=1,INDEX(cards[[name]:[control]],MATCH($C156,cards[object_id order],0),'Group code'!J156),"")</f>
        <v/>
      </c>
      <c r="T156" s="5" t="str">
        <f ca="1">IF(G156=3,INDEX(cards[[1]:[25]],MATCH($C156,cards[object_id order],0),'Group code'!I156),"")</f>
        <v/>
      </c>
      <c r="U156" s="5" t="str">
        <f ca="1">VLOOKUP(G156,'Group code'!$Z$9:$AC$13,4,FALSE)</f>
        <v/>
      </c>
      <c r="V156" s="5" t="str">
        <f ca="1">IF(J156="","",VLOOKUP(J156,'Group code'!$Z$15:$AC$18,4,FALSE))</f>
        <v/>
      </c>
      <c r="W156" s="23" t="str">
        <f t="shared" ca="1" si="45"/>
        <v xml:space="preserve">  entities:</v>
      </c>
      <c r="X156" s="5" t="str">
        <f t="shared" ca="1" si="35"/>
        <v/>
      </c>
    </row>
    <row r="157" spans="2:24" x14ac:dyDescent="0.25">
      <c r="B157" s="5">
        <f t="shared" si="32"/>
        <v>151</v>
      </c>
      <c r="C157" s="5">
        <f t="shared" ca="1" si="46"/>
        <v>19</v>
      </c>
      <c r="D157" s="5" t="str">
        <f ca="1">INDEX(cards[Attribute Index],MATCH('Group code'!C157,cards[object_id order],0))</f>
        <v>1</v>
      </c>
      <c r="E157" s="5">
        <f t="shared" ca="1" si="33"/>
        <v>1</v>
      </c>
      <c r="F157" s="14">
        <f ca="1">INDEX(cards[Entities count],MATCH('Group code'!C157,cards[object_id order],0))</f>
        <v>3</v>
      </c>
      <c r="G157" s="14">
        <f t="shared" ca="1" si="36"/>
        <v>3</v>
      </c>
      <c r="H157" s="14" t="str">
        <f t="shared" ca="1" si="37"/>
        <v/>
      </c>
      <c r="I157" s="5">
        <f t="shared" ca="1" si="38"/>
        <v>1</v>
      </c>
      <c r="J157" s="5" t="str">
        <f t="shared" ca="1" si="34"/>
        <v/>
      </c>
      <c r="K157" s="5" t="str">
        <f t="shared" ca="1" si="39"/>
        <v/>
      </c>
      <c r="L157" s="5" t="str">
        <f t="shared" ca="1" si="40"/>
        <v/>
      </c>
      <c r="M157" s="5" t="str">
        <f t="shared" ca="1" si="41"/>
        <v/>
      </c>
      <c r="N157" s="5">
        <f t="shared" ca="1" si="42"/>
        <v>0</v>
      </c>
      <c r="O157" s="5" t="str">
        <f t="shared" ca="1" si="43"/>
        <v/>
      </c>
      <c r="P157" s="5" t="str">
        <f ca="1">VLOOKUP(G157,'Group code'!$Z$9:$AC$13,3,FALSE)</f>
        <v xml:space="preserve">    - </v>
      </c>
      <c r="Q157" s="5" t="str">
        <f t="shared" ca="1" si="44"/>
        <v/>
      </c>
      <c r="R157" s="5" t="str">
        <f ca="1">IF(G157=0,INDEX(cards[object_id],MATCH($C157,cards[object_id order],0)),"")</f>
        <v/>
      </c>
      <c r="S157" s="5" t="str">
        <f ca="1">IF(G157=1,INDEX(cards[[name]:[control]],MATCH($C157,cards[object_id order],0),'Group code'!J157),"")</f>
        <v/>
      </c>
      <c r="T157" s="5" t="str">
        <f ca="1">IF(G157=3,INDEX(cards[[1]:[25]],MATCH($C157,cards[object_id order],0),'Group code'!I157),"")</f>
        <v>device_tracker.ron_phone</v>
      </c>
      <c r="U157" s="5" t="str">
        <f ca="1">VLOOKUP(G157,'Group code'!$Z$9:$AC$13,4,FALSE)</f>
        <v/>
      </c>
      <c r="V157" s="5" t="str">
        <f ca="1">IF(J157="","",VLOOKUP(J157,'Group code'!$Z$15:$AC$18,4,FALSE))</f>
        <v/>
      </c>
      <c r="W157" s="23" t="str">
        <f t="shared" ca="1" si="45"/>
        <v xml:space="preserve">    - device_tracker.ron_phone</v>
      </c>
      <c r="X157" s="5" t="str">
        <f t="shared" ca="1" si="35"/>
        <v/>
      </c>
    </row>
    <row r="158" spans="2:24" x14ac:dyDescent="0.25">
      <c r="B158" s="5">
        <f t="shared" si="32"/>
        <v>152</v>
      </c>
      <c r="C158" s="5">
        <f t="shared" ca="1" si="46"/>
        <v>19</v>
      </c>
      <c r="D158" s="5" t="str">
        <f ca="1">INDEX(cards[Attribute Index],MATCH('Group code'!C158,cards[object_id order],0))</f>
        <v>1</v>
      </c>
      <c r="E158" s="5">
        <f t="shared" ca="1" si="33"/>
        <v>1</v>
      </c>
      <c r="F158" s="14">
        <f ca="1">INDEX(cards[Entities count],MATCH('Group code'!C158,cards[object_id order],0))</f>
        <v>3</v>
      </c>
      <c r="G158" s="14">
        <f t="shared" ca="1" si="36"/>
        <v>3</v>
      </c>
      <c r="H158" s="14" t="str">
        <f t="shared" ca="1" si="37"/>
        <v/>
      </c>
      <c r="I158" s="5">
        <f t="shared" ca="1" si="38"/>
        <v>2</v>
      </c>
      <c r="J158" s="5" t="str">
        <f t="shared" ca="1" si="34"/>
        <v/>
      </c>
      <c r="K158" s="5" t="str">
        <f t="shared" ca="1" si="39"/>
        <v/>
      </c>
      <c r="L158" s="5" t="str">
        <f t="shared" ca="1" si="40"/>
        <v/>
      </c>
      <c r="M158" s="5" t="str">
        <f t="shared" ca="1" si="41"/>
        <v/>
      </c>
      <c r="N158" s="5">
        <f t="shared" ca="1" si="42"/>
        <v>0</v>
      </c>
      <c r="O158" s="5" t="str">
        <f t="shared" ca="1" si="43"/>
        <v/>
      </c>
      <c r="P158" s="5" t="str">
        <f ca="1">VLOOKUP(G158,'Group code'!$Z$9:$AC$13,3,FALSE)</f>
        <v xml:space="preserve">    - </v>
      </c>
      <c r="Q158" s="5" t="str">
        <f t="shared" ca="1" si="44"/>
        <v/>
      </c>
      <c r="R158" s="5" t="str">
        <f ca="1">IF(G158=0,INDEX(cards[object_id],MATCH($C158,cards[object_id order],0)),"")</f>
        <v/>
      </c>
      <c r="S158" s="5" t="str">
        <f ca="1">IF(G158=1,INDEX(cards[[name]:[control]],MATCH($C158,cards[object_id order],0),'Group code'!J158),"")</f>
        <v/>
      </c>
      <c r="T158" s="5" t="str">
        <f ca="1">IF(G158=3,INDEX(cards[[1]:[25]],MATCH($C158,cards[object_id order],0),'Group code'!I158),"")</f>
        <v>device_tracker.daniel_phone</v>
      </c>
      <c r="U158" s="5" t="str">
        <f ca="1">VLOOKUP(G158,'Group code'!$Z$9:$AC$13,4,FALSE)</f>
        <v/>
      </c>
      <c r="V158" s="5" t="str">
        <f ca="1">IF(J158="","",VLOOKUP(J158,'Group code'!$Z$15:$AC$18,4,FALSE))</f>
        <v/>
      </c>
      <c r="W158" s="23" t="str">
        <f t="shared" ca="1" si="45"/>
        <v xml:space="preserve">    - device_tracker.daniel_phone</v>
      </c>
      <c r="X158" s="5" t="str">
        <f t="shared" ca="1" si="35"/>
        <v/>
      </c>
    </row>
    <row r="159" spans="2:24" x14ac:dyDescent="0.25">
      <c r="B159" s="5">
        <f t="shared" si="32"/>
        <v>153</v>
      </c>
      <c r="C159" s="5">
        <f t="shared" ca="1" si="46"/>
        <v>19</v>
      </c>
      <c r="D159" s="5" t="str">
        <f ca="1">INDEX(cards[Attribute Index],MATCH('Group code'!C159,cards[object_id order],0))</f>
        <v>1</v>
      </c>
      <c r="E159" s="5">
        <f t="shared" ca="1" si="33"/>
        <v>1</v>
      </c>
      <c r="F159" s="14">
        <f ca="1">INDEX(cards[Entities count],MATCH('Group code'!C159,cards[object_id order],0))</f>
        <v>3</v>
      </c>
      <c r="G159" s="14">
        <f t="shared" ca="1" si="36"/>
        <v>3</v>
      </c>
      <c r="H159" s="14" t="str">
        <f t="shared" ca="1" si="37"/>
        <v/>
      </c>
      <c r="I159" s="5">
        <f t="shared" ca="1" si="38"/>
        <v>3</v>
      </c>
      <c r="J159" s="5" t="str">
        <f t="shared" ca="1" si="34"/>
        <v/>
      </c>
      <c r="K159" s="5" t="str">
        <f t="shared" ca="1" si="39"/>
        <v/>
      </c>
      <c r="L159" s="5" t="str">
        <f t="shared" ca="1" si="40"/>
        <v/>
      </c>
      <c r="M159" s="5" t="str">
        <f t="shared" ca="1" si="41"/>
        <v/>
      </c>
      <c r="N159" s="5">
        <f t="shared" ca="1" si="42"/>
        <v>1</v>
      </c>
      <c r="O159" s="5" t="str">
        <f t="shared" ca="1" si="43"/>
        <v/>
      </c>
      <c r="P159" s="5" t="str">
        <f ca="1">VLOOKUP(G159,'Group code'!$Z$9:$AC$13,3,FALSE)</f>
        <v xml:space="preserve">    - </v>
      </c>
      <c r="Q159" s="5" t="str">
        <f t="shared" ca="1" si="44"/>
        <v/>
      </c>
      <c r="R159" s="5" t="str">
        <f ca="1">IF(G159=0,INDEX(cards[object_id],MATCH($C159,cards[object_id order],0)),"")</f>
        <v/>
      </c>
      <c r="S159" s="5" t="str">
        <f ca="1">IF(G159=1,INDEX(cards[[name]:[control]],MATCH($C159,cards[object_id order],0),'Group code'!J159),"")</f>
        <v/>
      </c>
      <c r="T159" s="5" t="str">
        <f ca="1">IF(G159=3,INDEX(cards[[1]:[25]],MATCH($C159,cards[object_id order],0),'Group code'!I159),"")</f>
        <v>device_tracker.carolyn_phone</v>
      </c>
      <c r="U159" s="5" t="str">
        <f ca="1">VLOOKUP(G159,'Group code'!$Z$9:$AC$13,4,FALSE)</f>
        <v/>
      </c>
      <c r="V159" s="5" t="str">
        <f ca="1">IF(J159="","",VLOOKUP(J159,'Group code'!$Z$15:$AC$18,4,FALSE))</f>
        <v/>
      </c>
      <c r="W159" s="23" t="str">
        <f t="shared" ca="1" si="45"/>
        <v xml:space="preserve">    - device_tracker.carolyn_phone</v>
      </c>
      <c r="X159" s="5" t="str">
        <f t="shared" ca="1" si="35"/>
        <v/>
      </c>
    </row>
    <row r="160" spans="2:24" x14ac:dyDescent="0.25">
      <c r="B160" s="5">
        <f t="shared" si="32"/>
        <v>154</v>
      </c>
      <c r="C160" s="5">
        <f t="shared" ca="1" si="46"/>
        <v>19</v>
      </c>
      <c r="D160" s="5" t="str">
        <f ca="1">INDEX(cards[Attribute Index],MATCH('Group code'!C160,cards[object_id order],0))</f>
        <v>1</v>
      </c>
      <c r="E160" s="5">
        <f t="shared" ca="1" si="33"/>
        <v>1</v>
      </c>
      <c r="F160" s="14">
        <f ca="1">INDEX(cards[Entities count],MATCH('Group code'!C160,cards[object_id order],0))</f>
        <v>3</v>
      </c>
      <c r="G160" s="14">
        <f t="shared" ca="1" si="36"/>
        <v>4</v>
      </c>
      <c r="H160" s="14" t="str">
        <f t="shared" ca="1" si="37"/>
        <v/>
      </c>
      <c r="I160" s="5" t="str">
        <f t="shared" ca="1" si="38"/>
        <v/>
      </c>
      <c r="J160" s="5" t="str">
        <f t="shared" ca="1" si="34"/>
        <v/>
      </c>
      <c r="K160" s="5" t="str">
        <f t="shared" ca="1" si="39"/>
        <v/>
      </c>
      <c r="L160" s="5" t="str">
        <f t="shared" ca="1" si="40"/>
        <v/>
      </c>
      <c r="M160" s="5" t="str">
        <f t="shared" ca="1" si="41"/>
        <v/>
      </c>
      <c r="N160" s="5" t="str">
        <f t="shared" ca="1" si="42"/>
        <v/>
      </c>
      <c r="O160" s="5">
        <f t="shared" ca="1" si="43"/>
        <v>-4</v>
      </c>
      <c r="P160" s="5" t="str">
        <f ca="1">VLOOKUP(G160,'Group code'!$Z$9:$AC$13,3,FALSE)</f>
        <v/>
      </c>
      <c r="Q160" s="5" t="str">
        <f t="shared" ca="1" si="44"/>
        <v/>
      </c>
      <c r="R160" s="5" t="str">
        <f ca="1">IF(G160=0,INDEX(cards[object_id],MATCH($C160,cards[object_id order],0)),"")</f>
        <v/>
      </c>
      <c r="S160" s="5" t="str">
        <f ca="1">IF(G160=1,INDEX(cards[[name]:[control]],MATCH($C160,cards[object_id order],0),'Group code'!J160),"")</f>
        <v/>
      </c>
      <c r="T160" s="5" t="str">
        <f ca="1">IF(G160=3,INDEX(cards[[1]:[25]],MATCH($C160,cards[object_id order],0),'Group code'!I160),"")</f>
        <v/>
      </c>
      <c r="U160" s="5" t="str">
        <f ca="1">VLOOKUP(G160,'Group code'!$Z$9:$AC$13,4,FALSE)</f>
        <v/>
      </c>
      <c r="V160" s="5" t="str">
        <f ca="1">IF(J160="","",VLOOKUP(J160,'Group code'!$Z$15:$AC$18,4,FALSE))</f>
        <v/>
      </c>
      <c r="W160" s="23" t="str">
        <f t="shared" ca="1" si="45"/>
        <v/>
      </c>
      <c r="X160" s="5" t="str">
        <f t="shared" ca="1" si="35"/>
        <v/>
      </c>
    </row>
    <row r="161" spans="2:24" x14ac:dyDescent="0.25">
      <c r="B161" s="5">
        <f t="shared" si="32"/>
        <v>155</v>
      </c>
      <c r="C161" s="5">
        <f t="shared" ca="1" si="46"/>
        <v>20</v>
      </c>
      <c r="D161" s="5" t="str">
        <f ca="1">INDEX(cards[Attribute Index],MATCH('Group code'!C161,cards[object_id order],0))</f>
        <v>1</v>
      </c>
      <c r="E161" s="5">
        <f t="shared" ca="1" si="33"/>
        <v>1</v>
      </c>
      <c r="F161" s="14">
        <f ca="1">INDEX(cards[Entities count],MATCH('Group code'!C161,cards[object_id order],0))</f>
        <v>4</v>
      </c>
      <c r="G161" s="14">
        <f t="shared" ca="1" si="36"/>
        <v>0</v>
      </c>
      <c r="H161" s="14" t="str">
        <f t="shared" ca="1" si="37"/>
        <v/>
      </c>
      <c r="I161" s="5" t="str">
        <f t="shared" ca="1" si="38"/>
        <v/>
      </c>
      <c r="J161" s="5" t="str">
        <f t="shared" ca="1" si="34"/>
        <v/>
      </c>
      <c r="K161" s="5">
        <f t="shared" ca="1" si="39"/>
        <v>1</v>
      </c>
      <c r="L161" s="5" t="str">
        <f t="shared" ca="1" si="40"/>
        <v/>
      </c>
      <c r="M161" s="5" t="str">
        <f t="shared" ca="1" si="41"/>
        <v/>
      </c>
      <c r="N161" s="5" t="str">
        <f t="shared" ca="1" si="42"/>
        <v/>
      </c>
      <c r="O161" s="5" t="str">
        <f t="shared" ca="1" si="43"/>
        <v/>
      </c>
      <c r="P161" s="5" t="str">
        <f ca="1">VLOOKUP(G161,'Group code'!$Z$9:$AC$13,3,FALSE)</f>
        <v/>
      </c>
      <c r="Q161" s="5" t="str">
        <f t="shared" ca="1" si="44"/>
        <v/>
      </c>
      <c r="R161" s="5" t="str">
        <f ca="1">IF(G161=0,INDEX(cards[object_id],MATCH($C161,cards[object_id order],0)),"")</f>
        <v>personal_devices</v>
      </c>
      <c r="S161" s="5" t="str">
        <f ca="1">IF(G161=1,INDEX(cards[[name]:[control]],MATCH($C161,cards[object_id order],0),'Group code'!J161),"")</f>
        <v/>
      </c>
      <c r="T161" s="5" t="str">
        <f ca="1">IF(G161=3,INDEX(cards[[1]:[25]],MATCH($C161,cards[object_id order],0),'Group code'!I161),"")</f>
        <v/>
      </c>
      <c r="U161" s="5" t="str">
        <f ca="1">VLOOKUP(G161,'Group code'!$Z$9:$AC$13,4,FALSE)</f>
        <v>:</v>
      </c>
      <c r="V161" s="5" t="str">
        <f ca="1">IF(J161="","",VLOOKUP(J161,'Group code'!$Z$15:$AC$18,4,FALSE))</f>
        <v/>
      </c>
      <c r="W161" s="23" t="str">
        <f t="shared" ca="1" si="45"/>
        <v>personal_devices:</v>
      </c>
      <c r="X161" s="5" t="str">
        <f t="shared" ca="1" si="35"/>
        <v/>
      </c>
    </row>
    <row r="162" spans="2:24" x14ac:dyDescent="0.25">
      <c r="B162" s="5">
        <f t="shared" si="32"/>
        <v>156</v>
      </c>
      <c r="C162" s="5">
        <f t="shared" ca="1" si="46"/>
        <v>20</v>
      </c>
      <c r="D162" s="5" t="str">
        <f ca="1">INDEX(cards[Attribute Index],MATCH('Group code'!C162,cards[object_id order],0))</f>
        <v>1</v>
      </c>
      <c r="E162" s="5">
        <f t="shared" ca="1" si="33"/>
        <v>1</v>
      </c>
      <c r="F162" s="14">
        <f ca="1">INDEX(cards[Entities count],MATCH('Group code'!C162,cards[object_id order],0))</f>
        <v>4</v>
      </c>
      <c r="G162" s="14">
        <f t="shared" ca="1" si="36"/>
        <v>1</v>
      </c>
      <c r="H162" s="14">
        <f t="shared" ca="1" si="37"/>
        <v>1</v>
      </c>
      <c r="I162" s="5" t="str">
        <f t="shared" ca="1" si="38"/>
        <v/>
      </c>
      <c r="J162" s="5">
        <f t="shared" ca="1" si="34"/>
        <v>1</v>
      </c>
      <c r="K162" s="5" t="str">
        <f t="shared" ca="1" si="39"/>
        <v/>
      </c>
      <c r="L162" s="5">
        <f t="shared" ca="1" si="40"/>
        <v>1</v>
      </c>
      <c r="M162" s="5" t="str">
        <f t="shared" ca="1" si="41"/>
        <v/>
      </c>
      <c r="N162" s="5" t="str">
        <f t="shared" ca="1" si="42"/>
        <v/>
      </c>
      <c r="O162" s="5" t="str">
        <f t="shared" ca="1" si="43"/>
        <v/>
      </c>
      <c r="P162" s="5" t="str">
        <f ca="1">VLOOKUP(G162,'Group code'!$Z$9:$AC$13,3,FALSE)</f>
        <v/>
      </c>
      <c r="Q162" s="5" t="str">
        <f t="shared" ca="1" si="44"/>
        <v xml:space="preserve">  name: "</v>
      </c>
      <c r="R162" s="5" t="str">
        <f ca="1">IF(G162=0,INDEX(cards[object_id],MATCH($C162,cards[object_id order],0)),"")</f>
        <v/>
      </c>
      <c r="S162" s="5" t="str">
        <f ca="1">IF(G162=1,INDEX(cards[[name]:[control]],MATCH($C162,cards[object_id order],0),'Group code'!J162),"")</f>
        <v>LAN || Computers</v>
      </c>
      <c r="T162" s="5" t="str">
        <f ca="1">IF(G162=3,INDEX(cards[[1]:[25]],MATCH($C162,cards[object_id order],0),'Group code'!I162),"")</f>
        <v/>
      </c>
      <c r="U162" s="5" t="str">
        <f ca="1">VLOOKUP(G162,'Group code'!$Z$9:$AC$13,4,FALSE)</f>
        <v/>
      </c>
      <c r="V162" s="5" t="str">
        <f ca="1">IF(J162="","",VLOOKUP(J162,'Group code'!$Z$15:$AC$18,4,FALSE))</f>
        <v>"</v>
      </c>
      <c r="W162" s="23" t="str">
        <f t="shared" ca="1" si="45"/>
        <v xml:space="preserve">  name: "LAN || Computers"</v>
      </c>
      <c r="X162" s="5" t="str">
        <f t="shared" ca="1" si="35"/>
        <v/>
      </c>
    </row>
    <row r="163" spans="2:24" x14ac:dyDescent="0.25">
      <c r="B163" s="5">
        <f t="shared" si="32"/>
        <v>157</v>
      </c>
      <c r="C163" s="5">
        <f t="shared" ca="1" si="46"/>
        <v>20</v>
      </c>
      <c r="D163" s="5" t="str">
        <f ca="1">INDEX(cards[Attribute Index],MATCH('Group code'!C163,cards[object_id order],0))</f>
        <v>1</v>
      </c>
      <c r="E163" s="5">
        <f t="shared" ca="1" si="33"/>
        <v>1</v>
      </c>
      <c r="F163" s="14">
        <f ca="1">INDEX(cards[Entities count],MATCH('Group code'!C163,cards[object_id order],0))</f>
        <v>4</v>
      </c>
      <c r="G163" s="14">
        <f t="shared" ca="1" si="36"/>
        <v>2</v>
      </c>
      <c r="H163" s="14" t="str">
        <f t="shared" ca="1" si="37"/>
        <v/>
      </c>
      <c r="I163" s="5" t="str">
        <f t="shared" ca="1" si="38"/>
        <v/>
      </c>
      <c r="J163" s="5" t="str">
        <f t="shared" ca="1" si="34"/>
        <v/>
      </c>
      <c r="K163" s="5" t="str">
        <f t="shared" ca="1" si="39"/>
        <v/>
      </c>
      <c r="L163" s="5" t="str">
        <f t="shared" ca="1" si="40"/>
        <v/>
      </c>
      <c r="M163" s="5">
        <f t="shared" ca="1" si="41"/>
        <v>1</v>
      </c>
      <c r="N163" s="5" t="str">
        <f t="shared" ca="1" si="42"/>
        <v/>
      </c>
      <c r="O163" s="5" t="str">
        <f t="shared" ca="1" si="43"/>
        <v/>
      </c>
      <c r="P163" s="5" t="str">
        <f ca="1">VLOOKUP(G163,'Group code'!$Z$9:$AC$13,3,FALSE)</f>
        <v xml:space="preserve">  entities:</v>
      </c>
      <c r="Q163" s="5" t="str">
        <f t="shared" ca="1" si="44"/>
        <v/>
      </c>
      <c r="R163" s="5" t="str">
        <f ca="1">IF(G163=0,INDEX(cards[object_id],MATCH($C163,cards[object_id order],0)),"")</f>
        <v/>
      </c>
      <c r="S163" s="5" t="str">
        <f ca="1">IF(G163=1,INDEX(cards[[name]:[control]],MATCH($C163,cards[object_id order],0),'Group code'!J163),"")</f>
        <v/>
      </c>
      <c r="T163" s="5" t="str">
        <f ca="1">IF(G163=3,INDEX(cards[[1]:[25]],MATCH($C163,cards[object_id order],0),'Group code'!I163),"")</f>
        <v/>
      </c>
      <c r="U163" s="5" t="str">
        <f ca="1">VLOOKUP(G163,'Group code'!$Z$9:$AC$13,4,FALSE)</f>
        <v/>
      </c>
      <c r="V163" s="5" t="str">
        <f ca="1">IF(J163="","",VLOOKUP(J163,'Group code'!$Z$15:$AC$18,4,FALSE))</f>
        <v/>
      </c>
      <c r="W163" s="23" t="str">
        <f t="shared" ca="1" si="45"/>
        <v xml:space="preserve">  entities:</v>
      </c>
      <c r="X163" s="5" t="str">
        <f t="shared" ca="1" si="35"/>
        <v/>
      </c>
    </row>
    <row r="164" spans="2:24" x14ac:dyDescent="0.25">
      <c r="B164" s="5">
        <f t="shared" si="32"/>
        <v>158</v>
      </c>
      <c r="C164" s="5">
        <f t="shared" ca="1" si="46"/>
        <v>20</v>
      </c>
      <c r="D164" s="5" t="str">
        <f ca="1">INDEX(cards[Attribute Index],MATCH('Group code'!C164,cards[object_id order],0))</f>
        <v>1</v>
      </c>
      <c r="E164" s="5">
        <f t="shared" ca="1" si="33"/>
        <v>1</v>
      </c>
      <c r="F164" s="14">
        <f ca="1">INDEX(cards[Entities count],MATCH('Group code'!C164,cards[object_id order],0))</f>
        <v>4</v>
      </c>
      <c r="G164" s="14">
        <f t="shared" ca="1" si="36"/>
        <v>3</v>
      </c>
      <c r="H164" s="14" t="str">
        <f t="shared" ca="1" si="37"/>
        <v/>
      </c>
      <c r="I164" s="5">
        <f t="shared" ca="1" si="38"/>
        <v>1</v>
      </c>
      <c r="J164" s="5" t="str">
        <f t="shared" ca="1" si="34"/>
        <v/>
      </c>
      <c r="K164" s="5" t="str">
        <f t="shared" ca="1" si="39"/>
        <v/>
      </c>
      <c r="L164" s="5" t="str">
        <f t="shared" ca="1" si="40"/>
        <v/>
      </c>
      <c r="M164" s="5" t="str">
        <f t="shared" ca="1" si="41"/>
        <v/>
      </c>
      <c r="N164" s="5">
        <f t="shared" ca="1" si="42"/>
        <v>0</v>
      </c>
      <c r="O164" s="5" t="str">
        <f t="shared" ca="1" si="43"/>
        <v/>
      </c>
      <c r="P164" s="5" t="str">
        <f ca="1">VLOOKUP(G164,'Group code'!$Z$9:$AC$13,3,FALSE)</f>
        <v xml:space="preserve">    - </v>
      </c>
      <c r="Q164" s="5" t="str">
        <f t="shared" ca="1" si="44"/>
        <v/>
      </c>
      <c r="R164" s="5" t="str">
        <f ca="1">IF(G164=0,INDEX(cards[object_id],MATCH($C164,cards[object_id order],0)),"")</f>
        <v/>
      </c>
      <c r="S164" s="5" t="str">
        <f ca="1">IF(G164=1,INDEX(cards[[name]:[control]],MATCH($C164,cards[object_id order],0),'Group code'!J164),"")</f>
        <v/>
      </c>
      <c r="T164" s="5" t="str">
        <f ca="1">IF(G164=3,INDEX(cards[[1]:[25]],MATCH($C164,cards[object_id order],0),'Group code'!I164),"")</f>
        <v>device_tracker.humvee</v>
      </c>
      <c r="U164" s="5" t="str">
        <f ca="1">VLOOKUP(G164,'Group code'!$Z$9:$AC$13,4,FALSE)</f>
        <v/>
      </c>
      <c r="V164" s="5" t="str">
        <f ca="1">IF(J164="","",VLOOKUP(J164,'Group code'!$Z$15:$AC$18,4,FALSE))</f>
        <v/>
      </c>
      <c r="W164" s="23" t="str">
        <f t="shared" ca="1" si="45"/>
        <v xml:space="preserve">    - device_tracker.humvee</v>
      </c>
      <c r="X164" s="5" t="str">
        <f t="shared" ca="1" si="35"/>
        <v/>
      </c>
    </row>
    <row r="165" spans="2:24" x14ac:dyDescent="0.25">
      <c r="B165" s="5">
        <f t="shared" si="32"/>
        <v>159</v>
      </c>
      <c r="C165" s="5">
        <f t="shared" ca="1" si="46"/>
        <v>20</v>
      </c>
      <c r="D165" s="5" t="str">
        <f ca="1">INDEX(cards[Attribute Index],MATCH('Group code'!C165,cards[object_id order],0))</f>
        <v>1</v>
      </c>
      <c r="E165" s="5">
        <f t="shared" ca="1" si="33"/>
        <v>1</v>
      </c>
      <c r="F165" s="14">
        <f ca="1">INDEX(cards[Entities count],MATCH('Group code'!C165,cards[object_id order],0))</f>
        <v>4</v>
      </c>
      <c r="G165" s="14">
        <f t="shared" ca="1" si="36"/>
        <v>3</v>
      </c>
      <c r="H165" s="14" t="str">
        <f t="shared" ca="1" si="37"/>
        <v/>
      </c>
      <c r="I165" s="5">
        <f t="shared" ca="1" si="38"/>
        <v>2</v>
      </c>
      <c r="J165" s="5" t="str">
        <f t="shared" ca="1" si="34"/>
        <v/>
      </c>
      <c r="K165" s="5" t="str">
        <f t="shared" ca="1" si="39"/>
        <v/>
      </c>
      <c r="L165" s="5" t="str">
        <f t="shared" ca="1" si="40"/>
        <v/>
      </c>
      <c r="M165" s="5" t="str">
        <f t="shared" ca="1" si="41"/>
        <v/>
      </c>
      <c r="N165" s="5">
        <f t="shared" ca="1" si="42"/>
        <v>0</v>
      </c>
      <c r="O165" s="5" t="str">
        <f t="shared" ca="1" si="43"/>
        <v/>
      </c>
      <c r="P165" s="5" t="str">
        <f ca="1">VLOOKUP(G165,'Group code'!$Z$9:$AC$13,3,FALSE)</f>
        <v xml:space="preserve">    - </v>
      </c>
      <c r="Q165" s="5" t="str">
        <f t="shared" ca="1" si="44"/>
        <v/>
      </c>
      <c r="R165" s="5" t="str">
        <f ca="1">IF(G165=0,INDEX(cards[object_id],MATCH($C165,cards[object_id order],0)),"")</f>
        <v/>
      </c>
      <c r="S165" s="5" t="str">
        <f ca="1">IF(G165=1,INDEX(cards[[name]:[control]],MATCH($C165,cards[object_id order],0),'Group code'!J165),"")</f>
        <v/>
      </c>
      <c r="T165" s="5" t="str">
        <f ca="1">IF(G165=3,INDEX(cards[[1]:[25]],MATCH($C165,cards[object_id order],0),'Group code'!I165),"")</f>
        <v>device_tracker.tank</v>
      </c>
      <c r="U165" s="5" t="str">
        <f ca="1">VLOOKUP(G165,'Group code'!$Z$9:$AC$13,4,FALSE)</f>
        <v/>
      </c>
      <c r="V165" s="5" t="str">
        <f ca="1">IF(J165="","",VLOOKUP(J165,'Group code'!$Z$15:$AC$18,4,FALSE))</f>
        <v/>
      </c>
      <c r="W165" s="23" t="str">
        <f t="shared" ca="1" si="45"/>
        <v xml:space="preserve">    - device_tracker.tank</v>
      </c>
      <c r="X165" s="5" t="str">
        <f t="shared" ca="1" si="35"/>
        <v/>
      </c>
    </row>
    <row r="166" spans="2:24" x14ac:dyDescent="0.25">
      <c r="B166" s="5">
        <f t="shared" si="32"/>
        <v>160</v>
      </c>
      <c r="C166" s="5">
        <f t="shared" ca="1" si="46"/>
        <v>20</v>
      </c>
      <c r="D166" s="5" t="str">
        <f ca="1">INDEX(cards[Attribute Index],MATCH('Group code'!C166,cards[object_id order],0))</f>
        <v>1</v>
      </c>
      <c r="E166" s="5">
        <f t="shared" ca="1" si="33"/>
        <v>1</v>
      </c>
      <c r="F166" s="14">
        <f ca="1">INDEX(cards[Entities count],MATCH('Group code'!C166,cards[object_id order],0))</f>
        <v>4</v>
      </c>
      <c r="G166" s="14">
        <f t="shared" ca="1" si="36"/>
        <v>3</v>
      </c>
      <c r="H166" s="14" t="str">
        <f t="shared" ca="1" si="37"/>
        <v/>
      </c>
      <c r="I166" s="5">
        <f t="shared" ca="1" si="38"/>
        <v>3</v>
      </c>
      <c r="J166" s="5" t="str">
        <f t="shared" ca="1" si="34"/>
        <v/>
      </c>
      <c r="K166" s="5" t="str">
        <f t="shared" ca="1" si="39"/>
        <v/>
      </c>
      <c r="L166" s="5" t="str">
        <f t="shared" ca="1" si="40"/>
        <v/>
      </c>
      <c r="M166" s="5" t="str">
        <f t="shared" ca="1" si="41"/>
        <v/>
      </c>
      <c r="N166" s="5">
        <f t="shared" ca="1" si="42"/>
        <v>0</v>
      </c>
      <c r="O166" s="5" t="str">
        <f t="shared" ca="1" si="43"/>
        <v/>
      </c>
      <c r="P166" s="5" t="str">
        <f ca="1">VLOOKUP(G166,'Group code'!$Z$9:$AC$13,3,FALSE)</f>
        <v xml:space="preserve">    - </v>
      </c>
      <c r="Q166" s="5" t="str">
        <f t="shared" ca="1" si="44"/>
        <v/>
      </c>
      <c r="R166" s="5" t="str">
        <f ca="1">IF(G166=0,INDEX(cards[object_id],MATCH($C166,cards[object_id order],0)),"")</f>
        <v/>
      </c>
      <c r="S166" s="5" t="str">
        <f ca="1">IF(G166=1,INDEX(cards[[name]:[control]],MATCH($C166,cards[object_id order],0),'Group code'!J166),"")</f>
        <v/>
      </c>
      <c r="T166" s="5" t="str">
        <f ca="1">IF(G166=3,INDEX(cards[[1]:[25]],MATCH($C166,cards[object_id order],0),'Group code'!I166),"")</f>
        <v>device_tracker.growler</v>
      </c>
      <c r="U166" s="5" t="str">
        <f ca="1">VLOOKUP(G166,'Group code'!$Z$9:$AC$13,4,FALSE)</f>
        <v/>
      </c>
      <c r="V166" s="5" t="str">
        <f ca="1">IF(J166="","",VLOOKUP(J166,'Group code'!$Z$15:$AC$18,4,FALSE))</f>
        <v/>
      </c>
      <c r="W166" s="23" t="str">
        <f t="shared" ca="1" si="45"/>
        <v xml:space="preserve">    - device_tracker.growler</v>
      </c>
      <c r="X166" s="5" t="str">
        <f t="shared" ca="1" si="35"/>
        <v/>
      </c>
    </row>
    <row r="167" spans="2:24" x14ac:dyDescent="0.25">
      <c r="B167" s="5">
        <f t="shared" si="32"/>
        <v>161</v>
      </c>
      <c r="C167" s="5">
        <f t="shared" ca="1" si="46"/>
        <v>20</v>
      </c>
      <c r="D167" s="5" t="str">
        <f ca="1">INDEX(cards[Attribute Index],MATCH('Group code'!C167,cards[object_id order],0))</f>
        <v>1</v>
      </c>
      <c r="E167" s="5">
        <f t="shared" ca="1" si="33"/>
        <v>1</v>
      </c>
      <c r="F167" s="14">
        <f ca="1">INDEX(cards[Entities count],MATCH('Group code'!C167,cards[object_id order],0))</f>
        <v>4</v>
      </c>
      <c r="G167" s="14">
        <f t="shared" ca="1" si="36"/>
        <v>3</v>
      </c>
      <c r="H167" s="14" t="str">
        <f t="shared" ca="1" si="37"/>
        <v/>
      </c>
      <c r="I167" s="5">
        <f t="shared" ca="1" si="38"/>
        <v>4</v>
      </c>
      <c r="J167" s="5" t="str">
        <f t="shared" ca="1" si="34"/>
        <v/>
      </c>
      <c r="K167" s="5" t="str">
        <f t="shared" ca="1" si="39"/>
        <v/>
      </c>
      <c r="L167" s="5" t="str">
        <f t="shared" ca="1" si="40"/>
        <v/>
      </c>
      <c r="M167" s="5" t="str">
        <f t="shared" ca="1" si="41"/>
        <v/>
      </c>
      <c r="N167" s="5">
        <f t="shared" ca="1" si="42"/>
        <v>1</v>
      </c>
      <c r="O167" s="5" t="str">
        <f t="shared" ca="1" si="43"/>
        <v/>
      </c>
      <c r="P167" s="5" t="str">
        <f ca="1">VLOOKUP(G167,'Group code'!$Z$9:$AC$13,3,FALSE)</f>
        <v xml:space="preserve">    - </v>
      </c>
      <c r="Q167" s="5" t="str">
        <f t="shared" ca="1" si="44"/>
        <v/>
      </c>
      <c r="R167" s="5" t="str">
        <f ca="1">IF(G167=0,INDEX(cards[object_id],MATCH($C167,cards[object_id order],0)),"")</f>
        <v/>
      </c>
      <c r="S167" s="5" t="str">
        <f ca="1">IF(G167=1,INDEX(cards[[name]:[control]],MATCH($C167,cards[object_id order],0),'Group code'!J167),"")</f>
        <v/>
      </c>
      <c r="T167" s="5" t="str">
        <f ca="1">IF(G167=3,INDEX(cards[[1]:[25]],MATCH($C167,cards[object_id order],0),'Group code'!I167),"")</f>
        <v>device_tracker.bazooka</v>
      </c>
      <c r="U167" s="5" t="str">
        <f ca="1">VLOOKUP(G167,'Group code'!$Z$9:$AC$13,4,FALSE)</f>
        <v/>
      </c>
      <c r="V167" s="5" t="str">
        <f ca="1">IF(J167="","",VLOOKUP(J167,'Group code'!$Z$15:$AC$18,4,FALSE))</f>
        <v/>
      </c>
      <c r="W167" s="23" t="str">
        <f t="shared" ca="1" si="45"/>
        <v xml:space="preserve">    - device_tracker.bazooka</v>
      </c>
      <c r="X167" s="5" t="str">
        <f t="shared" ca="1" si="35"/>
        <v/>
      </c>
    </row>
    <row r="168" spans="2:24" x14ac:dyDescent="0.25">
      <c r="B168" s="5">
        <f t="shared" si="32"/>
        <v>162</v>
      </c>
      <c r="C168" s="5">
        <f t="shared" ca="1" si="46"/>
        <v>20</v>
      </c>
      <c r="D168" s="5" t="str">
        <f ca="1">INDEX(cards[Attribute Index],MATCH('Group code'!C168,cards[object_id order],0))</f>
        <v>1</v>
      </c>
      <c r="E168" s="5">
        <f t="shared" ca="1" si="33"/>
        <v>1</v>
      </c>
      <c r="F168" s="14">
        <f ca="1">INDEX(cards[Entities count],MATCH('Group code'!C168,cards[object_id order],0))</f>
        <v>4</v>
      </c>
      <c r="G168" s="14">
        <f t="shared" ca="1" si="36"/>
        <v>4</v>
      </c>
      <c r="H168" s="14" t="str">
        <f t="shared" ca="1" si="37"/>
        <v/>
      </c>
      <c r="I168" s="5" t="str">
        <f t="shared" ca="1" si="38"/>
        <v/>
      </c>
      <c r="J168" s="5" t="str">
        <f t="shared" ca="1" si="34"/>
        <v/>
      </c>
      <c r="K168" s="5" t="str">
        <f t="shared" ca="1" si="39"/>
        <v/>
      </c>
      <c r="L168" s="5" t="str">
        <f t="shared" ca="1" si="40"/>
        <v/>
      </c>
      <c r="M168" s="5" t="str">
        <f t="shared" ca="1" si="41"/>
        <v/>
      </c>
      <c r="N168" s="5" t="str">
        <f t="shared" ca="1" si="42"/>
        <v/>
      </c>
      <c r="O168" s="5">
        <f t="shared" ca="1" si="43"/>
        <v>-4</v>
      </c>
      <c r="P168" s="5" t="str">
        <f ca="1">VLOOKUP(G168,'Group code'!$Z$9:$AC$13,3,FALSE)</f>
        <v/>
      </c>
      <c r="Q168" s="5" t="str">
        <f t="shared" ca="1" si="44"/>
        <v/>
      </c>
      <c r="R168" s="5" t="str">
        <f ca="1">IF(G168=0,INDEX(cards[object_id],MATCH($C168,cards[object_id order],0)),"")</f>
        <v/>
      </c>
      <c r="S168" s="5" t="str">
        <f ca="1">IF(G168=1,INDEX(cards[[name]:[control]],MATCH($C168,cards[object_id order],0),'Group code'!J168),"")</f>
        <v/>
      </c>
      <c r="T168" s="5" t="str">
        <f ca="1">IF(G168=3,INDEX(cards[[1]:[25]],MATCH($C168,cards[object_id order],0),'Group code'!I168),"")</f>
        <v/>
      </c>
      <c r="U168" s="5" t="str">
        <f ca="1">VLOOKUP(G168,'Group code'!$Z$9:$AC$13,4,FALSE)</f>
        <v/>
      </c>
      <c r="V168" s="5" t="str">
        <f ca="1">IF(J168="","",VLOOKUP(J168,'Group code'!$Z$15:$AC$18,4,FALSE))</f>
        <v/>
      </c>
      <c r="W168" s="23" t="str">
        <f t="shared" ca="1" si="45"/>
        <v/>
      </c>
      <c r="X168" s="5" t="str">
        <f t="shared" ca="1" si="35"/>
        <v/>
      </c>
    </row>
    <row r="169" spans="2:24" x14ac:dyDescent="0.25">
      <c r="B169" s="5">
        <f t="shared" si="32"/>
        <v>163</v>
      </c>
      <c r="C169" s="5">
        <f t="shared" ca="1" si="46"/>
        <v>21</v>
      </c>
      <c r="D169" s="5" t="str">
        <f ca="1">INDEX(cards[Attribute Index],MATCH('Group code'!C169,cards[object_id order],0))</f>
        <v>1</v>
      </c>
      <c r="E169" s="5">
        <f t="shared" ca="1" si="33"/>
        <v>1</v>
      </c>
      <c r="F169" s="14">
        <f ca="1">INDEX(cards[Entities count],MATCH('Group code'!C169,cards[object_id order],0))</f>
        <v>10</v>
      </c>
      <c r="G169" s="14">
        <f t="shared" ca="1" si="36"/>
        <v>0</v>
      </c>
      <c r="H169" s="14" t="str">
        <f t="shared" ca="1" si="37"/>
        <v/>
      </c>
      <c r="I169" s="5" t="str">
        <f t="shared" ca="1" si="38"/>
        <v/>
      </c>
      <c r="J169" s="5" t="str">
        <f t="shared" ca="1" si="34"/>
        <v/>
      </c>
      <c r="K169" s="5">
        <f t="shared" ca="1" si="39"/>
        <v>1</v>
      </c>
      <c r="L169" s="5" t="str">
        <f t="shared" ca="1" si="40"/>
        <v/>
      </c>
      <c r="M169" s="5" t="str">
        <f t="shared" ca="1" si="41"/>
        <v/>
      </c>
      <c r="N169" s="5" t="str">
        <f t="shared" ca="1" si="42"/>
        <v/>
      </c>
      <c r="O169" s="5" t="str">
        <f t="shared" ca="1" si="43"/>
        <v/>
      </c>
      <c r="P169" s="5" t="str">
        <f ca="1">VLOOKUP(G169,'Group code'!$Z$9:$AC$13,3,FALSE)</f>
        <v/>
      </c>
      <c r="Q169" s="5" t="str">
        <f t="shared" ca="1" si="44"/>
        <v/>
      </c>
      <c r="R169" s="5" t="str">
        <f ca="1">IF(G169=0,INDEX(cards[object_id],MATCH($C169,cards[object_id order],0)),"")</f>
        <v>iot_devices</v>
      </c>
      <c r="S169" s="5" t="str">
        <f ca="1">IF(G169=1,INDEX(cards[[name]:[control]],MATCH($C169,cards[object_id order],0),'Group code'!J169),"")</f>
        <v/>
      </c>
      <c r="T169" s="5" t="str">
        <f ca="1">IF(G169=3,INDEX(cards[[1]:[25]],MATCH($C169,cards[object_id order],0),'Group code'!I169),"")</f>
        <v/>
      </c>
      <c r="U169" s="5" t="str">
        <f ca="1">VLOOKUP(G169,'Group code'!$Z$9:$AC$13,4,FALSE)</f>
        <v>:</v>
      </c>
      <c r="V169" s="5" t="str">
        <f ca="1">IF(J169="","",VLOOKUP(J169,'Group code'!$Z$15:$AC$18,4,FALSE))</f>
        <v/>
      </c>
      <c r="W169" s="23" t="str">
        <f t="shared" ca="1" si="45"/>
        <v>iot_devices:</v>
      </c>
      <c r="X169" s="5" t="str">
        <f t="shared" ca="1" si="35"/>
        <v/>
      </c>
    </row>
    <row r="170" spans="2:24" x14ac:dyDescent="0.25">
      <c r="B170" s="5">
        <f t="shared" si="32"/>
        <v>164</v>
      </c>
      <c r="C170" s="5">
        <f t="shared" ca="1" si="46"/>
        <v>21</v>
      </c>
      <c r="D170" s="5" t="str">
        <f ca="1">INDEX(cards[Attribute Index],MATCH('Group code'!C170,cards[object_id order],0))</f>
        <v>1</v>
      </c>
      <c r="E170" s="5">
        <f t="shared" ca="1" si="33"/>
        <v>1</v>
      </c>
      <c r="F170" s="14">
        <f ca="1">INDEX(cards[Entities count],MATCH('Group code'!C170,cards[object_id order],0))</f>
        <v>10</v>
      </c>
      <c r="G170" s="14">
        <f t="shared" ca="1" si="36"/>
        <v>1</v>
      </c>
      <c r="H170" s="14">
        <f t="shared" ca="1" si="37"/>
        <v>1</v>
      </c>
      <c r="I170" s="5" t="str">
        <f t="shared" ca="1" si="38"/>
        <v/>
      </c>
      <c r="J170" s="5">
        <f t="shared" ca="1" si="34"/>
        <v>1</v>
      </c>
      <c r="K170" s="5" t="str">
        <f t="shared" ca="1" si="39"/>
        <v/>
      </c>
      <c r="L170" s="5">
        <f t="shared" ca="1" si="40"/>
        <v>1</v>
      </c>
      <c r="M170" s="5" t="str">
        <f t="shared" ca="1" si="41"/>
        <v/>
      </c>
      <c r="N170" s="5" t="str">
        <f t="shared" ca="1" si="42"/>
        <v/>
      </c>
      <c r="O170" s="5" t="str">
        <f t="shared" ca="1" si="43"/>
        <v/>
      </c>
      <c r="P170" s="5" t="str">
        <f ca="1">VLOOKUP(G170,'Group code'!$Z$9:$AC$13,3,FALSE)</f>
        <v/>
      </c>
      <c r="Q170" s="5" t="str">
        <f t="shared" ca="1" si="44"/>
        <v xml:space="preserve">  name: "</v>
      </c>
      <c r="R170" s="5" t="str">
        <f ca="1">IF(G170=0,INDEX(cards[object_id],MATCH($C170,cards[object_id order],0)),"")</f>
        <v/>
      </c>
      <c r="S170" s="5" t="str">
        <f ca="1">IF(G170=1,INDEX(cards[[name]:[control]],MATCH($C170,cards[object_id order],0),'Group code'!J170),"")</f>
        <v>LAN || IoT</v>
      </c>
      <c r="T170" s="5" t="str">
        <f ca="1">IF(G170=3,INDEX(cards[[1]:[25]],MATCH($C170,cards[object_id order],0),'Group code'!I170),"")</f>
        <v/>
      </c>
      <c r="U170" s="5" t="str">
        <f ca="1">VLOOKUP(G170,'Group code'!$Z$9:$AC$13,4,FALSE)</f>
        <v/>
      </c>
      <c r="V170" s="5" t="str">
        <f ca="1">IF(J170="","",VLOOKUP(J170,'Group code'!$Z$15:$AC$18,4,FALSE))</f>
        <v>"</v>
      </c>
      <c r="W170" s="23" t="str">
        <f t="shared" ca="1" si="45"/>
        <v xml:space="preserve">  name: "LAN || IoT"</v>
      </c>
      <c r="X170" s="5" t="str">
        <f t="shared" ca="1" si="35"/>
        <v/>
      </c>
    </row>
    <row r="171" spans="2:24" x14ac:dyDescent="0.25">
      <c r="B171" s="5">
        <f t="shared" si="32"/>
        <v>165</v>
      </c>
      <c r="C171" s="5">
        <f t="shared" ca="1" si="46"/>
        <v>21</v>
      </c>
      <c r="D171" s="5" t="str">
        <f ca="1">INDEX(cards[Attribute Index],MATCH('Group code'!C171,cards[object_id order],0))</f>
        <v>1</v>
      </c>
      <c r="E171" s="5">
        <f t="shared" ca="1" si="33"/>
        <v>1</v>
      </c>
      <c r="F171" s="14">
        <f ca="1">INDEX(cards[Entities count],MATCH('Group code'!C171,cards[object_id order],0))</f>
        <v>10</v>
      </c>
      <c r="G171" s="14">
        <f t="shared" ca="1" si="36"/>
        <v>2</v>
      </c>
      <c r="H171" s="14" t="str">
        <f t="shared" ca="1" si="37"/>
        <v/>
      </c>
      <c r="I171" s="5" t="str">
        <f t="shared" ca="1" si="38"/>
        <v/>
      </c>
      <c r="J171" s="5" t="str">
        <f t="shared" ca="1" si="34"/>
        <v/>
      </c>
      <c r="K171" s="5" t="str">
        <f t="shared" ca="1" si="39"/>
        <v/>
      </c>
      <c r="L171" s="5" t="str">
        <f t="shared" ca="1" si="40"/>
        <v/>
      </c>
      <c r="M171" s="5">
        <f t="shared" ca="1" si="41"/>
        <v>1</v>
      </c>
      <c r="N171" s="5" t="str">
        <f t="shared" ca="1" si="42"/>
        <v/>
      </c>
      <c r="O171" s="5" t="str">
        <f t="shared" ca="1" si="43"/>
        <v/>
      </c>
      <c r="P171" s="5" t="str">
        <f ca="1">VLOOKUP(G171,'Group code'!$Z$9:$AC$13,3,FALSE)</f>
        <v xml:space="preserve">  entities:</v>
      </c>
      <c r="Q171" s="5" t="str">
        <f t="shared" ca="1" si="44"/>
        <v/>
      </c>
      <c r="R171" s="5" t="str">
        <f ca="1">IF(G171=0,INDEX(cards[object_id],MATCH($C171,cards[object_id order],0)),"")</f>
        <v/>
      </c>
      <c r="S171" s="5" t="str">
        <f ca="1">IF(G171=1,INDEX(cards[[name]:[control]],MATCH($C171,cards[object_id order],0),'Group code'!J171),"")</f>
        <v/>
      </c>
      <c r="T171" s="5" t="str">
        <f ca="1">IF(G171=3,INDEX(cards[[1]:[25]],MATCH($C171,cards[object_id order],0),'Group code'!I171),"")</f>
        <v/>
      </c>
      <c r="U171" s="5" t="str">
        <f ca="1">VLOOKUP(G171,'Group code'!$Z$9:$AC$13,4,FALSE)</f>
        <v/>
      </c>
      <c r="V171" s="5" t="str">
        <f ca="1">IF(J171="","",VLOOKUP(J171,'Group code'!$Z$15:$AC$18,4,FALSE))</f>
        <v/>
      </c>
      <c r="W171" s="23" t="str">
        <f t="shared" ca="1" si="45"/>
        <v xml:space="preserve">  entities:</v>
      </c>
      <c r="X171" s="5" t="str">
        <f t="shared" ca="1" si="35"/>
        <v/>
      </c>
    </row>
    <row r="172" spans="2:24" x14ac:dyDescent="0.25">
      <c r="B172" s="5">
        <f t="shared" si="32"/>
        <v>166</v>
      </c>
      <c r="C172" s="5">
        <f t="shared" ca="1" si="46"/>
        <v>21</v>
      </c>
      <c r="D172" s="5" t="str">
        <f ca="1">INDEX(cards[Attribute Index],MATCH('Group code'!C172,cards[object_id order],0))</f>
        <v>1</v>
      </c>
      <c r="E172" s="5">
        <f t="shared" ca="1" si="33"/>
        <v>1</v>
      </c>
      <c r="F172" s="14">
        <f ca="1">INDEX(cards[Entities count],MATCH('Group code'!C172,cards[object_id order],0))</f>
        <v>10</v>
      </c>
      <c r="G172" s="14">
        <f t="shared" ca="1" si="36"/>
        <v>3</v>
      </c>
      <c r="H172" s="14" t="str">
        <f t="shared" ca="1" si="37"/>
        <v/>
      </c>
      <c r="I172" s="5">
        <f t="shared" ca="1" si="38"/>
        <v>1</v>
      </c>
      <c r="J172" s="5" t="str">
        <f t="shared" ca="1" si="34"/>
        <v/>
      </c>
      <c r="K172" s="5" t="str">
        <f t="shared" ca="1" si="39"/>
        <v/>
      </c>
      <c r="L172" s="5" t="str">
        <f t="shared" ca="1" si="40"/>
        <v/>
      </c>
      <c r="M172" s="5" t="str">
        <f t="shared" ca="1" si="41"/>
        <v/>
      </c>
      <c r="N172" s="5">
        <f t="shared" ca="1" si="42"/>
        <v>0</v>
      </c>
      <c r="O172" s="5" t="str">
        <f t="shared" ca="1" si="43"/>
        <v/>
      </c>
      <c r="P172" s="5" t="str">
        <f ca="1">VLOOKUP(G172,'Group code'!$Z$9:$AC$13,3,FALSE)</f>
        <v xml:space="preserve">    - </v>
      </c>
      <c r="Q172" s="5" t="str">
        <f t="shared" ca="1" si="44"/>
        <v/>
      </c>
      <c r="R172" s="5" t="str">
        <f ca="1">IF(G172=0,INDEX(cards[object_id],MATCH($C172,cards[object_id order],0)),"")</f>
        <v/>
      </c>
      <c r="S172" s="5" t="str">
        <f ca="1">IF(G172=1,INDEX(cards[[name]:[control]],MATCH($C172,cards[object_id order],0),'Group code'!J172),"")</f>
        <v/>
      </c>
      <c r="T172" s="5" t="str">
        <f ca="1">IF(G172=3,INDEX(cards[[1]:[25]],MATCH($C172,cards[object_id order],0),'Group code'!I172),"")</f>
        <v>device_tracker.vera_lite</v>
      </c>
      <c r="U172" s="5" t="str">
        <f ca="1">VLOOKUP(G172,'Group code'!$Z$9:$AC$13,4,FALSE)</f>
        <v/>
      </c>
      <c r="V172" s="5" t="str">
        <f ca="1">IF(J172="","",VLOOKUP(J172,'Group code'!$Z$15:$AC$18,4,FALSE))</f>
        <v/>
      </c>
      <c r="W172" s="23" t="str">
        <f t="shared" ca="1" si="45"/>
        <v xml:space="preserve">    - device_tracker.vera_lite</v>
      </c>
      <c r="X172" s="5" t="str">
        <f t="shared" ca="1" si="35"/>
        <v/>
      </c>
    </row>
    <row r="173" spans="2:24" x14ac:dyDescent="0.25">
      <c r="B173" s="5">
        <f t="shared" si="32"/>
        <v>167</v>
      </c>
      <c r="C173" s="5">
        <f t="shared" ca="1" si="46"/>
        <v>21</v>
      </c>
      <c r="D173" s="5" t="str">
        <f ca="1">INDEX(cards[Attribute Index],MATCH('Group code'!C173,cards[object_id order],0))</f>
        <v>1</v>
      </c>
      <c r="E173" s="5">
        <f t="shared" ca="1" si="33"/>
        <v>1</v>
      </c>
      <c r="F173" s="14">
        <f ca="1">INDEX(cards[Entities count],MATCH('Group code'!C173,cards[object_id order],0))</f>
        <v>10</v>
      </c>
      <c r="G173" s="14">
        <f t="shared" ca="1" si="36"/>
        <v>3</v>
      </c>
      <c r="H173" s="14" t="str">
        <f t="shared" ca="1" si="37"/>
        <v/>
      </c>
      <c r="I173" s="5">
        <f t="shared" ca="1" si="38"/>
        <v>2</v>
      </c>
      <c r="J173" s="5" t="str">
        <f t="shared" ca="1" si="34"/>
        <v/>
      </c>
      <c r="K173" s="5" t="str">
        <f t="shared" ca="1" si="39"/>
        <v/>
      </c>
      <c r="L173" s="5" t="str">
        <f t="shared" ca="1" si="40"/>
        <v/>
      </c>
      <c r="M173" s="5" t="str">
        <f t="shared" ca="1" si="41"/>
        <v/>
      </c>
      <c r="N173" s="5">
        <f t="shared" ca="1" si="42"/>
        <v>0</v>
      </c>
      <c r="O173" s="5" t="str">
        <f t="shared" ca="1" si="43"/>
        <v/>
      </c>
      <c r="P173" s="5" t="str">
        <f ca="1">VLOOKUP(G173,'Group code'!$Z$9:$AC$13,3,FALSE)</f>
        <v xml:space="preserve">    - </v>
      </c>
      <c r="Q173" s="5" t="str">
        <f t="shared" ca="1" si="44"/>
        <v/>
      </c>
      <c r="R173" s="5" t="str">
        <f ca="1">IF(G173=0,INDEX(cards[object_id],MATCH($C173,cards[object_id order],0)),"")</f>
        <v/>
      </c>
      <c r="S173" s="5" t="str">
        <f ca="1">IF(G173=1,INDEX(cards[[name]:[control]],MATCH($C173,cards[object_id order],0),'Group code'!J173),"")</f>
        <v/>
      </c>
      <c r="T173" s="5" t="str">
        <f ca="1">IF(G173=3,INDEX(cards[[1]:[25]],MATCH($C173,cards[object_id order],0),'Group code'!I173),"")</f>
        <v>device_tracker.hue_hub</v>
      </c>
      <c r="U173" s="5" t="str">
        <f ca="1">VLOOKUP(G173,'Group code'!$Z$9:$AC$13,4,FALSE)</f>
        <v/>
      </c>
      <c r="V173" s="5" t="str">
        <f ca="1">IF(J173="","",VLOOKUP(J173,'Group code'!$Z$15:$AC$18,4,FALSE))</f>
        <v/>
      </c>
      <c r="W173" s="23" t="str">
        <f t="shared" ca="1" si="45"/>
        <v xml:space="preserve">    - device_tracker.hue_hub</v>
      </c>
      <c r="X173" s="5" t="str">
        <f t="shared" ca="1" si="35"/>
        <v/>
      </c>
    </row>
    <row r="174" spans="2:24" x14ac:dyDescent="0.25">
      <c r="B174" s="5">
        <f t="shared" si="32"/>
        <v>168</v>
      </c>
      <c r="C174" s="5">
        <f t="shared" ca="1" si="46"/>
        <v>21</v>
      </c>
      <c r="D174" s="5" t="str">
        <f ca="1">INDEX(cards[Attribute Index],MATCH('Group code'!C174,cards[object_id order],0))</f>
        <v>1</v>
      </c>
      <c r="E174" s="5">
        <f t="shared" ca="1" si="33"/>
        <v>1</v>
      </c>
      <c r="F174" s="14">
        <f ca="1">INDEX(cards[Entities count],MATCH('Group code'!C174,cards[object_id order],0))</f>
        <v>10</v>
      </c>
      <c r="G174" s="14">
        <f t="shared" ca="1" si="36"/>
        <v>3</v>
      </c>
      <c r="H174" s="14" t="str">
        <f t="shared" ca="1" si="37"/>
        <v/>
      </c>
      <c r="I174" s="5">
        <f t="shared" ca="1" si="38"/>
        <v>3</v>
      </c>
      <c r="J174" s="5" t="str">
        <f t="shared" ca="1" si="34"/>
        <v/>
      </c>
      <c r="K174" s="5" t="str">
        <f t="shared" ca="1" si="39"/>
        <v/>
      </c>
      <c r="L174" s="5" t="str">
        <f t="shared" ca="1" si="40"/>
        <v/>
      </c>
      <c r="M174" s="5" t="str">
        <f t="shared" ca="1" si="41"/>
        <v/>
      </c>
      <c r="N174" s="5">
        <f t="shared" ca="1" si="42"/>
        <v>0</v>
      </c>
      <c r="O174" s="5" t="str">
        <f t="shared" ca="1" si="43"/>
        <v/>
      </c>
      <c r="P174" s="5" t="str">
        <f ca="1">VLOOKUP(G174,'Group code'!$Z$9:$AC$13,3,FALSE)</f>
        <v xml:space="preserve">    - </v>
      </c>
      <c r="Q174" s="5" t="str">
        <f t="shared" ca="1" si="44"/>
        <v/>
      </c>
      <c r="R174" s="5" t="str">
        <f ca="1">IF(G174=0,INDEX(cards[object_id],MATCH($C174,cards[object_id order],0)),"")</f>
        <v/>
      </c>
      <c r="S174" s="5" t="str">
        <f ca="1">IF(G174=1,INDEX(cards[[name]:[control]],MATCH($C174,cards[object_id order],0),'Group code'!J174),"")</f>
        <v/>
      </c>
      <c r="T174" s="5" t="str">
        <f ca="1">IF(G174=3,INDEX(cards[[1]:[25]],MATCH($C174,cards[object_id order],0),'Group code'!I174),"")</f>
        <v>device_tracker.wf2ir</v>
      </c>
      <c r="U174" s="5" t="str">
        <f ca="1">VLOOKUP(G174,'Group code'!$Z$9:$AC$13,4,FALSE)</f>
        <v/>
      </c>
      <c r="V174" s="5" t="str">
        <f ca="1">IF(J174="","",VLOOKUP(J174,'Group code'!$Z$15:$AC$18,4,FALSE))</f>
        <v/>
      </c>
      <c r="W174" s="23" t="str">
        <f t="shared" ca="1" si="45"/>
        <v xml:space="preserve">    - device_tracker.wf2ir</v>
      </c>
      <c r="X174" s="5" t="str">
        <f t="shared" ca="1" si="35"/>
        <v/>
      </c>
    </row>
    <row r="175" spans="2:24" x14ac:dyDescent="0.25">
      <c r="B175" s="5">
        <f t="shared" si="32"/>
        <v>169</v>
      </c>
      <c r="C175" s="5">
        <f t="shared" ca="1" si="46"/>
        <v>21</v>
      </c>
      <c r="D175" s="5" t="str">
        <f ca="1">INDEX(cards[Attribute Index],MATCH('Group code'!C175,cards[object_id order],0))</f>
        <v>1</v>
      </c>
      <c r="E175" s="5">
        <f t="shared" ca="1" si="33"/>
        <v>1</v>
      </c>
      <c r="F175" s="14">
        <f ca="1">INDEX(cards[Entities count],MATCH('Group code'!C175,cards[object_id order],0))</f>
        <v>10</v>
      </c>
      <c r="G175" s="14">
        <f t="shared" ca="1" si="36"/>
        <v>3</v>
      </c>
      <c r="H175" s="14" t="str">
        <f t="shared" ca="1" si="37"/>
        <v/>
      </c>
      <c r="I175" s="5">
        <f t="shared" ca="1" si="38"/>
        <v>4</v>
      </c>
      <c r="J175" s="5" t="str">
        <f t="shared" ca="1" si="34"/>
        <v/>
      </c>
      <c r="K175" s="5" t="str">
        <f t="shared" ca="1" si="39"/>
        <v/>
      </c>
      <c r="L175" s="5" t="str">
        <f t="shared" ca="1" si="40"/>
        <v/>
      </c>
      <c r="M175" s="5" t="str">
        <f t="shared" ca="1" si="41"/>
        <v/>
      </c>
      <c r="N175" s="5">
        <f t="shared" ca="1" si="42"/>
        <v>0</v>
      </c>
      <c r="O175" s="5" t="str">
        <f t="shared" ca="1" si="43"/>
        <v/>
      </c>
      <c r="P175" s="5" t="str">
        <f ca="1">VLOOKUP(G175,'Group code'!$Z$9:$AC$13,3,FALSE)</f>
        <v xml:space="preserve">    - </v>
      </c>
      <c r="Q175" s="5" t="str">
        <f t="shared" ca="1" si="44"/>
        <v/>
      </c>
      <c r="R175" s="5" t="str">
        <f ca="1">IF(G175=0,INDEX(cards[object_id],MATCH($C175,cards[object_id order],0)),"")</f>
        <v/>
      </c>
      <c r="S175" s="5" t="str">
        <f ca="1">IF(G175=1,INDEX(cards[[name]:[control]],MATCH($C175,cards[object_id order],0),'Group code'!J175),"")</f>
        <v/>
      </c>
      <c r="T175" s="5" t="str">
        <f ca="1">IF(G175=3,INDEX(cards[[1]:[25]],MATCH($C175,cards[object_id order],0),'Group code'!I175),"")</f>
        <v>device_tracker.jtac</v>
      </c>
      <c r="U175" s="5" t="str">
        <f ca="1">VLOOKUP(G175,'Group code'!$Z$9:$AC$13,4,FALSE)</f>
        <v/>
      </c>
      <c r="V175" s="5" t="str">
        <f ca="1">IF(J175="","",VLOOKUP(J175,'Group code'!$Z$15:$AC$18,4,FALSE))</f>
        <v/>
      </c>
      <c r="W175" s="23" t="str">
        <f t="shared" ca="1" si="45"/>
        <v xml:space="preserve">    - device_tracker.jtac</v>
      </c>
      <c r="X175" s="5" t="str">
        <f t="shared" ca="1" si="35"/>
        <v/>
      </c>
    </row>
    <row r="176" spans="2:24" x14ac:dyDescent="0.25">
      <c r="B176" s="5">
        <f t="shared" si="32"/>
        <v>170</v>
      </c>
      <c r="C176" s="5">
        <f t="shared" ca="1" si="46"/>
        <v>21</v>
      </c>
      <c r="D176" s="5" t="str">
        <f ca="1">INDEX(cards[Attribute Index],MATCH('Group code'!C176,cards[object_id order],0))</f>
        <v>1</v>
      </c>
      <c r="E176" s="5">
        <f t="shared" ca="1" si="33"/>
        <v>1</v>
      </c>
      <c r="F176" s="14">
        <f ca="1">INDEX(cards[Entities count],MATCH('Group code'!C176,cards[object_id order],0))</f>
        <v>10</v>
      </c>
      <c r="G176" s="14">
        <f t="shared" ca="1" si="36"/>
        <v>3</v>
      </c>
      <c r="H176" s="14" t="str">
        <f t="shared" ca="1" si="37"/>
        <v/>
      </c>
      <c r="I176" s="5">
        <f t="shared" ca="1" si="38"/>
        <v>5</v>
      </c>
      <c r="J176" s="5" t="str">
        <f t="shared" ca="1" si="34"/>
        <v/>
      </c>
      <c r="K176" s="5" t="str">
        <f t="shared" ca="1" si="39"/>
        <v/>
      </c>
      <c r="L176" s="5" t="str">
        <f t="shared" ca="1" si="40"/>
        <v/>
      </c>
      <c r="M176" s="5" t="str">
        <f t="shared" ca="1" si="41"/>
        <v/>
      </c>
      <c r="N176" s="5">
        <f t="shared" ca="1" si="42"/>
        <v>0</v>
      </c>
      <c r="O176" s="5" t="str">
        <f t="shared" ca="1" si="43"/>
        <v/>
      </c>
      <c r="P176" s="5" t="str">
        <f ca="1">VLOOKUP(G176,'Group code'!$Z$9:$AC$13,3,FALSE)</f>
        <v xml:space="preserve">    - </v>
      </c>
      <c r="Q176" s="5" t="str">
        <f t="shared" ca="1" si="44"/>
        <v/>
      </c>
      <c r="R176" s="5" t="str">
        <f ca="1">IF(G176=0,INDEX(cards[object_id],MATCH($C176,cards[object_id order],0)),"")</f>
        <v/>
      </c>
      <c r="S176" s="5" t="str">
        <f ca="1">IF(G176=1,INDEX(cards[[name]:[control]],MATCH($C176,cards[object_id order],0),'Group code'!J176),"")</f>
        <v/>
      </c>
      <c r="T176" s="5" t="str">
        <f ca="1">IF(G176=3,INDEX(cards[[1]:[25]],MATCH($C176,cards[object_id order],0),'Group code'!I176),"")</f>
        <v>device_tracker.raspi_vpn</v>
      </c>
      <c r="U176" s="5" t="str">
        <f ca="1">VLOOKUP(G176,'Group code'!$Z$9:$AC$13,4,FALSE)</f>
        <v/>
      </c>
      <c r="V176" s="5" t="str">
        <f ca="1">IF(J176="","",VLOOKUP(J176,'Group code'!$Z$15:$AC$18,4,FALSE))</f>
        <v/>
      </c>
      <c r="W176" s="23" t="str">
        <f t="shared" ca="1" si="45"/>
        <v xml:space="preserve">    - device_tracker.raspi_vpn</v>
      </c>
      <c r="X176" s="5" t="str">
        <f t="shared" ca="1" si="35"/>
        <v/>
      </c>
    </row>
    <row r="177" spans="2:24" x14ac:dyDescent="0.25">
      <c r="B177" s="5">
        <f t="shared" si="32"/>
        <v>171</v>
      </c>
      <c r="C177" s="5">
        <f t="shared" ca="1" si="46"/>
        <v>21</v>
      </c>
      <c r="D177" s="5" t="str">
        <f ca="1">INDEX(cards[Attribute Index],MATCH('Group code'!C177,cards[object_id order],0))</f>
        <v>1</v>
      </c>
      <c r="E177" s="5">
        <f t="shared" ca="1" si="33"/>
        <v>1</v>
      </c>
      <c r="F177" s="14">
        <f ca="1">INDEX(cards[Entities count],MATCH('Group code'!C177,cards[object_id order],0))</f>
        <v>10</v>
      </c>
      <c r="G177" s="14">
        <f t="shared" ca="1" si="36"/>
        <v>3</v>
      </c>
      <c r="H177" s="14" t="str">
        <f t="shared" ca="1" si="37"/>
        <v/>
      </c>
      <c r="I177" s="5">
        <f t="shared" ca="1" si="38"/>
        <v>6</v>
      </c>
      <c r="J177" s="5" t="str">
        <f t="shared" ca="1" si="34"/>
        <v/>
      </c>
      <c r="K177" s="5" t="str">
        <f t="shared" ca="1" si="39"/>
        <v/>
      </c>
      <c r="L177" s="5" t="str">
        <f t="shared" ca="1" si="40"/>
        <v/>
      </c>
      <c r="M177" s="5" t="str">
        <f t="shared" ca="1" si="41"/>
        <v/>
      </c>
      <c r="N177" s="5">
        <f t="shared" ca="1" si="42"/>
        <v>0</v>
      </c>
      <c r="O177" s="5" t="str">
        <f t="shared" ca="1" si="43"/>
        <v/>
      </c>
      <c r="P177" s="5" t="str">
        <f ca="1">VLOOKUP(G177,'Group code'!$Z$9:$AC$13,3,FALSE)</f>
        <v xml:space="preserve">    - </v>
      </c>
      <c r="Q177" s="5" t="str">
        <f t="shared" ca="1" si="44"/>
        <v/>
      </c>
      <c r="R177" s="5" t="str">
        <f ca="1">IF(G177=0,INDEX(cards[object_id],MATCH($C177,cards[object_id order],0)),"")</f>
        <v/>
      </c>
      <c r="S177" s="5" t="str">
        <f ca="1">IF(G177=1,INDEX(cards[[name]:[control]],MATCH($C177,cards[object_id order],0),'Group code'!J177),"")</f>
        <v/>
      </c>
      <c r="T177" s="5" t="str">
        <f ca="1">IF(G177=3,INDEX(cards[[1]:[25]],MATCH($C177,cards[object_id order],0),'Group code'!I177),"")</f>
        <v>device_tracker.chromecast</v>
      </c>
      <c r="U177" s="5" t="str">
        <f ca="1">VLOOKUP(G177,'Group code'!$Z$9:$AC$13,4,FALSE)</f>
        <v/>
      </c>
      <c r="V177" s="5" t="str">
        <f ca="1">IF(J177="","",VLOOKUP(J177,'Group code'!$Z$15:$AC$18,4,FALSE))</f>
        <v/>
      </c>
      <c r="W177" s="23" t="str">
        <f t="shared" ca="1" si="45"/>
        <v xml:space="preserve">    - device_tracker.chromecast</v>
      </c>
      <c r="X177" s="5" t="str">
        <f t="shared" ca="1" si="35"/>
        <v/>
      </c>
    </row>
    <row r="178" spans="2:24" x14ac:dyDescent="0.25">
      <c r="B178" s="5">
        <f t="shared" si="32"/>
        <v>172</v>
      </c>
      <c r="C178" s="5">
        <f t="shared" ca="1" si="46"/>
        <v>21</v>
      </c>
      <c r="D178" s="5" t="str">
        <f ca="1">INDEX(cards[Attribute Index],MATCH('Group code'!C178,cards[object_id order],0))</f>
        <v>1</v>
      </c>
      <c r="E178" s="5">
        <f t="shared" ca="1" si="33"/>
        <v>1</v>
      </c>
      <c r="F178" s="14">
        <f ca="1">INDEX(cards[Entities count],MATCH('Group code'!C178,cards[object_id order],0))</f>
        <v>10</v>
      </c>
      <c r="G178" s="14">
        <f t="shared" ca="1" si="36"/>
        <v>3</v>
      </c>
      <c r="H178" s="14" t="str">
        <f t="shared" ca="1" si="37"/>
        <v/>
      </c>
      <c r="I178" s="5">
        <f t="shared" ca="1" si="38"/>
        <v>7</v>
      </c>
      <c r="J178" s="5" t="str">
        <f t="shared" ca="1" si="34"/>
        <v/>
      </c>
      <c r="K178" s="5" t="str">
        <f t="shared" ca="1" si="39"/>
        <v/>
      </c>
      <c r="L178" s="5" t="str">
        <f t="shared" ca="1" si="40"/>
        <v/>
      </c>
      <c r="M178" s="5" t="str">
        <f t="shared" ca="1" si="41"/>
        <v/>
      </c>
      <c r="N178" s="5">
        <f t="shared" ca="1" si="42"/>
        <v>0</v>
      </c>
      <c r="O178" s="5" t="str">
        <f t="shared" ca="1" si="43"/>
        <v/>
      </c>
      <c r="P178" s="5" t="str">
        <f ca="1">VLOOKUP(G178,'Group code'!$Z$9:$AC$13,3,FALSE)</f>
        <v xml:space="preserve">    - </v>
      </c>
      <c r="Q178" s="5" t="str">
        <f t="shared" ca="1" si="44"/>
        <v/>
      </c>
      <c r="R178" s="5" t="str">
        <f ca="1">IF(G178=0,INDEX(cards[object_id],MATCH($C178,cards[object_id order],0)),"")</f>
        <v/>
      </c>
      <c r="S178" s="5" t="str">
        <f ca="1">IF(G178=1,INDEX(cards[[name]:[control]],MATCH($C178,cards[object_id order],0),'Group code'!J178),"")</f>
        <v/>
      </c>
      <c r="T178" s="5" t="str">
        <f ca="1">IF(G178=3,INDEX(cards[[1]:[25]],MATCH($C178,cards[object_id order],0),'Group code'!I178),"")</f>
        <v>device_tracker.chromecast_2</v>
      </c>
      <c r="U178" s="5" t="str">
        <f ca="1">VLOOKUP(G178,'Group code'!$Z$9:$AC$13,4,FALSE)</f>
        <v/>
      </c>
      <c r="V178" s="5" t="str">
        <f ca="1">IF(J178="","",VLOOKUP(J178,'Group code'!$Z$15:$AC$18,4,FALSE))</f>
        <v/>
      </c>
      <c r="W178" s="23" t="str">
        <f t="shared" ca="1" si="45"/>
        <v xml:space="preserve">    - device_tracker.chromecast_2</v>
      </c>
      <c r="X178" s="5" t="str">
        <f t="shared" ca="1" si="35"/>
        <v/>
      </c>
    </row>
    <row r="179" spans="2:24" x14ac:dyDescent="0.25">
      <c r="B179" s="5">
        <f t="shared" si="32"/>
        <v>173</v>
      </c>
      <c r="C179" s="5">
        <f t="shared" ca="1" si="46"/>
        <v>21</v>
      </c>
      <c r="D179" s="5" t="str">
        <f ca="1">INDEX(cards[Attribute Index],MATCH('Group code'!C179,cards[object_id order],0))</f>
        <v>1</v>
      </c>
      <c r="E179" s="5">
        <f t="shared" ca="1" si="33"/>
        <v>1</v>
      </c>
      <c r="F179" s="14">
        <f ca="1">INDEX(cards[Entities count],MATCH('Group code'!C179,cards[object_id order],0))</f>
        <v>10</v>
      </c>
      <c r="G179" s="14">
        <f t="shared" ca="1" si="36"/>
        <v>3</v>
      </c>
      <c r="H179" s="14" t="str">
        <f t="shared" ca="1" si="37"/>
        <v/>
      </c>
      <c r="I179" s="5">
        <f t="shared" ca="1" si="38"/>
        <v>8</v>
      </c>
      <c r="J179" s="5" t="str">
        <f t="shared" ca="1" si="34"/>
        <v/>
      </c>
      <c r="K179" s="5" t="str">
        <f t="shared" ca="1" si="39"/>
        <v/>
      </c>
      <c r="L179" s="5" t="str">
        <f t="shared" ca="1" si="40"/>
        <v/>
      </c>
      <c r="M179" s="5" t="str">
        <f t="shared" ca="1" si="41"/>
        <v/>
      </c>
      <c r="N179" s="5">
        <f t="shared" ca="1" si="42"/>
        <v>0</v>
      </c>
      <c r="O179" s="5" t="str">
        <f t="shared" ca="1" si="43"/>
        <v/>
      </c>
      <c r="P179" s="5" t="str">
        <f ca="1">VLOOKUP(G179,'Group code'!$Z$9:$AC$13,3,FALSE)</f>
        <v xml:space="preserve">    - </v>
      </c>
      <c r="Q179" s="5" t="str">
        <f t="shared" ca="1" si="44"/>
        <v/>
      </c>
      <c r="R179" s="5" t="str">
        <f ca="1">IF(G179=0,INDEX(cards[object_id],MATCH($C179,cards[object_id order],0)),"")</f>
        <v/>
      </c>
      <c r="S179" s="5" t="str">
        <f ca="1">IF(G179=1,INDEX(cards[[name]:[control]],MATCH($C179,cards[object_id order],0),'Group code'!J179),"")</f>
        <v/>
      </c>
      <c r="T179" s="5" t="str">
        <f ca="1">IF(G179=3,INDEX(cards[[1]:[25]],MATCH($C179,cards[object_id order],0),'Group code'!I179),"")</f>
        <v>device_tracker.echo_dot</v>
      </c>
      <c r="U179" s="5" t="str">
        <f ca="1">VLOOKUP(G179,'Group code'!$Z$9:$AC$13,4,FALSE)</f>
        <v/>
      </c>
      <c r="V179" s="5" t="str">
        <f ca="1">IF(J179="","",VLOOKUP(J179,'Group code'!$Z$15:$AC$18,4,FALSE))</f>
        <v/>
      </c>
      <c r="W179" s="23" t="str">
        <f t="shared" ca="1" si="45"/>
        <v xml:space="preserve">    - device_tracker.echo_dot</v>
      </c>
      <c r="X179" s="5" t="str">
        <f t="shared" ca="1" si="35"/>
        <v/>
      </c>
    </row>
    <row r="180" spans="2:24" x14ac:dyDescent="0.25">
      <c r="B180" s="5">
        <f t="shared" si="32"/>
        <v>174</v>
      </c>
      <c r="C180" s="5">
        <f t="shared" ca="1" si="46"/>
        <v>21</v>
      </c>
      <c r="D180" s="5" t="str">
        <f ca="1">INDEX(cards[Attribute Index],MATCH('Group code'!C180,cards[object_id order],0))</f>
        <v>1</v>
      </c>
      <c r="E180" s="5">
        <f t="shared" ca="1" si="33"/>
        <v>1</v>
      </c>
      <c r="F180" s="14">
        <f ca="1">INDEX(cards[Entities count],MATCH('Group code'!C180,cards[object_id order],0))</f>
        <v>10</v>
      </c>
      <c r="G180" s="14">
        <f t="shared" ca="1" si="36"/>
        <v>3</v>
      </c>
      <c r="H180" s="14" t="str">
        <f t="shared" ca="1" si="37"/>
        <v/>
      </c>
      <c r="I180" s="5">
        <f t="shared" ca="1" si="38"/>
        <v>9</v>
      </c>
      <c r="J180" s="5" t="str">
        <f t="shared" ca="1" si="34"/>
        <v/>
      </c>
      <c r="K180" s="5" t="str">
        <f t="shared" ca="1" si="39"/>
        <v/>
      </c>
      <c r="L180" s="5" t="str">
        <f t="shared" ca="1" si="40"/>
        <v/>
      </c>
      <c r="M180" s="5" t="str">
        <f t="shared" ca="1" si="41"/>
        <v/>
      </c>
      <c r="N180" s="5">
        <f t="shared" ca="1" si="42"/>
        <v>0</v>
      </c>
      <c r="O180" s="5" t="str">
        <f t="shared" ca="1" si="43"/>
        <v/>
      </c>
      <c r="P180" s="5" t="str">
        <f ca="1">VLOOKUP(G180,'Group code'!$Z$9:$AC$13,3,FALSE)</f>
        <v xml:space="preserve">    - </v>
      </c>
      <c r="Q180" s="5" t="str">
        <f t="shared" ca="1" si="44"/>
        <v/>
      </c>
      <c r="R180" s="5" t="str">
        <f ca="1">IF(G180=0,INDEX(cards[object_id],MATCH($C180,cards[object_id order],0)),"")</f>
        <v/>
      </c>
      <c r="S180" s="5" t="str">
        <f ca="1">IF(G180=1,INDEX(cards[[name]:[control]],MATCH($C180,cards[object_id order],0),'Group code'!J180),"")</f>
        <v/>
      </c>
      <c r="T180" s="5" t="str">
        <f ca="1">IF(G180=3,INDEX(cards[[1]:[25]],MATCH($C180,cards[object_id order],0),'Group code'!I180),"")</f>
        <v>device_tracker.echo_tap</v>
      </c>
      <c r="U180" s="5" t="str">
        <f ca="1">VLOOKUP(G180,'Group code'!$Z$9:$AC$13,4,FALSE)</f>
        <v/>
      </c>
      <c r="V180" s="5" t="str">
        <f ca="1">IF(J180="","",VLOOKUP(J180,'Group code'!$Z$15:$AC$18,4,FALSE))</f>
        <v/>
      </c>
      <c r="W180" s="23" t="str">
        <f t="shared" ca="1" si="45"/>
        <v xml:space="preserve">    - device_tracker.echo_tap</v>
      </c>
      <c r="X180" s="5" t="str">
        <f t="shared" ca="1" si="35"/>
        <v/>
      </c>
    </row>
    <row r="181" spans="2:24" x14ac:dyDescent="0.25">
      <c r="B181" s="5">
        <f t="shared" si="32"/>
        <v>175</v>
      </c>
      <c r="C181" s="5">
        <f t="shared" ca="1" si="46"/>
        <v>21</v>
      </c>
      <c r="D181" s="5" t="str">
        <f ca="1">INDEX(cards[Attribute Index],MATCH('Group code'!C181,cards[object_id order],0))</f>
        <v>1</v>
      </c>
      <c r="E181" s="5">
        <f t="shared" ca="1" si="33"/>
        <v>1</v>
      </c>
      <c r="F181" s="14">
        <f ca="1">INDEX(cards[Entities count],MATCH('Group code'!C181,cards[object_id order],0))</f>
        <v>10</v>
      </c>
      <c r="G181" s="14">
        <f t="shared" ca="1" si="36"/>
        <v>3</v>
      </c>
      <c r="H181" s="14" t="str">
        <f t="shared" ca="1" si="37"/>
        <v/>
      </c>
      <c r="I181" s="5">
        <f t="shared" ca="1" si="38"/>
        <v>10</v>
      </c>
      <c r="J181" s="5" t="str">
        <f t="shared" ca="1" si="34"/>
        <v/>
      </c>
      <c r="K181" s="5" t="str">
        <f t="shared" ca="1" si="39"/>
        <v/>
      </c>
      <c r="L181" s="5" t="str">
        <f t="shared" ca="1" si="40"/>
        <v/>
      </c>
      <c r="M181" s="5" t="str">
        <f t="shared" ca="1" si="41"/>
        <v/>
      </c>
      <c r="N181" s="5">
        <f t="shared" ca="1" si="42"/>
        <v>1</v>
      </c>
      <c r="O181" s="5" t="str">
        <f t="shared" ca="1" si="43"/>
        <v/>
      </c>
      <c r="P181" s="5" t="str">
        <f ca="1">VLOOKUP(G181,'Group code'!$Z$9:$AC$13,3,FALSE)</f>
        <v xml:space="preserve">    - </v>
      </c>
      <c r="Q181" s="5" t="str">
        <f t="shared" ca="1" si="44"/>
        <v/>
      </c>
      <c r="R181" s="5" t="str">
        <f ca="1">IF(G181=0,INDEX(cards[object_id],MATCH($C181,cards[object_id order],0)),"")</f>
        <v/>
      </c>
      <c r="S181" s="5" t="str">
        <f ca="1">IF(G181=1,INDEX(cards[[name]:[control]],MATCH($C181,cards[object_id order],0),'Group code'!J181),"")</f>
        <v/>
      </c>
      <c r="T181" s="5" t="str">
        <f ca="1">IF(G181=3,INDEX(cards[[1]:[25]],MATCH($C181,cards[object_id order],0),'Group code'!I181),"")</f>
        <v>device_tracker.withings_scale</v>
      </c>
      <c r="U181" s="5" t="str">
        <f ca="1">VLOOKUP(G181,'Group code'!$Z$9:$AC$13,4,FALSE)</f>
        <v/>
      </c>
      <c r="V181" s="5" t="str">
        <f ca="1">IF(J181="","",VLOOKUP(J181,'Group code'!$Z$15:$AC$18,4,FALSE))</f>
        <v/>
      </c>
      <c r="W181" s="23" t="str">
        <f t="shared" ca="1" si="45"/>
        <v xml:space="preserve">    - device_tracker.withings_scale</v>
      </c>
      <c r="X181" s="5" t="str">
        <f t="shared" ca="1" si="35"/>
        <v/>
      </c>
    </row>
    <row r="182" spans="2:24" x14ac:dyDescent="0.25">
      <c r="B182" s="5">
        <f t="shared" si="32"/>
        <v>176</v>
      </c>
      <c r="C182" s="5">
        <f t="shared" ca="1" si="46"/>
        <v>21</v>
      </c>
      <c r="D182" s="5" t="str">
        <f ca="1">INDEX(cards[Attribute Index],MATCH('Group code'!C182,cards[object_id order],0))</f>
        <v>1</v>
      </c>
      <c r="E182" s="5">
        <f t="shared" ca="1" si="33"/>
        <v>1</v>
      </c>
      <c r="F182" s="14">
        <f ca="1">INDEX(cards[Entities count],MATCH('Group code'!C182,cards[object_id order],0))</f>
        <v>10</v>
      </c>
      <c r="G182" s="14">
        <f t="shared" ca="1" si="36"/>
        <v>4</v>
      </c>
      <c r="H182" s="14" t="str">
        <f t="shared" ca="1" si="37"/>
        <v/>
      </c>
      <c r="I182" s="5" t="str">
        <f t="shared" ca="1" si="38"/>
        <v/>
      </c>
      <c r="J182" s="5" t="str">
        <f t="shared" ca="1" si="34"/>
        <v/>
      </c>
      <c r="K182" s="5" t="str">
        <f t="shared" ca="1" si="39"/>
        <v/>
      </c>
      <c r="L182" s="5" t="str">
        <f t="shared" ca="1" si="40"/>
        <v/>
      </c>
      <c r="M182" s="5" t="str">
        <f t="shared" ca="1" si="41"/>
        <v/>
      </c>
      <c r="N182" s="5" t="str">
        <f t="shared" ca="1" si="42"/>
        <v/>
      </c>
      <c r="O182" s="5">
        <f t="shared" ca="1" si="43"/>
        <v>-4</v>
      </c>
      <c r="P182" s="5" t="str">
        <f ca="1">VLOOKUP(G182,'Group code'!$Z$9:$AC$13,3,FALSE)</f>
        <v/>
      </c>
      <c r="Q182" s="5" t="str">
        <f t="shared" ca="1" si="44"/>
        <v/>
      </c>
      <c r="R182" s="5" t="str">
        <f ca="1">IF(G182=0,INDEX(cards[object_id],MATCH($C182,cards[object_id order],0)),"")</f>
        <v/>
      </c>
      <c r="S182" s="5" t="str">
        <f ca="1">IF(G182=1,INDEX(cards[[name]:[control]],MATCH($C182,cards[object_id order],0),'Group code'!J182),"")</f>
        <v/>
      </c>
      <c r="T182" s="5" t="str">
        <f ca="1">IF(G182=3,INDEX(cards[[1]:[25]],MATCH($C182,cards[object_id order],0),'Group code'!I182),"")</f>
        <v/>
      </c>
      <c r="U182" s="5" t="str">
        <f ca="1">VLOOKUP(G182,'Group code'!$Z$9:$AC$13,4,FALSE)</f>
        <v/>
      </c>
      <c r="V182" s="5" t="str">
        <f ca="1">IF(J182="","",VLOOKUP(J182,'Group code'!$Z$15:$AC$18,4,FALSE))</f>
        <v/>
      </c>
      <c r="W182" s="23" t="str">
        <f t="shared" ca="1" si="45"/>
        <v/>
      </c>
      <c r="X182" s="5" t="str">
        <f t="shared" ca="1" si="35"/>
        <v/>
      </c>
    </row>
    <row r="183" spans="2:24" x14ac:dyDescent="0.25">
      <c r="B183" s="5">
        <f t="shared" si="32"/>
        <v>177</v>
      </c>
      <c r="C183" s="5">
        <f t="shared" ca="1" si="46"/>
        <v>22</v>
      </c>
      <c r="D183" s="5" t="str">
        <f ca="1">INDEX(cards[Attribute Index],MATCH('Group code'!C183,cards[object_id order],0))</f>
        <v>1</v>
      </c>
      <c r="E183" s="5">
        <f t="shared" ca="1" si="33"/>
        <v>1</v>
      </c>
      <c r="F183" s="14">
        <f ca="1">INDEX(cards[Entities count],MATCH('Group code'!C183,cards[object_id order],0))</f>
        <v>3</v>
      </c>
      <c r="G183" s="14">
        <f t="shared" ca="1" si="36"/>
        <v>0</v>
      </c>
      <c r="H183" s="14" t="str">
        <f t="shared" ca="1" si="37"/>
        <v/>
      </c>
      <c r="I183" s="5" t="str">
        <f t="shared" ca="1" si="38"/>
        <v/>
      </c>
      <c r="J183" s="5" t="str">
        <f t="shared" ca="1" si="34"/>
        <v/>
      </c>
      <c r="K183" s="5">
        <f t="shared" ca="1" si="39"/>
        <v>1</v>
      </c>
      <c r="L183" s="5" t="str">
        <f t="shared" ca="1" si="40"/>
        <v/>
      </c>
      <c r="M183" s="5" t="str">
        <f t="shared" ca="1" si="41"/>
        <v/>
      </c>
      <c r="N183" s="5" t="str">
        <f t="shared" ca="1" si="42"/>
        <v/>
      </c>
      <c r="O183" s="5" t="str">
        <f t="shared" ca="1" si="43"/>
        <v/>
      </c>
      <c r="P183" s="5" t="str">
        <f ca="1">VLOOKUP(G183,'Group code'!$Z$9:$AC$13,3,FALSE)</f>
        <v/>
      </c>
      <c r="Q183" s="5" t="str">
        <f t="shared" ca="1" si="44"/>
        <v/>
      </c>
      <c r="R183" s="5" t="str">
        <f ca="1">IF(G183=0,INDEX(cards[object_id],MATCH($C183,cards[object_id order],0)),"")</f>
        <v>network</v>
      </c>
      <c r="S183" s="5" t="str">
        <f ca="1">IF(G183=1,INDEX(cards[[name]:[control]],MATCH($C183,cards[object_id order],0),'Group code'!J183),"")</f>
        <v/>
      </c>
      <c r="T183" s="5" t="str">
        <f ca="1">IF(G183=3,INDEX(cards[[1]:[25]],MATCH($C183,cards[object_id order],0),'Group code'!I183),"")</f>
        <v/>
      </c>
      <c r="U183" s="5" t="str">
        <f ca="1">VLOOKUP(G183,'Group code'!$Z$9:$AC$13,4,FALSE)</f>
        <v>:</v>
      </c>
      <c r="V183" s="5" t="str">
        <f ca="1">IF(J183="","",VLOOKUP(J183,'Group code'!$Z$15:$AC$18,4,FALSE))</f>
        <v/>
      </c>
      <c r="W183" s="23" t="str">
        <f t="shared" ca="1" si="45"/>
        <v>network:</v>
      </c>
      <c r="X183" s="5" t="str">
        <f t="shared" ca="1" si="35"/>
        <v/>
      </c>
    </row>
    <row r="184" spans="2:24" x14ac:dyDescent="0.25">
      <c r="B184" s="5">
        <f t="shared" si="32"/>
        <v>178</v>
      </c>
      <c r="C184" s="5">
        <f t="shared" ca="1" si="46"/>
        <v>22</v>
      </c>
      <c r="D184" s="5" t="str">
        <f ca="1">INDEX(cards[Attribute Index],MATCH('Group code'!C184,cards[object_id order],0))</f>
        <v>1</v>
      </c>
      <c r="E184" s="5">
        <f t="shared" ca="1" si="33"/>
        <v>1</v>
      </c>
      <c r="F184" s="14">
        <f ca="1">INDEX(cards[Entities count],MATCH('Group code'!C184,cards[object_id order],0))</f>
        <v>3</v>
      </c>
      <c r="G184" s="14">
        <f t="shared" ca="1" si="36"/>
        <v>1</v>
      </c>
      <c r="H184" s="14">
        <f t="shared" ca="1" si="37"/>
        <v>1</v>
      </c>
      <c r="I184" s="5" t="str">
        <f t="shared" ca="1" si="38"/>
        <v/>
      </c>
      <c r="J184" s="5">
        <f t="shared" ca="1" si="34"/>
        <v>1</v>
      </c>
      <c r="K184" s="5" t="str">
        <f t="shared" ca="1" si="39"/>
        <v/>
      </c>
      <c r="L184" s="5">
        <f t="shared" ca="1" si="40"/>
        <v>1</v>
      </c>
      <c r="M184" s="5" t="str">
        <f t="shared" ca="1" si="41"/>
        <v/>
      </c>
      <c r="N184" s="5" t="str">
        <f t="shared" ca="1" si="42"/>
        <v/>
      </c>
      <c r="O184" s="5" t="str">
        <f t="shared" ca="1" si="43"/>
        <v/>
      </c>
      <c r="P184" s="5" t="str">
        <f ca="1">VLOOKUP(G184,'Group code'!$Z$9:$AC$13,3,FALSE)</f>
        <v/>
      </c>
      <c r="Q184" s="5" t="str">
        <f t="shared" ca="1" si="44"/>
        <v xml:space="preserve">  name: "</v>
      </c>
      <c r="R184" s="5" t="str">
        <f ca="1">IF(G184=0,INDEX(cards[object_id],MATCH($C184,cards[object_id order],0)),"")</f>
        <v/>
      </c>
      <c r="S184" s="5" t="str">
        <f ca="1">IF(G184=1,INDEX(cards[[name]:[control]],MATCH($C184,cards[object_id order],0),'Group code'!J184),"")</f>
        <v>Network</v>
      </c>
      <c r="T184" s="5" t="str">
        <f ca="1">IF(G184=3,INDEX(cards[[1]:[25]],MATCH($C184,cards[object_id order],0),'Group code'!I184),"")</f>
        <v/>
      </c>
      <c r="U184" s="5" t="str">
        <f ca="1">VLOOKUP(G184,'Group code'!$Z$9:$AC$13,4,FALSE)</f>
        <v/>
      </c>
      <c r="V184" s="5" t="str">
        <f ca="1">IF(J184="","",VLOOKUP(J184,'Group code'!$Z$15:$AC$18,4,FALSE))</f>
        <v>"</v>
      </c>
      <c r="W184" s="23" t="str">
        <f t="shared" ca="1" si="45"/>
        <v xml:space="preserve">  name: "Network"</v>
      </c>
      <c r="X184" s="5" t="str">
        <f t="shared" ca="1" si="35"/>
        <v/>
      </c>
    </row>
    <row r="185" spans="2:24" x14ac:dyDescent="0.25">
      <c r="B185" s="5">
        <f t="shared" si="32"/>
        <v>179</v>
      </c>
      <c r="C185" s="5">
        <f t="shared" ca="1" si="46"/>
        <v>22</v>
      </c>
      <c r="D185" s="5" t="str">
        <f ca="1">INDEX(cards[Attribute Index],MATCH('Group code'!C185,cards[object_id order],0))</f>
        <v>1</v>
      </c>
      <c r="E185" s="5">
        <f t="shared" ca="1" si="33"/>
        <v>1</v>
      </c>
      <c r="F185" s="14">
        <f ca="1">INDEX(cards[Entities count],MATCH('Group code'!C185,cards[object_id order],0))</f>
        <v>3</v>
      </c>
      <c r="G185" s="14">
        <f t="shared" ca="1" si="36"/>
        <v>2</v>
      </c>
      <c r="H185" s="14" t="str">
        <f t="shared" ca="1" si="37"/>
        <v/>
      </c>
      <c r="I185" s="5" t="str">
        <f t="shared" ca="1" si="38"/>
        <v/>
      </c>
      <c r="J185" s="5" t="str">
        <f t="shared" ca="1" si="34"/>
        <v/>
      </c>
      <c r="K185" s="5" t="str">
        <f t="shared" ca="1" si="39"/>
        <v/>
      </c>
      <c r="L185" s="5" t="str">
        <f t="shared" ca="1" si="40"/>
        <v/>
      </c>
      <c r="M185" s="5">
        <f t="shared" ca="1" si="41"/>
        <v>1</v>
      </c>
      <c r="N185" s="5" t="str">
        <f t="shared" ca="1" si="42"/>
        <v/>
      </c>
      <c r="O185" s="5" t="str">
        <f t="shared" ca="1" si="43"/>
        <v/>
      </c>
      <c r="P185" s="5" t="str">
        <f ca="1">VLOOKUP(G185,'Group code'!$Z$9:$AC$13,3,FALSE)</f>
        <v xml:space="preserve">  entities:</v>
      </c>
      <c r="Q185" s="5" t="str">
        <f t="shared" ca="1" si="44"/>
        <v/>
      </c>
      <c r="R185" s="5" t="str">
        <f ca="1">IF(G185=0,INDEX(cards[object_id],MATCH($C185,cards[object_id order],0)),"")</f>
        <v/>
      </c>
      <c r="S185" s="5" t="str">
        <f ca="1">IF(G185=1,INDEX(cards[[name]:[control]],MATCH($C185,cards[object_id order],0),'Group code'!J185),"")</f>
        <v/>
      </c>
      <c r="T185" s="5" t="str">
        <f ca="1">IF(G185=3,INDEX(cards[[1]:[25]],MATCH($C185,cards[object_id order],0),'Group code'!I185),"")</f>
        <v/>
      </c>
      <c r="U185" s="5" t="str">
        <f ca="1">VLOOKUP(G185,'Group code'!$Z$9:$AC$13,4,FALSE)</f>
        <v/>
      </c>
      <c r="V185" s="5" t="str">
        <f ca="1">IF(J185="","",VLOOKUP(J185,'Group code'!$Z$15:$AC$18,4,FALSE))</f>
        <v/>
      </c>
      <c r="W185" s="23" t="str">
        <f t="shared" ca="1" si="45"/>
        <v xml:space="preserve">  entities:</v>
      </c>
      <c r="X185" s="5" t="str">
        <f t="shared" ca="1" si="35"/>
        <v/>
      </c>
    </row>
    <row r="186" spans="2:24" x14ac:dyDescent="0.25">
      <c r="B186" s="5">
        <f t="shared" si="32"/>
        <v>180</v>
      </c>
      <c r="C186" s="5">
        <f t="shared" ca="1" si="46"/>
        <v>22</v>
      </c>
      <c r="D186" s="5" t="str">
        <f ca="1">INDEX(cards[Attribute Index],MATCH('Group code'!C186,cards[object_id order],0))</f>
        <v>1</v>
      </c>
      <c r="E186" s="5">
        <f t="shared" ca="1" si="33"/>
        <v>1</v>
      </c>
      <c r="F186" s="14">
        <f ca="1">INDEX(cards[Entities count],MATCH('Group code'!C186,cards[object_id order],0))</f>
        <v>3</v>
      </c>
      <c r="G186" s="14">
        <f t="shared" ca="1" si="36"/>
        <v>3</v>
      </c>
      <c r="H186" s="14" t="str">
        <f t="shared" ca="1" si="37"/>
        <v/>
      </c>
      <c r="I186" s="5">
        <f t="shared" ca="1" si="38"/>
        <v>1</v>
      </c>
      <c r="J186" s="5" t="str">
        <f t="shared" ca="1" si="34"/>
        <v/>
      </c>
      <c r="K186" s="5" t="str">
        <f t="shared" ca="1" si="39"/>
        <v/>
      </c>
      <c r="L186" s="5" t="str">
        <f t="shared" ca="1" si="40"/>
        <v/>
      </c>
      <c r="M186" s="5" t="str">
        <f t="shared" ca="1" si="41"/>
        <v/>
      </c>
      <c r="N186" s="5">
        <f t="shared" ca="1" si="42"/>
        <v>0</v>
      </c>
      <c r="O186" s="5" t="str">
        <f t="shared" ca="1" si="43"/>
        <v/>
      </c>
      <c r="P186" s="5" t="str">
        <f ca="1">VLOOKUP(G186,'Group code'!$Z$9:$AC$13,3,FALSE)</f>
        <v xml:space="preserve">    - </v>
      </c>
      <c r="Q186" s="5" t="str">
        <f t="shared" ca="1" si="44"/>
        <v/>
      </c>
      <c r="R186" s="5" t="str">
        <f ca="1">IF(G186=0,INDEX(cards[object_id],MATCH($C186,cards[object_id order],0)),"")</f>
        <v/>
      </c>
      <c r="S186" s="5" t="str">
        <f ca="1">IF(G186=1,INDEX(cards[[name]:[control]],MATCH($C186,cards[object_id order],0),'Group code'!J186),"")</f>
        <v/>
      </c>
      <c r="T186" s="5" t="str">
        <f ca="1">IF(G186=3,INDEX(cards[[1]:[25]],MATCH($C186,cards[object_id order],0),'Group code'!I186),"")</f>
        <v>sensor.speedtest_download</v>
      </c>
      <c r="U186" s="5" t="str">
        <f ca="1">VLOOKUP(G186,'Group code'!$Z$9:$AC$13,4,FALSE)</f>
        <v/>
      </c>
      <c r="V186" s="5" t="str">
        <f ca="1">IF(J186="","",VLOOKUP(J186,'Group code'!$Z$15:$AC$18,4,FALSE))</f>
        <v/>
      </c>
      <c r="W186" s="23" t="str">
        <f t="shared" ca="1" si="45"/>
        <v xml:space="preserve">    - sensor.speedtest_download</v>
      </c>
      <c r="X186" s="5" t="str">
        <f t="shared" ca="1" si="35"/>
        <v/>
      </c>
    </row>
    <row r="187" spans="2:24" x14ac:dyDescent="0.25">
      <c r="B187" s="5">
        <f t="shared" si="32"/>
        <v>181</v>
      </c>
      <c r="C187" s="5">
        <f t="shared" ca="1" si="46"/>
        <v>22</v>
      </c>
      <c r="D187" s="5" t="str">
        <f ca="1">INDEX(cards[Attribute Index],MATCH('Group code'!C187,cards[object_id order],0))</f>
        <v>1</v>
      </c>
      <c r="E187" s="5">
        <f t="shared" ca="1" si="33"/>
        <v>1</v>
      </c>
      <c r="F187" s="14">
        <f ca="1">INDEX(cards[Entities count],MATCH('Group code'!C187,cards[object_id order],0))</f>
        <v>3</v>
      </c>
      <c r="G187" s="14">
        <f t="shared" ca="1" si="36"/>
        <v>3</v>
      </c>
      <c r="H187" s="14" t="str">
        <f t="shared" ca="1" si="37"/>
        <v/>
      </c>
      <c r="I187" s="5">
        <f t="shared" ca="1" si="38"/>
        <v>2</v>
      </c>
      <c r="J187" s="5" t="str">
        <f t="shared" ca="1" si="34"/>
        <v/>
      </c>
      <c r="K187" s="5" t="str">
        <f t="shared" ca="1" si="39"/>
        <v/>
      </c>
      <c r="L187" s="5" t="str">
        <f t="shared" ca="1" si="40"/>
        <v/>
      </c>
      <c r="M187" s="5" t="str">
        <f t="shared" ca="1" si="41"/>
        <v/>
      </c>
      <c r="N187" s="5">
        <f t="shared" ca="1" si="42"/>
        <v>0</v>
      </c>
      <c r="O187" s="5" t="str">
        <f t="shared" ca="1" si="43"/>
        <v/>
      </c>
      <c r="P187" s="5" t="str">
        <f ca="1">VLOOKUP(G187,'Group code'!$Z$9:$AC$13,3,FALSE)</f>
        <v xml:space="preserve">    - </v>
      </c>
      <c r="Q187" s="5" t="str">
        <f t="shared" ca="1" si="44"/>
        <v/>
      </c>
      <c r="R187" s="5" t="str">
        <f ca="1">IF(G187=0,INDEX(cards[object_id],MATCH($C187,cards[object_id order],0)),"")</f>
        <v/>
      </c>
      <c r="S187" s="5" t="str">
        <f ca="1">IF(G187=1,INDEX(cards[[name]:[control]],MATCH($C187,cards[object_id order],0),'Group code'!J187),"")</f>
        <v/>
      </c>
      <c r="T187" s="5" t="str">
        <f ca="1">IF(G187=3,INDEX(cards[[1]:[25]],MATCH($C187,cards[object_id order],0),'Group code'!I187),"")</f>
        <v>sensor.speedtest_upload</v>
      </c>
      <c r="U187" s="5" t="str">
        <f ca="1">VLOOKUP(G187,'Group code'!$Z$9:$AC$13,4,FALSE)</f>
        <v/>
      </c>
      <c r="V187" s="5" t="str">
        <f ca="1">IF(J187="","",VLOOKUP(J187,'Group code'!$Z$15:$AC$18,4,FALSE))</f>
        <v/>
      </c>
      <c r="W187" s="23" t="str">
        <f t="shared" ca="1" si="45"/>
        <v xml:space="preserve">    - sensor.speedtest_upload</v>
      </c>
      <c r="X187" s="5" t="str">
        <f t="shared" ca="1" si="35"/>
        <v/>
      </c>
    </row>
    <row r="188" spans="2:24" x14ac:dyDescent="0.25">
      <c r="B188" s="5">
        <f t="shared" si="32"/>
        <v>182</v>
      </c>
      <c r="C188" s="5">
        <f t="shared" ca="1" si="46"/>
        <v>22</v>
      </c>
      <c r="D188" s="5" t="str">
        <f ca="1">INDEX(cards[Attribute Index],MATCH('Group code'!C188,cards[object_id order],0))</f>
        <v>1</v>
      </c>
      <c r="E188" s="5">
        <f t="shared" ca="1" si="33"/>
        <v>1</v>
      </c>
      <c r="F188" s="14">
        <f ca="1">INDEX(cards[Entities count],MATCH('Group code'!C188,cards[object_id order],0))</f>
        <v>3</v>
      </c>
      <c r="G188" s="14">
        <f t="shared" ca="1" si="36"/>
        <v>3</v>
      </c>
      <c r="H188" s="14" t="str">
        <f t="shared" ca="1" si="37"/>
        <v/>
      </c>
      <c r="I188" s="5">
        <f t="shared" ca="1" si="38"/>
        <v>3</v>
      </c>
      <c r="J188" s="5" t="str">
        <f t="shared" ca="1" si="34"/>
        <v/>
      </c>
      <c r="K188" s="5" t="str">
        <f t="shared" ca="1" si="39"/>
        <v/>
      </c>
      <c r="L188" s="5" t="str">
        <f t="shared" ca="1" si="40"/>
        <v/>
      </c>
      <c r="M188" s="5" t="str">
        <f t="shared" ca="1" si="41"/>
        <v/>
      </c>
      <c r="N188" s="5">
        <f t="shared" ca="1" si="42"/>
        <v>1</v>
      </c>
      <c r="O188" s="5" t="str">
        <f t="shared" ca="1" si="43"/>
        <v/>
      </c>
      <c r="P188" s="5" t="str">
        <f ca="1">VLOOKUP(G188,'Group code'!$Z$9:$AC$13,3,FALSE)</f>
        <v xml:space="preserve">    - </v>
      </c>
      <c r="Q188" s="5" t="str">
        <f t="shared" ca="1" si="44"/>
        <v/>
      </c>
      <c r="R188" s="5" t="str">
        <f ca="1">IF(G188=0,INDEX(cards[object_id],MATCH($C188,cards[object_id order],0)),"")</f>
        <v/>
      </c>
      <c r="S188" s="5" t="str">
        <f ca="1">IF(G188=1,INDEX(cards[[name]:[control]],MATCH($C188,cards[object_id order],0),'Group code'!J188),"")</f>
        <v/>
      </c>
      <c r="T188" s="5" t="str">
        <f ca="1">IF(G188=3,INDEX(cards[[1]:[25]],MATCH($C188,cards[object_id order],0),'Group code'!I188),"")</f>
        <v>sensor.speedtest_ping</v>
      </c>
      <c r="U188" s="5" t="str">
        <f ca="1">VLOOKUP(G188,'Group code'!$Z$9:$AC$13,4,FALSE)</f>
        <v/>
      </c>
      <c r="V188" s="5" t="str">
        <f ca="1">IF(J188="","",VLOOKUP(J188,'Group code'!$Z$15:$AC$18,4,FALSE))</f>
        <v/>
      </c>
      <c r="W188" s="23" t="str">
        <f t="shared" ca="1" si="45"/>
        <v xml:space="preserve">    - sensor.speedtest_ping</v>
      </c>
      <c r="X188" s="5" t="str">
        <f t="shared" ca="1" si="35"/>
        <v/>
      </c>
    </row>
    <row r="189" spans="2:24" x14ac:dyDescent="0.25">
      <c r="B189" s="5">
        <f t="shared" si="32"/>
        <v>183</v>
      </c>
      <c r="C189" s="5">
        <f t="shared" ca="1" si="46"/>
        <v>22</v>
      </c>
      <c r="D189" s="5" t="str">
        <f ca="1">INDEX(cards[Attribute Index],MATCH('Group code'!C189,cards[object_id order],0))</f>
        <v>1</v>
      </c>
      <c r="E189" s="5">
        <f t="shared" ca="1" si="33"/>
        <v>1</v>
      </c>
      <c r="F189" s="14">
        <f ca="1">INDEX(cards[Entities count],MATCH('Group code'!C189,cards[object_id order],0))</f>
        <v>3</v>
      </c>
      <c r="G189" s="14">
        <f t="shared" ca="1" si="36"/>
        <v>4</v>
      </c>
      <c r="H189" s="14" t="str">
        <f t="shared" ca="1" si="37"/>
        <v/>
      </c>
      <c r="I189" s="5" t="str">
        <f t="shared" ca="1" si="38"/>
        <v/>
      </c>
      <c r="J189" s="5" t="str">
        <f t="shared" ca="1" si="34"/>
        <v/>
      </c>
      <c r="K189" s="5" t="str">
        <f t="shared" ca="1" si="39"/>
        <v/>
      </c>
      <c r="L189" s="5" t="str">
        <f t="shared" ca="1" si="40"/>
        <v/>
      </c>
      <c r="M189" s="5" t="str">
        <f t="shared" ca="1" si="41"/>
        <v/>
      </c>
      <c r="N189" s="5" t="str">
        <f t="shared" ca="1" si="42"/>
        <v/>
      </c>
      <c r="O189" s="5">
        <f t="shared" ca="1" si="43"/>
        <v>-4</v>
      </c>
      <c r="P189" s="5" t="str">
        <f ca="1">VLOOKUP(G189,'Group code'!$Z$9:$AC$13,3,FALSE)</f>
        <v/>
      </c>
      <c r="Q189" s="5" t="str">
        <f t="shared" ca="1" si="44"/>
        <v/>
      </c>
      <c r="R189" s="5" t="str">
        <f ca="1">IF(G189=0,INDEX(cards[object_id],MATCH($C189,cards[object_id order],0)),"")</f>
        <v/>
      </c>
      <c r="S189" s="5" t="str">
        <f ca="1">IF(G189=1,INDEX(cards[[name]:[control]],MATCH($C189,cards[object_id order],0),'Group code'!J189),"")</f>
        <v/>
      </c>
      <c r="T189" s="5" t="str">
        <f ca="1">IF(G189=3,INDEX(cards[[1]:[25]],MATCH($C189,cards[object_id order],0),'Group code'!I189),"")</f>
        <v/>
      </c>
      <c r="U189" s="5" t="str">
        <f ca="1">VLOOKUP(G189,'Group code'!$Z$9:$AC$13,4,FALSE)</f>
        <v/>
      </c>
      <c r="V189" s="5" t="str">
        <f ca="1">IF(J189="","",VLOOKUP(J189,'Group code'!$Z$15:$AC$18,4,FALSE))</f>
        <v/>
      </c>
      <c r="W189" s="23" t="str">
        <f t="shared" ca="1" si="45"/>
        <v/>
      </c>
      <c r="X189" s="5" t="str">
        <f t="shared" ca="1" si="35"/>
        <v/>
      </c>
    </row>
    <row r="190" spans="2:24" x14ac:dyDescent="0.25">
      <c r="B190" s="5">
        <f t="shared" si="32"/>
        <v>184</v>
      </c>
      <c r="C190" s="5">
        <f t="shared" ca="1" si="46"/>
        <v>23</v>
      </c>
      <c r="D190" s="5" t="str">
        <f ca="1">INDEX(cards[Attribute Index],MATCH('Group code'!C190,cards[object_id order],0))</f>
        <v>1</v>
      </c>
      <c r="E190" s="5">
        <f t="shared" ca="1" si="33"/>
        <v>1</v>
      </c>
      <c r="F190" s="14">
        <f ca="1">INDEX(cards[Entities count],MATCH('Group code'!C190,cards[object_id order],0))</f>
        <v>5</v>
      </c>
      <c r="G190" s="14">
        <f t="shared" ca="1" si="36"/>
        <v>0</v>
      </c>
      <c r="H190" s="14" t="str">
        <f t="shared" ca="1" si="37"/>
        <v/>
      </c>
      <c r="I190" s="5" t="str">
        <f t="shared" ca="1" si="38"/>
        <v/>
      </c>
      <c r="J190" s="5" t="str">
        <f t="shared" ca="1" si="34"/>
        <v/>
      </c>
      <c r="K190" s="5">
        <f t="shared" ca="1" si="39"/>
        <v>1</v>
      </c>
      <c r="L190" s="5" t="str">
        <f t="shared" ca="1" si="40"/>
        <v/>
      </c>
      <c r="M190" s="5" t="str">
        <f t="shared" ca="1" si="41"/>
        <v/>
      </c>
      <c r="N190" s="5" t="str">
        <f t="shared" ca="1" si="42"/>
        <v/>
      </c>
      <c r="O190" s="5" t="str">
        <f t="shared" ca="1" si="43"/>
        <v/>
      </c>
      <c r="P190" s="5" t="str">
        <f ca="1">VLOOKUP(G190,'Group code'!$Z$9:$AC$13,3,FALSE)</f>
        <v/>
      </c>
      <c r="Q190" s="5" t="str">
        <f t="shared" ca="1" si="44"/>
        <v/>
      </c>
      <c r="R190" s="5" t="str">
        <f ca="1">IF(G190=0,INDEX(cards[object_id],MATCH($C190,cards[object_id order],0)),"")</f>
        <v>host_device</v>
      </c>
      <c r="S190" s="5" t="str">
        <f ca="1">IF(G190=1,INDEX(cards[[name]:[control]],MATCH($C190,cards[object_id order],0),'Group code'!J190),"")</f>
        <v/>
      </c>
      <c r="T190" s="5" t="str">
        <f ca="1">IF(G190=3,INDEX(cards[[1]:[25]],MATCH($C190,cards[object_id order],0),'Group code'!I190),"")</f>
        <v/>
      </c>
      <c r="U190" s="5" t="str">
        <f ca="1">VLOOKUP(G190,'Group code'!$Z$9:$AC$13,4,FALSE)</f>
        <v>:</v>
      </c>
      <c r="V190" s="5" t="str">
        <f ca="1">IF(J190="","",VLOOKUP(J190,'Group code'!$Z$15:$AC$18,4,FALSE))</f>
        <v/>
      </c>
      <c r="W190" s="23" t="str">
        <f t="shared" ca="1" si="45"/>
        <v>host_device:</v>
      </c>
      <c r="X190" s="5" t="str">
        <f t="shared" ca="1" si="35"/>
        <v/>
      </c>
    </row>
    <row r="191" spans="2:24" x14ac:dyDescent="0.25">
      <c r="B191" s="5">
        <f t="shared" si="32"/>
        <v>185</v>
      </c>
      <c r="C191" s="5">
        <f t="shared" ca="1" si="46"/>
        <v>23</v>
      </c>
      <c r="D191" s="5" t="str">
        <f ca="1">INDEX(cards[Attribute Index],MATCH('Group code'!C191,cards[object_id order],0))</f>
        <v>1</v>
      </c>
      <c r="E191" s="5">
        <f t="shared" ca="1" si="33"/>
        <v>1</v>
      </c>
      <c r="F191" s="14">
        <f ca="1">INDEX(cards[Entities count],MATCH('Group code'!C191,cards[object_id order],0))</f>
        <v>5</v>
      </c>
      <c r="G191" s="14">
        <f t="shared" ca="1" si="36"/>
        <v>1</v>
      </c>
      <c r="H191" s="14">
        <f t="shared" ca="1" si="37"/>
        <v>1</v>
      </c>
      <c r="I191" s="5" t="str">
        <f t="shared" ca="1" si="38"/>
        <v/>
      </c>
      <c r="J191" s="5">
        <f t="shared" ca="1" si="34"/>
        <v>1</v>
      </c>
      <c r="K191" s="5" t="str">
        <f t="shared" ca="1" si="39"/>
        <v/>
      </c>
      <c r="L191" s="5">
        <f t="shared" ca="1" si="40"/>
        <v>1</v>
      </c>
      <c r="M191" s="5" t="str">
        <f t="shared" ca="1" si="41"/>
        <v/>
      </c>
      <c r="N191" s="5" t="str">
        <f t="shared" ca="1" si="42"/>
        <v/>
      </c>
      <c r="O191" s="5" t="str">
        <f t="shared" ca="1" si="43"/>
        <v/>
      </c>
      <c r="P191" s="5" t="str">
        <f ca="1">VLOOKUP(G191,'Group code'!$Z$9:$AC$13,3,FALSE)</f>
        <v/>
      </c>
      <c r="Q191" s="5" t="str">
        <f t="shared" ca="1" si="44"/>
        <v xml:space="preserve">  name: "</v>
      </c>
      <c r="R191" s="5" t="str">
        <f ca="1">IF(G191=0,INDEX(cards[object_id],MATCH($C191,cards[object_id order],0)),"")</f>
        <v/>
      </c>
      <c r="S191" s="5" t="str">
        <f ca="1">IF(G191=1,INDEX(cards[[name]:[control]],MATCH($C191,cards[object_id order],0),'Group code'!J191),"")</f>
        <v>HA Host</v>
      </c>
      <c r="T191" s="5" t="str">
        <f ca="1">IF(G191=3,INDEX(cards[[1]:[25]],MATCH($C191,cards[object_id order],0),'Group code'!I191),"")</f>
        <v/>
      </c>
      <c r="U191" s="5" t="str">
        <f ca="1">VLOOKUP(G191,'Group code'!$Z$9:$AC$13,4,FALSE)</f>
        <v/>
      </c>
      <c r="V191" s="5" t="str">
        <f ca="1">IF(J191="","",VLOOKUP(J191,'Group code'!$Z$15:$AC$18,4,FALSE))</f>
        <v>"</v>
      </c>
      <c r="W191" s="23" t="str">
        <f t="shared" ca="1" si="45"/>
        <v xml:space="preserve">  name: "HA Host"</v>
      </c>
      <c r="X191" s="5" t="str">
        <f t="shared" ca="1" si="35"/>
        <v/>
      </c>
    </row>
    <row r="192" spans="2:24" x14ac:dyDescent="0.25">
      <c r="B192" s="5">
        <f t="shared" si="32"/>
        <v>186</v>
      </c>
      <c r="C192" s="5">
        <f t="shared" ca="1" si="46"/>
        <v>23</v>
      </c>
      <c r="D192" s="5" t="str">
        <f ca="1">INDEX(cards[Attribute Index],MATCH('Group code'!C192,cards[object_id order],0))</f>
        <v>1</v>
      </c>
      <c r="E192" s="5">
        <f t="shared" ca="1" si="33"/>
        <v>1</v>
      </c>
      <c r="F192" s="14">
        <f ca="1">INDEX(cards[Entities count],MATCH('Group code'!C192,cards[object_id order],0))</f>
        <v>5</v>
      </c>
      <c r="G192" s="14">
        <f t="shared" ca="1" si="36"/>
        <v>2</v>
      </c>
      <c r="H192" s="14" t="str">
        <f t="shared" ca="1" si="37"/>
        <v/>
      </c>
      <c r="I192" s="5" t="str">
        <f t="shared" ca="1" si="38"/>
        <v/>
      </c>
      <c r="J192" s="5" t="str">
        <f t="shared" ca="1" si="34"/>
        <v/>
      </c>
      <c r="K192" s="5" t="str">
        <f t="shared" ca="1" si="39"/>
        <v/>
      </c>
      <c r="L192" s="5" t="str">
        <f t="shared" ca="1" si="40"/>
        <v/>
      </c>
      <c r="M192" s="5">
        <f t="shared" ca="1" si="41"/>
        <v>1</v>
      </c>
      <c r="N192" s="5" t="str">
        <f t="shared" ca="1" si="42"/>
        <v/>
      </c>
      <c r="O192" s="5" t="str">
        <f t="shared" ca="1" si="43"/>
        <v/>
      </c>
      <c r="P192" s="5" t="str">
        <f ca="1">VLOOKUP(G192,'Group code'!$Z$9:$AC$13,3,FALSE)</f>
        <v xml:space="preserve">  entities:</v>
      </c>
      <c r="Q192" s="5" t="str">
        <f t="shared" ca="1" si="44"/>
        <v/>
      </c>
      <c r="R192" s="5" t="str">
        <f ca="1">IF(G192=0,INDEX(cards[object_id],MATCH($C192,cards[object_id order],0)),"")</f>
        <v/>
      </c>
      <c r="S192" s="5" t="str">
        <f ca="1">IF(G192=1,INDEX(cards[[name]:[control]],MATCH($C192,cards[object_id order],0),'Group code'!J192),"")</f>
        <v/>
      </c>
      <c r="T192" s="5" t="str">
        <f ca="1">IF(G192=3,INDEX(cards[[1]:[25]],MATCH($C192,cards[object_id order],0),'Group code'!I192),"")</f>
        <v/>
      </c>
      <c r="U192" s="5" t="str">
        <f ca="1">VLOOKUP(G192,'Group code'!$Z$9:$AC$13,4,FALSE)</f>
        <v/>
      </c>
      <c r="V192" s="5" t="str">
        <f ca="1">IF(J192="","",VLOOKUP(J192,'Group code'!$Z$15:$AC$18,4,FALSE))</f>
        <v/>
      </c>
      <c r="W192" s="23" t="str">
        <f t="shared" ca="1" si="45"/>
        <v xml:space="preserve">  entities:</v>
      </c>
      <c r="X192" s="5" t="str">
        <f t="shared" ca="1" si="35"/>
        <v/>
      </c>
    </row>
    <row r="193" spans="2:24" x14ac:dyDescent="0.25">
      <c r="B193" s="5">
        <f t="shared" si="32"/>
        <v>187</v>
      </c>
      <c r="C193" s="5">
        <f t="shared" ca="1" si="46"/>
        <v>23</v>
      </c>
      <c r="D193" s="5" t="str">
        <f ca="1">INDEX(cards[Attribute Index],MATCH('Group code'!C193,cards[object_id order],0))</f>
        <v>1</v>
      </c>
      <c r="E193" s="5">
        <f t="shared" ca="1" si="33"/>
        <v>1</v>
      </c>
      <c r="F193" s="14">
        <f ca="1">INDEX(cards[Entities count],MATCH('Group code'!C193,cards[object_id order],0))</f>
        <v>5</v>
      </c>
      <c r="G193" s="14">
        <f t="shared" ca="1" si="36"/>
        <v>3</v>
      </c>
      <c r="H193" s="14" t="str">
        <f t="shared" ca="1" si="37"/>
        <v/>
      </c>
      <c r="I193" s="5">
        <f t="shared" ca="1" si="38"/>
        <v>1</v>
      </c>
      <c r="J193" s="5" t="str">
        <f t="shared" ca="1" si="34"/>
        <v/>
      </c>
      <c r="K193" s="5" t="str">
        <f t="shared" ca="1" si="39"/>
        <v/>
      </c>
      <c r="L193" s="5" t="str">
        <f t="shared" ca="1" si="40"/>
        <v/>
      </c>
      <c r="M193" s="5" t="str">
        <f t="shared" ca="1" si="41"/>
        <v/>
      </c>
      <c r="N193" s="5">
        <f t="shared" ca="1" si="42"/>
        <v>0</v>
      </c>
      <c r="O193" s="5" t="str">
        <f t="shared" ca="1" si="43"/>
        <v/>
      </c>
      <c r="P193" s="5" t="str">
        <f ca="1">VLOOKUP(G193,'Group code'!$Z$9:$AC$13,3,FALSE)</f>
        <v xml:space="preserve">    - </v>
      </c>
      <c r="Q193" s="5" t="str">
        <f t="shared" ca="1" si="44"/>
        <v/>
      </c>
      <c r="R193" s="5" t="str">
        <f ca="1">IF(G193=0,INDEX(cards[object_id],MATCH($C193,cards[object_id order],0)),"")</f>
        <v/>
      </c>
      <c r="S193" s="5" t="str">
        <f ca="1">IF(G193=1,INDEX(cards[[name]:[control]],MATCH($C193,cards[object_id order],0),'Group code'!J193),"")</f>
        <v/>
      </c>
      <c r="T193" s="5" t="str">
        <f ca="1">IF(G193=3,INDEX(cards[[1]:[25]],MATCH($C193,cards[object_id order],0),'Group code'!I193),"")</f>
        <v>sensor.cpu_temp</v>
      </c>
      <c r="U193" s="5" t="str">
        <f ca="1">VLOOKUP(G193,'Group code'!$Z$9:$AC$13,4,FALSE)</f>
        <v/>
      </c>
      <c r="V193" s="5" t="str">
        <f ca="1">IF(J193="","",VLOOKUP(J193,'Group code'!$Z$15:$AC$18,4,FALSE))</f>
        <v/>
      </c>
      <c r="W193" s="23" t="str">
        <f t="shared" ca="1" si="45"/>
        <v xml:space="preserve">    - sensor.cpu_temp</v>
      </c>
      <c r="X193" s="5" t="str">
        <f t="shared" ca="1" si="35"/>
        <v/>
      </c>
    </row>
    <row r="194" spans="2:24" x14ac:dyDescent="0.25">
      <c r="B194" s="5">
        <f t="shared" si="32"/>
        <v>188</v>
      </c>
      <c r="C194" s="5">
        <f t="shared" ca="1" si="46"/>
        <v>23</v>
      </c>
      <c r="D194" s="5" t="str">
        <f ca="1">INDEX(cards[Attribute Index],MATCH('Group code'!C194,cards[object_id order],0))</f>
        <v>1</v>
      </c>
      <c r="E194" s="5">
        <f t="shared" ca="1" si="33"/>
        <v>1</v>
      </c>
      <c r="F194" s="14">
        <f ca="1">INDEX(cards[Entities count],MATCH('Group code'!C194,cards[object_id order],0))</f>
        <v>5</v>
      </c>
      <c r="G194" s="14">
        <f t="shared" ca="1" si="36"/>
        <v>3</v>
      </c>
      <c r="H194" s="14" t="str">
        <f t="shared" ca="1" si="37"/>
        <v/>
      </c>
      <c r="I194" s="5">
        <f t="shared" ca="1" si="38"/>
        <v>2</v>
      </c>
      <c r="J194" s="5" t="str">
        <f t="shared" ca="1" si="34"/>
        <v/>
      </c>
      <c r="K194" s="5" t="str">
        <f t="shared" ca="1" si="39"/>
        <v/>
      </c>
      <c r="L194" s="5" t="str">
        <f t="shared" ca="1" si="40"/>
        <v/>
      </c>
      <c r="M194" s="5" t="str">
        <f t="shared" ca="1" si="41"/>
        <v/>
      </c>
      <c r="N194" s="5">
        <f t="shared" ca="1" si="42"/>
        <v>0</v>
      </c>
      <c r="O194" s="5" t="str">
        <f t="shared" ca="1" si="43"/>
        <v/>
      </c>
      <c r="P194" s="5" t="str">
        <f ca="1">VLOOKUP(G194,'Group code'!$Z$9:$AC$13,3,FALSE)</f>
        <v xml:space="preserve">    - </v>
      </c>
      <c r="Q194" s="5" t="str">
        <f t="shared" ca="1" si="44"/>
        <v/>
      </c>
      <c r="R194" s="5" t="str">
        <f ca="1">IF(G194=0,INDEX(cards[object_id],MATCH($C194,cards[object_id order],0)),"")</f>
        <v/>
      </c>
      <c r="S194" s="5" t="str">
        <f ca="1">IF(G194=1,INDEX(cards[[name]:[control]],MATCH($C194,cards[object_id order],0),'Group code'!J194),"")</f>
        <v/>
      </c>
      <c r="T194" s="5" t="str">
        <f ca="1">IF(G194=3,INDEX(cards[[1]:[25]],MATCH($C194,cards[object_id order],0),'Group code'!I194),"")</f>
        <v>sensor.cpu_use</v>
      </c>
      <c r="U194" s="5" t="str">
        <f ca="1">VLOOKUP(G194,'Group code'!$Z$9:$AC$13,4,FALSE)</f>
        <v/>
      </c>
      <c r="V194" s="5" t="str">
        <f ca="1">IF(J194="","",VLOOKUP(J194,'Group code'!$Z$15:$AC$18,4,FALSE))</f>
        <v/>
      </c>
      <c r="W194" s="23" t="str">
        <f t="shared" ca="1" si="45"/>
        <v xml:space="preserve">    - sensor.cpu_use</v>
      </c>
      <c r="X194" s="5" t="str">
        <f t="shared" ca="1" si="35"/>
        <v/>
      </c>
    </row>
    <row r="195" spans="2:24" x14ac:dyDescent="0.25">
      <c r="B195" s="5">
        <f t="shared" si="32"/>
        <v>189</v>
      </c>
      <c r="C195" s="5">
        <f t="shared" ca="1" si="46"/>
        <v>23</v>
      </c>
      <c r="D195" s="5" t="str">
        <f ca="1">INDEX(cards[Attribute Index],MATCH('Group code'!C195,cards[object_id order],0))</f>
        <v>1</v>
      </c>
      <c r="E195" s="5">
        <f t="shared" ca="1" si="33"/>
        <v>1</v>
      </c>
      <c r="F195" s="14">
        <f ca="1">INDEX(cards[Entities count],MATCH('Group code'!C195,cards[object_id order],0))</f>
        <v>5</v>
      </c>
      <c r="G195" s="14">
        <f t="shared" ca="1" si="36"/>
        <v>3</v>
      </c>
      <c r="H195" s="14" t="str">
        <f t="shared" ca="1" si="37"/>
        <v/>
      </c>
      <c r="I195" s="5">
        <f t="shared" ca="1" si="38"/>
        <v>3</v>
      </c>
      <c r="J195" s="5" t="str">
        <f t="shared" ca="1" si="34"/>
        <v/>
      </c>
      <c r="K195" s="5" t="str">
        <f t="shared" ca="1" si="39"/>
        <v/>
      </c>
      <c r="L195" s="5" t="str">
        <f t="shared" ca="1" si="40"/>
        <v/>
      </c>
      <c r="M195" s="5" t="str">
        <f t="shared" ca="1" si="41"/>
        <v/>
      </c>
      <c r="N195" s="5">
        <f t="shared" ca="1" si="42"/>
        <v>0</v>
      </c>
      <c r="O195" s="5" t="str">
        <f t="shared" ca="1" si="43"/>
        <v/>
      </c>
      <c r="P195" s="5" t="str">
        <f ca="1">VLOOKUP(G195,'Group code'!$Z$9:$AC$13,3,FALSE)</f>
        <v xml:space="preserve">    - </v>
      </c>
      <c r="Q195" s="5" t="str">
        <f t="shared" ca="1" si="44"/>
        <v/>
      </c>
      <c r="R195" s="5" t="str">
        <f ca="1">IF(G195=0,INDEX(cards[object_id],MATCH($C195,cards[object_id order],0)),"")</f>
        <v/>
      </c>
      <c r="S195" s="5" t="str">
        <f ca="1">IF(G195=1,INDEX(cards[[name]:[control]],MATCH($C195,cards[object_id order],0),'Group code'!J195),"")</f>
        <v/>
      </c>
      <c r="T195" s="5" t="str">
        <f ca="1">IF(G195=3,INDEX(cards[[1]:[25]],MATCH($C195,cards[object_id order],0),'Group code'!I195),"")</f>
        <v>sensor.ram_free</v>
      </c>
      <c r="U195" s="5" t="str">
        <f ca="1">VLOOKUP(G195,'Group code'!$Z$9:$AC$13,4,FALSE)</f>
        <v/>
      </c>
      <c r="V195" s="5" t="str">
        <f ca="1">IF(J195="","",VLOOKUP(J195,'Group code'!$Z$15:$AC$18,4,FALSE))</f>
        <v/>
      </c>
      <c r="W195" s="23" t="str">
        <f t="shared" ca="1" si="45"/>
        <v xml:space="preserve">    - sensor.ram_free</v>
      </c>
      <c r="X195" s="5" t="str">
        <f t="shared" ca="1" si="35"/>
        <v/>
      </c>
    </row>
    <row r="196" spans="2:24" x14ac:dyDescent="0.25">
      <c r="B196" s="5">
        <f t="shared" si="32"/>
        <v>190</v>
      </c>
      <c r="C196" s="5">
        <f t="shared" ca="1" si="46"/>
        <v>23</v>
      </c>
      <c r="D196" s="5" t="str">
        <f ca="1">INDEX(cards[Attribute Index],MATCH('Group code'!C196,cards[object_id order],0))</f>
        <v>1</v>
      </c>
      <c r="E196" s="5">
        <f t="shared" ca="1" si="33"/>
        <v>1</v>
      </c>
      <c r="F196" s="14">
        <f ca="1">INDEX(cards[Entities count],MATCH('Group code'!C196,cards[object_id order],0))</f>
        <v>5</v>
      </c>
      <c r="G196" s="14">
        <f t="shared" ca="1" si="36"/>
        <v>3</v>
      </c>
      <c r="H196" s="14" t="str">
        <f t="shared" ca="1" si="37"/>
        <v/>
      </c>
      <c r="I196" s="5">
        <f t="shared" ca="1" si="38"/>
        <v>4</v>
      </c>
      <c r="J196" s="5" t="str">
        <f t="shared" ca="1" si="34"/>
        <v/>
      </c>
      <c r="K196" s="5" t="str">
        <f t="shared" ca="1" si="39"/>
        <v/>
      </c>
      <c r="L196" s="5" t="str">
        <f t="shared" ca="1" si="40"/>
        <v/>
      </c>
      <c r="M196" s="5" t="str">
        <f t="shared" ca="1" si="41"/>
        <v/>
      </c>
      <c r="N196" s="5">
        <f t="shared" ca="1" si="42"/>
        <v>0</v>
      </c>
      <c r="O196" s="5" t="str">
        <f t="shared" ca="1" si="43"/>
        <v/>
      </c>
      <c r="P196" s="5" t="str">
        <f ca="1">VLOOKUP(G196,'Group code'!$Z$9:$AC$13,3,FALSE)</f>
        <v xml:space="preserve">    - </v>
      </c>
      <c r="Q196" s="5" t="str">
        <f t="shared" ca="1" si="44"/>
        <v/>
      </c>
      <c r="R196" s="5" t="str">
        <f ca="1">IF(G196=0,INDEX(cards[object_id],MATCH($C196,cards[object_id order],0)),"")</f>
        <v/>
      </c>
      <c r="S196" s="5" t="str">
        <f ca="1">IF(G196=1,INDEX(cards[[name]:[control]],MATCH($C196,cards[object_id order],0),'Group code'!J196),"")</f>
        <v/>
      </c>
      <c r="T196" s="5" t="str">
        <f ca="1">IF(G196=3,INDEX(cards[[1]:[25]],MATCH($C196,cards[object_id order],0),'Group code'!I196),"")</f>
        <v>sensor.disk_use_home</v>
      </c>
      <c r="U196" s="5" t="str">
        <f ca="1">VLOOKUP(G196,'Group code'!$Z$9:$AC$13,4,FALSE)</f>
        <v/>
      </c>
      <c r="V196" s="5" t="str">
        <f ca="1">IF(J196="","",VLOOKUP(J196,'Group code'!$Z$15:$AC$18,4,FALSE))</f>
        <v/>
      </c>
      <c r="W196" s="23" t="str">
        <f t="shared" ca="1" si="45"/>
        <v xml:space="preserve">    - sensor.disk_use_home</v>
      </c>
      <c r="X196" s="5" t="str">
        <f t="shared" ca="1" si="35"/>
        <v/>
      </c>
    </row>
    <row r="197" spans="2:24" x14ac:dyDescent="0.25">
      <c r="B197" s="5">
        <f t="shared" si="32"/>
        <v>191</v>
      </c>
      <c r="C197" s="5">
        <f t="shared" ca="1" si="46"/>
        <v>23</v>
      </c>
      <c r="D197" s="5" t="str">
        <f ca="1">INDEX(cards[Attribute Index],MATCH('Group code'!C197,cards[object_id order],0))</f>
        <v>1</v>
      </c>
      <c r="E197" s="5">
        <f t="shared" ca="1" si="33"/>
        <v>1</v>
      </c>
      <c r="F197" s="14">
        <f ca="1">INDEX(cards[Entities count],MATCH('Group code'!C197,cards[object_id order],0))</f>
        <v>5</v>
      </c>
      <c r="G197" s="14">
        <f t="shared" ca="1" si="36"/>
        <v>3</v>
      </c>
      <c r="H197" s="14" t="str">
        <f t="shared" ca="1" si="37"/>
        <v/>
      </c>
      <c r="I197" s="5">
        <f t="shared" ca="1" si="38"/>
        <v>5</v>
      </c>
      <c r="J197" s="5" t="str">
        <f t="shared" ca="1" si="34"/>
        <v/>
      </c>
      <c r="K197" s="5" t="str">
        <f t="shared" ca="1" si="39"/>
        <v/>
      </c>
      <c r="L197" s="5" t="str">
        <f t="shared" ca="1" si="40"/>
        <v/>
      </c>
      <c r="M197" s="5" t="str">
        <f t="shared" ca="1" si="41"/>
        <v/>
      </c>
      <c r="N197" s="5">
        <f t="shared" ca="1" si="42"/>
        <v>1</v>
      </c>
      <c r="O197" s="5" t="str">
        <f t="shared" ca="1" si="43"/>
        <v/>
      </c>
      <c r="P197" s="5" t="str">
        <f ca="1">VLOOKUP(G197,'Group code'!$Z$9:$AC$13,3,FALSE)</f>
        <v xml:space="preserve">    - </v>
      </c>
      <c r="Q197" s="5" t="str">
        <f t="shared" ca="1" si="44"/>
        <v/>
      </c>
      <c r="R197" s="5" t="str">
        <f ca="1">IF(G197=0,INDEX(cards[object_id],MATCH($C197,cards[object_id order],0)),"")</f>
        <v/>
      </c>
      <c r="S197" s="5" t="str">
        <f ca="1">IF(G197=1,INDEX(cards[[name]:[control]],MATCH($C197,cards[object_id order],0),'Group code'!J197),"")</f>
        <v/>
      </c>
      <c r="T197" s="5" t="str">
        <f ca="1">IF(G197=3,INDEX(cards[[1]:[25]],MATCH($C197,cards[object_id order],0),'Group code'!I197),"")</f>
        <v>sensor.last_boot</v>
      </c>
      <c r="U197" s="5" t="str">
        <f ca="1">VLOOKUP(G197,'Group code'!$Z$9:$AC$13,4,FALSE)</f>
        <v/>
      </c>
      <c r="V197" s="5" t="str">
        <f ca="1">IF(J197="","",VLOOKUP(J197,'Group code'!$Z$15:$AC$18,4,FALSE))</f>
        <v/>
      </c>
      <c r="W197" s="23" t="str">
        <f t="shared" ca="1" si="45"/>
        <v xml:space="preserve">    - sensor.last_boot</v>
      </c>
      <c r="X197" s="5" t="str">
        <f t="shared" ca="1" si="35"/>
        <v/>
      </c>
    </row>
    <row r="198" spans="2:24" x14ac:dyDescent="0.25">
      <c r="B198" s="5">
        <f t="shared" si="32"/>
        <v>192</v>
      </c>
      <c r="C198" s="5">
        <f t="shared" ca="1" si="46"/>
        <v>23</v>
      </c>
      <c r="D198" s="5" t="str">
        <f ca="1">INDEX(cards[Attribute Index],MATCH('Group code'!C198,cards[object_id order],0))</f>
        <v>1</v>
      </c>
      <c r="E198" s="5">
        <f t="shared" ca="1" si="33"/>
        <v>1</v>
      </c>
      <c r="F198" s="14">
        <f ca="1">INDEX(cards[Entities count],MATCH('Group code'!C198,cards[object_id order],0))</f>
        <v>5</v>
      </c>
      <c r="G198" s="14">
        <f t="shared" ca="1" si="36"/>
        <v>4</v>
      </c>
      <c r="H198" s="14" t="str">
        <f t="shared" ca="1" si="37"/>
        <v/>
      </c>
      <c r="I198" s="5" t="str">
        <f t="shared" ca="1" si="38"/>
        <v/>
      </c>
      <c r="J198" s="5" t="str">
        <f t="shared" ca="1" si="34"/>
        <v/>
      </c>
      <c r="K198" s="5" t="str">
        <f t="shared" ca="1" si="39"/>
        <v/>
      </c>
      <c r="L198" s="5" t="str">
        <f t="shared" ca="1" si="40"/>
        <v/>
      </c>
      <c r="M198" s="5" t="str">
        <f t="shared" ca="1" si="41"/>
        <v/>
      </c>
      <c r="N198" s="5" t="str">
        <f t="shared" ca="1" si="42"/>
        <v/>
      </c>
      <c r="O198" s="5">
        <f t="shared" ca="1" si="43"/>
        <v>-4</v>
      </c>
      <c r="P198" s="5" t="str">
        <f ca="1">VLOOKUP(G198,'Group code'!$Z$9:$AC$13,3,FALSE)</f>
        <v/>
      </c>
      <c r="Q198" s="5" t="str">
        <f t="shared" ca="1" si="44"/>
        <v/>
      </c>
      <c r="R198" s="5" t="str">
        <f ca="1">IF(G198=0,INDEX(cards[object_id],MATCH($C198,cards[object_id order],0)),"")</f>
        <v/>
      </c>
      <c r="S198" s="5" t="str">
        <f ca="1">IF(G198=1,INDEX(cards[[name]:[control]],MATCH($C198,cards[object_id order],0),'Group code'!J198),"")</f>
        <v/>
      </c>
      <c r="T198" s="5" t="str">
        <f ca="1">IF(G198=3,INDEX(cards[[1]:[25]],MATCH($C198,cards[object_id order],0),'Group code'!I198),"")</f>
        <v/>
      </c>
      <c r="U198" s="5" t="str">
        <f ca="1">VLOOKUP(G198,'Group code'!$Z$9:$AC$13,4,FALSE)</f>
        <v/>
      </c>
      <c r="V198" s="5" t="str">
        <f ca="1">IF(J198="","",VLOOKUP(J198,'Group code'!$Z$15:$AC$18,4,FALSE))</f>
        <v/>
      </c>
      <c r="W198" s="23" t="str">
        <f t="shared" ca="1" si="45"/>
        <v/>
      </c>
      <c r="X198" s="5" t="str">
        <f t="shared" ca="1" si="35"/>
        <v/>
      </c>
    </row>
    <row r="199" spans="2:24" x14ac:dyDescent="0.25">
      <c r="B199" s="5">
        <f t="shared" si="32"/>
        <v>193</v>
      </c>
      <c r="C199" s="5">
        <f t="shared" ca="1" si="46"/>
        <v>24</v>
      </c>
      <c r="D199" s="5" t="str">
        <f ca="1">INDEX(cards[Attribute Index],MATCH('Group code'!C199,cards[object_id order],0))</f>
        <v>1</v>
      </c>
      <c r="E199" s="5">
        <f t="shared" ca="1" si="33"/>
        <v>1</v>
      </c>
      <c r="F199" s="14">
        <f ca="1">INDEX(cards[Entities count],MATCH('Group code'!C199,cards[object_id order],0))</f>
        <v>1</v>
      </c>
      <c r="G199" s="14">
        <f t="shared" ca="1" si="36"/>
        <v>0</v>
      </c>
      <c r="H199" s="14" t="str">
        <f t="shared" ca="1" si="37"/>
        <v/>
      </c>
      <c r="I199" s="5" t="str">
        <f t="shared" ca="1" si="38"/>
        <v/>
      </c>
      <c r="J199" s="5" t="str">
        <f t="shared" ca="1" si="34"/>
        <v/>
      </c>
      <c r="K199" s="5">
        <f t="shared" ca="1" si="39"/>
        <v>1</v>
      </c>
      <c r="L199" s="5" t="str">
        <f t="shared" ca="1" si="40"/>
        <v/>
      </c>
      <c r="M199" s="5" t="str">
        <f t="shared" ca="1" si="41"/>
        <v/>
      </c>
      <c r="N199" s="5" t="str">
        <f t="shared" ca="1" si="42"/>
        <v/>
      </c>
      <c r="O199" s="5" t="str">
        <f t="shared" ca="1" si="43"/>
        <v/>
      </c>
      <c r="P199" s="5" t="str">
        <f ca="1">VLOOKUP(G199,'Group code'!$Z$9:$AC$13,3,FALSE)</f>
        <v/>
      </c>
      <c r="Q199" s="5" t="str">
        <f t="shared" ca="1" si="44"/>
        <v/>
      </c>
      <c r="R199" s="5" t="str">
        <f ca="1">IF(G199=0,INDEX(cards[object_id],MATCH($C199,cards[object_id order],0)),"")</f>
        <v>misc_devices</v>
      </c>
      <c r="S199" s="5" t="str">
        <f ca="1">IF(G199=1,INDEX(cards[[name]:[control]],MATCH($C199,cards[object_id order],0),'Group code'!J199),"")</f>
        <v/>
      </c>
      <c r="T199" s="5" t="str">
        <f ca="1">IF(G199=3,INDEX(cards[[1]:[25]],MATCH($C199,cards[object_id order],0),'Group code'!I199),"")</f>
        <v/>
      </c>
      <c r="U199" s="5" t="str">
        <f ca="1">VLOOKUP(G199,'Group code'!$Z$9:$AC$13,4,FALSE)</f>
        <v>:</v>
      </c>
      <c r="V199" s="5" t="str">
        <f ca="1">IF(J199="","",VLOOKUP(J199,'Group code'!$Z$15:$AC$18,4,FALSE))</f>
        <v/>
      </c>
      <c r="W199" s="23" t="str">
        <f t="shared" ca="1" si="45"/>
        <v>misc_devices:</v>
      </c>
      <c r="X199" s="5" t="str">
        <f t="shared" ca="1" si="35"/>
        <v/>
      </c>
    </row>
    <row r="200" spans="2:24" x14ac:dyDescent="0.25">
      <c r="B200" s="5">
        <f t="shared" si="32"/>
        <v>194</v>
      </c>
      <c r="C200" s="5">
        <f t="shared" ca="1" si="46"/>
        <v>24</v>
      </c>
      <c r="D200" s="5" t="str">
        <f ca="1">INDEX(cards[Attribute Index],MATCH('Group code'!C200,cards[object_id order],0))</f>
        <v>1</v>
      </c>
      <c r="E200" s="5">
        <f t="shared" ca="1" si="33"/>
        <v>1</v>
      </c>
      <c r="F200" s="14">
        <f ca="1">INDEX(cards[Entities count],MATCH('Group code'!C200,cards[object_id order],0))</f>
        <v>1</v>
      </c>
      <c r="G200" s="14">
        <f t="shared" ca="1" si="36"/>
        <v>1</v>
      </c>
      <c r="H200" s="14">
        <f t="shared" ca="1" si="37"/>
        <v>1</v>
      </c>
      <c r="I200" s="5" t="str">
        <f t="shared" ca="1" si="38"/>
        <v/>
      </c>
      <c r="J200" s="5">
        <f t="shared" ca="1" si="34"/>
        <v>1</v>
      </c>
      <c r="K200" s="5" t="str">
        <f t="shared" ca="1" si="39"/>
        <v/>
      </c>
      <c r="L200" s="5">
        <f t="shared" ca="1" si="40"/>
        <v>1</v>
      </c>
      <c r="M200" s="5" t="str">
        <f t="shared" ca="1" si="41"/>
        <v/>
      </c>
      <c r="N200" s="5" t="str">
        <f t="shared" ca="1" si="42"/>
        <v/>
      </c>
      <c r="O200" s="5" t="str">
        <f t="shared" ca="1" si="43"/>
        <v/>
      </c>
      <c r="P200" s="5" t="str">
        <f ca="1">VLOOKUP(G200,'Group code'!$Z$9:$AC$13,3,FALSE)</f>
        <v/>
      </c>
      <c r="Q200" s="5" t="str">
        <f t="shared" ca="1" si="44"/>
        <v xml:space="preserve">  name: "</v>
      </c>
      <c r="R200" s="5" t="str">
        <f ca="1">IF(G200=0,INDEX(cards[object_id],MATCH($C200,cards[object_id order],0)),"")</f>
        <v/>
      </c>
      <c r="S200" s="5" t="str">
        <f ca="1">IF(G200=1,INDEX(cards[[name]:[control]],MATCH($C200,cards[object_id order],0),'Group code'!J200),"")</f>
        <v>Misc Devices</v>
      </c>
      <c r="T200" s="5" t="str">
        <f ca="1">IF(G200=3,INDEX(cards[[1]:[25]],MATCH($C200,cards[object_id order],0),'Group code'!I200),"")</f>
        <v/>
      </c>
      <c r="U200" s="5" t="str">
        <f ca="1">VLOOKUP(G200,'Group code'!$Z$9:$AC$13,4,FALSE)</f>
        <v/>
      </c>
      <c r="V200" s="5" t="str">
        <f ca="1">IF(J200="","",VLOOKUP(J200,'Group code'!$Z$15:$AC$18,4,FALSE))</f>
        <v>"</v>
      </c>
      <c r="W200" s="23" t="str">
        <f t="shared" ca="1" si="45"/>
        <v xml:space="preserve">  name: "Misc Devices"</v>
      </c>
      <c r="X200" s="5" t="str">
        <f t="shared" ca="1" si="35"/>
        <v/>
      </c>
    </row>
    <row r="201" spans="2:24" x14ac:dyDescent="0.25">
      <c r="B201" s="5">
        <f t="shared" ref="B201:B264" si="47">B200+1</f>
        <v>195</v>
      </c>
      <c r="C201" s="5">
        <f t="shared" ca="1" si="46"/>
        <v>24</v>
      </c>
      <c r="D201" s="5" t="str">
        <f ca="1">INDEX(cards[Attribute Index],MATCH('Group code'!C201,cards[object_id order],0))</f>
        <v>1</v>
      </c>
      <c r="E201" s="5">
        <f t="shared" ref="E201:E264" ca="1" si="48">LEN(D201)</f>
        <v>1</v>
      </c>
      <c r="F201" s="14">
        <f ca="1">INDEX(cards[Entities count],MATCH('Group code'!C201,cards[object_id order],0))</f>
        <v>1</v>
      </c>
      <c r="G201" s="14">
        <f t="shared" ca="1" si="36"/>
        <v>2</v>
      </c>
      <c r="H201" s="14" t="str">
        <f t="shared" ca="1" si="37"/>
        <v/>
      </c>
      <c r="I201" s="5" t="str">
        <f t="shared" ca="1" si="38"/>
        <v/>
      </c>
      <c r="J201" s="5" t="str">
        <f t="shared" ref="J201:J264" ca="1" si="49">IF(H201="","",VALUE(MID(D201,H201,1)))</f>
        <v/>
      </c>
      <c r="K201" s="5" t="str">
        <f t="shared" ca="1" si="39"/>
        <v/>
      </c>
      <c r="L201" s="5" t="str">
        <f t="shared" ca="1" si="40"/>
        <v/>
      </c>
      <c r="M201" s="5">
        <f t="shared" ca="1" si="41"/>
        <v>1</v>
      </c>
      <c r="N201" s="5" t="str">
        <f t="shared" ca="1" si="42"/>
        <v/>
      </c>
      <c r="O201" s="5" t="str">
        <f t="shared" ca="1" si="43"/>
        <v/>
      </c>
      <c r="P201" s="5" t="str">
        <f ca="1">VLOOKUP(G201,'Group code'!$Z$9:$AC$13,3,FALSE)</f>
        <v xml:space="preserve">  entities:</v>
      </c>
      <c r="Q201" s="5" t="str">
        <f t="shared" ca="1" si="44"/>
        <v/>
      </c>
      <c r="R201" s="5" t="str">
        <f ca="1">IF(G201=0,INDEX(cards[object_id],MATCH($C201,cards[object_id order],0)),"")</f>
        <v/>
      </c>
      <c r="S201" s="5" t="str">
        <f ca="1">IF(G201=1,INDEX(cards[[name]:[control]],MATCH($C201,cards[object_id order],0),'Group code'!J201),"")</f>
        <v/>
      </c>
      <c r="T201" s="5" t="str">
        <f ca="1">IF(G201=3,INDEX(cards[[1]:[25]],MATCH($C201,cards[object_id order],0),'Group code'!I201),"")</f>
        <v/>
      </c>
      <c r="U201" s="5" t="str">
        <f ca="1">VLOOKUP(G201,'Group code'!$Z$9:$AC$13,4,FALSE)</f>
        <v/>
      </c>
      <c r="V201" s="5" t="str">
        <f ca="1">IF(J201="","",VLOOKUP(J201,'Group code'!$Z$15:$AC$18,4,FALSE))</f>
        <v/>
      </c>
      <c r="W201" s="23" t="str">
        <f t="shared" ca="1" si="45"/>
        <v xml:space="preserve">  entities:</v>
      </c>
      <c r="X201" s="5" t="str">
        <f t="shared" ref="X201:X244" ca="1" si="50">IF(AND(NOT(ISNA(F201)),ISNA(F202)),"END","")</f>
        <v/>
      </c>
    </row>
    <row r="202" spans="2:24" x14ac:dyDescent="0.25">
      <c r="B202" s="5">
        <f t="shared" si="47"/>
        <v>196</v>
      </c>
      <c r="C202" s="5">
        <f t="shared" ca="1" si="46"/>
        <v>24</v>
      </c>
      <c r="D202" s="5" t="str">
        <f ca="1">INDEX(cards[Attribute Index],MATCH('Group code'!C202,cards[object_id order],0))</f>
        <v>1</v>
      </c>
      <c r="E202" s="5">
        <f t="shared" ca="1" si="48"/>
        <v>1</v>
      </c>
      <c r="F202" s="14">
        <f ca="1">INDEX(cards[Entities count],MATCH('Group code'!C202,cards[object_id order],0))</f>
        <v>1</v>
      </c>
      <c r="G202" s="14">
        <f t="shared" ref="G202:G265" ca="1" si="51">G201+SUM(K201:O201)</f>
        <v>3</v>
      </c>
      <c r="H202" s="14" t="str">
        <f t="shared" ref="H202:H265" ca="1" si="52">IF(AND(G201=0,D201&lt;&gt;""),1,IF(G202=1,H201+1,""))</f>
        <v/>
      </c>
      <c r="I202" s="5">
        <f t="shared" ref="I202:I265" ca="1" si="53">IF(G201=2,1,IF(G202=3,I201+1,""))</f>
        <v>1</v>
      </c>
      <c r="J202" s="5" t="str">
        <f t="shared" ca="1" si="49"/>
        <v/>
      </c>
      <c r="K202" s="5" t="str">
        <f t="shared" ref="K202:K265" ca="1" si="54">IF(G202=0,
IF(D202&lt;&gt;"",1,2),
"")</f>
        <v/>
      </c>
      <c r="L202" s="5" t="str">
        <f t="shared" ref="L202:L265" ca="1" si="55">IF(G202=1,
IF(E202=H202,1,0),
"")</f>
        <v/>
      </c>
      <c r="M202" s="5" t="str">
        <f t="shared" ref="M202:M265" ca="1" si="56">IF(G202=2,
1,
"")</f>
        <v/>
      </c>
      <c r="N202" s="5">
        <f t="shared" ref="N202:N265" ca="1" si="57">IF(G202=3,
IF(F202=I202,1,0),
"")</f>
        <v>1</v>
      </c>
      <c r="O202" s="5" t="str">
        <f t="shared" ref="O202:O265" ca="1" si="58">IF(G202=4,
-4,
"")</f>
        <v/>
      </c>
      <c r="P202" s="5" t="str">
        <f ca="1">VLOOKUP(G202,'Group code'!$Z$9:$AC$13,3,FALSE)</f>
        <v xml:space="preserve">    - </v>
      </c>
      <c r="Q202" s="5" t="str">
        <f t="shared" ref="Q202:Q265" ca="1" si="59">IF(J202="","",VLOOKUP(J202,$Z$15:$AC$18,3,FALSE))</f>
        <v/>
      </c>
      <c r="R202" s="5" t="str">
        <f ca="1">IF(G202=0,INDEX(cards[object_id],MATCH($C202,cards[object_id order],0)),"")</f>
        <v/>
      </c>
      <c r="S202" s="5" t="str">
        <f ca="1">IF(G202=1,INDEX(cards[[name]:[control]],MATCH($C202,cards[object_id order],0),'Group code'!J202),"")</f>
        <v/>
      </c>
      <c r="T202" s="5" t="str">
        <f ca="1">IF(G202=3,INDEX(cards[[1]:[25]],MATCH($C202,cards[object_id order],0),'Group code'!I202),"")</f>
        <v>device_tracker.gear_fit_2</v>
      </c>
      <c r="U202" s="5" t="str">
        <f ca="1">VLOOKUP(G202,'Group code'!$Z$9:$AC$13,4,FALSE)</f>
        <v/>
      </c>
      <c r="V202" s="5" t="str">
        <f ca="1">IF(J202="","",VLOOKUP(J202,'Group code'!$Z$15:$AC$18,4,FALSE))</f>
        <v/>
      </c>
      <c r="W202" s="23" t="str">
        <f t="shared" ref="W202:W265" ca="1" si="60">_xlfn.IFNA(  CONCATENATE(P202,Q202,R202,S202,T202,U202,V202),  "")</f>
        <v xml:space="preserve">    - device_tracker.gear_fit_2</v>
      </c>
      <c r="X202" s="5" t="str">
        <f t="shared" ca="1" si="50"/>
        <v/>
      </c>
    </row>
    <row r="203" spans="2:24" x14ac:dyDescent="0.25">
      <c r="B203" s="5">
        <f t="shared" si="47"/>
        <v>197</v>
      </c>
      <c r="C203" s="5">
        <f t="shared" ref="C203:C266" ca="1" si="61">IF(G202=4,C202+1,C202)</f>
        <v>24</v>
      </c>
      <c r="D203" s="5" t="str">
        <f ca="1">INDEX(cards[Attribute Index],MATCH('Group code'!C203,cards[object_id order],0))</f>
        <v>1</v>
      </c>
      <c r="E203" s="5">
        <f t="shared" ca="1" si="48"/>
        <v>1</v>
      </c>
      <c r="F203" s="14">
        <f ca="1">INDEX(cards[Entities count],MATCH('Group code'!C203,cards[object_id order],0))</f>
        <v>1</v>
      </c>
      <c r="G203" s="14">
        <f t="shared" ca="1" si="51"/>
        <v>4</v>
      </c>
      <c r="H203" s="14" t="str">
        <f t="shared" ca="1" si="52"/>
        <v/>
      </c>
      <c r="I203" s="5" t="str">
        <f t="shared" ca="1" si="53"/>
        <v/>
      </c>
      <c r="J203" s="5" t="str">
        <f t="shared" ca="1" si="49"/>
        <v/>
      </c>
      <c r="K203" s="5" t="str">
        <f t="shared" ca="1" si="54"/>
        <v/>
      </c>
      <c r="L203" s="5" t="str">
        <f t="shared" ca="1" si="55"/>
        <v/>
      </c>
      <c r="M203" s="5" t="str">
        <f t="shared" ca="1" si="56"/>
        <v/>
      </c>
      <c r="N203" s="5" t="str">
        <f t="shared" ca="1" si="57"/>
        <v/>
      </c>
      <c r="O203" s="5">
        <f t="shared" ca="1" si="58"/>
        <v>-4</v>
      </c>
      <c r="P203" s="5" t="str">
        <f ca="1">VLOOKUP(G203,'Group code'!$Z$9:$AC$13,3,FALSE)</f>
        <v/>
      </c>
      <c r="Q203" s="5" t="str">
        <f t="shared" ca="1" si="59"/>
        <v/>
      </c>
      <c r="R203" s="5" t="str">
        <f ca="1">IF(G203=0,INDEX(cards[object_id],MATCH($C203,cards[object_id order],0)),"")</f>
        <v/>
      </c>
      <c r="S203" s="5" t="str">
        <f ca="1">IF(G203=1,INDEX(cards[[name]:[control]],MATCH($C203,cards[object_id order],0),'Group code'!J203),"")</f>
        <v/>
      </c>
      <c r="T203" s="5" t="str">
        <f ca="1">IF(G203=3,INDEX(cards[[1]:[25]],MATCH($C203,cards[object_id order],0),'Group code'!I203),"")</f>
        <v/>
      </c>
      <c r="U203" s="5" t="str">
        <f ca="1">VLOOKUP(G203,'Group code'!$Z$9:$AC$13,4,FALSE)</f>
        <v/>
      </c>
      <c r="V203" s="5" t="str">
        <f ca="1">IF(J203="","",VLOOKUP(J203,'Group code'!$Z$15:$AC$18,4,FALSE))</f>
        <v/>
      </c>
      <c r="W203" s="23" t="str">
        <f t="shared" ca="1" si="60"/>
        <v/>
      </c>
      <c r="X203" s="5" t="str">
        <f t="shared" ca="1" si="50"/>
        <v/>
      </c>
    </row>
    <row r="204" spans="2:24" x14ac:dyDescent="0.25">
      <c r="B204" s="5">
        <f t="shared" si="47"/>
        <v>198</v>
      </c>
      <c r="C204" s="5">
        <f t="shared" ca="1" si="61"/>
        <v>25</v>
      </c>
      <c r="D204" s="5" t="str">
        <f ca="1">INDEX(cards[Attribute Index],MATCH('Group code'!C204,cards[object_id order],0))</f>
        <v>2</v>
      </c>
      <c r="E204" s="5">
        <f t="shared" ca="1" si="48"/>
        <v>1</v>
      </c>
      <c r="F204" s="14">
        <f ca="1">INDEX(cards[Entities count],MATCH('Group code'!C204,cards[object_id order],0))</f>
        <v>5</v>
      </c>
      <c r="G204" s="14">
        <f t="shared" ca="1" si="51"/>
        <v>0</v>
      </c>
      <c r="H204" s="14" t="str">
        <f t="shared" ca="1" si="52"/>
        <v/>
      </c>
      <c r="I204" s="5" t="str">
        <f t="shared" ca="1" si="53"/>
        <v/>
      </c>
      <c r="J204" s="5" t="str">
        <f t="shared" ca="1" si="49"/>
        <v/>
      </c>
      <c r="K204" s="5">
        <f t="shared" ca="1" si="54"/>
        <v>1</v>
      </c>
      <c r="L204" s="5" t="str">
        <f t="shared" ca="1" si="55"/>
        <v/>
      </c>
      <c r="M204" s="5" t="str">
        <f t="shared" ca="1" si="56"/>
        <v/>
      </c>
      <c r="N204" s="5" t="str">
        <f t="shared" ca="1" si="57"/>
        <v/>
      </c>
      <c r="O204" s="5" t="str">
        <f t="shared" ca="1" si="58"/>
        <v/>
      </c>
      <c r="P204" s="5" t="str">
        <f ca="1">VLOOKUP(G204,'Group code'!$Z$9:$AC$13,3,FALSE)</f>
        <v/>
      </c>
      <c r="Q204" s="5" t="str">
        <f t="shared" ca="1" si="59"/>
        <v/>
      </c>
      <c r="R204" s="5" t="str">
        <f ca="1">IF(G204=0,INDEX(cards[object_id],MATCH($C204,cards[object_id order],0)),"")</f>
        <v>default_view</v>
      </c>
      <c r="S204" s="5" t="str">
        <f ca="1">IF(G204=1,INDEX(cards[[name]:[control]],MATCH($C204,cards[object_id order],0),'Group code'!J204),"")</f>
        <v/>
      </c>
      <c r="T204" s="5" t="str">
        <f ca="1">IF(G204=3,INDEX(cards[[1]:[25]],MATCH($C204,cards[object_id order],0),'Group code'!I204),"")</f>
        <v/>
      </c>
      <c r="U204" s="5" t="str">
        <f ca="1">VLOOKUP(G204,'Group code'!$Z$9:$AC$13,4,FALSE)</f>
        <v>:</v>
      </c>
      <c r="V204" s="5" t="str">
        <f ca="1">IF(J204="","",VLOOKUP(J204,'Group code'!$Z$15:$AC$18,4,FALSE))</f>
        <v/>
      </c>
      <c r="W204" s="23" t="str">
        <f t="shared" ca="1" si="60"/>
        <v>default_view:</v>
      </c>
      <c r="X204" s="5" t="str">
        <f t="shared" ca="1" si="50"/>
        <v/>
      </c>
    </row>
    <row r="205" spans="2:24" x14ac:dyDescent="0.25">
      <c r="B205" s="5">
        <f t="shared" si="47"/>
        <v>199</v>
      </c>
      <c r="C205" s="5">
        <f t="shared" ca="1" si="61"/>
        <v>25</v>
      </c>
      <c r="D205" s="5" t="str">
        <f ca="1">INDEX(cards[Attribute Index],MATCH('Group code'!C205,cards[object_id order],0))</f>
        <v>2</v>
      </c>
      <c r="E205" s="5">
        <f t="shared" ca="1" si="48"/>
        <v>1</v>
      </c>
      <c r="F205" s="14">
        <f ca="1">INDEX(cards[Entities count],MATCH('Group code'!C205,cards[object_id order],0))</f>
        <v>5</v>
      </c>
      <c r="G205" s="14">
        <f t="shared" ca="1" si="51"/>
        <v>1</v>
      </c>
      <c r="H205" s="14">
        <f t="shared" ca="1" si="52"/>
        <v>1</v>
      </c>
      <c r="I205" s="5" t="str">
        <f t="shared" ca="1" si="53"/>
        <v/>
      </c>
      <c r="J205" s="5">
        <f t="shared" ca="1" si="49"/>
        <v>2</v>
      </c>
      <c r="K205" s="5" t="str">
        <f t="shared" ca="1" si="54"/>
        <v/>
      </c>
      <c r="L205" s="5">
        <f t="shared" ca="1" si="55"/>
        <v>1</v>
      </c>
      <c r="M205" s="5" t="str">
        <f t="shared" ca="1" si="56"/>
        <v/>
      </c>
      <c r="N205" s="5" t="str">
        <f t="shared" ca="1" si="57"/>
        <v/>
      </c>
      <c r="O205" s="5" t="str">
        <f t="shared" ca="1" si="58"/>
        <v/>
      </c>
      <c r="P205" s="5" t="str">
        <f ca="1">VLOOKUP(G205,'Group code'!$Z$9:$AC$13,3,FALSE)</f>
        <v/>
      </c>
      <c r="Q205" s="5" t="str">
        <f t="shared" ca="1" si="59"/>
        <v xml:space="preserve">  view: </v>
      </c>
      <c r="R205" s="5" t="str">
        <f ca="1">IF(G205=0,INDEX(cards[object_id],MATCH($C205,cards[object_id order],0)),"")</f>
        <v/>
      </c>
      <c r="S205" s="5" t="str">
        <f ca="1">IF(G205=1,INDEX(cards[[name]:[control]],MATCH($C205,cards[object_id order],0),'Group code'!J205),"")</f>
        <v>yes</v>
      </c>
      <c r="T205" s="5" t="str">
        <f ca="1">IF(G205=3,INDEX(cards[[1]:[25]],MATCH($C205,cards[object_id order],0),'Group code'!I205),"")</f>
        <v/>
      </c>
      <c r="U205" s="5" t="str">
        <f ca="1">VLOOKUP(G205,'Group code'!$Z$9:$AC$13,4,FALSE)</f>
        <v/>
      </c>
      <c r="V205" s="5" t="str">
        <f ca="1">IF(J205="","",VLOOKUP(J205,'Group code'!$Z$15:$AC$18,4,FALSE))</f>
        <v/>
      </c>
      <c r="W205" s="23" t="str">
        <f t="shared" ca="1" si="60"/>
        <v xml:space="preserve">  view: yes</v>
      </c>
      <c r="X205" s="5" t="str">
        <f t="shared" ca="1" si="50"/>
        <v/>
      </c>
    </row>
    <row r="206" spans="2:24" x14ac:dyDescent="0.25">
      <c r="B206" s="5">
        <f t="shared" si="47"/>
        <v>200</v>
      </c>
      <c r="C206" s="5">
        <f t="shared" ca="1" si="61"/>
        <v>25</v>
      </c>
      <c r="D206" s="5" t="str">
        <f ca="1">INDEX(cards[Attribute Index],MATCH('Group code'!C206,cards[object_id order],0))</f>
        <v>2</v>
      </c>
      <c r="E206" s="5">
        <f t="shared" ca="1" si="48"/>
        <v>1</v>
      </c>
      <c r="F206" s="14">
        <f ca="1">INDEX(cards[Entities count],MATCH('Group code'!C206,cards[object_id order],0))</f>
        <v>5</v>
      </c>
      <c r="G206" s="14">
        <f t="shared" ca="1" si="51"/>
        <v>2</v>
      </c>
      <c r="H206" s="14" t="str">
        <f t="shared" ca="1" si="52"/>
        <v/>
      </c>
      <c r="I206" s="5" t="str">
        <f t="shared" ca="1" si="53"/>
        <v/>
      </c>
      <c r="J206" s="5" t="str">
        <f t="shared" ca="1" si="49"/>
        <v/>
      </c>
      <c r="K206" s="5" t="str">
        <f t="shared" ca="1" si="54"/>
        <v/>
      </c>
      <c r="L206" s="5" t="str">
        <f t="shared" ca="1" si="55"/>
        <v/>
      </c>
      <c r="M206" s="5">
        <f t="shared" ca="1" si="56"/>
        <v>1</v>
      </c>
      <c r="N206" s="5" t="str">
        <f t="shared" ca="1" si="57"/>
        <v/>
      </c>
      <c r="O206" s="5" t="str">
        <f t="shared" ca="1" si="58"/>
        <v/>
      </c>
      <c r="P206" s="5" t="str">
        <f ca="1">VLOOKUP(G206,'Group code'!$Z$9:$AC$13,3,FALSE)</f>
        <v xml:space="preserve">  entities:</v>
      </c>
      <c r="Q206" s="5" t="str">
        <f t="shared" ca="1" si="59"/>
        <v/>
      </c>
      <c r="R206" s="5" t="str">
        <f ca="1">IF(G206=0,INDEX(cards[object_id],MATCH($C206,cards[object_id order],0)),"")</f>
        <v/>
      </c>
      <c r="S206" s="5" t="str">
        <f ca="1">IF(G206=1,INDEX(cards[[name]:[control]],MATCH($C206,cards[object_id order],0),'Group code'!J206),"")</f>
        <v/>
      </c>
      <c r="T206" s="5" t="str">
        <f ca="1">IF(G206=3,INDEX(cards[[1]:[25]],MATCH($C206,cards[object_id order],0),'Group code'!I206),"")</f>
        <v/>
      </c>
      <c r="U206" s="5" t="str">
        <f ca="1">VLOOKUP(G206,'Group code'!$Z$9:$AC$13,4,FALSE)</f>
        <v/>
      </c>
      <c r="V206" s="5" t="str">
        <f ca="1">IF(J206="","",VLOOKUP(J206,'Group code'!$Z$15:$AC$18,4,FALSE))</f>
        <v/>
      </c>
      <c r="W206" s="23" t="str">
        <f t="shared" ca="1" si="60"/>
        <v xml:space="preserve">  entities:</v>
      </c>
      <c r="X206" s="5" t="str">
        <f t="shared" ca="1" si="50"/>
        <v/>
      </c>
    </row>
    <row r="207" spans="2:24" x14ac:dyDescent="0.25">
      <c r="B207" s="5">
        <f t="shared" si="47"/>
        <v>201</v>
      </c>
      <c r="C207" s="5">
        <f t="shared" ca="1" si="61"/>
        <v>25</v>
      </c>
      <c r="D207" s="5" t="str">
        <f ca="1">INDEX(cards[Attribute Index],MATCH('Group code'!C207,cards[object_id order],0))</f>
        <v>2</v>
      </c>
      <c r="E207" s="5">
        <f t="shared" ca="1" si="48"/>
        <v>1</v>
      </c>
      <c r="F207" s="14">
        <f ca="1">INDEX(cards[Entities count],MATCH('Group code'!C207,cards[object_id order],0))</f>
        <v>5</v>
      </c>
      <c r="G207" s="14">
        <f t="shared" ca="1" si="51"/>
        <v>3</v>
      </c>
      <c r="H207" s="14" t="str">
        <f t="shared" ca="1" si="52"/>
        <v/>
      </c>
      <c r="I207" s="5">
        <f t="shared" ca="1" si="53"/>
        <v>1</v>
      </c>
      <c r="J207" s="5" t="str">
        <f t="shared" ca="1" si="49"/>
        <v/>
      </c>
      <c r="K207" s="5" t="str">
        <f t="shared" ca="1" si="54"/>
        <v/>
      </c>
      <c r="L207" s="5" t="str">
        <f t="shared" ca="1" si="55"/>
        <v/>
      </c>
      <c r="M207" s="5" t="str">
        <f t="shared" ca="1" si="56"/>
        <v/>
      </c>
      <c r="N207" s="5">
        <f t="shared" ca="1" si="57"/>
        <v>0</v>
      </c>
      <c r="O207" s="5" t="str">
        <f t="shared" ca="1" si="58"/>
        <v/>
      </c>
      <c r="P207" s="5" t="str">
        <f ca="1">VLOOKUP(G207,'Group code'!$Z$9:$AC$13,3,FALSE)</f>
        <v xml:space="preserve">    - </v>
      </c>
      <c r="Q207" s="5" t="str">
        <f t="shared" ca="1" si="59"/>
        <v/>
      </c>
      <c r="R207" s="5" t="str">
        <f ca="1">IF(G207=0,INDEX(cards[object_id],MATCH($C207,cards[object_id order],0)),"")</f>
        <v/>
      </c>
      <c r="S207" s="5" t="str">
        <f ca="1">IF(G207=1,INDEX(cards[[name]:[control]],MATCH($C207,cards[object_id order],0),'Group code'!J207),"")</f>
        <v/>
      </c>
      <c r="T207" s="5" t="str">
        <f ca="1">IF(G207=3,INDEX(cards[[1]:[25]],MATCH($C207,cards[object_id order],0),'Group code'!I207),"")</f>
        <v>group.living_room</v>
      </c>
      <c r="U207" s="5" t="str">
        <f ca="1">VLOOKUP(G207,'Group code'!$Z$9:$AC$13,4,FALSE)</f>
        <v/>
      </c>
      <c r="V207" s="5" t="str">
        <f ca="1">IF(J207="","",VLOOKUP(J207,'Group code'!$Z$15:$AC$18,4,FALSE))</f>
        <v/>
      </c>
      <c r="W207" s="23" t="str">
        <f t="shared" ca="1" si="60"/>
        <v xml:space="preserve">    - group.living_room</v>
      </c>
      <c r="X207" s="5" t="str">
        <f t="shared" ca="1" si="50"/>
        <v/>
      </c>
    </row>
    <row r="208" spans="2:24" x14ac:dyDescent="0.25">
      <c r="B208" s="5">
        <f t="shared" si="47"/>
        <v>202</v>
      </c>
      <c r="C208" s="5">
        <f t="shared" ca="1" si="61"/>
        <v>25</v>
      </c>
      <c r="D208" s="5" t="str">
        <f ca="1">INDEX(cards[Attribute Index],MATCH('Group code'!C208,cards[object_id order],0))</f>
        <v>2</v>
      </c>
      <c r="E208" s="5">
        <f t="shared" ca="1" si="48"/>
        <v>1</v>
      </c>
      <c r="F208" s="14">
        <f ca="1">INDEX(cards[Entities count],MATCH('Group code'!C208,cards[object_id order],0))</f>
        <v>5</v>
      </c>
      <c r="G208" s="14">
        <f t="shared" ca="1" si="51"/>
        <v>3</v>
      </c>
      <c r="H208" s="14" t="str">
        <f t="shared" ca="1" si="52"/>
        <v/>
      </c>
      <c r="I208" s="5">
        <f t="shared" ca="1" si="53"/>
        <v>2</v>
      </c>
      <c r="J208" s="5" t="str">
        <f t="shared" ca="1" si="49"/>
        <v/>
      </c>
      <c r="K208" s="5" t="str">
        <f t="shared" ca="1" si="54"/>
        <v/>
      </c>
      <c r="L208" s="5" t="str">
        <f t="shared" ca="1" si="55"/>
        <v/>
      </c>
      <c r="M208" s="5" t="str">
        <f t="shared" ca="1" si="56"/>
        <v/>
      </c>
      <c r="N208" s="5">
        <f t="shared" ca="1" si="57"/>
        <v>0</v>
      </c>
      <c r="O208" s="5" t="str">
        <f t="shared" ca="1" si="58"/>
        <v/>
      </c>
      <c r="P208" s="5" t="str">
        <f ca="1">VLOOKUP(G208,'Group code'!$Z$9:$AC$13,3,FALSE)</f>
        <v xml:space="preserve">    - </v>
      </c>
      <c r="Q208" s="5" t="str">
        <f t="shared" ca="1" si="59"/>
        <v/>
      </c>
      <c r="R208" s="5" t="str">
        <f ca="1">IF(G208=0,INDEX(cards[object_id],MATCH($C208,cards[object_id order],0)),"")</f>
        <v/>
      </c>
      <c r="S208" s="5" t="str">
        <f ca="1">IF(G208=1,INDEX(cards[[name]:[control]],MATCH($C208,cards[object_id order],0),'Group code'!J208),"")</f>
        <v/>
      </c>
      <c r="T208" s="5" t="str">
        <f ca="1">IF(G208=3,INDEX(cards[[1]:[25]],MATCH($C208,cards[object_id order],0),'Group code'!I208),"")</f>
        <v>group.bedroom</v>
      </c>
      <c r="U208" s="5" t="str">
        <f ca="1">VLOOKUP(G208,'Group code'!$Z$9:$AC$13,4,FALSE)</f>
        <v/>
      </c>
      <c r="V208" s="5" t="str">
        <f ca="1">IF(J208="","",VLOOKUP(J208,'Group code'!$Z$15:$AC$18,4,FALSE))</f>
        <v/>
      </c>
      <c r="W208" s="23" t="str">
        <f t="shared" ca="1" si="60"/>
        <v xml:space="preserve">    - group.bedroom</v>
      </c>
      <c r="X208" s="5" t="str">
        <f t="shared" ca="1" si="50"/>
        <v/>
      </c>
    </row>
    <row r="209" spans="2:24" x14ac:dyDescent="0.25">
      <c r="B209" s="5">
        <f t="shared" si="47"/>
        <v>203</v>
      </c>
      <c r="C209" s="5">
        <f t="shared" ca="1" si="61"/>
        <v>25</v>
      </c>
      <c r="D209" s="5" t="str">
        <f ca="1">INDEX(cards[Attribute Index],MATCH('Group code'!C209,cards[object_id order],0))</f>
        <v>2</v>
      </c>
      <c r="E209" s="5">
        <f t="shared" ca="1" si="48"/>
        <v>1</v>
      </c>
      <c r="F209" s="14">
        <f ca="1">INDEX(cards[Entities count],MATCH('Group code'!C209,cards[object_id order],0))</f>
        <v>5</v>
      </c>
      <c r="G209" s="14">
        <f t="shared" ca="1" si="51"/>
        <v>3</v>
      </c>
      <c r="H209" s="14" t="str">
        <f t="shared" ca="1" si="52"/>
        <v/>
      </c>
      <c r="I209" s="5">
        <f t="shared" ca="1" si="53"/>
        <v>3</v>
      </c>
      <c r="J209" s="5" t="str">
        <f t="shared" ca="1" si="49"/>
        <v/>
      </c>
      <c r="K209" s="5" t="str">
        <f t="shared" ca="1" si="54"/>
        <v/>
      </c>
      <c r="L209" s="5" t="str">
        <f t="shared" ca="1" si="55"/>
        <v/>
      </c>
      <c r="M209" s="5" t="str">
        <f t="shared" ca="1" si="56"/>
        <v/>
      </c>
      <c r="N209" s="5">
        <f t="shared" ca="1" si="57"/>
        <v>0</v>
      </c>
      <c r="O209" s="5" t="str">
        <f t="shared" ca="1" si="58"/>
        <v/>
      </c>
      <c r="P209" s="5" t="str">
        <f ca="1">VLOOKUP(G209,'Group code'!$Z$9:$AC$13,3,FALSE)</f>
        <v xml:space="preserve">    - </v>
      </c>
      <c r="Q209" s="5" t="str">
        <f t="shared" ca="1" si="59"/>
        <v/>
      </c>
      <c r="R209" s="5" t="str">
        <f ca="1">IF(G209=0,INDEX(cards[object_id],MATCH($C209,cards[object_id order],0)),"")</f>
        <v/>
      </c>
      <c r="S209" s="5" t="str">
        <f ca="1">IF(G209=1,INDEX(cards[[name]:[control]],MATCH($C209,cards[object_id order],0),'Group code'!J209),"")</f>
        <v/>
      </c>
      <c r="T209" s="5" t="str">
        <f ca="1">IF(G209=3,INDEX(cards[[1]:[25]],MATCH($C209,cards[object_id order],0),'Group code'!I209),"")</f>
        <v>group.alarm_clock</v>
      </c>
      <c r="U209" s="5" t="str">
        <f ca="1">VLOOKUP(G209,'Group code'!$Z$9:$AC$13,4,FALSE)</f>
        <v/>
      </c>
      <c r="V209" s="5" t="str">
        <f ca="1">IF(J209="","",VLOOKUP(J209,'Group code'!$Z$15:$AC$18,4,FALSE))</f>
        <v/>
      </c>
      <c r="W209" s="23" t="str">
        <f t="shared" ca="1" si="60"/>
        <v xml:space="preserve">    - group.alarm_clock</v>
      </c>
      <c r="X209" s="5" t="str">
        <f t="shared" ca="1" si="50"/>
        <v/>
      </c>
    </row>
    <row r="210" spans="2:24" x14ac:dyDescent="0.25">
      <c r="B210" s="5">
        <f t="shared" si="47"/>
        <v>204</v>
      </c>
      <c r="C210" s="5">
        <f t="shared" ca="1" si="61"/>
        <v>25</v>
      </c>
      <c r="D210" s="5" t="str">
        <f ca="1">INDEX(cards[Attribute Index],MATCH('Group code'!C210,cards[object_id order],0))</f>
        <v>2</v>
      </c>
      <c r="E210" s="5">
        <f t="shared" ca="1" si="48"/>
        <v>1</v>
      </c>
      <c r="F210" s="14">
        <f ca="1">INDEX(cards[Entities count],MATCH('Group code'!C210,cards[object_id order],0))</f>
        <v>5</v>
      </c>
      <c r="G210" s="14">
        <f t="shared" ca="1" si="51"/>
        <v>3</v>
      </c>
      <c r="H210" s="14" t="str">
        <f t="shared" ca="1" si="52"/>
        <v/>
      </c>
      <c r="I210" s="5">
        <f t="shared" ca="1" si="53"/>
        <v>4</v>
      </c>
      <c r="J210" s="5" t="str">
        <f t="shared" ca="1" si="49"/>
        <v/>
      </c>
      <c r="K210" s="5" t="str">
        <f t="shared" ca="1" si="54"/>
        <v/>
      </c>
      <c r="L210" s="5" t="str">
        <f t="shared" ca="1" si="55"/>
        <v/>
      </c>
      <c r="M210" s="5" t="str">
        <f t="shared" ca="1" si="56"/>
        <v/>
      </c>
      <c r="N210" s="5">
        <f t="shared" ca="1" si="57"/>
        <v>0</v>
      </c>
      <c r="O210" s="5" t="str">
        <f t="shared" ca="1" si="58"/>
        <v/>
      </c>
      <c r="P210" s="5" t="str">
        <f ca="1">VLOOKUP(G210,'Group code'!$Z$9:$AC$13,3,FALSE)</f>
        <v xml:space="preserve">    - </v>
      </c>
      <c r="Q210" s="5" t="str">
        <f t="shared" ca="1" si="59"/>
        <v/>
      </c>
      <c r="R210" s="5" t="str">
        <f ca="1">IF(G210=0,INDEX(cards[object_id],MATCH($C210,cards[object_id order],0)),"")</f>
        <v/>
      </c>
      <c r="S210" s="5" t="str">
        <f ca="1">IF(G210=1,INDEX(cards[[name]:[control]],MATCH($C210,cards[object_id order],0),'Group code'!J210),"")</f>
        <v/>
      </c>
      <c r="T210" s="5" t="str">
        <f ca="1">IF(G210=3,INDEX(cards[[1]:[25]],MATCH($C210,cards[object_id order],0),'Group code'!I210),"")</f>
        <v>group.status</v>
      </c>
      <c r="U210" s="5" t="str">
        <f ca="1">VLOOKUP(G210,'Group code'!$Z$9:$AC$13,4,FALSE)</f>
        <v/>
      </c>
      <c r="V210" s="5" t="str">
        <f ca="1">IF(J210="","",VLOOKUP(J210,'Group code'!$Z$15:$AC$18,4,FALSE))</f>
        <v/>
      </c>
      <c r="W210" s="23" t="str">
        <f t="shared" ca="1" si="60"/>
        <v xml:space="preserve">    - group.status</v>
      </c>
      <c r="X210" s="5" t="str">
        <f t="shared" ca="1" si="50"/>
        <v/>
      </c>
    </row>
    <row r="211" spans="2:24" x14ac:dyDescent="0.25">
      <c r="B211" s="5">
        <f t="shared" si="47"/>
        <v>205</v>
      </c>
      <c r="C211" s="5">
        <f t="shared" ca="1" si="61"/>
        <v>25</v>
      </c>
      <c r="D211" s="5" t="str">
        <f ca="1">INDEX(cards[Attribute Index],MATCH('Group code'!C211,cards[object_id order],0))</f>
        <v>2</v>
      </c>
      <c r="E211" s="5">
        <f t="shared" ca="1" si="48"/>
        <v>1</v>
      </c>
      <c r="F211" s="14">
        <f ca="1">INDEX(cards[Entities count],MATCH('Group code'!C211,cards[object_id order],0))</f>
        <v>5</v>
      </c>
      <c r="G211" s="14">
        <f t="shared" ca="1" si="51"/>
        <v>3</v>
      </c>
      <c r="H211" s="14" t="str">
        <f t="shared" ca="1" si="52"/>
        <v/>
      </c>
      <c r="I211" s="5">
        <f t="shared" ca="1" si="53"/>
        <v>5</v>
      </c>
      <c r="J211" s="5" t="str">
        <f t="shared" ca="1" si="49"/>
        <v/>
      </c>
      <c r="K211" s="5" t="str">
        <f t="shared" ca="1" si="54"/>
        <v/>
      </c>
      <c r="L211" s="5" t="str">
        <f t="shared" ca="1" si="55"/>
        <v/>
      </c>
      <c r="M211" s="5" t="str">
        <f t="shared" ca="1" si="56"/>
        <v/>
      </c>
      <c r="N211" s="5">
        <f t="shared" ca="1" si="57"/>
        <v>1</v>
      </c>
      <c r="O211" s="5" t="str">
        <f t="shared" ca="1" si="58"/>
        <v/>
      </c>
      <c r="P211" s="5" t="str">
        <f ca="1">VLOOKUP(G211,'Group code'!$Z$9:$AC$13,3,FALSE)</f>
        <v xml:space="preserve">    - </v>
      </c>
      <c r="Q211" s="5" t="str">
        <f t="shared" ca="1" si="59"/>
        <v/>
      </c>
      <c r="R211" s="5" t="str">
        <f ca="1">IF(G211=0,INDEX(cards[object_id],MATCH($C211,cards[object_id order],0)),"")</f>
        <v/>
      </c>
      <c r="S211" s="5" t="str">
        <f ca="1">IF(G211=1,INDEX(cards[[name]:[control]],MATCH($C211,cards[object_id order],0),'Group code'!J211),"")</f>
        <v/>
      </c>
      <c r="T211" s="5" t="str">
        <f ca="1">IF(G211=3,INDEX(cards[[1]:[25]],MATCH($C211,cards[object_id order],0),'Group code'!I211),"")</f>
        <v>media_player.living_room_tv</v>
      </c>
      <c r="U211" s="5" t="str">
        <f ca="1">VLOOKUP(G211,'Group code'!$Z$9:$AC$13,4,FALSE)</f>
        <v/>
      </c>
      <c r="V211" s="5" t="str">
        <f ca="1">IF(J211="","",VLOOKUP(J211,'Group code'!$Z$15:$AC$18,4,FALSE))</f>
        <v/>
      </c>
      <c r="W211" s="23" t="str">
        <f t="shared" ca="1" si="60"/>
        <v xml:space="preserve">    - media_player.living_room_tv</v>
      </c>
      <c r="X211" s="5" t="str">
        <f t="shared" ca="1" si="50"/>
        <v/>
      </c>
    </row>
    <row r="212" spans="2:24" x14ac:dyDescent="0.25">
      <c r="B212" s="5">
        <f t="shared" si="47"/>
        <v>206</v>
      </c>
      <c r="C212" s="5">
        <f t="shared" ca="1" si="61"/>
        <v>25</v>
      </c>
      <c r="D212" s="5" t="str">
        <f ca="1">INDEX(cards[Attribute Index],MATCH('Group code'!C212,cards[object_id order],0))</f>
        <v>2</v>
      </c>
      <c r="E212" s="5">
        <f t="shared" ca="1" si="48"/>
        <v>1</v>
      </c>
      <c r="F212" s="14">
        <f ca="1">INDEX(cards[Entities count],MATCH('Group code'!C212,cards[object_id order],0))</f>
        <v>5</v>
      </c>
      <c r="G212" s="14">
        <f t="shared" ca="1" si="51"/>
        <v>4</v>
      </c>
      <c r="H212" s="14" t="str">
        <f t="shared" ca="1" si="52"/>
        <v/>
      </c>
      <c r="I212" s="5" t="str">
        <f t="shared" ca="1" si="53"/>
        <v/>
      </c>
      <c r="J212" s="5" t="str">
        <f t="shared" ca="1" si="49"/>
        <v/>
      </c>
      <c r="K212" s="5" t="str">
        <f t="shared" ca="1" si="54"/>
        <v/>
      </c>
      <c r="L212" s="5" t="str">
        <f t="shared" ca="1" si="55"/>
        <v/>
      </c>
      <c r="M212" s="5" t="str">
        <f t="shared" ca="1" si="56"/>
        <v/>
      </c>
      <c r="N212" s="5" t="str">
        <f t="shared" ca="1" si="57"/>
        <v/>
      </c>
      <c r="O212" s="5">
        <f t="shared" ca="1" si="58"/>
        <v>-4</v>
      </c>
      <c r="P212" s="5" t="str">
        <f ca="1">VLOOKUP(G212,'Group code'!$Z$9:$AC$13,3,FALSE)</f>
        <v/>
      </c>
      <c r="Q212" s="5" t="str">
        <f t="shared" ca="1" si="59"/>
        <v/>
      </c>
      <c r="R212" s="5" t="str">
        <f ca="1">IF(G212=0,INDEX(cards[object_id],MATCH($C212,cards[object_id order],0)),"")</f>
        <v/>
      </c>
      <c r="S212" s="5" t="str">
        <f ca="1">IF(G212=1,INDEX(cards[[name]:[control]],MATCH($C212,cards[object_id order],0),'Group code'!J212),"")</f>
        <v/>
      </c>
      <c r="T212" s="5" t="str">
        <f ca="1">IF(G212=3,INDEX(cards[[1]:[25]],MATCH($C212,cards[object_id order],0),'Group code'!I212),"")</f>
        <v/>
      </c>
      <c r="U212" s="5" t="str">
        <f ca="1">VLOOKUP(G212,'Group code'!$Z$9:$AC$13,4,FALSE)</f>
        <v/>
      </c>
      <c r="V212" s="5" t="str">
        <f ca="1">IF(J212="","",VLOOKUP(J212,'Group code'!$Z$15:$AC$18,4,FALSE))</f>
        <v/>
      </c>
      <c r="W212" s="23" t="str">
        <f t="shared" ca="1" si="60"/>
        <v/>
      </c>
      <c r="X212" s="5" t="str">
        <f t="shared" ca="1" si="50"/>
        <v/>
      </c>
    </row>
    <row r="213" spans="2:24" x14ac:dyDescent="0.25">
      <c r="B213" s="5">
        <f t="shared" si="47"/>
        <v>207</v>
      </c>
      <c r="C213" s="5">
        <f t="shared" ca="1" si="61"/>
        <v>26</v>
      </c>
      <c r="D213" s="5" t="str">
        <f ca="1">INDEX(cards[Attribute Index],MATCH('Group code'!C213,cards[object_id order],0))</f>
        <v>23</v>
      </c>
      <c r="E213" s="5">
        <f t="shared" ca="1" si="48"/>
        <v>2</v>
      </c>
      <c r="F213" s="14">
        <f ca="1">INDEX(cards[Entities count],MATCH('Group code'!C213,cards[object_id order],0))</f>
        <v>3</v>
      </c>
      <c r="G213" s="14">
        <f t="shared" ca="1" si="51"/>
        <v>0</v>
      </c>
      <c r="H213" s="14" t="str">
        <f t="shared" ca="1" si="52"/>
        <v/>
      </c>
      <c r="I213" s="5" t="str">
        <f t="shared" ca="1" si="53"/>
        <v/>
      </c>
      <c r="J213" s="5" t="str">
        <f t="shared" ca="1" si="49"/>
        <v/>
      </c>
      <c r="K213" s="5">
        <f t="shared" ca="1" si="54"/>
        <v>1</v>
      </c>
      <c r="L213" s="5" t="str">
        <f t="shared" ca="1" si="55"/>
        <v/>
      </c>
      <c r="M213" s="5" t="str">
        <f t="shared" ca="1" si="56"/>
        <v/>
      </c>
      <c r="N213" s="5" t="str">
        <f t="shared" ca="1" si="57"/>
        <v/>
      </c>
      <c r="O213" s="5" t="str">
        <f t="shared" ca="1" si="58"/>
        <v/>
      </c>
      <c r="P213" s="5" t="str">
        <f ca="1">VLOOKUP(G213,'Group code'!$Z$9:$AC$13,3,FALSE)</f>
        <v/>
      </c>
      <c r="Q213" s="5" t="str">
        <f t="shared" ca="1" si="59"/>
        <v/>
      </c>
      <c r="R213" s="5" t="str">
        <f ca="1">IF(G213=0,INDEX(cards[object_id],MATCH($C213,cards[object_id order],0)),"")</f>
        <v>bedroom_view</v>
      </c>
      <c r="S213" s="5" t="str">
        <f ca="1">IF(G213=1,INDEX(cards[[name]:[control]],MATCH($C213,cards[object_id order],0),'Group code'!J213),"")</f>
        <v/>
      </c>
      <c r="T213" s="5" t="str">
        <f ca="1">IF(G213=3,INDEX(cards[[1]:[25]],MATCH($C213,cards[object_id order],0),'Group code'!I213),"")</f>
        <v/>
      </c>
      <c r="U213" s="5" t="str">
        <f ca="1">VLOOKUP(G213,'Group code'!$Z$9:$AC$13,4,FALSE)</f>
        <v>:</v>
      </c>
      <c r="V213" s="5" t="str">
        <f ca="1">IF(J213="","",VLOOKUP(J213,'Group code'!$Z$15:$AC$18,4,FALSE))</f>
        <v/>
      </c>
      <c r="W213" s="23" t="str">
        <f t="shared" ca="1" si="60"/>
        <v>bedroom_view:</v>
      </c>
      <c r="X213" s="5" t="str">
        <f t="shared" ca="1" si="50"/>
        <v/>
      </c>
    </row>
    <row r="214" spans="2:24" x14ac:dyDescent="0.25">
      <c r="B214" s="5">
        <f t="shared" si="47"/>
        <v>208</v>
      </c>
      <c r="C214" s="5">
        <f t="shared" ca="1" si="61"/>
        <v>26</v>
      </c>
      <c r="D214" s="5" t="str">
        <f ca="1">INDEX(cards[Attribute Index],MATCH('Group code'!C214,cards[object_id order],0))</f>
        <v>23</v>
      </c>
      <c r="E214" s="5">
        <f t="shared" ca="1" si="48"/>
        <v>2</v>
      </c>
      <c r="F214" s="14">
        <f ca="1">INDEX(cards[Entities count],MATCH('Group code'!C214,cards[object_id order],0))</f>
        <v>3</v>
      </c>
      <c r="G214" s="14">
        <f t="shared" ca="1" si="51"/>
        <v>1</v>
      </c>
      <c r="H214" s="14">
        <f t="shared" ca="1" si="52"/>
        <v>1</v>
      </c>
      <c r="I214" s="5" t="str">
        <f t="shared" ca="1" si="53"/>
        <v/>
      </c>
      <c r="J214" s="5">
        <f t="shared" ca="1" si="49"/>
        <v>2</v>
      </c>
      <c r="K214" s="5" t="str">
        <f t="shared" ca="1" si="54"/>
        <v/>
      </c>
      <c r="L214" s="5">
        <f t="shared" ca="1" si="55"/>
        <v>0</v>
      </c>
      <c r="M214" s="5" t="str">
        <f t="shared" ca="1" si="56"/>
        <v/>
      </c>
      <c r="N214" s="5" t="str">
        <f t="shared" ca="1" si="57"/>
        <v/>
      </c>
      <c r="O214" s="5" t="str">
        <f t="shared" ca="1" si="58"/>
        <v/>
      </c>
      <c r="P214" s="5" t="str">
        <f ca="1">VLOOKUP(G214,'Group code'!$Z$9:$AC$13,3,FALSE)</f>
        <v/>
      </c>
      <c r="Q214" s="5" t="str">
        <f t="shared" ca="1" si="59"/>
        <v xml:space="preserve">  view: </v>
      </c>
      <c r="R214" s="5" t="str">
        <f ca="1">IF(G214=0,INDEX(cards[object_id],MATCH($C214,cards[object_id order],0)),"")</f>
        <v/>
      </c>
      <c r="S214" s="5" t="str">
        <f ca="1">IF(G214=1,INDEX(cards[[name]:[control]],MATCH($C214,cards[object_id order],0),'Group code'!J214),"")</f>
        <v>yes</v>
      </c>
      <c r="T214" s="5" t="str">
        <f ca="1">IF(G214=3,INDEX(cards[[1]:[25]],MATCH($C214,cards[object_id order],0),'Group code'!I214),"")</f>
        <v/>
      </c>
      <c r="U214" s="5" t="str">
        <f ca="1">VLOOKUP(G214,'Group code'!$Z$9:$AC$13,4,FALSE)</f>
        <v/>
      </c>
      <c r="V214" s="5" t="str">
        <f ca="1">IF(J214="","",VLOOKUP(J214,'Group code'!$Z$15:$AC$18,4,FALSE))</f>
        <v/>
      </c>
      <c r="W214" s="23" t="str">
        <f t="shared" ca="1" si="60"/>
        <v xml:space="preserve">  view: yes</v>
      </c>
      <c r="X214" s="5" t="str">
        <f t="shared" ca="1" si="50"/>
        <v/>
      </c>
    </row>
    <row r="215" spans="2:24" x14ac:dyDescent="0.25">
      <c r="B215" s="5">
        <f t="shared" si="47"/>
        <v>209</v>
      </c>
      <c r="C215" s="5">
        <f t="shared" ca="1" si="61"/>
        <v>26</v>
      </c>
      <c r="D215" s="5" t="str">
        <f ca="1">INDEX(cards[Attribute Index],MATCH('Group code'!C215,cards[object_id order],0))</f>
        <v>23</v>
      </c>
      <c r="E215" s="5">
        <f t="shared" ca="1" si="48"/>
        <v>2</v>
      </c>
      <c r="F215" s="14">
        <f ca="1">INDEX(cards[Entities count],MATCH('Group code'!C215,cards[object_id order],0))</f>
        <v>3</v>
      </c>
      <c r="G215" s="14">
        <f t="shared" ca="1" si="51"/>
        <v>1</v>
      </c>
      <c r="H215" s="14">
        <f t="shared" ca="1" si="52"/>
        <v>2</v>
      </c>
      <c r="I215" s="5" t="str">
        <f t="shared" ca="1" si="53"/>
        <v/>
      </c>
      <c r="J215" s="5">
        <f t="shared" ca="1" si="49"/>
        <v>3</v>
      </c>
      <c r="K215" s="5" t="str">
        <f t="shared" ca="1" si="54"/>
        <v/>
      </c>
      <c r="L215" s="5">
        <f t="shared" ca="1" si="55"/>
        <v>1</v>
      </c>
      <c r="M215" s="5" t="str">
        <f t="shared" ca="1" si="56"/>
        <v/>
      </c>
      <c r="N215" s="5" t="str">
        <f t="shared" ca="1" si="57"/>
        <v/>
      </c>
      <c r="O215" s="5" t="str">
        <f t="shared" ca="1" si="58"/>
        <v/>
      </c>
      <c r="P215" s="5" t="str">
        <f ca="1">VLOOKUP(G215,'Group code'!$Z$9:$AC$13,3,FALSE)</f>
        <v/>
      </c>
      <c r="Q215" s="5" t="str">
        <f t="shared" ca="1" si="59"/>
        <v xml:space="preserve">  icon: </v>
      </c>
      <c r="R215" s="5" t="str">
        <f ca="1">IF(G215=0,INDEX(cards[object_id],MATCH($C215,cards[object_id order],0)),"")</f>
        <v/>
      </c>
      <c r="S215" s="5" t="str">
        <f ca="1">IF(G215=1,INDEX(cards[[name]:[control]],MATCH($C215,cards[object_id order],0),'Group code'!J215),"")</f>
        <v>mdi:hotel</v>
      </c>
      <c r="T215" s="5" t="str">
        <f ca="1">IF(G215=3,INDEX(cards[[1]:[25]],MATCH($C215,cards[object_id order],0),'Group code'!I215),"")</f>
        <v/>
      </c>
      <c r="U215" s="5" t="str">
        <f ca="1">VLOOKUP(G215,'Group code'!$Z$9:$AC$13,4,FALSE)</f>
        <v/>
      </c>
      <c r="V215" s="5" t="str">
        <f ca="1">IF(J215="","",VLOOKUP(J215,'Group code'!$Z$15:$AC$18,4,FALSE))</f>
        <v/>
      </c>
      <c r="W215" s="23" t="str">
        <f t="shared" ca="1" si="60"/>
        <v xml:space="preserve">  icon: mdi:hotel</v>
      </c>
      <c r="X215" s="5" t="str">
        <f t="shared" ca="1" si="50"/>
        <v/>
      </c>
    </row>
    <row r="216" spans="2:24" x14ac:dyDescent="0.25">
      <c r="B216" s="5">
        <f t="shared" si="47"/>
        <v>210</v>
      </c>
      <c r="C216" s="5">
        <f t="shared" ca="1" si="61"/>
        <v>26</v>
      </c>
      <c r="D216" s="5" t="str">
        <f ca="1">INDEX(cards[Attribute Index],MATCH('Group code'!C216,cards[object_id order],0))</f>
        <v>23</v>
      </c>
      <c r="E216" s="5">
        <f t="shared" ca="1" si="48"/>
        <v>2</v>
      </c>
      <c r="F216" s="14">
        <f ca="1">INDEX(cards[Entities count],MATCH('Group code'!C216,cards[object_id order],0))</f>
        <v>3</v>
      </c>
      <c r="G216" s="14">
        <f t="shared" ca="1" si="51"/>
        <v>2</v>
      </c>
      <c r="H216" s="14" t="str">
        <f t="shared" ca="1" si="52"/>
        <v/>
      </c>
      <c r="I216" s="5" t="str">
        <f t="shared" ca="1" si="53"/>
        <v/>
      </c>
      <c r="J216" s="5" t="str">
        <f t="shared" ca="1" si="49"/>
        <v/>
      </c>
      <c r="K216" s="5" t="str">
        <f t="shared" ca="1" si="54"/>
        <v/>
      </c>
      <c r="L216" s="5" t="str">
        <f t="shared" ca="1" si="55"/>
        <v/>
      </c>
      <c r="M216" s="5">
        <f t="shared" ca="1" si="56"/>
        <v>1</v>
      </c>
      <c r="N216" s="5" t="str">
        <f t="shared" ca="1" si="57"/>
        <v/>
      </c>
      <c r="O216" s="5" t="str">
        <f t="shared" ca="1" si="58"/>
        <v/>
      </c>
      <c r="P216" s="5" t="str">
        <f ca="1">VLOOKUP(G216,'Group code'!$Z$9:$AC$13,3,FALSE)</f>
        <v xml:space="preserve">  entities:</v>
      </c>
      <c r="Q216" s="5" t="str">
        <f t="shared" ca="1" si="59"/>
        <v/>
      </c>
      <c r="R216" s="5" t="str">
        <f ca="1">IF(G216=0,INDEX(cards[object_id],MATCH($C216,cards[object_id order],0)),"")</f>
        <v/>
      </c>
      <c r="S216" s="5" t="str">
        <f ca="1">IF(G216=1,INDEX(cards[[name]:[control]],MATCH($C216,cards[object_id order],0),'Group code'!J216),"")</f>
        <v/>
      </c>
      <c r="T216" s="5" t="str">
        <f ca="1">IF(G216=3,INDEX(cards[[1]:[25]],MATCH($C216,cards[object_id order],0),'Group code'!I216),"")</f>
        <v/>
      </c>
      <c r="U216" s="5" t="str">
        <f ca="1">VLOOKUP(G216,'Group code'!$Z$9:$AC$13,4,FALSE)</f>
        <v/>
      </c>
      <c r="V216" s="5" t="str">
        <f ca="1">IF(J216="","",VLOOKUP(J216,'Group code'!$Z$15:$AC$18,4,FALSE))</f>
        <v/>
      </c>
      <c r="W216" s="23" t="str">
        <f t="shared" ca="1" si="60"/>
        <v xml:space="preserve">  entities:</v>
      </c>
      <c r="X216" s="5" t="str">
        <f t="shared" ca="1" si="50"/>
        <v/>
      </c>
    </row>
    <row r="217" spans="2:24" x14ac:dyDescent="0.25">
      <c r="B217" s="5">
        <f t="shared" si="47"/>
        <v>211</v>
      </c>
      <c r="C217" s="5">
        <f t="shared" ca="1" si="61"/>
        <v>26</v>
      </c>
      <c r="D217" s="5" t="str">
        <f ca="1">INDEX(cards[Attribute Index],MATCH('Group code'!C217,cards[object_id order],0))</f>
        <v>23</v>
      </c>
      <c r="E217" s="5">
        <f t="shared" ca="1" si="48"/>
        <v>2</v>
      </c>
      <c r="F217" s="14">
        <f ca="1">INDEX(cards[Entities count],MATCH('Group code'!C217,cards[object_id order],0))</f>
        <v>3</v>
      </c>
      <c r="G217" s="14">
        <f t="shared" ca="1" si="51"/>
        <v>3</v>
      </c>
      <c r="H217" s="14" t="str">
        <f t="shared" ca="1" si="52"/>
        <v/>
      </c>
      <c r="I217" s="5">
        <f t="shared" ca="1" si="53"/>
        <v>1</v>
      </c>
      <c r="J217" s="5" t="str">
        <f t="shared" ca="1" si="49"/>
        <v/>
      </c>
      <c r="K217" s="5" t="str">
        <f t="shared" ca="1" si="54"/>
        <v/>
      </c>
      <c r="L217" s="5" t="str">
        <f t="shared" ca="1" si="55"/>
        <v/>
      </c>
      <c r="M217" s="5" t="str">
        <f t="shared" ca="1" si="56"/>
        <v/>
      </c>
      <c r="N217" s="5">
        <f t="shared" ca="1" si="57"/>
        <v>0</v>
      </c>
      <c r="O217" s="5" t="str">
        <f t="shared" ca="1" si="58"/>
        <v/>
      </c>
      <c r="P217" s="5" t="str">
        <f ca="1">VLOOKUP(G217,'Group code'!$Z$9:$AC$13,3,FALSE)</f>
        <v xml:space="preserve">    - </v>
      </c>
      <c r="Q217" s="5" t="str">
        <f t="shared" ca="1" si="59"/>
        <v/>
      </c>
      <c r="R217" s="5" t="str">
        <f ca="1">IF(G217=0,INDEX(cards[object_id],MATCH($C217,cards[object_id order],0)),"")</f>
        <v/>
      </c>
      <c r="S217" s="5" t="str">
        <f ca="1">IF(G217=1,INDEX(cards[[name]:[control]],MATCH($C217,cards[object_id order],0),'Group code'!J217),"")</f>
        <v/>
      </c>
      <c r="T217" s="5" t="str">
        <f ca="1">IF(G217=3,INDEX(cards[[1]:[25]],MATCH($C217,cards[object_id order],0),'Group code'!I217),"")</f>
        <v>group.bedroom</v>
      </c>
      <c r="U217" s="5" t="str">
        <f ca="1">VLOOKUP(G217,'Group code'!$Z$9:$AC$13,4,FALSE)</f>
        <v/>
      </c>
      <c r="V217" s="5" t="str">
        <f ca="1">IF(J217="","",VLOOKUP(J217,'Group code'!$Z$15:$AC$18,4,FALSE))</f>
        <v/>
      </c>
      <c r="W217" s="23" t="str">
        <f t="shared" ca="1" si="60"/>
        <v xml:space="preserve">    - group.bedroom</v>
      </c>
      <c r="X217" s="5" t="str">
        <f t="shared" ca="1" si="50"/>
        <v/>
      </c>
    </row>
    <row r="218" spans="2:24" x14ac:dyDescent="0.25">
      <c r="B218" s="5">
        <f t="shared" si="47"/>
        <v>212</v>
      </c>
      <c r="C218" s="5">
        <f t="shared" ca="1" si="61"/>
        <v>26</v>
      </c>
      <c r="D218" s="5" t="str">
        <f ca="1">INDEX(cards[Attribute Index],MATCH('Group code'!C218,cards[object_id order],0))</f>
        <v>23</v>
      </c>
      <c r="E218" s="5">
        <f t="shared" ca="1" si="48"/>
        <v>2</v>
      </c>
      <c r="F218" s="14">
        <f ca="1">INDEX(cards[Entities count],MATCH('Group code'!C218,cards[object_id order],0))</f>
        <v>3</v>
      </c>
      <c r="G218" s="14">
        <f t="shared" ca="1" si="51"/>
        <v>3</v>
      </c>
      <c r="H218" s="14" t="str">
        <f t="shared" ca="1" si="52"/>
        <v/>
      </c>
      <c r="I218" s="5">
        <f t="shared" ca="1" si="53"/>
        <v>2</v>
      </c>
      <c r="J218" s="5" t="str">
        <f t="shared" ca="1" si="49"/>
        <v/>
      </c>
      <c r="K218" s="5" t="str">
        <f t="shared" ca="1" si="54"/>
        <v/>
      </c>
      <c r="L218" s="5" t="str">
        <f t="shared" ca="1" si="55"/>
        <v/>
      </c>
      <c r="M218" s="5" t="str">
        <f t="shared" ca="1" si="56"/>
        <v/>
      </c>
      <c r="N218" s="5">
        <f t="shared" ca="1" si="57"/>
        <v>0</v>
      </c>
      <c r="O218" s="5" t="str">
        <f t="shared" ca="1" si="58"/>
        <v/>
      </c>
      <c r="P218" s="5" t="str">
        <f ca="1">VLOOKUP(G218,'Group code'!$Z$9:$AC$13,3,FALSE)</f>
        <v xml:space="preserve">    - </v>
      </c>
      <c r="Q218" s="5" t="str">
        <f t="shared" ca="1" si="59"/>
        <v/>
      </c>
      <c r="R218" s="5" t="str">
        <f ca="1">IF(G218=0,INDEX(cards[object_id],MATCH($C218,cards[object_id order],0)),"")</f>
        <v/>
      </c>
      <c r="S218" s="5" t="str">
        <f ca="1">IF(G218=1,INDEX(cards[[name]:[control]],MATCH($C218,cards[object_id order],0),'Group code'!J218),"")</f>
        <v/>
      </c>
      <c r="T218" s="5" t="str">
        <f ca="1">IF(G218=3,INDEX(cards[[1]:[25]],MATCH($C218,cards[object_id order],0),'Group code'!I218),"")</f>
        <v>group.alarm_clock</v>
      </c>
      <c r="U218" s="5" t="str">
        <f ca="1">VLOOKUP(G218,'Group code'!$Z$9:$AC$13,4,FALSE)</f>
        <v/>
      </c>
      <c r="V218" s="5" t="str">
        <f ca="1">IF(J218="","",VLOOKUP(J218,'Group code'!$Z$15:$AC$18,4,FALSE))</f>
        <v/>
      </c>
      <c r="W218" s="23" t="str">
        <f t="shared" ca="1" si="60"/>
        <v xml:space="preserve">    - group.alarm_clock</v>
      </c>
      <c r="X218" s="5" t="str">
        <f t="shared" ca="1" si="50"/>
        <v/>
      </c>
    </row>
    <row r="219" spans="2:24" x14ac:dyDescent="0.25">
      <c r="B219" s="5">
        <f t="shared" si="47"/>
        <v>213</v>
      </c>
      <c r="C219" s="5">
        <f t="shared" ca="1" si="61"/>
        <v>26</v>
      </c>
      <c r="D219" s="5" t="str">
        <f ca="1">INDEX(cards[Attribute Index],MATCH('Group code'!C219,cards[object_id order],0))</f>
        <v>23</v>
      </c>
      <c r="E219" s="5">
        <f t="shared" ca="1" si="48"/>
        <v>2</v>
      </c>
      <c r="F219" s="14">
        <f ca="1">INDEX(cards[Entities count],MATCH('Group code'!C219,cards[object_id order],0))</f>
        <v>3</v>
      </c>
      <c r="G219" s="14">
        <f t="shared" ca="1" si="51"/>
        <v>3</v>
      </c>
      <c r="H219" s="14" t="str">
        <f t="shared" ca="1" si="52"/>
        <v/>
      </c>
      <c r="I219" s="5">
        <f t="shared" ca="1" si="53"/>
        <v>3</v>
      </c>
      <c r="J219" s="5" t="str">
        <f t="shared" ca="1" si="49"/>
        <v/>
      </c>
      <c r="K219" s="5" t="str">
        <f t="shared" ca="1" si="54"/>
        <v/>
      </c>
      <c r="L219" s="5" t="str">
        <f t="shared" ca="1" si="55"/>
        <v/>
      </c>
      <c r="M219" s="5" t="str">
        <f t="shared" ca="1" si="56"/>
        <v/>
      </c>
      <c r="N219" s="5">
        <f t="shared" ca="1" si="57"/>
        <v>1</v>
      </c>
      <c r="O219" s="5" t="str">
        <f t="shared" ca="1" si="58"/>
        <v/>
      </c>
      <c r="P219" s="5" t="str">
        <f ca="1">VLOOKUP(G219,'Group code'!$Z$9:$AC$13,3,FALSE)</f>
        <v xml:space="preserve">    - </v>
      </c>
      <c r="Q219" s="5" t="str">
        <f t="shared" ca="1" si="59"/>
        <v/>
      </c>
      <c r="R219" s="5" t="str">
        <f ca="1">IF(G219=0,INDEX(cards[object_id],MATCH($C219,cards[object_id order],0)),"")</f>
        <v/>
      </c>
      <c r="S219" s="5" t="str">
        <f ca="1">IF(G219=1,INDEX(cards[[name]:[control]],MATCH($C219,cards[object_id order],0),'Group code'!J219),"")</f>
        <v/>
      </c>
      <c r="T219" s="5" t="str">
        <f ca="1">IF(G219=3,INDEX(cards[[1]:[25]],MATCH($C219,cards[object_id order],0),'Group code'!I219),"")</f>
        <v>group.bedroom_devices</v>
      </c>
      <c r="U219" s="5" t="str">
        <f ca="1">VLOOKUP(G219,'Group code'!$Z$9:$AC$13,4,FALSE)</f>
        <v/>
      </c>
      <c r="V219" s="5" t="str">
        <f ca="1">IF(J219="","",VLOOKUP(J219,'Group code'!$Z$15:$AC$18,4,FALSE))</f>
        <v/>
      </c>
      <c r="W219" s="23" t="str">
        <f t="shared" ca="1" si="60"/>
        <v xml:space="preserve">    - group.bedroom_devices</v>
      </c>
      <c r="X219" s="5" t="str">
        <f t="shared" ca="1" si="50"/>
        <v/>
      </c>
    </row>
    <row r="220" spans="2:24" x14ac:dyDescent="0.25">
      <c r="B220" s="5">
        <f t="shared" si="47"/>
        <v>214</v>
      </c>
      <c r="C220" s="5">
        <f t="shared" ca="1" si="61"/>
        <v>26</v>
      </c>
      <c r="D220" s="5" t="str">
        <f ca="1">INDEX(cards[Attribute Index],MATCH('Group code'!C220,cards[object_id order],0))</f>
        <v>23</v>
      </c>
      <c r="E220" s="5">
        <f t="shared" ca="1" si="48"/>
        <v>2</v>
      </c>
      <c r="F220" s="14">
        <f ca="1">INDEX(cards[Entities count],MATCH('Group code'!C220,cards[object_id order],0))</f>
        <v>3</v>
      </c>
      <c r="G220" s="14">
        <f t="shared" ca="1" si="51"/>
        <v>4</v>
      </c>
      <c r="H220" s="14" t="str">
        <f t="shared" ca="1" si="52"/>
        <v/>
      </c>
      <c r="I220" s="5" t="str">
        <f t="shared" ca="1" si="53"/>
        <v/>
      </c>
      <c r="J220" s="5" t="str">
        <f t="shared" ca="1" si="49"/>
        <v/>
      </c>
      <c r="K220" s="5" t="str">
        <f t="shared" ca="1" si="54"/>
        <v/>
      </c>
      <c r="L220" s="5" t="str">
        <f t="shared" ca="1" si="55"/>
        <v/>
      </c>
      <c r="M220" s="5" t="str">
        <f t="shared" ca="1" si="56"/>
        <v/>
      </c>
      <c r="N220" s="5" t="str">
        <f t="shared" ca="1" si="57"/>
        <v/>
      </c>
      <c r="O220" s="5">
        <f t="shared" ca="1" si="58"/>
        <v>-4</v>
      </c>
      <c r="P220" s="5" t="str">
        <f ca="1">VLOOKUP(G220,'Group code'!$Z$9:$AC$13,3,FALSE)</f>
        <v/>
      </c>
      <c r="Q220" s="5" t="str">
        <f t="shared" ca="1" si="59"/>
        <v/>
      </c>
      <c r="R220" s="5" t="str">
        <f ca="1">IF(G220=0,INDEX(cards[object_id],MATCH($C220,cards[object_id order],0)),"")</f>
        <v/>
      </c>
      <c r="S220" s="5" t="str">
        <f ca="1">IF(G220=1,INDEX(cards[[name]:[control]],MATCH($C220,cards[object_id order],0),'Group code'!J220),"")</f>
        <v/>
      </c>
      <c r="T220" s="5" t="str">
        <f ca="1">IF(G220=3,INDEX(cards[[1]:[25]],MATCH($C220,cards[object_id order],0),'Group code'!I220),"")</f>
        <v/>
      </c>
      <c r="U220" s="5" t="str">
        <f ca="1">VLOOKUP(G220,'Group code'!$Z$9:$AC$13,4,FALSE)</f>
        <v/>
      </c>
      <c r="V220" s="5" t="str">
        <f ca="1">IF(J220="","",VLOOKUP(J220,'Group code'!$Z$15:$AC$18,4,FALSE))</f>
        <v/>
      </c>
      <c r="W220" s="23" t="str">
        <f t="shared" ca="1" si="60"/>
        <v/>
      </c>
      <c r="X220" s="5" t="str">
        <f t="shared" ca="1" si="50"/>
        <v/>
      </c>
    </row>
    <row r="221" spans="2:24" x14ac:dyDescent="0.25">
      <c r="B221" s="5">
        <f t="shared" si="47"/>
        <v>215</v>
      </c>
      <c r="C221" s="5">
        <f t="shared" ca="1" si="61"/>
        <v>27</v>
      </c>
      <c r="D221" s="5" t="str">
        <f ca="1">INDEX(cards[Attribute Index],MATCH('Group code'!C221,cards[object_id order],0))</f>
        <v>23</v>
      </c>
      <c r="E221" s="5">
        <f t="shared" ca="1" si="48"/>
        <v>2</v>
      </c>
      <c r="F221" s="14">
        <f ca="1">INDEX(cards[Entities count],MATCH('Group code'!C221,cards[object_id order],0))</f>
        <v>2</v>
      </c>
      <c r="G221" s="14">
        <f t="shared" ca="1" si="51"/>
        <v>0</v>
      </c>
      <c r="H221" s="14" t="str">
        <f t="shared" ca="1" si="52"/>
        <v/>
      </c>
      <c r="I221" s="5" t="str">
        <f t="shared" ca="1" si="53"/>
        <v/>
      </c>
      <c r="J221" s="5" t="str">
        <f t="shared" ca="1" si="49"/>
        <v/>
      </c>
      <c r="K221" s="5">
        <f t="shared" ca="1" si="54"/>
        <v>1</v>
      </c>
      <c r="L221" s="5" t="str">
        <f t="shared" ca="1" si="55"/>
        <v/>
      </c>
      <c r="M221" s="5" t="str">
        <f t="shared" ca="1" si="56"/>
        <v/>
      </c>
      <c r="N221" s="5" t="str">
        <f t="shared" ca="1" si="57"/>
        <v/>
      </c>
      <c r="O221" s="5" t="str">
        <f t="shared" ca="1" si="58"/>
        <v/>
      </c>
      <c r="P221" s="5" t="str">
        <f ca="1">VLOOKUP(G221,'Group code'!$Z$9:$AC$13,3,FALSE)</f>
        <v/>
      </c>
      <c r="Q221" s="5" t="str">
        <f t="shared" ca="1" si="59"/>
        <v/>
      </c>
      <c r="R221" s="5" t="str">
        <f ca="1">IF(G221=0,INDEX(cards[object_id],MATCH($C221,cards[object_id order],0)),"")</f>
        <v>living_room_view</v>
      </c>
      <c r="S221" s="5" t="str">
        <f ca="1">IF(G221=1,INDEX(cards[[name]:[control]],MATCH($C221,cards[object_id order],0),'Group code'!J221),"")</f>
        <v/>
      </c>
      <c r="T221" s="5" t="str">
        <f ca="1">IF(G221=3,INDEX(cards[[1]:[25]],MATCH($C221,cards[object_id order],0),'Group code'!I221),"")</f>
        <v/>
      </c>
      <c r="U221" s="5" t="str">
        <f ca="1">VLOOKUP(G221,'Group code'!$Z$9:$AC$13,4,FALSE)</f>
        <v>:</v>
      </c>
      <c r="V221" s="5" t="str">
        <f ca="1">IF(J221="","",VLOOKUP(J221,'Group code'!$Z$15:$AC$18,4,FALSE))</f>
        <v/>
      </c>
      <c r="W221" s="23" t="str">
        <f t="shared" ca="1" si="60"/>
        <v>living_room_view:</v>
      </c>
      <c r="X221" s="5" t="str">
        <f t="shared" ca="1" si="50"/>
        <v/>
      </c>
    </row>
    <row r="222" spans="2:24" x14ac:dyDescent="0.25">
      <c r="B222" s="5">
        <f t="shared" si="47"/>
        <v>216</v>
      </c>
      <c r="C222" s="5">
        <f t="shared" ca="1" si="61"/>
        <v>27</v>
      </c>
      <c r="D222" s="5" t="str">
        <f ca="1">INDEX(cards[Attribute Index],MATCH('Group code'!C222,cards[object_id order],0))</f>
        <v>23</v>
      </c>
      <c r="E222" s="5">
        <f t="shared" ca="1" si="48"/>
        <v>2</v>
      </c>
      <c r="F222" s="14">
        <f ca="1">INDEX(cards[Entities count],MATCH('Group code'!C222,cards[object_id order],0))</f>
        <v>2</v>
      </c>
      <c r="G222" s="14">
        <f t="shared" ca="1" si="51"/>
        <v>1</v>
      </c>
      <c r="H222" s="14">
        <f t="shared" ca="1" si="52"/>
        <v>1</v>
      </c>
      <c r="I222" s="5" t="str">
        <f t="shared" ca="1" si="53"/>
        <v/>
      </c>
      <c r="J222" s="5">
        <f t="shared" ca="1" si="49"/>
        <v>2</v>
      </c>
      <c r="K222" s="5" t="str">
        <f t="shared" ca="1" si="54"/>
        <v/>
      </c>
      <c r="L222" s="5">
        <f t="shared" ca="1" si="55"/>
        <v>0</v>
      </c>
      <c r="M222" s="5" t="str">
        <f t="shared" ca="1" si="56"/>
        <v/>
      </c>
      <c r="N222" s="5" t="str">
        <f t="shared" ca="1" si="57"/>
        <v/>
      </c>
      <c r="O222" s="5" t="str">
        <f t="shared" ca="1" si="58"/>
        <v/>
      </c>
      <c r="P222" s="5" t="str">
        <f ca="1">VLOOKUP(G222,'Group code'!$Z$9:$AC$13,3,FALSE)</f>
        <v/>
      </c>
      <c r="Q222" s="5" t="str">
        <f t="shared" ca="1" si="59"/>
        <v xml:space="preserve">  view: </v>
      </c>
      <c r="R222" s="5" t="str">
        <f ca="1">IF(G222=0,INDEX(cards[object_id],MATCH($C222,cards[object_id order],0)),"")</f>
        <v/>
      </c>
      <c r="S222" s="5" t="str">
        <f ca="1">IF(G222=1,INDEX(cards[[name]:[control]],MATCH($C222,cards[object_id order],0),'Group code'!J222),"")</f>
        <v>yes</v>
      </c>
      <c r="T222" s="5" t="str">
        <f ca="1">IF(G222=3,INDEX(cards[[1]:[25]],MATCH($C222,cards[object_id order],0),'Group code'!I222),"")</f>
        <v/>
      </c>
      <c r="U222" s="5" t="str">
        <f ca="1">VLOOKUP(G222,'Group code'!$Z$9:$AC$13,4,FALSE)</f>
        <v/>
      </c>
      <c r="V222" s="5" t="str">
        <f ca="1">IF(J222="","",VLOOKUP(J222,'Group code'!$Z$15:$AC$18,4,FALSE))</f>
        <v/>
      </c>
      <c r="W222" s="23" t="str">
        <f t="shared" ca="1" si="60"/>
        <v xml:space="preserve">  view: yes</v>
      </c>
      <c r="X222" s="5" t="str">
        <f t="shared" ca="1" si="50"/>
        <v/>
      </c>
    </row>
    <row r="223" spans="2:24" x14ac:dyDescent="0.25">
      <c r="B223" s="5">
        <f t="shared" si="47"/>
        <v>217</v>
      </c>
      <c r="C223" s="5">
        <f t="shared" ca="1" si="61"/>
        <v>27</v>
      </c>
      <c r="D223" s="5" t="str">
        <f ca="1">INDEX(cards[Attribute Index],MATCH('Group code'!C223,cards[object_id order],0))</f>
        <v>23</v>
      </c>
      <c r="E223" s="5">
        <f t="shared" ca="1" si="48"/>
        <v>2</v>
      </c>
      <c r="F223" s="14">
        <f ca="1">INDEX(cards[Entities count],MATCH('Group code'!C223,cards[object_id order],0))</f>
        <v>2</v>
      </c>
      <c r="G223" s="14">
        <f t="shared" ca="1" si="51"/>
        <v>1</v>
      </c>
      <c r="H223" s="14">
        <f t="shared" ca="1" si="52"/>
        <v>2</v>
      </c>
      <c r="I223" s="5" t="str">
        <f t="shared" ca="1" si="53"/>
        <v/>
      </c>
      <c r="J223" s="5">
        <f t="shared" ca="1" si="49"/>
        <v>3</v>
      </c>
      <c r="K223" s="5" t="str">
        <f t="shared" ca="1" si="54"/>
        <v/>
      </c>
      <c r="L223" s="5">
        <f t="shared" ca="1" si="55"/>
        <v>1</v>
      </c>
      <c r="M223" s="5" t="str">
        <f t="shared" ca="1" si="56"/>
        <v/>
      </c>
      <c r="N223" s="5" t="str">
        <f t="shared" ca="1" si="57"/>
        <v/>
      </c>
      <c r="O223" s="5" t="str">
        <f t="shared" ca="1" si="58"/>
        <v/>
      </c>
      <c r="P223" s="5" t="str">
        <f ca="1">VLOOKUP(G223,'Group code'!$Z$9:$AC$13,3,FALSE)</f>
        <v/>
      </c>
      <c r="Q223" s="5" t="str">
        <f t="shared" ca="1" si="59"/>
        <v xml:space="preserve">  icon: </v>
      </c>
      <c r="R223" s="5" t="str">
        <f ca="1">IF(G223=0,INDEX(cards[object_id],MATCH($C223,cards[object_id order],0)),"")</f>
        <v/>
      </c>
      <c r="S223" s="5" t="str">
        <f ca="1">IF(G223=1,INDEX(cards[[name]:[control]],MATCH($C223,cards[object_id order],0),'Group code'!J223),"")</f>
        <v>mdi:sofa</v>
      </c>
      <c r="T223" s="5" t="str">
        <f ca="1">IF(G223=3,INDEX(cards[[1]:[25]],MATCH($C223,cards[object_id order],0),'Group code'!I223),"")</f>
        <v/>
      </c>
      <c r="U223" s="5" t="str">
        <f ca="1">VLOOKUP(G223,'Group code'!$Z$9:$AC$13,4,FALSE)</f>
        <v/>
      </c>
      <c r="V223" s="5" t="str">
        <f ca="1">IF(J223="","",VLOOKUP(J223,'Group code'!$Z$15:$AC$18,4,FALSE))</f>
        <v/>
      </c>
      <c r="W223" s="23" t="str">
        <f t="shared" ca="1" si="60"/>
        <v xml:space="preserve">  icon: mdi:sofa</v>
      </c>
      <c r="X223" s="5" t="str">
        <f t="shared" ca="1" si="50"/>
        <v/>
      </c>
    </row>
    <row r="224" spans="2:24" x14ac:dyDescent="0.25">
      <c r="B224" s="5">
        <f t="shared" si="47"/>
        <v>218</v>
      </c>
      <c r="C224" s="5">
        <f t="shared" ca="1" si="61"/>
        <v>27</v>
      </c>
      <c r="D224" s="5" t="str">
        <f ca="1">INDEX(cards[Attribute Index],MATCH('Group code'!C224,cards[object_id order],0))</f>
        <v>23</v>
      </c>
      <c r="E224" s="5">
        <f t="shared" ca="1" si="48"/>
        <v>2</v>
      </c>
      <c r="F224" s="14">
        <f ca="1">INDEX(cards[Entities count],MATCH('Group code'!C224,cards[object_id order],0))</f>
        <v>2</v>
      </c>
      <c r="G224" s="14">
        <f t="shared" ca="1" si="51"/>
        <v>2</v>
      </c>
      <c r="H224" s="14" t="str">
        <f t="shared" ca="1" si="52"/>
        <v/>
      </c>
      <c r="I224" s="5" t="str">
        <f t="shared" ca="1" si="53"/>
        <v/>
      </c>
      <c r="J224" s="5" t="str">
        <f t="shared" ca="1" si="49"/>
        <v/>
      </c>
      <c r="K224" s="5" t="str">
        <f t="shared" ca="1" si="54"/>
        <v/>
      </c>
      <c r="L224" s="5" t="str">
        <f t="shared" ca="1" si="55"/>
        <v/>
      </c>
      <c r="M224" s="5">
        <f t="shared" ca="1" si="56"/>
        <v>1</v>
      </c>
      <c r="N224" s="5" t="str">
        <f t="shared" ca="1" si="57"/>
        <v/>
      </c>
      <c r="O224" s="5" t="str">
        <f t="shared" ca="1" si="58"/>
        <v/>
      </c>
      <c r="P224" s="5" t="str">
        <f ca="1">VLOOKUP(G224,'Group code'!$Z$9:$AC$13,3,FALSE)</f>
        <v xml:space="preserve">  entities:</v>
      </c>
      <c r="Q224" s="5" t="str">
        <f t="shared" ca="1" si="59"/>
        <v/>
      </c>
      <c r="R224" s="5" t="str">
        <f ca="1">IF(G224=0,INDEX(cards[object_id],MATCH($C224,cards[object_id order],0)),"")</f>
        <v/>
      </c>
      <c r="S224" s="5" t="str">
        <f ca="1">IF(G224=1,INDEX(cards[[name]:[control]],MATCH($C224,cards[object_id order],0),'Group code'!J224),"")</f>
        <v/>
      </c>
      <c r="T224" s="5" t="str">
        <f ca="1">IF(G224=3,INDEX(cards[[1]:[25]],MATCH($C224,cards[object_id order],0),'Group code'!I224),"")</f>
        <v/>
      </c>
      <c r="U224" s="5" t="str">
        <f ca="1">VLOOKUP(G224,'Group code'!$Z$9:$AC$13,4,FALSE)</f>
        <v/>
      </c>
      <c r="V224" s="5" t="str">
        <f ca="1">IF(J224="","",VLOOKUP(J224,'Group code'!$Z$15:$AC$18,4,FALSE))</f>
        <v/>
      </c>
      <c r="W224" s="23" t="str">
        <f t="shared" ca="1" si="60"/>
        <v xml:space="preserve">  entities:</v>
      </c>
      <c r="X224" s="5" t="str">
        <f t="shared" ca="1" si="50"/>
        <v/>
      </c>
    </row>
    <row r="225" spans="2:24" x14ac:dyDescent="0.25">
      <c r="B225" s="5">
        <f t="shared" si="47"/>
        <v>219</v>
      </c>
      <c r="C225" s="5">
        <f t="shared" ca="1" si="61"/>
        <v>27</v>
      </c>
      <c r="D225" s="5" t="str">
        <f ca="1">INDEX(cards[Attribute Index],MATCH('Group code'!C225,cards[object_id order],0))</f>
        <v>23</v>
      </c>
      <c r="E225" s="5">
        <f t="shared" ca="1" si="48"/>
        <v>2</v>
      </c>
      <c r="F225" s="14">
        <f ca="1">INDEX(cards[Entities count],MATCH('Group code'!C225,cards[object_id order],0))</f>
        <v>2</v>
      </c>
      <c r="G225" s="14">
        <f t="shared" ca="1" si="51"/>
        <v>3</v>
      </c>
      <c r="H225" s="14" t="str">
        <f t="shared" ca="1" si="52"/>
        <v/>
      </c>
      <c r="I225" s="5">
        <f t="shared" ca="1" si="53"/>
        <v>1</v>
      </c>
      <c r="J225" s="5" t="str">
        <f t="shared" ca="1" si="49"/>
        <v/>
      </c>
      <c r="K225" s="5" t="str">
        <f t="shared" ca="1" si="54"/>
        <v/>
      </c>
      <c r="L225" s="5" t="str">
        <f t="shared" ca="1" si="55"/>
        <v/>
      </c>
      <c r="M225" s="5" t="str">
        <f t="shared" ca="1" si="56"/>
        <v/>
      </c>
      <c r="N225" s="5">
        <f t="shared" ca="1" si="57"/>
        <v>0</v>
      </c>
      <c r="O225" s="5" t="str">
        <f t="shared" ca="1" si="58"/>
        <v/>
      </c>
      <c r="P225" s="5" t="str">
        <f ca="1">VLOOKUP(G225,'Group code'!$Z$9:$AC$13,3,FALSE)</f>
        <v xml:space="preserve">    - </v>
      </c>
      <c r="Q225" s="5" t="str">
        <f t="shared" ca="1" si="59"/>
        <v/>
      </c>
      <c r="R225" s="5" t="str">
        <f ca="1">IF(G225=0,INDEX(cards[object_id],MATCH($C225,cards[object_id order],0)),"")</f>
        <v/>
      </c>
      <c r="S225" s="5" t="str">
        <f ca="1">IF(G225=1,INDEX(cards[[name]:[control]],MATCH($C225,cards[object_id order],0),'Group code'!J225),"")</f>
        <v/>
      </c>
      <c r="T225" s="5" t="str">
        <f ca="1">IF(G225=3,INDEX(cards[[1]:[25]],MATCH($C225,cards[object_id order],0),'Group code'!I225),"")</f>
        <v>group.living_room</v>
      </c>
      <c r="U225" s="5" t="str">
        <f ca="1">VLOOKUP(G225,'Group code'!$Z$9:$AC$13,4,FALSE)</f>
        <v/>
      </c>
      <c r="V225" s="5" t="str">
        <f ca="1">IF(J225="","",VLOOKUP(J225,'Group code'!$Z$15:$AC$18,4,FALSE))</f>
        <v/>
      </c>
      <c r="W225" s="23" t="str">
        <f t="shared" ca="1" si="60"/>
        <v xml:space="preserve">    - group.living_room</v>
      </c>
      <c r="X225" s="5" t="str">
        <f t="shared" ca="1" si="50"/>
        <v/>
      </c>
    </row>
    <row r="226" spans="2:24" x14ac:dyDescent="0.25">
      <c r="B226" s="5">
        <f t="shared" si="47"/>
        <v>220</v>
      </c>
      <c r="C226" s="5">
        <f t="shared" ca="1" si="61"/>
        <v>27</v>
      </c>
      <c r="D226" s="5" t="str">
        <f ca="1">INDEX(cards[Attribute Index],MATCH('Group code'!C226,cards[object_id order],0))</f>
        <v>23</v>
      </c>
      <c r="E226" s="5">
        <f t="shared" ca="1" si="48"/>
        <v>2</v>
      </c>
      <c r="F226" s="14">
        <f ca="1">INDEX(cards[Entities count],MATCH('Group code'!C226,cards[object_id order],0))</f>
        <v>2</v>
      </c>
      <c r="G226" s="14">
        <f t="shared" ca="1" si="51"/>
        <v>3</v>
      </c>
      <c r="H226" s="14" t="str">
        <f t="shared" ca="1" si="52"/>
        <v/>
      </c>
      <c r="I226" s="5">
        <f t="shared" ca="1" si="53"/>
        <v>2</v>
      </c>
      <c r="J226" s="5" t="str">
        <f t="shared" ca="1" si="49"/>
        <v/>
      </c>
      <c r="K226" s="5" t="str">
        <f t="shared" ca="1" si="54"/>
        <v/>
      </c>
      <c r="L226" s="5" t="str">
        <f t="shared" ca="1" si="55"/>
        <v/>
      </c>
      <c r="M226" s="5" t="str">
        <f t="shared" ca="1" si="56"/>
        <v/>
      </c>
      <c r="N226" s="5">
        <f t="shared" ca="1" si="57"/>
        <v>1</v>
      </c>
      <c r="O226" s="5" t="str">
        <f t="shared" ca="1" si="58"/>
        <v/>
      </c>
      <c r="P226" s="5" t="str">
        <f ca="1">VLOOKUP(G226,'Group code'!$Z$9:$AC$13,3,FALSE)</f>
        <v xml:space="preserve">    - </v>
      </c>
      <c r="Q226" s="5" t="str">
        <f t="shared" ca="1" si="59"/>
        <v/>
      </c>
      <c r="R226" s="5" t="str">
        <f ca="1">IF(G226=0,INDEX(cards[object_id],MATCH($C226,cards[object_id order],0)),"")</f>
        <v/>
      </c>
      <c r="S226" s="5" t="str">
        <f ca="1">IF(G226=1,INDEX(cards[[name]:[control]],MATCH($C226,cards[object_id order],0),'Group code'!J226),"")</f>
        <v/>
      </c>
      <c r="T226" s="5" t="str">
        <f ca="1">IF(G226=3,INDEX(cards[[1]:[25]],MATCH($C226,cards[object_id order],0),'Group code'!I226),"")</f>
        <v>media_player.living_room_tv</v>
      </c>
      <c r="U226" s="5" t="str">
        <f ca="1">VLOOKUP(G226,'Group code'!$Z$9:$AC$13,4,FALSE)</f>
        <v/>
      </c>
      <c r="V226" s="5" t="str">
        <f ca="1">IF(J226="","",VLOOKUP(J226,'Group code'!$Z$15:$AC$18,4,FALSE))</f>
        <v/>
      </c>
      <c r="W226" s="23" t="str">
        <f t="shared" ca="1" si="60"/>
        <v xml:space="preserve">    - media_player.living_room_tv</v>
      </c>
      <c r="X226" s="5" t="str">
        <f t="shared" ca="1" si="50"/>
        <v/>
      </c>
    </row>
    <row r="227" spans="2:24" x14ac:dyDescent="0.25">
      <c r="B227" s="5">
        <f t="shared" si="47"/>
        <v>221</v>
      </c>
      <c r="C227" s="5">
        <f t="shared" ca="1" si="61"/>
        <v>27</v>
      </c>
      <c r="D227" s="5" t="str">
        <f ca="1">INDEX(cards[Attribute Index],MATCH('Group code'!C227,cards[object_id order],0))</f>
        <v>23</v>
      </c>
      <c r="E227" s="5">
        <f t="shared" ca="1" si="48"/>
        <v>2</v>
      </c>
      <c r="F227" s="14">
        <f ca="1">INDEX(cards[Entities count],MATCH('Group code'!C227,cards[object_id order],0))</f>
        <v>2</v>
      </c>
      <c r="G227" s="14">
        <f t="shared" ca="1" si="51"/>
        <v>4</v>
      </c>
      <c r="H227" s="14" t="str">
        <f t="shared" ca="1" si="52"/>
        <v/>
      </c>
      <c r="I227" s="5" t="str">
        <f t="shared" ca="1" si="53"/>
        <v/>
      </c>
      <c r="J227" s="5" t="str">
        <f t="shared" ca="1" si="49"/>
        <v/>
      </c>
      <c r="K227" s="5" t="str">
        <f t="shared" ca="1" si="54"/>
        <v/>
      </c>
      <c r="L227" s="5" t="str">
        <f t="shared" ca="1" si="55"/>
        <v/>
      </c>
      <c r="M227" s="5" t="str">
        <f t="shared" ca="1" si="56"/>
        <v/>
      </c>
      <c r="N227" s="5" t="str">
        <f t="shared" ca="1" si="57"/>
        <v/>
      </c>
      <c r="O227" s="5">
        <f t="shared" ca="1" si="58"/>
        <v>-4</v>
      </c>
      <c r="P227" s="5" t="str">
        <f ca="1">VLOOKUP(G227,'Group code'!$Z$9:$AC$13,3,FALSE)</f>
        <v/>
      </c>
      <c r="Q227" s="5" t="str">
        <f t="shared" ca="1" si="59"/>
        <v/>
      </c>
      <c r="R227" s="5" t="str">
        <f ca="1">IF(G227=0,INDEX(cards[object_id],MATCH($C227,cards[object_id order],0)),"")</f>
        <v/>
      </c>
      <c r="S227" s="5" t="str">
        <f ca="1">IF(G227=1,INDEX(cards[[name]:[control]],MATCH($C227,cards[object_id order],0),'Group code'!J227),"")</f>
        <v/>
      </c>
      <c r="T227" s="5" t="str">
        <f ca="1">IF(G227=3,INDEX(cards[[1]:[25]],MATCH($C227,cards[object_id order],0),'Group code'!I227),"")</f>
        <v/>
      </c>
      <c r="U227" s="5" t="str">
        <f ca="1">VLOOKUP(G227,'Group code'!$Z$9:$AC$13,4,FALSE)</f>
        <v/>
      </c>
      <c r="V227" s="5" t="str">
        <f ca="1">IF(J227="","",VLOOKUP(J227,'Group code'!$Z$15:$AC$18,4,FALSE))</f>
        <v/>
      </c>
      <c r="W227" s="23" t="str">
        <f t="shared" ca="1" si="60"/>
        <v/>
      </c>
      <c r="X227" s="5" t="str">
        <f t="shared" ca="1" si="50"/>
        <v/>
      </c>
    </row>
    <row r="228" spans="2:24" x14ac:dyDescent="0.25">
      <c r="B228" s="5">
        <f t="shared" si="47"/>
        <v>222</v>
      </c>
      <c r="C228" s="5">
        <f t="shared" ca="1" si="61"/>
        <v>28</v>
      </c>
      <c r="D228" s="5" t="str">
        <f ca="1">INDEX(cards[Attribute Index],MATCH('Group code'!C228,cards[object_id order],0))</f>
        <v>23</v>
      </c>
      <c r="E228" s="5">
        <f t="shared" ca="1" si="48"/>
        <v>2</v>
      </c>
      <c r="F228" s="14">
        <f ca="1">INDEX(cards[Entities count],MATCH('Group code'!C228,cards[object_id order],0))</f>
        <v>2</v>
      </c>
      <c r="G228" s="14">
        <f t="shared" ca="1" si="51"/>
        <v>0</v>
      </c>
      <c r="H228" s="14" t="str">
        <f t="shared" ca="1" si="52"/>
        <v/>
      </c>
      <c r="I228" s="5" t="str">
        <f t="shared" ca="1" si="53"/>
        <v/>
      </c>
      <c r="J228" s="5" t="str">
        <f t="shared" ca="1" si="49"/>
        <v/>
      </c>
      <c r="K228" s="5">
        <f t="shared" ca="1" si="54"/>
        <v>1</v>
      </c>
      <c r="L228" s="5" t="str">
        <f t="shared" ca="1" si="55"/>
        <v/>
      </c>
      <c r="M228" s="5" t="str">
        <f t="shared" ca="1" si="56"/>
        <v/>
      </c>
      <c r="N228" s="5" t="str">
        <f t="shared" ca="1" si="57"/>
        <v/>
      </c>
      <c r="O228" s="5" t="str">
        <f t="shared" ca="1" si="58"/>
        <v/>
      </c>
      <c r="P228" s="5" t="str">
        <f ca="1">VLOOKUP(G228,'Group code'!$Z$9:$AC$13,3,FALSE)</f>
        <v/>
      </c>
      <c r="Q228" s="5" t="str">
        <f t="shared" ca="1" si="59"/>
        <v/>
      </c>
      <c r="R228" s="5" t="str">
        <f ca="1">IF(G228=0,INDEX(cards[object_id],MATCH($C228,cards[object_id order],0)),"")</f>
        <v>environment_view</v>
      </c>
      <c r="S228" s="5" t="str">
        <f ca="1">IF(G228=1,INDEX(cards[[name]:[control]],MATCH($C228,cards[object_id order],0),'Group code'!J228),"")</f>
        <v/>
      </c>
      <c r="T228" s="5" t="str">
        <f ca="1">IF(G228=3,INDEX(cards[[1]:[25]],MATCH($C228,cards[object_id order],0),'Group code'!I228),"")</f>
        <v/>
      </c>
      <c r="U228" s="5" t="str">
        <f ca="1">VLOOKUP(G228,'Group code'!$Z$9:$AC$13,4,FALSE)</f>
        <v>:</v>
      </c>
      <c r="V228" s="5" t="str">
        <f ca="1">IF(J228="","",VLOOKUP(J228,'Group code'!$Z$15:$AC$18,4,FALSE))</f>
        <v/>
      </c>
      <c r="W228" s="23" t="str">
        <f t="shared" ca="1" si="60"/>
        <v>environment_view:</v>
      </c>
      <c r="X228" s="5" t="str">
        <f t="shared" ca="1" si="50"/>
        <v/>
      </c>
    </row>
    <row r="229" spans="2:24" x14ac:dyDescent="0.25">
      <c r="B229" s="5">
        <f t="shared" si="47"/>
        <v>223</v>
      </c>
      <c r="C229" s="5">
        <f t="shared" ca="1" si="61"/>
        <v>28</v>
      </c>
      <c r="D229" s="5" t="str">
        <f ca="1">INDEX(cards[Attribute Index],MATCH('Group code'!C229,cards[object_id order],0))</f>
        <v>23</v>
      </c>
      <c r="E229" s="5">
        <f t="shared" ca="1" si="48"/>
        <v>2</v>
      </c>
      <c r="F229" s="14">
        <f ca="1">INDEX(cards[Entities count],MATCH('Group code'!C229,cards[object_id order],0))</f>
        <v>2</v>
      </c>
      <c r="G229" s="14">
        <f t="shared" ca="1" si="51"/>
        <v>1</v>
      </c>
      <c r="H229" s="14">
        <f t="shared" ca="1" si="52"/>
        <v>1</v>
      </c>
      <c r="I229" s="5" t="str">
        <f t="shared" ca="1" si="53"/>
        <v/>
      </c>
      <c r="J229" s="5">
        <f t="shared" ca="1" si="49"/>
        <v>2</v>
      </c>
      <c r="K229" s="5" t="str">
        <f t="shared" ca="1" si="54"/>
        <v/>
      </c>
      <c r="L229" s="5">
        <f t="shared" ca="1" si="55"/>
        <v>0</v>
      </c>
      <c r="M229" s="5" t="str">
        <f t="shared" ca="1" si="56"/>
        <v/>
      </c>
      <c r="N229" s="5" t="str">
        <f t="shared" ca="1" si="57"/>
        <v/>
      </c>
      <c r="O229" s="5" t="str">
        <f t="shared" ca="1" si="58"/>
        <v/>
      </c>
      <c r="P229" s="5" t="str">
        <f ca="1">VLOOKUP(G229,'Group code'!$Z$9:$AC$13,3,FALSE)</f>
        <v/>
      </c>
      <c r="Q229" s="5" t="str">
        <f t="shared" ca="1" si="59"/>
        <v xml:space="preserve">  view: </v>
      </c>
      <c r="R229" s="5" t="str">
        <f ca="1">IF(G229=0,INDEX(cards[object_id],MATCH($C229,cards[object_id order],0)),"")</f>
        <v/>
      </c>
      <c r="S229" s="5" t="str">
        <f ca="1">IF(G229=1,INDEX(cards[[name]:[control]],MATCH($C229,cards[object_id order],0),'Group code'!J229),"")</f>
        <v>yes</v>
      </c>
      <c r="T229" s="5" t="str">
        <f ca="1">IF(G229=3,INDEX(cards[[1]:[25]],MATCH($C229,cards[object_id order],0),'Group code'!I229),"")</f>
        <v/>
      </c>
      <c r="U229" s="5" t="str">
        <f ca="1">VLOOKUP(G229,'Group code'!$Z$9:$AC$13,4,FALSE)</f>
        <v/>
      </c>
      <c r="V229" s="5" t="str">
        <f ca="1">IF(J229="","",VLOOKUP(J229,'Group code'!$Z$15:$AC$18,4,FALSE))</f>
        <v/>
      </c>
      <c r="W229" s="23" t="str">
        <f t="shared" ca="1" si="60"/>
        <v xml:space="preserve">  view: yes</v>
      </c>
      <c r="X229" s="5" t="str">
        <f t="shared" ca="1" si="50"/>
        <v/>
      </c>
    </row>
    <row r="230" spans="2:24" x14ac:dyDescent="0.25">
      <c r="B230" s="5">
        <f t="shared" si="47"/>
        <v>224</v>
      </c>
      <c r="C230" s="5">
        <f t="shared" ca="1" si="61"/>
        <v>28</v>
      </c>
      <c r="D230" s="5" t="str">
        <f ca="1">INDEX(cards[Attribute Index],MATCH('Group code'!C230,cards[object_id order],0))</f>
        <v>23</v>
      </c>
      <c r="E230" s="5">
        <f t="shared" ca="1" si="48"/>
        <v>2</v>
      </c>
      <c r="F230" s="14">
        <f ca="1">INDEX(cards[Entities count],MATCH('Group code'!C230,cards[object_id order],0))</f>
        <v>2</v>
      </c>
      <c r="G230" s="14">
        <f t="shared" ca="1" si="51"/>
        <v>1</v>
      </c>
      <c r="H230" s="14">
        <f t="shared" ca="1" si="52"/>
        <v>2</v>
      </c>
      <c r="I230" s="5" t="str">
        <f t="shared" ca="1" si="53"/>
        <v/>
      </c>
      <c r="J230" s="5">
        <f t="shared" ca="1" si="49"/>
        <v>3</v>
      </c>
      <c r="K230" s="5" t="str">
        <f t="shared" ca="1" si="54"/>
        <v/>
      </c>
      <c r="L230" s="5">
        <f t="shared" ca="1" si="55"/>
        <v>1</v>
      </c>
      <c r="M230" s="5" t="str">
        <f t="shared" ca="1" si="56"/>
        <v/>
      </c>
      <c r="N230" s="5" t="str">
        <f t="shared" ca="1" si="57"/>
        <v/>
      </c>
      <c r="O230" s="5" t="str">
        <f t="shared" ca="1" si="58"/>
        <v/>
      </c>
      <c r="P230" s="5" t="str">
        <f ca="1">VLOOKUP(G230,'Group code'!$Z$9:$AC$13,3,FALSE)</f>
        <v/>
      </c>
      <c r="Q230" s="5" t="str">
        <f t="shared" ca="1" si="59"/>
        <v xml:space="preserve">  icon: </v>
      </c>
      <c r="R230" s="5" t="str">
        <f ca="1">IF(G230=0,INDEX(cards[object_id],MATCH($C230,cards[object_id order],0)),"")</f>
        <v/>
      </c>
      <c r="S230" s="5" t="str">
        <f ca="1">IF(G230=1,INDEX(cards[[name]:[control]],MATCH($C230,cards[object_id order],0),'Group code'!J230),"")</f>
        <v>mdi:thermometer</v>
      </c>
      <c r="T230" s="5" t="str">
        <f ca="1">IF(G230=3,INDEX(cards[[1]:[25]],MATCH($C230,cards[object_id order],0),'Group code'!I230),"")</f>
        <v/>
      </c>
      <c r="U230" s="5" t="str">
        <f ca="1">VLOOKUP(G230,'Group code'!$Z$9:$AC$13,4,FALSE)</f>
        <v/>
      </c>
      <c r="V230" s="5" t="str">
        <f ca="1">IF(J230="","",VLOOKUP(J230,'Group code'!$Z$15:$AC$18,4,FALSE))</f>
        <v/>
      </c>
      <c r="W230" s="23" t="str">
        <f t="shared" ca="1" si="60"/>
        <v xml:space="preserve">  icon: mdi:thermometer</v>
      </c>
      <c r="X230" s="5" t="str">
        <f t="shared" ca="1" si="50"/>
        <v/>
      </c>
    </row>
    <row r="231" spans="2:24" x14ac:dyDescent="0.25">
      <c r="B231" s="5">
        <f t="shared" si="47"/>
        <v>225</v>
      </c>
      <c r="C231" s="5">
        <f t="shared" ca="1" si="61"/>
        <v>28</v>
      </c>
      <c r="D231" s="5" t="str">
        <f ca="1">INDEX(cards[Attribute Index],MATCH('Group code'!C231,cards[object_id order],0))</f>
        <v>23</v>
      </c>
      <c r="E231" s="5">
        <f t="shared" ca="1" si="48"/>
        <v>2</v>
      </c>
      <c r="F231" s="14">
        <f ca="1">INDEX(cards[Entities count],MATCH('Group code'!C231,cards[object_id order],0))</f>
        <v>2</v>
      </c>
      <c r="G231" s="14">
        <f t="shared" ca="1" si="51"/>
        <v>2</v>
      </c>
      <c r="H231" s="14" t="str">
        <f t="shared" ca="1" si="52"/>
        <v/>
      </c>
      <c r="I231" s="5" t="str">
        <f t="shared" ca="1" si="53"/>
        <v/>
      </c>
      <c r="J231" s="5" t="str">
        <f t="shared" ca="1" si="49"/>
        <v/>
      </c>
      <c r="K231" s="5" t="str">
        <f t="shared" ca="1" si="54"/>
        <v/>
      </c>
      <c r="L231" s="5" t="str">
        <f t="shared" ca="1" si="55"/>
        <v/>
      </c>
      <c r="M231" s="5">
        <f t="shared" ca="1" si="56"/>
        <v>1</v>
      </c>
      <c r="N231" s="5" t="str">
        <f t="shared" ca="1" si="57"/>
        <v/>
      </c>
      <c r="O231" s="5" t="str">
        <f t="shared" ca="1" si="58"/>
        <v/>
      </c>
      <c r="P231" s="5" t="str">
        <f ca="1">VLOOKUP(G231,'Group code'!$Z$9:$AC$13,3,FALSE)</f>
        <v xml:space="preserve">  entities:</v>
      </c>
      <c r="Q231" s="5" t="str">
        <f t="shared" ca="1" si="59"/>
        <v/>
      </c>
      <c r="R231" s="5" t="str">
        <f ca="1">IF(G231=0,INDEX(cards[object_id],MATCH($C231,cards[object_id order],0)),"")</f>
        <v/>
      </c>
      <c r="S231" s="5" t="str">
        <f ca="1">IF(G231=1,INDEX(cards[[name]:[control]],MATCH($C231,cards[object_id order],0),'Group code'!J231),"")</f>
        <v/>
      </c>
      <c r="T231" s="5" t="str">
        <f ca="1">IF(G231=3,INDEX(cards[[1]:[25]],MATCH($C231,cards[object_id order],0),'Group code'!I231),"")</f>
        <v/>
      </c>
      <c r="U231" s="5" t="str">
        <f ca="1">VLOOKUP(G231,'Group code'!$Z$9:$AC$13,4,FALSE)</f>
        <v/>
      </c>
      <c r="V231" s="5" t="str">
        <f ca="1">IF(J231="","",VLOOKUP(J231,'Group code'!$Z$15:$AC$18,4,FALSE))</f>
        <v/>
      </c>
      <c r="W231" s="23" t="str">
        <f t="shared" ca="1" si="60"/>
        <v xml:space="preserve">  entities:</v>
      </c>
      <c r="X231" s="5" t="str">
        <f t="shared" ca="1" si="50"/>
        <v/>
      </c>
    </row>
    <row r="232" spans="2:24" x14ac:dyDescent="0.25">
      <c r="B232" s="5">
        <f t="shared" si="47"/>
        <v>226</v>
      </c>
      <c r="C232" s="5">
        <f t="shared" ca="1" si="61"/>
        <v>28</v>
      </c>
      <c r="D232" s="5" t="str">
        <f ca="1">INDEX(cards[Attribute Index],MATCH('Group code'!C232,cards[object_id order],0))</f>
        <v>23</v>
      </c>
      <c r="E232" s="5">
        <f t="shared" ca="1" si="48"/>
        <v>2</v>
      </c>
      <c r="F232" s="14">
        <f ca="1">INDEX(cards[Entities count],MATCH('Group code'!C232,cards[object_id order],0))</f>
        <v>2</v>
      </c>
      <c r="G232" s="14">
        <f t="shared" ca="1" si="51"/>
        <v>3</v>
      </c>
      <c r="H232" s="14" t="str">
        <f t="shared" ca="1" si="52"/>
        <v/>
      </c>
      <c r="I232" s="5">
        <f t="shared" ca="1" si="53"/>
        <v>1</v>
      </c>
      <c r="J232" s="5" t="str">
        <f t="shared" ca="1" si="49"/>
        <v/>
      </c>
      <c r="K232" s="5" t="str">
        <f t="shared" ca="1" si="54"/>
        <v/>
      </c>
      <c r="L232" s="5" t="str">
        <f t="shared" ca="1" si="55"/>
        <v/>
      </c>
      <c r="M232" s="5" t="str">
        <f t="shared" ca="1" si="56"/>
        <v/>
      </c>
      <c r="N232" s="5">
        <f t="shared" ca="1" si="57"/>
        <v>0</v>
      </c>
      <c r="O232" s="5" t="str">
        <f t="shared" ca="1" si="58"/>
        <v/>
      </c>
      <c r="P232" s="5" t="str">
        <f ca="1">VLOOKUP(G232,'Group code'!$Z$9:$AC$13,3,FALSE)</f>
        <v xml:space="preserve">    - </v>
      </c>
      <c r="Q232" s="5" t="str">
        <f t="shared" ca="1" si="59"/>
        <v/>
      </c>
      <c r="R232" s="5" t="str">
        <f ca="1">IF(G232=0,INDEX(cards[object_id],MATCH($C232,cards[object_id order],0)),"")</f>
        <v/>
      </c>
      <c r="S232" s="5" t="str">
        <f ca="1">IF(G232=1,INDEX(cards[[name]:[control]],MATCH($C232,cards[object_id order],0),'Group code'!J232),"")</f>
        <v/>
      </c>
      <c r="T232" s="5" t="str">
        <f ca="1">IF(G232=3,INDEX(cards[[1]:[25]],MATCH($C232,cards[object_id order],0),'Group code'!I232),"")</f>
        <v>group.environment</v>
      </c>
      <c r="U232" s="5" t="str">
        <f ca="1">VLOOKUP(G232,'Group code'!$Z$9:$AC$13,4,FALSE)</f>
        <v/>
      </c>
      <c r="V232" s="5" t="str">
        <f ca="1">IF(J232="","",VLOOKUP(J232,'Group code'!$Z$15:$AC$18,4,FALSE))</f>
        <v/>
      </c>
      <c r="W232" s="23" t="str">
        <f t="shared" ca="1" si="60"/>
        <v xml:space="preserve">    - group.environment</v>
      </c>
      <c r="X232" s="5" t="str">
        <f t="shared" ca="1" si="50"/>
        <v/>
      </c>
    </row>
    <row r="233" spans="2:24" x14ac:dyDescent="0.25">
      <c r="B233" s="5">
        <f t="shared" si="47"/>
        <v>227</v>
      </c>
      <c r="C233" s="5">
        <f t="shared" ca="1" si="61"/>
        <v>28</v>
      </c>
      <c r="D233" s="5" t="str">
        <f ca="1">INDEX(cards[Attribute Index],MATCH('Group code'!C233,cards[object_id order],0))</f>
        <v>23</v>
      </c>
      <c r="E233" s="5">
        <f t="shared" ca="1" si="48"/>
        <v>2</v>
      </c>
      <c r="F233" s="14">
        <f ca="1">INDEX(cards[Entities count],MATCH('Group code'!C233,cards[object_id order],0))</f>
        <v>2</v>
      </c>
      <c r="G233" s="14">
        <f t="shared" ca="1" si="51"/>
        <v>3</v>
      </c>
      <c r="H233" s="14" t="str">
        <f t="shared" ca="1" si="52"/>
        <v/>
      </c>
      <c r="I233" s="5">
        <f t="shared" ca="1" si="53"/>
        <v>2</v>
      </c>
      <c r="J233" s="5" t="str">
        <f t="shared" ca="1" si="49"/>
        <v/>
      </c>
      <c r="K233" s="5" t="str">
        <f t="shared" ca="1" si="54"/>
        <v/>
      </c>
      <c r="L233" s="5" t="str">
        <f t="shared" ca="1" si="55"/>
        <v/>
      </c>
      <c r="M233" s="5" t="str">
        <f t="shared" ca="1" si="56"/>
        <v/>
      </c>
      <c r="N233" s="5">
        <f t="shared" ca="1" si="57"/>
        <v>1</v>
      </c>
      <c r="O233" s="5" t="str">
        <f t="shared" ca="1" si="58"/>
        <v/>
      </c>
      <c r="P233" s="5" t="str">
        <f ca="1">VLOOKUP(G233,'Group code'!$Z$9:$AC$13,3,FALSE)</f>
        <v xml:space="preserve">    - </v>
      </c>
      <c r="Q233" s="5" t="str">
        <f t="shared" ca="1" si="59"/>
        <v/>
      </c>
      <c r="R233" s="5" t="str">
        <f ca="1">IF(G233=0,INDEX(cards[object_id],MATCH($C233,cards[object_id order],0)),"")</f>
        <v/>
      </c>
      <c r="S233" s="5" t="str">
        <f ca="1">IF(G233=1,INDEX(cards[[name]:[control]],MATCH($C233,cards[object_id order],0),'Group code'!J233),"")</f>
        <v/>
      </c>
      <c r="T233" s="5" t="str">
        <f ca="1">IF(G233=3,INDEX(cards[[1]:[25]],MATCH($C233,cards[object_id order],0),'Group code'!I233),"")</f>
        <v>group.environment_living_room</v>
      </c>
      <c r="U233" s="5" t="str">
        <f ca="1">VLOOKUP(G233,'Group code'!$Z$9:$AC$13,4,FALSE)</f>
        <v/>
      </c>
      <c r="V233" s="5" t="str">
        <f ca="1">IF(J233="","",VLOOKUP(J233,'Group code'!$Z$15:$AC$18,4,FALSE))</f>
        <v/>
      </c>
      <c r="W233" s="23" t="str">
        <f t="shared" ca="1" si="60"/>
        <v xml:space="preserve">    - group.environment_living_room</v>
      </c>
      <c r="X233" s="5" t="str">
        <f t="shared" ca="1" si="50"/>
        <v/>
      </c>
    </row>
    <row r="234" spans="2:24" x14ac:dyDescent="0.25">
      <c r="B234" s="5">
        <f t="shared" si="47"/>
        <v>228</v>
      </c>
      <c r="C234" s="5">
        <f t="shared" ca="1" si="61"/>
        <v>28</v>
      </c>
      <c r="D234" s="5" t="str">
        <f ca="1">INDEX(cards[Attribute Index],MATCH('Group code'!C234,cards[object_id order],0))</f>
        <v>23</v>
      </c>
      <c r="E234" s="5">
        <f t="shared" ca="1" si="48"/>
        <v>2</v>
      </c>
      <c r="F234" s="14">
        <f ca="1">INDEX(cards[Entities count],MATCH('Group code'!C234,cards[object_id order],0))</f>
        <v>2</v>
      </c>
      <c r="G234" s="14">
        <f t="shared" ca="1" si="51"/>
        <v>4</v>
      </c>
      <c r="H234" s="14" t="str">
        <f t="shared" ca="1" si="52"/>
        <v/>
      </c>
      <c r="I234" s="5" t="str">
        <f t="shared" ca="1" si="53"/>
        <v/>
      </c>
      <c r="J234" s="5" t="str">
        <f t="shared" ca="1" si="49"/>
        <v/>
      </c>
      <c r="K234" s="5" t="str">
        <f t="shared" ca="1" si="54"/>
        <v/>
      </c>
      <c r="L234" s="5" t="str">
        <f t="shared" ca="1" si="55"/>
        <v/>
      </c>
      <c r="M234" s="5" t="str">
        <f t="shared" ca="1" si="56"/>
        <v/>
      </c>
      <c r="N234" s="5" t="str">
        <f t="shared" ca="1" si="57"/>
        <v/>
      </c>
      <c r="O234" s="5">
        <f t="shared" ca="1" si="58"/>
        <v>-4</v>
      </c>
      <c r="P234" s="5" t="str">
        <f ca="1">VLOOKUP(G234,'Group code'!$Z$9:$AC$13,3,FALSE)</f>
        <v/>
      </c>
      <c r="Q234" s="5" t="str">
        <f t="shared" ca="1" si="59"/>
        <v/>
      </c>
      <c r="R234" s="5" t="str">
        <f ca="1">IF(G234=0,INDEX(cards[object_id],MATCH($C234,cards[object_id order],0)),"")</f>
        <v/>
      </c>
      <c r="S234" s="5" t="str">
        <f ca="1">IF(G234=1,INDEX(cards[[name]:[control]],MATCH($C234,cards[object_id order],0),'Group code'!J234),"")</f>
        <v/>
      </c>
      <c r="T234" s="5" t="str">
        <f ca="1">IF(G234=3,INDEX(cards[[1]:[25]],MATCH($C234,cards[object_id order],0),'Group code'!I234),"")</f>
        <v/>
      </c>
      <c r="U234" s="5" t="str">
        <f ca="1">VLOOKUP(G234,'Group code'!$Z$9:$AC$13,4,FALSE)</f>
        <v/>
      </c>
      <c r="V234" s="5" t="str">
        <f ca="1">IF(J234="","",VLOOKUP(J234,'Group code'!$Z$15:$AC$18,4,FALSE))</f>
        <v/>
      </c>
      <c r="W234" s="23" t="str">
        <f t="shared" ca="1" si="60"/>
        <v/>
      </c>
      <c r="X234" s="5" t="str">
        <f t="shared" ca="1" si="50"/>
        <v/>
      </c>
    </row>
    <row r="235" spans="2:24" x14ac:dyDescent="0.25">
      <c r="B235" s="5">
        <f t="shared" si="47"/>
        <v>229</v>
      </c>
      <c r="C235" s="5">
        <f t="shared" ca="1" si="61"/>
        <v>29</v>
      </c>
      <c r="D235" s="5" t="str">
        <f ca="1">INDEX(cards[Attribute Index],MATCH('Group code'!C235,cards[object_id order],0))</f>
        <v>23</v>
      </c>
      <c r="E235" s="5">
        <f t="shared" ca="1" si="48"/>
        <v>2</v>
      </c>
      <c r="F235" s="14">
        <f ca="1">INDEX(cards[Entities count],MATCH('Group code'!C235,cards[object_id order],0))</f>
        <v>6</v>
      </c>
      <c r="G235" s="14">
        <f t="shared" ca="1" si="51"/>
        <v>0</v>
      </c>
      <c r="H235" s="14" t="str">
        <f t="shared" ca="1" si="52"/>
        <v/>
      </c>
      <c r="I235" s="5" t="str">
        <f t="shared" ca="1" si="53"/>
        <v/>
      </c>
      <c r="J235" s="5" t="str">
        <f t="shared" ca="1" si="49"/>
        <v/>
      </c>
      <c r="K235" s="5">
        <f t="shared" ca="1" si="54"/>
        <v>1</v>
      </c>
      <c r="L235" s="5" t="str">
        <f t="shared" ca="1" si="55"/>
        <v/>
      </c>
      <c r="M235" s="5" t="str">
        <f t="shared" ca="1" si="56"/>
        <v/>
      </c>
      <c r="N235" s="5" t="str">
        <f t="shared" ca="1" si="57"/>
        <v/>
      </c>
      <c r="O235" s="5" t="str">
        <f t="shared" ca="1" si="58"/>
        <v/>
      </c>
      <c r="P235" s="5" t="str">
        <f ca="1">VLOOKUP(G235,'Group code'!$Z$9:$AC$13,3,FALSE)</f>
        <v/>
      </c>
      <c r="Q235" s="5" t="str">
        <f t="shared" ca="1" si="59"/>
        <v/>
      </c>
      <c r="R235" s="5" t="str">
        <f ca="1">IF(G235=0,INDEX(cards[object_id],MATCH($C235,cards[object_id order],0)),"")</f>
        <v>network_view</v>
      </c>
      <c r="S235" s="5" t="str">
        <f ca="1">IF(G235=1,INDEX(cards[[name]:[control]],MATCH($C235,cards[object_id order],0),'Group code'!J235),"")</f>
        <v/>
      </c>
      <c r="T235" s="5" t="str">
        <f ca="1">IF(G235=3,INDEX(cards[[1]:[25]],MATCH($C235,cards[object_id order],0),'Group code'!I235),"")</f>
        <v/>
      </c>
      <c r="U235" s="5" t="str">
        <f ca="1">VLOOKUP(G235,'Group code'!$Z$9:$AC$13,4,FALSE)</f>
        <v>:</v>
      </c>
      <c r="V235" s="5" t="str">
        <f ca="1">IF(J235="","",VLOOKUP(J235,'Group code'!$Z$15:$AC$18,4,FALSE))</f>
        <v/>
      </c>
      <c r="W235" s="23" t="str">
        <f t="shared" ca="1" si="60"/>
        <v>network_view:</v>
      </c>
      <c r="X235" s="5" t="str">
        <f t="shared" ca="1" si="50"/>
        <v/>
      </c>
    </row>
    <row r="236" spans="2:24" x14ac:dyDescent="0.25">
      <c r="B236" s="5">
        <f t="shared" si="47"/>
        <v>230</v>
      </c>
      <c r="C236" s="5">
        <f t="shared" ca="1" si="61"/>
        <v>29</v>
      </c>
      <c r="D236" s="5" t="str">
        <f ca="1">INDEX(cards[Attribute Index],MATCH('Group code'!C236,cards[object_id order],0))</f>
        <v>23</v>
      </c>
      <c r="E236" s="5">
        <f t="shared" ca="1" si="48"/>
        <v>2</v>
      </c>
      <c r="F236" s="14">
        <f ca="1">INDEX(cards[Entities count],MATCH('Group code'!C236,cards[object_id order],0))</f>
        <v>6</v>
      </c>
      <c r="G236" s="14">
        <f t="shared" ca="1" si="51"/>
        <v>1</v>
      </c>
      <c r="H236" s="14">
        <f t="shared" ca="1" si="52"/>
        <v>1</v>
      </c>
      <c r="I236" s="5" t="str">
        <f t="shared" ca="1" si="53"/>
        <v/>
      </c>
      <c r="J236" s="5">
        <f t="shared" ca="1" si="49"/>
        <v>2</v>
      </c>
      <c r="K236" s="5" t="str">
        <f t="shared" ca="1" si="54"/>
        <v/>
      </c>
      <c r="L236" s="5">
        <f t="shared" ca="1" si="55"/>
        <v>0</v>
      </c>
      <c r="M236" s="5" t="str">
        <f t="shared" ca="1" si="56"/>
        <v/>
      </c>
      <c r="N236" s="5" t="str">
        <f t="shared" ca="1" si="57"/>
        <v/>
      </c>
      <c r="O236" s="5" t="str">
        <f t="shared" ca="1" si="58"/>
        <v/>
      </c>
      <c r="P236" s="5" t="str">
        <f ca="1">VLOOKUP(G236,'Group code'!$Z$9:$AC$13,3,FALSE)</f>
        <v/>
      </c>
      <c r="Q236" s="5" t="str">
        <f t="shared" ca="1" si="59"/>
        <v xml:space="preserve">  view: </v>
      </c>
      <c r="R236" s="5" t="str">
        <f ca="1">IF(G236=0,INDEX(cards[object_id],MATCH($C236,cards[object_id order],0)),"")</f>
        <v/>
      </c>
      <c r="S236" s="5" t="str">
        <f ca="1">IF(G236=1,INDEX(cards[[name]:[control]],MATCH($C236,cards[object_id order],0),'Group code'!J236),"")</f>
        <v>yes</v>
      </c>
      <c r="T236" s="5" t="str">
        <f ca="1">IF(G236=3,INDEX(cards[[1]:[25]],MATCH($C236,cards[object_id order],0),'Group code'!I236),"")</f>
        <v/>
      </c>
      <c r="U236" s="5" t="str">
        <f ca="1">VLOOKUP(G236,'Group code'!$Z$9:$AC$13,4,FALSE)</f>
        <v/>
      </c>
      <c r="V236" s="5" t="str">
        <f ca="1">IF(J236="","",VLOOKUP(J236,'Group code'!$Z$15:$AC$18,4,FALSE))</f>
        <v/>
      </c>
      <c r="W236" s="23" t="str">
        <f t="shared" ca="1" si="60"/>
        <v xml:space="preserve">  view: yes</v>
      </c>
      <c r="X236" s="5" t="str">
        <f t="shared" ca="1" si="50"/>
        <v/>
      </c>
    </row>
    <row r="237" spans="2:24" x14ac:dyDescent="0.25">
      <c r="B237" s="5">
        <f t="shared" si="47"/>
        <v>231</v>
      </c>
      <c r="C237" s="5">
        <f t="shared" ca="1" si="61"/>
        <v>29</v>
      </c>
      <c r="D237" s="5" t="str">
        <f ca="1">INDEX(cards[Attribute Index],MATCH('Group code'!C237,cards[object_id order],0))</f>
        <v>23</v>
      </c>
      <c r="E237" s="5">
        <f t="shared" ca="1" si="48"/>
        <v>2</v>
      </c>
      <c r="F237" s="14">
        <f ca="1">INDEX(cards[Entities count],MATCH('Group code'!C237,cards[object_id order],0))</f>
        <v>6</v>
      </c>
      <c r="G237" s="14">
        <f t="shared" ca="1" si="51"/>
        <v>1</v>
      </c>
      <c r="H237" s="14">
        <f t="shared" ca="1" si="52"/>
        <v>2</v>
      </c>
      <c r="I237" s="5" t="str">
        <f t="shared" ca="1" si="53"/>
        <v/>
      </c>
      <c r="J237" s="5">
        <f t="shared" ca="1" si="49"/>
        <v>3</v>
      </c>
      <c r="K237" s="5" t="str">
        <f t="shared" ca="1" si="54"/>
        <v/>
      </c>
      <c r="L237" s="5">
        <f t="shared" ca="1" si="55"/>
        <v>1</v>
      </c>
      <c r="M237" s="5" t="str">
        <f t="shared" ca="1" si="56"/>
        <v/>
      </c>
      <c r="N237" s="5" t="str">
        <f t="shared" ca="1" si="57"/>
        <v/>
      </c>
      <c r="O237" s="5" t="str">
        <f t="shared" ca="1" si="58"/>
        <v/>
      </c>
      <c r="P237" s="5" t="str">
        <f ca="1">VLOOKUP(G237,'Group code'!$Z$9:$AC$13,3,FALSE)</f>
        <v/>
      </c>
      <c r="Q237" s="5" t="str">
        <f t="shared" ca="1" si="59"/>
        <v xml:space="preserve">  icon: </v>
      </c>
      <c r="R237" s="5" t="str">
        <f ca="1">IF(G237=0,INDEX(cards[object_id],MATCH($C237,cards[object_id order],0)),"")</f>
        <v/>
      </c>
      <c r="S237" s="5" t="str">
        <f ca="1">IF(G237=1,INDEX(cards[[name]:[control]],MATCH($C237,cards[object_id order],0),'Group code'!J237),"")</f>
        <v>mdi:access-point-network</v>
      </c>
      <c r="T237" s="5" t="str">
        <f ca="1">IF(G237=3,INDEX(cards[[1]:[25]],MATCH($C237,cards[object_id order],0),'Group code'!I237),"")</f>
        <v/>
      </c>
      <c r="U237" s="5" t="str">
        <f ca="1">VLOOKUP(G237,'Group code'!$Z$9:$AC$13,4,FALSE)</f>
        <v/>
      </c>
      <c r="V237" s="5" t="str">
        <f ca="1">IF(J237="","",VLOOKUP(J237,'Group code'!$Z$15:$AC$18,4,FALSE))</f>
        <v/>
      </c>
      <c r="W237" s="23" t="str">
        <f t="shared" ca="1" si="60"/>
        <v xml:space="preserve">  icon: mdi:access-point-network</v>
      </c>
      <c r="X237" s="5" t="str">
        <f t="shared" ca="1" si="50"/>
        <v/>
      </c>
    </row>
    <row r="238" spans="2:24" x14ac:dyDescent="0.25">
      <c r="B238" s="5">
        <f t="shared" si="47"/>
        <v>232</v>
      </c>
      <c r="C238" s="5">
        <f t="shared" ca="1" si="61"/>
        <v>29</v>
      </c>
      <c r="D238" s="5" t="str">
        <f ca="1">INDEX(cards[Attribute Index],MATCH('Group code'!C238,cards[object_id order],0))</f>
        <v>23</v>
      </c>
      <c r="E238" s="5">
        <f t="shared" ca="1" si="48"/>
        <v>2</v>
      </c>
      <c r="F238" s="14">
        <f ca="1">INDEX(cards[Entities count],MATCH('Group code'!C238,cards[object_id order],0))</f>
        <v>6</v>
      </c>
      <c r="G238" s="14">
        <f t="shared" ca="1" si="51"/>
        <v>2</v>
      </c>
      <c r="H238" s="14" t="str">
        <f t="shared" ca="1" si="52"/>
        <v/>
      </c>
      <c r="I238" s="5" t="str">
        <f t="shared" ca="1" si="53"/>
        <v/>
      </c>
      <c r="J238" s="5" t="str">
        <f t="shared" ca="1" si="49"/>
        <v/>
      </c>
      <c r="K238" s="5" t="str">
        <f t="shared" ca="1" si="54"/>
        <v/>
      </c>
      <c r="L238" s="5" t="str">
        <f t="shared" ca="1" si="55"/>
        <v/>
      </c>
      <c r="M238" s="5">
        <f t="shared" ca="1" si="56"/>
        <v>1</v>
      </c>
      <c r="N238" s="5" t="str">
        <f t="shared" ca="1" si="57"/>
        <v/>
      </c>
      <c r="O238" s="5" t="str">
        <f t="shared" ca="1" si="58"/>
        <v/>
      </c>
      <c r="P238" s="5" t="str">
        <f ca="1">VLOOKUP(G238,'Group code'!$Z$9:$AC$13,3,FALSE)</f>
        <v xml:space="preserve">  entities:</v>
      </c>
      <c r="Q238" s="5" t="str">
        <f t="shared" ca="1" si="59"/>
        <v/>
      </c>
      <c r="R238" s="5" t="str">
        <f ca="1">IF(G238=0,INDEX(cards[object_id],MATCH($C238,cards[object_id order],0)),"")</f>
        <v/>
      </c>
      <c r="S238" s="5" t="str">
        <f ca="1">IF(G238=1,INDEX(cards[[name]:[control]],MATCH($C238,cards[object_id order],0),'Group code'!J238),"")</f>
        <v/>
      </c>
      <c r="T238" s="5" t="str">
        <f ca="1">IF(G238=3,INDEX(cards[[1]:[25]],MATCH($C238,cards[object_id order],0),'Group code'!I238),"")</f>
        <v/>
      </c>
      <c r="U238" s="5" t="str">
        <f ca="1">VLOOKUP(G238,'Group code'!$Z$9:$AC$13,4,FALSE)</f>
        <v/>
      </c>
      <c r="V238" s="5" t="str">
        <f ca="1">IF(J238="","",VLOOKUP(J238,'Group code'!$Z$15:$AC$18,4,FALSE))</f>
        <v/>
      </c>
      <c r="W238" s="23" t="str">
        <f t="shared" ca="1" si="60"/>
        <v xml:space="preserve">  entities:</v>
      </c>
      <c r="X238" s="5" t="str">
        <f t="shared" ca="1" si="50"/>
        <v/>
      </c>
    </row>
    <row r="239" spans="2:24" x14ac:dyDescent="0.25">
      <c r="B239" s="5">
        <f t="shared" si="47"/>
        <v>233</v>
      </c>
      <c r="C239" s="5">
        <f t="shared" ca="1" si="61"/>
        <v>29</v>
      </c>
      <c r="D239" s="5" t="str">
        <f ca="1">INDEX(cards[Attribute Index],MATCH('Group code'!C239,cards[object_id order],0))</f>
        <v>23</v>
      </c>
      <c r="E239" s="5">
        <f t="shared" ca="1" si="48"/>
        <v>2</v>
      </c>
      <c r="F239" s="14">
        <f ca="1">INDEX(cards[Entities count],MATCH('Group code'!C239,cards[object_id order],0))</f>
        <v>6</v>
      </c>
      <c r="G239" s="14">
        <f t="shared" ca="1" si="51"/>
        <v>3</v>
      </c>
      <c r="H239" s="14" t="str">
        <f t="shared" ca="1" si="52"/>
        <v/>
      </c>
      <c r="I239" s="5">
        <f t="shared" ca="1" si="53"/>
        <v>1</v>
      </c>
      <c r="J239" s="5" t="str">
        <f t="shared" ca="1" si="49"/>
        <v/>
      </c>
      <c r="K239" s="5" t="str">
        <f t="shared" ca="1" si="54"/>
        <v/>
      </c>
      <c r="L239" s="5" t="str">
        <f t="shared" ca="1" si="55"/>
        <v/>
      </c>
      <c r="M239" s="5" t="str">
        <f t="shared" ca="1" si="56"/>
        <v/>
      </c>
      <c r="N239" s="5">
        <f t="shared" ca="1" si="57"/>
        <v>0</v>
      </c>
      <c r="O239" s="5" t="str">
        <f t="shared" ca="1" si="58"/>
        <v/>
      </c>
      <c r="P239" s="5" t="str">
        <f ca="1">VLOOKUP(G239,'Group code'!$Z$9:$AC$13,3,FALSE)</f>
        <v xml:space="preserve">    - </v>
      </c>
      <c r="Q239" s="5" t="str">
        <f t="shared" ca="1" si="59"/>
        <v/>
      </c>
      <c r="R239" s="5" t="str">
        <f ca="1">IF(G239=0,INDEX(cards[object_id],MATCH($C239,cards[object_id order],0)),"")</f>
        <v/>
      </c>
      <c r="S239" s="5" t="str">
        <f ca="1">IF(G239=1,INDEX(cards[[name]:[control]],MATCH($C239,cards[object_id order],0),'Group code'!J239),"")</f>
        <v/>
      </c>
      <c r="T239" s="5" t="str">
        <f ca="1">IF(G239=3,INDEX(cards[[1]:[25]],MATCH($C239,cards[object_id order],0),'Group code'!I239),"")</f>
        <v>group.status</v>
      </c>
      <c r="U239" s="5" t="str">
        <f ca="1">VLOOKUP(G239,'Group code'!$Z$9:$AC$13,4,FALSE)</f>
        <v/>
      </c>
      <c r="V239" s="5" t="str">
        <f ca="1">IF(J239="","",VLOOKUP(J239,'Group code'!$Z$15:$AC$18,4,FALSE))</f>
        <v/>
      </c>
      <c r="W239" s="23" t="str">
        <f t="shared" ca="1" si="60"/>
        <v xml:space="preserve">    - group.status</v>
      </c>
      <c r="X239" s="5" t="str">
        <f t="shared" ca="1" si="50"/>
        <v/>
      </c>
    </row>
    <row r="240" spans="2:24" x14ac:dyDescent="0.25">
      <c r="B240" s="5">
        <f t="shared" si="47"/>
        <v>234</v>
      </c>
      <c r="C240" s="5">
        <f t="shared" ca="1" si="61"/>
        <v>29</v>
      </c>
      <c r="D240" s="5" t="str">
        <f ca="1">INDEX(cards[Attribute Index],MATCH('Group code'!C240,cards[object_id order],0))</f>
        <v>23</v>
      </c>
      <c r="E240" s="5">
        <f t="shared" ca="1" si="48"/>
        <v>2</v>
      </c>
      <c r="F240" s="14">
        <f ca="1">INDEX(cards[Entities count],MATCH('Group code'!C240,cards[object_id order],0))</f>
        <v>6</v>
      </c>
      <c r="G240" s="14">
        <f t="shared" ca="1" si="51"/>
        <v>3</v>
      </c>
      <c r="H240" s="14" t="str">
        <f t="shared" ca="1" si="52"/>
        <v/>
      </c>
      <c r="I240" s="5">
        <f t="shared" ca="1" si="53"/>
        <v>2</v>
      </c>
      <c r="J240" s="5" t="str">
        <f t="shared" ca="1" si="49"/>
        <v/>
      </c>
      <c r="K240" s="5" t="str">
        <f t="shared" ca="1" si="54"/>
        <v/>
      </c>
      <c r="L240" s="5" t="str">
        <f t="shared" ca="1" si="55"/>
        <v/>
      </c>
      <c r="M240" s="5" t="str">
        <f t="shared" ca="1" si="56"/>
        <v/>
      </c>
      <c r="N240" s="5">
        <f t="shared" ca="1" si="57"/>
        <v>0</v>
      </c>
      <c r="O240" s="5" t="str">
        <f t="shared" ca="1" si="58"/>
        <v/>
      </c>
      <c r="P240" s="5" t="str">
        <f ca="1">VLOOKUP(G240,'Group code'!$Z$9:$AC$13,3,FALSE)</f>
        <v xml:space="preserve">    - </v>
      </c>
      <c r="Q240" s="5" t="str">
        <f t="shared" ca="1" si="59"/>
        <v/>
      </c>
      <c r="R240" s="5" t="str">
        <f ca="1">IF(G240=0,INDEX(cards[object_id],MATCH($C240,cards[object_id order],0)),"")</f>
        <v/>
      </c>
      <c r="S240" s="5" t="str">
        <f ca="1">IF(G240=1,INDEX(cards[[name]:[control]],MATCH($C240,cards[object_id order],0),'Group code'!J240),"")</f>
        <v/>
      </c>
      <c r="T240" s="5" t="str">
        <f ca="1">IF(G240=3,INDEX(cards[[1]:[25]],MATCH($C240,cards[object_id order],0),'Group code'!I240),"")</f>
        <v>group.phones</v>
      </c>
      <c r="U240" s="5" t="str">
        <f ca="1">VLOOKUP(G240,'Group code'!$Z$9:$AC$13,4,FALSE)</f>
        <v/>
      </c>
      <c r="V240" s="5" t="str">
        <f ca="1">IF(J240="","",VLOOKUP(J240,'Group code'!$Z$15:$AC$18,4,FALSE))</f>
        <v/>
      </c>
      <c r="W240" s="23" t="str">
        <f t="shared" ca="1" si="60"/>
        <v xml:space="preserve">    - group.phones</v>
      </c>
      <c r="X240" s="5" t="str">
        <f t="shared" ca="1" si="50"/>
        <v/>
      </c>
    </row>
    <row r="241" spans="2:24" x14ac:dyDescent="0.25">
      <c r="B241" s="5">
        <f t="shared" si="47"/>
        <v>235</v>
      </c>
      <c r="C241" s="5">
        <f t="shared" ca="1" si="61"/>
        <v>29</v>
      </c>
      <c r="D241" s="5" t="str">
        <f ca="1">INDEX(cards[Attribute Index],MATCH('Group code'!C241,cards[object_id order],0))</f>
        <v>23</v>
      </c>
      <c r="E241" s="5">
        <f t="shared" ca="1" si="48"/>
        <v>2</v>
      </c>
      <c r="F241" s="14">
        <f ca="1">INDEX(cards[Entities count],MATCH('Group code'!C241,cards[object_id order],0))</f>
        <v>6</v>
      </c>
      <c r="G241" s="14">
        <f t="shared" ca="1" si="51"/>
        <v>3</v>
      </c>
      <c r="H241" s="14" t="str">
        <f t="shared" ca="1" si="52"/>
        <v/>
      </c>
      <c r="I241" s="5">
        <f t="shared" ca="1" si="53"/>
        <v>3</v>
      </c>
      <c r="J241" s="5" t="str">
        <f t="shared" ca="1" si="49"/>
        <v/>
      </c>
      <c r="K241" s="5" t="str">
        <f t="shared" ca="1" si="54"/>
        <v/>
      </c>
      <c r="L241" s="5" t="str">
        <f t="shared" ca="1" si="55"/>
        <v/>
      </c>
      <c r="M241" s="5" t="str">
        <f t="shared" ca="1" si="56"/>
        <v/>
      </c>
      <c r="N241" s="5">
        <f t="shared" ca="1" si="57"/>
        <v>0</v>
      </c>
      <c r="O241" s="5" t="str">
        <f t="shared" ca="1" si="58"/>
        <v/>
      </c>
      <c r="P241" s="5" t="str">
        <f ca="1">VLOOKUP(G241,'Group code'!$Z$9:$AC$13,3,FALSE)</f>
        <v xml:space="preserve">    - </v>
      </c>
      <c r="Q241" s="5" t="str">
        <f t="shared" ca="1" si="59"/>
        <v/>
      </c>
      <c r="R241" s="5" t="str">
        <f ca="1">IF(G241=0,INDEX(cards[object_id],MATCH($C241,cards[object_id order],0)),"")</f>
        <v/>
      </c>
      <c r="S241" s="5" t="str">
        <f ca="1">IF(G241=1,INDEX(cards[[name]:[control]],MATCH($C241,cards[object_id order],0),'Group code'!J241),"")</f>
        <v/>
      </c>
      <c r="T241" s="5" t="str">
        <f ca="1">IF(G241=3,INDEX(cards[[1]:[25]],MATCH($C241,cards[object_id order],0),'Group code'!I241),"")</f>
        <v>group.personal_devices</v>
      </c>
      <c r="U241" s="5" t="str">
        <f ca="1">VLOOKUP(G241,'Group code'!$Z$9:$AC$13,4,FALSE)</f>
        <v/>
      </c>
      <c r="V241" s="5" t="str">
        <f ca="1">IF(J241="","",VLOOKUP(J241,'Group code'!$Z$15:$AC$18,4,FALSE))</f>
        <v/>
      </c>
      <c r="W241" s="23" t="str">
        <f t="shared" ca="1" si="60"/>
        <v xml:space="preserve">    - group.personal_devices</v>
      </c>
      <c r="X241" s="5" t="str">
        <f t="shared" ca="1" si="50"/>
        <v/>
      </c>
    </row>
    <row r="242" spans="2:24" x14ac:dyDescent="0.25">
      <c r="B242" s="5">
        <f t="shared" si="47"/>
        <v>236</v>
      </c>
      <c r="C242" s="5">
        <f t="shared" ca="1" si="61"/>
        <v>29</v>
      </c>
      <c r="D242" s="5" t="str">
        <f ca="1">INDEX(cards[Attribute Index],MATCH('Group code'!C242,cards[object_id order],0))</f>
        <v>23</v>
      </c>
      <c r="E242" s="5">
        <f t="shared" ca="1" si="48"/>
        <v>2</v>
      </c>
      <c r="F242" s="14">
        <f ca="1">INDEX(cards[Entities count],MATCH('Group code'!C242,cards[object_id order],0))</f>
        <v>6</v>
      </c>
      <c r="G242" s="14">
        <f t="shared" ca="1" si="51"/>
        <v>3</v>
      </c>
      <c r="H242" s="14" t="str">
        <f t="shared" ca="1" si="52"/>
        <v/>
      </c>
      <c r="I242" s="5">
        <f t="shared" ca="1" si="53"/>
        <v>4</v>
      </c>
      <c r="J242" s="5" t="str">
        <f t="shared" ca="1" si="49"/>
        <v/>
      </c>
      <c r="K242" s="5" t="str">
        <f t="shared" ca="1" si="54"/>
        <v/>
      </c>
      <c r="L242" s="5" t="str">
        <f t="shared" ca="1" si="55"/>
        <v/>
      </c>
      <c r="M242" s="5" t="str">
        <f t="shared" ca="1" si="56"/>
        <v/>
      </c>
      <c r="N242" s="5">
        <f t="shared" ca="1" si="57"/>
        <v>0</v>
      </c>
      <c r="O242" s="5" t="str">
        <f t="shared" ca="1" si="58"/>
        <v/>
      </c>
      <c r="P242" s="5" t="str">
        <f ca="1">VLOOKUP(G242,'Group code'!$Z$9:$AC$13,3,FALSE)</f>
        <v xml:space="preserve">    - </v>
      </c>
      <c r="Q242" s="5" t="str">
        <f t="shared" ca="1" si="59"/>
        <v/>
      </c>
      <c r="R242" s="5" t="str">
        <f ca="1">IF(G242=0,INDEX(cards[object_id],MATCH($C242,cards[object_id order],0)),"")</f>
        <v/>
      </c>
      <c r="S242" s="5" t="str">
        <f ca="1">IF(G242=1,INDEX(cards[[name]:[control]],MATCH($C242,cards[object_id order],0),'Group code'!J242),"")</f>
        <v/>
      </c>
      <c r="T242" s="5" t="str">
        <f ca="1">IF(G242=3,INDEX(cards[[1]:[25]],MATCH($C242,cards[object_id order],0),'Group code'!I242),"")</f>
        <v>group.iot_devices</v>
      </c>
      <c r="U242" s="5" t="str">
        <f ca="1">VLOOKUP(G242,'Group code'!$Z$9:$AC$13,4,FALSE)</f>
        <v/>
      </c>
      <c r="V242" s="5" t="str">
        <f ca="1">IF(J242="","",VLOOKUP(J242,'Group code'!$Z$15:$AC$18,4,FALSE))</f>
        <v/>
      </c>
      <c r="W242" s="23" t="str">
        <f t="shared" ca="1" si="60"/>
        <v xml:space="preserve">    - group.iot_devices</v>
      </c>
      <c r="X242" s="5" t="str">
        <f t="shared" ca="1" si="50"/>
        <v/>
      </c>
    </row>
    <row r="243" spans="2:24" x14ac:dyDescent="0.25">
      <c r="B243" s="5">
        <f t="shared" si="47"/>
        <v>237</v>
      </c>
      <c r="C243" s="5">
        <f t="shared" ca="1" si="61"/>
        <v>29</v>
      </c>
      <c r="D243" s="5" t="str">
        <f ca="1">INDEX(cards[Attribute Index],MATCH('Group code'!C243,cards[object_id order],0))</f>
        <v>23</v>
      </c>
      <c r="E243" s="5">
        <f t="shared" ca="1" si="48"/>
        <v>2</v>
      </c>
      <c r="F243" s="14">
        <f ca="1">INDEX(cards[Entities count],MATCH('Group code'!C243,cards[object_id order],0))</f>
        <v>6</v>
      </c>
      <c r="G243" s="14">
        <f t="shared" ca="1" si="51"/>
        <v>3</v>
      </c>
      <c r="H243" s="14" t="str">
        <f t="shared" ca="1" si="52"/>
        <v/>
      </c>
      <c r="I243" s="5">
        <f t="shared" ca="1" si="53"/>
        <v>5</v>
      </c>
      <c r="J243" s="5" t="str">
        <f t="shared" ca="1" si="49"/>
        <v/>
      </c>
      <c r="K243" s="5" t="str">
        <f t="shared" ca="1" si="54"/>
        <v/>
      </c>
      <c r="L243" s="5" t="str">
        <f t="shared" ca="1" si="55"/>
        <v/>
      </c>
      <c r="M243" s="5" t="str">
        <f t="shared" ca="1" si="56"/>
        <v/>
      </c>
      <c r="N243" s="5">
        <f t="shared" ca="1" si="57"/>
        <v>0</v>
      </c>
      <c r="O243" s="5" t="str">
        <f t="shared" ca="1" si="58"/>
        <v/>
      </c>
      <c r="P243" s="5" t="str">
        <f ca="1">VLOOKUP(G243,'Group code'!$Z$9:$AC$13,3,FALSE)</f>
        <v xml:space="preserve">    - </v>
      </c>
      <c r="Q243" s="5" t="str">
        <f t="shared" ca="1" si="59"/>
        <v/>
      </c>
      <c r="R243" s="5" t="str">
        <f ca="1">IF(G243=0,INDEX(cards[object_id],MATCH($C243,cards[object_id order],0)),"")</f>
        <v/>
      </c>
      <c r="S243" s="5" t="str">
        <f ca="1">IF(G243=1,INDEX(cards[[name]:[control]],MATCH($C243,cards[object_id order],0),'Group code'!J243),"")</f>
        <v/>
      </c>
      <c r="T243" s="5" t="str">
        <f ca="1">IF(G243=3,INDEX(cards[[1]:[25]],MATCH($C243,cards[object_id order],0),'Group code'!I243),"")</f>
        <v>group.network</v>
      </c>
      <c r="U243" s="5" t="str">
        <f ca="1">VLOOKUP(G243,'Group code'!$Z$9:$AC$13,4,FALSE)</f>
        <v/>
      </c>
      <c r="V243" s="5" t="str">
        <f ca="1">IF(J243="","",VLOOKUP(J243,'Group code'!$Z$15:$AC$18,4,FALSE))</f>
        <v/>
      </c>
      <c r="W243" s="23" t="str">
        <f t="shared" ca="1" si="60"/>
        <v xml:space="preserve">    - group.network</v>
      </c>
      <c r="X243" s="5" t="str">
        <f t="shared" ca="1" si="50"/>
        <v/>
      </c>
    </row>
    <row r="244" spans="2:24" x14ac:dyDescent="0.25">
      <c r="B244" s="5">
        <f t="shared" si="47"/>
        <v>238</v>
      </c>
      <c r="C244" s="5">
        <f t="shared" ca="1" si="61"/>
        <v>29</v>
      </c>
      <c r="D244" s="5" t="str">
        <f ca="1">INDEX(cards[Attribute Index],MATCH('Group code'!C244,cards[object_id order],0))</f>
        <v>23</v>
      </c>
      <c r="E244" s="5">
        <f t="shared" ca="1" si="48"/>
        <v>2</v>
      </c>
      <c r="F244" s="14">
        <f ca="1">INDEX(cards[Entities count],MATCH('Group code'!C244,cards[object_id order],0))</f>
        <v>6</v>
      </c>
      <c r="G244" s="14">
        <f t="shared" ca="1" si="51"/>
        <v>3</v>
      </c>
      <c r="H244" s="14" t="str">
        <f t="shared" ca="1" si="52"/>
        <v/>
      </c>
      <c r="I244" s="5">
        <f t="shared" ca="1" si="53"/>
        <v>6</v>
      </c>
      <c r="J244" s="5" t="str">
        <f t="shared" ca="1" si="49"/>
        <v/>
      </c>
      <c r="K244" s="5" t="str">
        <f t="shared" ca="1" si="54"/>
        <v/>
      </c>
      <c r="L244" s="5" t="str">
        <f t="shared" ca="1" si="55"/>
        <v/>
      </c>
      <c r="M244" s="5" t="str">
        <f t="shared" ca="1" si="56"/>
        <v/>
      </c>
      <c r="N244" s="5">
        <f t="shared" ca="1" si="57"/>
        <v>1</v>
      </c>
      <c r="O244" s="5" t="str">
        <f t="shared" ca="1" si="58"/>
        <v/>
      </c>
      <c r="P244" s="5" t="str">
        <f ca="1">VLOOKUP(G244,'Group code'!$Z$9:$AC$13,3,FALSE)</f>
        <v xml:space="preserve">    - </v>
      </c>
      <c r="Q244" s="5" t="str">
        <f t="shared" ca="1" si="59"/>
        <v/>
      </c>
      <c r="R244" s="5" t="str">
        <f ca="1">IF(G244=0,INDEX(cards[object_id],MATCH($C244,cards[object_id order],0)),"")</f>
        <v/>
      </c>
      <c r="S244" s="5" t="str">
        <f ca="1">IF(G244=1,INDEX(cards[[name]:[control]],MATCH($C244,cards[object_id order],0),'Group code'!J244),"")</f>
        <v/>
      </c>
      <c r="T244" s="5" t="str">
        <f ca="1">IF(G244=3,INDEX(cards[[1]:[25]],MATCH($C244,cards[object_id order],0),'Group code'!I244),"")</f>
        <v>group.host_device</v>
      </c>
      <c r="U244" s="5" t="str">
        <f ca="1">VLOOKUP(G244,'Group code'!$Z$9:$AC$13,4,FALSE)</f>
        <v/>
      </c>
      <c r="V244" s="5" t="str">
        <f ca="1">IF(J244="","",VLOOKUP(J244,'Group code'!$Z$15:$AC$18,4,FALSE))</f>
        <v/>
      </c>
      <c r="W244" s="23" t="str">
        <f t="shared" ca="1" si="60"/>
        <v xml:space="preserve">    - group.host_device</v>
      </c>
      <c r="X244" s="5" t="str">
        <f t="shared" ca="1" si="50"/>
        <v/>
      </c>
    </row>
    <row r="245" spans="2:24" x14ac:dyDescent="0.25">
      <c r="B245" s="5">
        <f t="shared" si="47"/>
        <v>239</v>
      </c>
      <c r="C245" s="5">
        <f t="shared" ca="1" si="61"/>
        <v>29</v>
      </c>
      <c r="D245" s="5" t="str">
        <f ca="1">INDEX(cards[Attribute Index],MATCH('Group code'!C245,cards[object_id order],0))</f>
        <v>23</v>
      </c>
      <c r="E245" s="5">
        <f t="shared" ca="1" si="48"/>
        <v>2</v>
      </c>
      <c r="F245" s="14">
        <f ca="1">INDEX(cards[Entities count],MATCH('Group code'!C245,cards[object_id order],0))</f>
        <v>6</v>
      </c>
      <c r="G245" s="14">
        <f t="shared" ca="1" si="51"/>
        <v>4</v>
      </c>
      <c r="H245" s="14" t="str">
        <f t="shared" ca="1" si="52"/>
        <v/>
      </c>
      <c r="I245" s="5" t="str">
        <f t="shared" ca="1" si="53"/>
        <v/>
      </c>
      <c r="J245" s="5" t="str">
        <f t="shared" ca="1" si="49"/>
        <v/>
      </c>
      <c r="K245" s="5" t="str">
        <f t="shared" ca="1" si="54"/>
        <v/>
      </c>
      <c r="L245" s="5" t="str">
        <f t="shared" ca="1" si="55"/>
        <v/>
      </c>
      <c r="M245" s="5" t="str">
        <f t="shared" ca="1" si="56"/>
        <v/>
      </c>
      <c r="N245" s="5" t="str">
        <f t="shared" ca="1" si="57"/>
        <v/>
      </c>
      <c r="O245" s="5">
        <f t="shared" ca="1" si="58"/>
        <v>-4</v>
      </c>
      <c r="P245" s="5" t="str">
        <f ca="1">VLOOKUP(G245,'Group code'!$Z$9:$AC$13,3,FALSE)</f>
        <v/>
      </c>
      <c r="Q245" s="5" t="str">
        <f t="shared" ca="1" si="59"/>
        <v/>
      </c>
      <c r="R245" s="5" t="str">
        <f ca="1">IF(G245=0,INDEX(cards[object_id],MATCH($C245,cards[object_id order],0)),"")</f>
        <v/>
      </c>
      <c r="S245" s="5" t="str">
        <f ca="1">IF(G245=1,INDEX(cards[[name]:[control]],MATCH($C245,cards[object_id order],0),'Group code'!J245),"")</f>
        <v/>
      </c>
      <c r="T245" s="5" t="str">
        <f ca="1">IF(G245=3,INDEX(cards[[1]:[25]],MATCH($C245,cards[object_id order],0),'Group code'!I245),"")</f>
        <v/>
      </c>
      <c r="U245" s="5" t="str">
        <f ca="1">VLOOKUP(G245,'Group code'!$Z$9:$AC$13,4,FALSE)</f>
        <v/>
      </c>
      <c r="V245" s="5" t="str">
        <f ca="1">IF(J245="","",VLOOKUP(J245,'Group code'!$Z$15:$AC$18,4,FALSE))</f>
        <v/>
      </c>
      <c r="W245" s="23" t="str">
        <f t="shared" ca="1" si="60"/>
        <v/>
      </c>
      <c r="X245" s="5" t="str">
        <f ca="1">IF(AND(NOT(ISNA(F245)),ISNA(F246)),"END","")</f>
        <v>END</v>
      </c>
    </row>
    <row r="246" spans="2:24" x14ac:dyDescent="0.25">
      <c r="B246" s="5">
        <f t="shared" si="47"/>
        <v>240</v>
      </c>
      <c r="C246" s="5">
        <f t="shared" ca="1" si="61"/>
        <v>30</v>
      </c>
      <c r="D246" s="5" t="e">
        <f ca="1">INDEX(cards[Attribute Index],MATCH('Group code'!C246,cards[object_id order],0))</f>
        <v>#N/A</v>
      </c>
      <c r="E246" s="5" t="e">
        <f t="shared" ca="1" si="48"/>
        <v>#N/A</v>
      </c>
      <c r="F246" s="14" t="e">
        <f ca="1">INDEX(cards[Entities count],MATCH('Group code'!C246,cards[object_id order],0))</f>
        <v>#N/A</v>
      </c>
      <c r="G246" s="14">
        <f t="shared" ca="1" si="51"/>
        <v>0</v>
      </c>
      <c r="H246" s="14" t="str">
        <f t="shared" ca="1" si="52"/>
        <v/>
      </c>
      <c r="I246" s="5" t="str">
        <f t="shared" ca="1" si="53"/>
        <v/>
      </c>
      <c r="J246" s="5" t="str">
        <f t="shared" ca="1" si="49"/>
        <v/>
      </c>
      <c r="K246" s="5" t="e">
        <f t="shared" ca="1" si="54"/>
        <v>#N/A</v>
      </c>
      <c r="L246" s="5" t="str">
        <f t="shared" ca="1" si="55"/>
        <v/>
      </c>
      <c r="M246" s="5" t="str">
        <f t="shared" ca="1" si="56"/>
        <v/>
      </c>
      <c r="N246" s="5" t="str">
        <f t="shared" ca="1" si="57"/>
        <v/>
      </c>
      <c r="O246" s="5" t="str">
        <f t="shared" ca="1" si="58"/>
        <v/>
      </c>
      <c r="P246" s="5" t="str">
        <f ca="1">VLOOKUP(G246,'Group code'!$Z$9:$AC$13,3,FALSE)</f>
        <v/>
      </c>
      <c r="Q246" s="5" t="str">
        <f t="shared" ca="1" si="59"/>
        <v/>
      </c>
      <c r="R246" s="5" t="e">
        <f ca="1">IF(G246=0,INDEX(cards[object_id],MATCH($C246,cards[object_id order],0)),"")</f>
        <v>#N/A</v>
      </c>
      <c r="S246" s="5" t="str">
        <f ca="1">IF(G246=1,INDEX(cards[[name]:[control]],MATCH($C246,cards[object_id order],0),'Group code'!J246),"")</f>
        <v/>
      </c>
      <c r="T246" s="5" t="str">
        <f ca="1">IF(G246=3,INDEX(cards[[1]:[25]],MATCH($C246,cards[object_id order],0),'Group code'!I246),"")</f>
        <v/>
      </c>
      <c r="U246" s="5" t="str">
        <f ca="1">VLOOKUP(G246,'Group code'!$Z$9:$AC$13,4,FALSE)</f>
        <v>:</v>
      </c>
      <c r="V246" s="5" t="str">
        <f ca="1">IF(J246="","",VLOOKUP(J246,'Group code'!$Z$15:$AC$18,4,FALSE))</f>
        <v/>
      </c>
      <c r="W246" s="23" t="str">
        <f t="shared" ca="1" si="60"/>
        <v/>
      </c>
      <c r="X246" s="5" t="str">
        <f t="shared" ref="X246:X309" ca="1" si="62">IF(AND(NOT(ISNA(F246)),ISNA(F247)),"END","")</f>
        <v/>
      </c>
    </row>
    <row r="247" spans="2:24" x14ac:dyDescent="0.25">
      <c r="B247" s="5">
        <f t="shared" si="47"/>
        <v>241</v>
      </c>
      <c r="C247" s="5">
        <f t="shared" ca="1" si="61"/>
        <v>30</v>
      </c>
      <c r="D247" s="5" t="e">
        <f ca="1">INDEX(cards[Attribute Index],MATCH('Group code'!C247,cards[object_id order],0))</f>
        <v>#N/A</v>
      </c>
      <c r="E247" s="5" t="e">
        <f t="shared" ca="1" si="48"/>
        <v>#N/A</v>
      </c>
      <c r="F247" s="14" t="e">
        <f ca="1">INDEX(cards[Entities count],MATCH('Group code'!C247,cards[object_id order],0))</f>
        <v>#N/A</v>
      </c>
      <c r="G247" s="14" t="e">
        <f t="shared" ca="1" si="51"/>
        <v>#N/A</v>
      </c>
      <c r="H247" s="14" t="e">
        <f t="shared" ca="1" si="52"/>
        <v>#N/A</v>
      </c>
      <c r="I247" s="5" t="e">
        <f t="shared" ca="1" si="53"/>
        <v>#N/A</v>
      </c>
      <c r="J247" s="5" t="e">
        <f t="shared" ca="1" si="49"/>
        <v>#N/A</v>
      </c>
      <c r="K247" s="5" t="e">
        <f t="shared" ca="1" si="54"/>
        <v>#N/A</v>
      </c>
      <c r="L247" s="5" t="e">
        <f t="shared" ca="1" si="55"/>
        <v>#N/A</v>
      </c>
      <c r="M247" s="5" t="e">
        <f t="shared" ca="1" si="56"/>
        <v>#N/A</v>
      </c>
      <c r="N247" s="5" t="e">
        <f t="shared" ca="1" si="57"/>
        <v>#N/A</v>
      </c>
      <c r="O247" s="5" t="e">
        <f t="shared" ca="1" si="58"/>
        <v>#N/A</v>
      </c>
      <c r="P247" s="5" t="e">
        <f ca="1">VLOOKUP(G247,'Group code'!$Z$9:$AC$13,3,FALSE)</f>
        <v>#N/A</v>
      </c>
      <c r="Q247" s="5" t="e">
        <f t="shared" ca="1" si="59"/>
        <v>#N/A</v>
      </c>
      <c r="R247" s="5" t="e">
        <f ca="1">IF(G247=0,INDEX(cards[object_id],MATCH($C247,cards[object_id order],0)),"")</f>
        <v>#N/A</v>
      </c>
      <c r="S247" s="5" t="e">
        <f ca="1">IF(G247=1,INDEX(cards[[name]:[control]],MATCH($C247,cards[object_id order],0),'Group code'!J247),"")</f>
        <v>#N/A</v>
      </c>
      <c r="T247" s="5" t="e">
        <f ca="1">IF(G247=3,INDEX(cards[[1]:[25]],MATCH($C247,cards[object_id order],0),'Group code'!I247),"")</f>
        <v>#N/A</v>
      </c>
      <c r="U247" s="5" t="e">
        <f ca="1">VLOOKUP(G247,'Group code'!$Z$9:$AC$13,4,FALSE)</f>
        <v>#N/A</v>
      </c>
      <c r="V247" s="5" t="e">
        <f ca="1">IF(J247="","",VLOOKUP(J247,'Group code'!$Z$15:$AC$18,4,FALSE))</f>
        <v>#N/A</v>
      </c>
      <c r="W247" s="23" t="str">
        <f t="shared" ca="1" si="60"/>
        <v/>
      </c>
      <c r="X247" s="5" t="str">
        <f t="shared" ca="1" si="62"/>
        <v/>
      </c>
    </row>
    <row r="248" spans="2:24" x14ac:dyDescent="0.25">
      <c r="B248" s="5">
        <f t="shared" si="47"/>
        <v>242</v>
      </c>
      <c r="C248" s="5" t="e">
        <f t="shared" ca="1" si="61"/>
        <v>#N/A</v>
      </c>
      <c r="D248" s="5" t="e">
        <f ca="1">INDEX(cards[Attribute Index],MATCH('Group code'!C248,cards[object_id order],0))</f>
        <v>#N/A</v>
      </c>
      <c r="E248" s="5" t="e">
        <f t="shared" ca="1" si="48"/>
        <v>#N/A</v>
      </c>
      <c r="F248" s="14" t="e">
        <f ca="1">INDEX(cards[Entities count],MATCH('Group code'!C248,cards[object_id order],0))</f>
        <v>#N/A</v>
      </c>
      <c r="G248" s="14" t="e">
        <f t="shared" ca="1" si="51"/>
        <v>#N/A</v>
      </c>
      <c r="H248" s="14" t="e">
        <f t="shared" ca="1" si="52"/>
        <v>#N/A</v>
      </c>
      <c r="I248" s="5" t="e">
        <f t="shared" ca="1" si="53"/>
        <v>#N/A</v>
      </c>
      <c r="J248" s="5" t="e">
        <f t="shared" ca="1" si="49"/>
        <v>#N/A</v>
      </c>
      <c r="K248" s="5" t="e">
        <f t="shared" ca="1" si="54"/>
        <v>#N/A</v>
      </c>
      <c r="L248" s="5" t="e">
        <f t="shared" ca="1" si="55"/>
        <v>#N/A</v>
      </c>
      <c r="M248" s="5" t="e">
        <f t="shared" ca="1" si="56"/>
        <v>#N/A</v>
      </c>
      <c r="N248" s="5" t="e">
        <f t="shared" ca="1" si="57"/>
        <v>#N/A</v>
      </c>
      <c r="O248" s="5" t="e">
        <f t="shared" ca="1" si="58"/>
        <v>#N/A</v>
      </c>
      <c r="P248" s="5" t="e">
        <f ca="1">VLOOKUP(G248,'Group code'!$Z$9:$AC$13,3,FALSE)</f>
        <v>#N/A</v>
      </c>
      <c r="Q248" s="5" t="e">
        <f t="shared" ca="1" si="59"/>
        <v>#N/A</v>
      </c>
      <c r="R248" s="5" t="e">
        <f ca="1">IF(G248=0,INDEX(cards[object_id],MATCH($C248,cards[object_id order],0)),"")</f>
        <v>#N/A</v>
      </c>
      <c r="S248" s="5" t="e">
        <f ca="1">IF(G248=1,INDEX(cards[[name]:[control]],MATCH($C248,cards[object_id order],0),'Group code'!J248),"")</f>
        <v>#N/A</v>
      </c>
      <c r="T248" s="5" t="e">
        <f ca="1">IF(G248=3,INDEX(cards[[1]:[25]],MATCH($C248,cards[object_id order],0),'Group code'!I248),"")</f>
        <v>#N/A</v>
      </c>
      <c r="U248" s="5" t="e">
        <f ca="1">VLOOKUP(G248,'Group code'!$Z$9:$AC$13,4,FALSE)</f>
        <v>#N/A</v>
      </c>
      <c r="V248" s="5" t="e">
        <f ca="1">IF(J248="","",VLOOKUP(J248,'Group code'!$Z$15:$AC$18,4,FALSE))</f>
        <v>#N/A</v>
      </c>
      <c r="W248" s="23" t="str">
        <f t="shared" ca="1" si="60"/>
        <v/>
      </c>
      <c r="X248" s="5" t="str">
        <f t="shared" ca="1" si="62"/>
        <v/>
      </c>
    </row>
    <row r="249" spans="2:24" x14ac:dyDescent="0.25">
      <c r="B249" s="5">
        <f t="shared" si="47"/>
        <v>243</v>
      </c>
      <c r="C249" s="5" t="e">
        <f t="shared" ca="1" si="61"/>
        <v>#N/A</v>
      </c>
      <c r="D249" s="5" t="e">
        <f ca="1">INDEX(cards[Attribute Index],MATCH('Group code'!C249,cards[object_id order],0))</f>
        <v>#N/A</v>
      </c>
      <c r="E249" s="5" t="e">
        <f t="shared" ca="1" si="48"/>
        <v>#N/A</v>
      </c>
      <c r="F249" s="14" t="e">
        <f ca="1">INDEX(cards[Entities count],MATCH('Group code'!C249,cards[object_id order],0))</f>
        <v>#N/A</v>
      </c>
      <c r="G249" s="14" t="e">
        <f t="shared" ca="1" si="51"/>
        <v>#N/A</v>
      </c>
      <c r="H249" s="14" t="e">
        <f t="shared" ca="1" si="52"/>
        <v>#N/A</v>
      </c>
      <c r="I249" s="5" t="e">
        <f t="shared" ca="1" si="53"/>
        <v>#N/A</v>
      </c>
      <c r="J249" s="5" t="e">
        <f t="shared" ca="1" si="49"/>
        <v>#N/A</v>
      </c>
      <c r="K249" s="5" t="e">
        <f t="shared" ca="1" si="54"/>
        <v>#N/A</v>
      </c>
      <c r="L249" s="5" t="e">
        <f t="shared" ca="1" si="55"/>
        <v>#N/A</v>
      </c>
      <c r="M249" s="5" t="e">
        <f t="shared" ca="1" si="56"/>
        <v>#N/A</v>
      </c>
      <c r="N249" s="5" t="e">
        <f t="shared" ca="1" si="57"/>
        <v>#N/A</v>
      </c>
      <c r="O249" s="5" t="e">
        <f t="shared" ca="1" si="58"/>
        <v>#N/A</v>
      </c>
      <c r="P249" s="5" t="e">
        <f ca="1">VLOOKUP(G249,'Group code'!$Z$9:$AC$13,3,FALSE)</f>
        <v>#N/A</v>
      </c>
      <c r="Q249" s="5" t="e">
        <f t="shared" ca="1" si="59"/>
        <v>#N/A</v>
      </c>
      <c r="R249" s="5" t="e">
        <f ca="1">IF(G249=0,INDEX(cards[object_id],MATCH($C249,cards[object_id order],0)),"")</f>
        <v>#N/A</v>
      </c>
      <c r="S249" s="5" t="e">
        <f ca="1">IF(G249=1,INDEX(cards[[name]:[control]],MATCH($C249,cards[object_id order],0),'Group code'!J249),"")</f>
        <v>#N/A</v>
      </c>
      <c r="T249" s="5" t="e">
        <f ca="1">IF(G249=3,INDEX(cards[[1]:[25]],MATCH($C249,cards[object_id order],0),'Group code'!I249),"")</f>
        <v>#N/A</v>
      </c>
      <c r="U249" s="5" t="e">
        <f ca="1">VLOOKUP(G249,'Group code'!$Z$9:$AC$13,4,FALSE)</f>
        <v>#N/A</v>
      </c>
      <c r="V249" s="5" t="e">
        <f ca="1">IF(J249="","",VLOOKUP(J249,'Group code'!$Z$15:$AC$18,4,FALSE))</f>
        <v>#N/A</v>
      </c>
      <c r="W249" s="23" t="str">
        <f t="shared" ca="1" si="60"/>
        <v/>
      </c>
      <c r="X249" s="5" t="str">
        <f t="shared" ca="1" si="62"/>
        <v/>
      </c>
    </row>
    <row r="250" spans="2:24" x14ac:dyDescent="0.25">
      <c r="B250" s="5">
        <f t="shared" si="47"/>
        <v>244</v>
      </c>
      <c r="C250" s="5" t="e">
        <f t="shared" ca="1" si="61"/>
        <v>#N/A</v>
      </c>
      <c r="D250" s="5" t="e">
        <f ca="1">INDEX(cards[Attribute Index],MATCH('Group code'!C250,cards[object_id order],0))</f>
        <v>#N/A</v>
      </c>
      <c r="E250" s="5" t="e">
        <f t="shared" ca="1" si="48"/>
        <v>#N/A</v>
      </c>
      <c r="F250" s="14" t="e">
        <f ca="1">INDEX(cards[Entities count],MATCH('Group code'!C250,cards[object_id order],0))</f>
        <v>#N/A</v>
      </c>
      <c r="G250" s="14" t="e">
        <f t="shared" ca="1" si="51"/>
        <v>#N/A</v>
      </c>
      <c r="H250" s="14" t="e">
        <f t="shared" ca="1" si="52"/>
        <v>#N/A</v>
      </c>
      <c r="I250" s="5" t="e">
        <f t="shared" ca="1" si="53"/>
        <v>#N/A</v>
      </c>
      <c r="J250" s="5" t="e">
        <f t="shared" ca="1" si="49"/>
        <v>#N/A</v>
      </c>
      <c r="K250" s="5" t="e">
        <f t="shared" ca="1" si="54"/>
        <v>#N/A</v>
      </c>
      <c r="L250" s="5" t="e">
        <f t="shared" ca="1" si="55"/>
        <v>#N/A</v>
      </c>
      <c r="M250" s="5" t="e">
        <f t="shared" ca="1" si="56"/>
        <v>#N/A</v>
      </c>
      <c r="N250" s="5" t="e">
        <f t="shared" ca="1" si="57"/>
        <v>#N/A</v>
      </c>
      <c r="O250" s="5" t="e">
        <f t="shared" ca="1" si="58"/>
        <v>#N/A</v>
      </c>
      <c r="P250" s="5" t="e">
        <f ca="1">VLOOKUP(G250,'Group code'!$Z$9:$AC$13,3,FALSE)</f>
        <v>#N/A</v>
      </c>
      <c r="Q250" s="5" t="e">
        <f t="shared" ca="1" si="59"/>
        <v>#N/A</v>
      </c>
      <c r="R250" s="5" t="e">
        <f ca="1">IF(G250=0,INDEX(cards[object_id],MATCH($C250,cards[object_id order],0)),"")</f>
        <v>#N/A</v>
      </c>
      <c r="S250" s="5" t="e">
        <f ca="1">IF(G250=1,INDEX(cards[[name]:[control]],MATCH($C250,cards[object_id order],0),'Group code'!J250),"")</f>
        <v>#N/A</v>
      </c>
      <c r="T250" s="5" t="e">
        <f ca="1">IF(G250=3,INDEX(cards[[1]:[25]],MATCH($C250,cards[object_id order],0),'Group code'!I250),"")</f>
        <v>#N/A</v>
      </c>
      <c r="U250" s="5" t="e">
        <f ca="1">VLOOKUP(G250,'Group code'!$Z$9:$AC$13,4,FALSE)</f>
        <v>#N/A</v>
      </c>
      <c r="V250" s="5" t="e">
        <f ca="1">IF(J250="","",VLOOKUP(J250,'Group code'!$Z$15:$AC$18,4,FALSE))</f>
        <v>#N/A</v>
      </c>
      <c r="W250" s="23" t="str">
        <f t="shared" ca="1" si="60"/>
        <v/>
      </c>
      <c r="X250" s="5" t="str">
        <f t="shared" ca="1" si="62"/>
        <v/>
      </c>
    </row>
    <row r="251" spans="2:24" x14ac:dyDescent="0.25">
      <c r="B251" s="5">
        <f t="shared" si="47"/>
        <v>245</v>
      </c>
      <c r="C251" s="5" t="e">
        <f t="shared" ca="1" si="61"/>
        <v>#N/A</v>
      </c>
      <c r="D251" s="5" t="e">
        <f ca="1">INDEX(cards[Attribute Index],MATCH('Group code'!C251,cards[object_id order],0))</f>
        <v>#N/A</v>
      </c>
      <c r="E251" s="5" t="e">
        <f t="shared" ca="1" si="48"/>
        <v>#N/A</v>
      </c>
      <c r="F251" s="14" t="e">
        <f ca="1">INDEX(cards[Entities count],MATCH('Group code'!C251,cards[object_id order],0))</f>
        <v>#N/A</v>
      </c>
      <c r="G251" s="14" t="e">
        <f t="shared" ca="1" si="51"/>
        <v>#N/A</v>
      </c>
      <c r="H251" s="14" t="e">
        <f t="shared" ca="1" si="52"/>
        <v>#N/A</v>
      </c>
      <c r="I251" s="5" t="e">
        <f t="shared" ca="1" si="53"/>
        <v>#N/A</v>
      </c>
      <c r="J251" s="5" t="e">
        <f t="shared" ca="1" si="49"/>
        <v>#N/A</v>
      </c>
      <c r="K251" s="5" t="e">
        <f t="shared" ca="1" si="54"/>
        <v>#N/A</v>
      </c>
      <c r="L251" s="5" t="e">
        <f t="shared" ca="1" si="55"/>
        <v>#N/A</v>
      </c>
      <c r="M251" s="5" t="e">
        <f t="shared" ca="1" si="56"/>
        <v>#N/A</v>
      </c>
      <c r="N251" s="5" t="e">
        <f t="shared" ca="1" si="57"/>
        <v>#N/A</v>
      </c>
      <c r="O251" s="5" t="e">
        <f t="shared" ca="1" si="58"/>
        <v>#N/A</v>
      </c>
      <c r="P251" s="5" t="e">
        <f ca="1">VLOOKUP(G251,'Group code'!$Z$9:$AC$13,3,FALSE)</f>
        <v>#N/A</v>
      </c>
      <c r="Q251" s="5" t="e">
        <f t="shared" ca="1" si="59"/>
        <v>#N/A</v>
      </c>
      <c r="R251" s="5" t="e">
        <f ca="1">IF(G251=0,INDEX(cards[object_id],MATCH($C251,cards[object_id order],0)),"")</f>
        <v>#N/A</v>
      </c>
      <c r="S251" s="5" t="e">
        <f ca="1">IF(G251=1,INDEX(cards[[name]:[control]],MATCH($C251,cards[object_id order],0),'Group code'!J251),"")</f>
        <v>#N/A</v>
      </c>
      <c r="T251" s="5" t="e">
        <f ca="1">IF(G251=3,INDEX(cards[[1]:[25]],MATCH($C251,cards[object_id order],0),'Group code'!I251),"")</f>
        <v>#N/A</v>
      </c>
      <c r="U251" s="5" t="e">
        <f ca="1">VLOOKUP(G251,'Group code'!$Z$9:$AC$13,4,FALSE)</f>
        <v>#N/A</v>
      </c>
      <c r="V251" s="5" t="e">
        <f ca="1">IF(J251="","",VLOOKUP(J251,'Group code'!$Z$15:$AC$18,4,FALSE))</f>
        <v>#N/A</v>
      </c>
      <c r="W251" s="23" t="str">
        <f t="shared" ca="1" si="60"/>
        <v/>
      </c>
      <c r="X251" s="5" t="str">
        <f t="shared" ca="1" si="62"/>
        <v/>
      </c>
    </row>
    <row r="252" spans="2:24" x14ac:dyDescent="0.25">
      <c r="B252" s="5">
        <f t="shared" si="47"/>
        <v>246</v>
      </c>
      <c r="C252" s="5" t="e">
        <f t="shared" ca="1" si="61"/>
        <v>#N/A</v>
      </c>
      <c r="D252" s="5" t="e">
        <f ca="1">INDEX(cards[Attribute Index],MATCH('Group code'!C252,cards[object_id order],0))</f>
        <v>#N/A</v>
      </c>
      <c r="E252" s="5" t="e">
        <f t="shared" ca="1" si="48"/>
        <v>#N/A</v>
      </c>
      <c r="F252" s="14" t="e">
        <f ca="1">INDEX(cards[Entities count],MATCH('Group code'!C252,cards[object_id order],0))</f>
        <v>#N/A</v>
      </c>
      <c r="G252" s="14" t="e">
        <f t="shared" ca="1" si="51"/>
        <v>#N/A</v>
      </c>
      <c r="H252" s="14" t="e">
        <f t="shared" ca="1" si="52"/>
        <v>#N/A</v>
      </c>
      <c r="I252" s="5" t="e">
        <f t="shared" ca="1" si="53"/>
        <v>#N/A</v>
      </c>
      <c r="J252" s="5" t="e">
        <f t="shared" ca="1" si="49"/>
        <v>#N/A</v>
      </c>
      <c r="K252" s="5" t="e">
        <f t="shared" ca="1" si="54"/>
        <v>#N/A</v>
      </c>
      <c r="L252" s="5" t="e">
        <f t="shared" ca="1" si="55"/>
        <v>#N/A</v>
      </c>
      <c r="M252" s="5" t="e">
        <f t="shared" ca="1" si="56"/>
        <v>#N/A</v>
      </c>
      <c r="N252" s="5" t="e">
        <f t="shared" ca="1" si="57"/>
        <v>#N/A</v>
      </c>
      <c r="O252" s="5" t="e">
        <f t="shared" ca="1" si="58"/>
        <v>#N/A</v>
      </c>
      <c r="P252" s="5" t="e">
        <f ca="1">VLOOKUP(G252,'Group code'!$Z$9:$AC$13,3,FALSE)</f>
        <v>#N/A</v>
      </c>
      <c r="Q252" s="5" t="e">
        <f t="shared" ca="1" si="59"/>
        <v>#N/A</v>
      </c>
      <c r="R252" s="5" t="e">
        <f ca="1">IF(G252=0,INDEX(cards[object_id],MATCH($C252,cards[object_id order],0)),"")</f>
        <v>#N/A</v>
      </c>
      <c r="S252" s="5" t="e">
        <f ca="1">IF(G252=1,INDEX(cards[[name]:[control]],MATCH($C252,cards[object_id order],0),'Group code'!J252),"")</f>
        <v>#N/A</v>
      </c>
      <c r="T252" s="5" t="e">
        <f ca="1">IF(G252=3,INDEX(cards[[1]:[25]],MATCH($C252,cards[object_id order],0),'Group code'!I252),"")</f>
        <v>#N/A</v>
      </c>
      <c r="U252" s="5" t="e">
        <f ca="1">VLOOKUP(G252,'Group code'!$Z$9:$AC$13,4,FALSE)</f>
        <v>#N/A</v>
      </c>
      <c r="V252" s="5" t="e">
        <f ca="1">IF(J252="","",VLOOKUP(J252,'Group code'!$Z$15:$AC$18,4,FALSE))</f>
        <v>#N/A</v>
      </c>
      <c r="W252" s="23" t="str">
        <f t="shared" ca="1" si="60"/>
        <v/>
      </c>
      <c r="X252" s="5" t="str">
        <f t="shared" ca="1" si="62"/>
        <v/>
      </c>
    </row>
    <row r="253" spans="2:24" x14ac:dyDescent="0.25">
      <c r="B253" s="5">
        <f t="shared" si="47"/>
        <v>247</v>
      </c>
      <c r="C253" s="5" t="e">
        <f t="shared" ca="1" si="61"/>
        <v>#N/A</v>
      </c>
      <c r="D253" s="5" t="e">
        <f ca="1">INDEX(cards[Attribute Index],MATCH('Group code'!C253,cards[object_id order],0))</f>
        <v>#N/A</v>
      </c>
      <c r="E253" s="5" t="e">
        <f t="shared" ca="1" si="48"/>
        <v>#N/A</v>
      </c>
      <c r="F253" s="14" t="e">
        <f ca="1">INDEX(cards[Entities count],MATCH('Group code'!C253,cards[object_id order],0))</f>
        <v>#N/A</v>
      </c>
      <c r="G253" s="14" t="e">
        <f t="shared" ca="1" si="51"/>
        <v>#N/A</v>
      </c>
      <c r="H253" s="14" t="e">
        <f t="shared" ca="1" si="52"/>
        <v>#N/A</v>
      </c>
      <c r="I253" s="5" t="e">
        <f t="shared" ca="1" si="53"/>
        <v>#N/A</v>
      </c>
      <c r="J253" s="5" t="e">
        <f t="shared" ca="1" si="49"/>
        <v>#N/A</v>
      </c>
      <c r="K253" s="5" t="e">
        <f t="shared" ca="1" si="54"/>
        <v>#N/A</v>
      </c>
      <c r="L253" s="5" t="e">
        <f t="shared" ca="1" si="55"/>
        <v>#N/A</v>
      </c>
      <c r="M253" s="5" t="e">
        <f t="shared" ca="1" si="56"/>
        <v>#N/A</v>
      </c>
      <c r="N253" s="5" t="e">
        <f t="shared" ca="1" si="57"/>
        <v>#N/A</v>
      </c>
      <c r="O253" s="5" t="e">
        <f t="shared" ca="1" si="58"/>
        <v>#N/A</v>
      </c>
      <c r="P253" s="5" t="e">
        <f ca="1">VLOOKUP(G253,'Group code'!$Z$9:$AC$13,3,FALSE)</f>
        <v>#N/A</v>
      </c>
      <c r="Q253" s="5" t="e">
        <f t="shared" ca="1" si="59"/>
        <v>#N/A</v>
      </c>
      <c r="R253" s="5" t="e">
        <f ca="1">IF(G253=0,INDEX(cards[object_id],MATCH($C253,cards[object_id order],0)),"")</f>
        <v>#N/A</v>
      </c>
      <c r="S253" s="5" t="e">
        <f ca="1">IF(G253=1,INDEX(cards[[name]:[control]],MATCH($C253,cards[object_id order],0),'Group code'!J253),"")</f>
        <v>#N/A</v>
      </c>
      <c r="T253" s="5" t="e">
        <f ca="1">IF(G253=3,INDEX(cards[[1]:[25]],MATCH($C253,cards[object_id order],0),'Group code'!I253),"")</f>
        <v>#N/A</v>
      </c>
      <c r="U253" s="5" t="e">
        <f ca="1">VLOOKUP(G253,'Group code'!$Z$9:$AC$13,4,FALSE)</f>
        <v>#N/A</v>
      </c>
      <c r="V253" s="5" t="e">
        <f ca="1">IF(J253="","",VLOOKUP(J253,'Group code'!$Z$15:$AC$18,4,FALSE))</f>
        <v>#N/A</v>
      </c>
      <c r="W253" s="23" t="str">
        <f t="shared" ca="1" si="60"/>
        <v/>
      </c>
      <c r="X253" s="5" t="str">
        <f t="shared" ca="1" si="62"/>
        <v/>
      </c>
    </row>
    <row r="254" spans="2:24" x14ac:dyDescent="0.25">
      <c r="B254" s="5">
        <f t="shared" si="47"/>
        <v>248</v>
      </c>
      <c r="C254" s="5" t="e">
        <f t="shared" ca="1" si="61"/>
        <v>#N/A</v>
      </c>
      <c r="D254" s="5" t="e">
        <f ca="1">INDEX(cards[Attribute Index],MATCH('Group code'!C254,cards[object_id order],0))</f>
        <v>#N/A</v>
      </c>
      <c r="E254" s="5" t="e">
        <f t="shared" ca="1" si="48"/>
        <v>#N/A</v>
      </c>
      <c r="F254" s="14" t="e">
        <f ca="1">INDEX(cards[Entities count],MATCH('Group code'!C254,cards[object_id order],0))</f>
        <v>#N/A</v>
      </c>
      <c r="G254" s="14" t="e">
        <f t="shared" ca="1" si="51"/>
        <v>#N/A</v>
      </c>
      <c r="H254" s="14" t="e">
        <f t="shared" ca="1" si="52"/>
        <v>#N/A</v>
      </c>
      <c r="I254" s="5" t="e">
        <f t="shared" ca="1" si="53"/>
        <v>#N/A</v>
      </c>
      <c r="J254" s="5" t="e">
        <f t="shared" ca="1" si="49"/>
        <v>#N/A</v>
      </c>
      <c r="K254" s="5" t="e">
        <f t="shared" ca="1" si="54"/>
        <v>#N/A</v>
      </c>
      <c r="L254" s="5" t="e">
        <f t="shared" ca="1" si="55"/>
        <v>#N/A</v>
      </c>
      <c r="M254" s="5" t="e">
        <f t="shared" ca="1" si="56"/>
        <v>#N/A</v>
      </c>
      <c r="N254" s="5" t="e">
        <f t="shared" ca="1" si="57"/>
        <v>#N/A</v>
      </c>
      <c r="O254" s="5" t="e">
        <f t="shared" ca="1" si="58"/>
        <v>#N/A</v>
      </c>
      <c r="P254" s="5" t="e">
        <f ca="1">VLOOKUP(G254,'Group code'!$Z$9:$AC$13,3,FALSE)</f>
        <v>#N/A</v>
      </c>
      <c r="Q254" s="5" t="e">
        <f t="shared" ca="1" si="59"/>
        <v>#N/A</v>
      </c>
      <c r="R254" s="5" t="e">
        <f ca="1">IF(G254=0,INDEX(cards[object_id],MATCH($C254,cards[object_id order],0)),"")</f>
        <v>#N/A</v>
      </c>
      <c r="S254" s="5" t="e">
        <f ca="1">IF(G254=1,INDEX(cards[[name]:[control]],MATCH($C254,cards[object_id order],0),'Group code'!J254),"")</f>
        <v>#N/A</v>
      </c>
      <c r="T254" s="5" t="e">
        <f ca="1">IF(G254=3,INDEX(cards[[1]:[25]],MATCH($C254,cards[object_id order],0),'Group code'!I254),"")</f>
        <v>#N/A</v>
      </c>
      <c r="U254" s="5" t="e">
        <f ca="1">VLOOKUP(G254,'Group code'!$Z$9:$AC$13,4,FALSE)</f>
        <v>#N/A</v>
      </c>
      <c r="V254" s="5" t="e">
        <f ca="1">IF(J254="","",VLOOKUP(J254,'Group code'!$Z$15:$AC$18,4,FALSE))</f>
        <v>#N/A</v>
      </c>
      <c r="W254" s="23" t="str">
        <f t="shared" ca="1" si="60"/>
        <v/>
      </c>
      <c r="X254" s="5" t="str">
        <f t="shared" ca="1" si="62"/>
        <v/>
      </c>
    </row>
    <row r="255" spans="2:24" x14ac:dyDescent="0.25">
      <c r="B255" s="5">
        <f t="shared" si="47"/>
        <v>249</v>
      </c>
      <c r="C255" s="5" t="e">
        <f t="shared" ca="1" si="61"/>
        <v>#N/A</v>
      </c>
      <c r="D255" s="5" t="e">
        <f ca="1">INDEX(cards[Attribute Index],MATCH('Group code'!C255,cards[object_id order],0))</f>
        <v>#N/A</v>
      </c>
      <c r="E255" s="5" t="e">
        <f t="shared" ca="1" si="48"/>
        <v>#N/A</v>
      </c>
      <c r="F255" s="14" t="e">
        <f ca="1">INDEX(cards[Entities count],MATCH('Group code'!C255,cards[object_id order],0))</f>
        <v>#N/A</v>
      </c>
      <c r="G255" s="14" t="e">
        <f t="shared" ca="1" si="51"/>
        <v>#N/A</v>
      </c>
      <c r="H255" s="14" t="e">
        <f t="shared" ca="1" si="52"/>
        <v>#N/A</v>
      </c>
      <c r="I255" s="5" t="e">
        <f t="shared" ca="1" si="53"/>
        <v>#N/A</v>
      </c>
      <c r="J255" s="5" t="e">
        <f t="shared" ca="1" si="49"/>
        <v>#N/A</v>
      </c>
      <c r="K255" s="5" t="e">
        <f t="shared" ca="1" si="54"/>
        <v>#N/A</v>
      </c>
      <c r="L255" s="5" t="e">
        <f t="shared" ca="1" si="55"/>
        <v>#N/A</v>
      </c>
      <c r="M255" s="5" t="e">
        <f t="shared" ca="1" si="56"/>
        <v>#N/A</v>
      </c>
      <c r="N255" s="5" t="e">
        <f t="shared" ca="1" si="57"/>
        <v>#N/A</v>
      </c>
      <c r="O255" s="5" t="e">
        <f t="shared" ca="1" si="58"/>
        <v>#N/A</v>
      </c>
      <c r="P255" s="5" t="e">
        <f ca="1">VLOOKUP(G255,'Group code'!$Z$9:$AC$13,3,FALSE)</f>
        <v>#N/A</v>
      </c>
      <c r="Q255" s="5" t="e">
        <f t="shared" ca="1" si="59"/>
        <v>#N/A</v>
      </c>
      <c r="R255" s="5" t="e">
        <f ca="1">IF(G255=0,INDEX(cards[object_id],MATCH($C255,cards[object_id order],0)),"")</f>
        <v>#N/A</v>
      </c>
      <c r="S255" s="5" t="e">
        <f ca="1">IF(G255=1,INDEX(cards[[name]:[control]],MATCH($C255,cards[object_id order],0),'Group code'!J255),"")</f>
        <v>#N/A</v>
      </c>
      <c r="T255" s="5" t="e">
        <f ca="1">IF(G255=3,INDEX(cards[[1]:[25]],MATCH($C255,cards[object_id order],0),'Group code'!I255),"")</f>
        <v>#N/A</v>
      </c>
      <c r="U255" s="5" t="e">
        <f ca="1">VLOOKUP(G255,'Group code'!$Z$9:$AC$13,4,FALSE)</f>
        <v>#N/A</v>
      </c>
      <c r="V255" s="5" t="e">
        <f ca="1">IF(J255="","",VLOOKUP(J255,'Group code'!$Z$15:$AC$18,4,FALSE))</f>
        <v>#N/A</v>
      </c>
      <c r="W255" s="23" t="str">
        <f t="shared" ca="1" si="60"/>
        <v/>
      </c>
      <c r="X255" s="5" t="str">
        <f t="shared" ca="1" si="62"/>
        <v/>
      </c>
    </row>
    <row r="256" spans="2:24" x14ac:dyDescent="0.25">
      <c r="B256" s="5">
        <f t="shared" si="47"/>
        <v>250</v>
      </c>
      <c r="C256" s="5" t="e">
        <f t="shared" ca="1" si="61"/>
        <v>#N/A</v>
      </c>
      <c r="D256" s="5" t="e">
        <f ca="1">INDEX(cards[Attribute Index],MATCH('Group code'!C256,cards[object_id order],0))</f>
        <v>#N/A</v>
      </c>
      <c r="E256" s="5" t="e">
        <f t="shared" ca="1" si="48"/>
        <v>#N/A</v>
      </c>
      <c r="F256" s="14" t="e">
        <f ca="1">INDEX(cards[Entities count],MATCH('Group code'!C256,cards[object_id order],0))</f>
        <v>#N/A</v>
      </c>
      <c r="G256" s="14" t="e">
        <f t="shared" ca="1" si="51"/>
        <v>#N/A</v>
      </c>
      <c r="H256" s="14" t="e">
        <f t="shared" ca="1" si="52"/>
        <v>#N/A</v>
      </c>
      <c r="I256" s="5" t="e">
        <f t="shared" ca="1" si="53"/>
        <v>#N/A</v>
      </c>
      <c r="J256" s="5" t="e">
        <f t="shared" ca="1" si="49"/>
        <v>#N/A</v>
      </c>
      <c r="K256" s="5" t="e">
        <f t="shared" ca="1" si="54"/>
        <v>#N/A</v>
      </c>
      <c r="L256" s="5" t="e">
        <f t="shared" ca="1" si="55"/>
        <v>#N/A</v>
      </c>
      <c r="M256" s="5" t="e">
        <f t="shared" ca="1" si="56"/>
        <v>#N/A</v>
      </c>
      <c r="N256" s="5" t="e">
        <f t="shared" ca="1" si="57"/>
        <v>#N/A</v>
      </c>
      <c r="O256" s="5" t="e">
        <f t="shared" ca="1" si="58"/>
        <v>#N/A</v>
      </c>
      <c r="P256" s="5" t="e">
        <f ca="1">VLOOKUP(G256,'Group code'!$Z$9:$AC$13,3,FALSE)</f>
        <v>#N/A</v>
      </c>
      <c r="Q256" s="5" t="e">
        <f t="shared" ca="1" si="59"/>
        <v>#N/A</v>
      </c>
      <c r="R256" s="5" t="e">
        <f ca="1">IF(G256=0,INDEX(cards[object_id],MATCH($C256,cards[object_id order],0)),"")</f>
        <v>#N/A</v>
      </c>
      <c r="S256" s="5" t="e">
        <f ca="1">IF(G256=1,INDEX(cards[[name]:[control]],MATCH($C256,cards[object_id order],0),'Group code'!J256),"")</f>
        <v>#N/A</v>
      </c>
      <c r="T256" s="5" t="e">
        <f ca="1">IF(G256=3,INDEX(cards[[1]:[25]],MATCH($C256,cards[object_id order],0),'Group code'!I256),"")</f>
        <v>#N/A</v>
      </c>
      <c r="U256" s="5" t="e">
        <f ca="1">VLOOKUP(G256,'Group code'!$Z$9:$AC$13,4,FALSE)</f>
        <v>#N/A</v>
      </c>
      <c r="V256" s="5" t="e">
        <f ca="1">IF(J256="","",VLOOKUP(J256,'Group code'!$Z$15:$AC$18,4,FALSE))</f>
        <v>#N/A</v>
      </c>
      <c r="W256" s="23" t="str">
        <f t="shared" ca="1" si="60"/>
        <v/>
      </c>
      <c r="X256" s="5" t="str">
        <f t="shared" ca="1" si="62"/>
        <v/>
      </c>
    </row>
    <row r="257" spans="2:24" x14ac:dyDescent="0.25">
      <c r="B257" s="5">
        <f t="shared" si="47"/>
        <v>251</v>
      </c>
      <c r="C257" s="5" t="e">
        <f t="shared" ca="1" si="61"/>
        <v>#N/A</v>
      </c>
      <c r="D257" s="5" t="e">
        <f ca="1">INDEX(cards[Attribute Index],MATCH('Group code'!C257,cards[object_id order],0))</f>
        <v>#N/A</v>
      </c>
      <c r="E257" s="5" t="e">
        <f t="shared" ca="1" si="48"/>
        <v>#N/A</v>
      </c>
      <c r="F257" s="14" t="e">
        <f ca="1">INDEX(cards[Entities count],MATCH('Group code'!C257,cards[object_id order],0))</f>
        <v>#N/A</v>
      </c>
      <c r="G257" s="14" t="e">
        <f t="shared" ca="1" si="51"/>
        <v>#N/A</v>
      </c>
      <c r="H257" s="14" t="e">
        <f t="shared" ca="1" si="52"/>
        <v>#N/A</v>
      </c>
      <c r="I257" s="5" t="e">
        <f t="shared" ca="1" si="53"/>
        <v>#N/A</v>
      </c>
      <c r="J257" s="5" t="e">
        <f t="shared" ca="1" si="49"/>
        <v>#N/A</v>
      </c>
      <c r="K257" s="5" t="e">
        <f t="shared" ca="1" si="54"/>
        <v>#N/A</v>
      </c>
      <c r="L257" s="5" t="e">
        <f t="shared" ca="1" si="55"/>
        <v>#N/A</v>
      </c>
      <c r="M257" s="5" t="e">
        <f t="shared" ca="1" si="56"/>
        <v>#N/A</v>
      </c>
      <c r="N257" s="5" t="e">
        <f t="shared" ca="1" si="57"/>
        <v>#N/A</v>
      </c>
      <c r="O257" s="5" t="e">
        <f t="shared" ca="1" si="58"/>
        <v>#N/A</v>
      </c>
      <c r="P257" s="5" t="e">
        <f ca="1">VLOOKUP(G257,'Group code'!$Z$9:$AC$13,3,FALSE)</f>
        <v>#N/A</v>
      </c>
      <c r="Q257" s="5" t="e">
        <f t="shared" ca="1" si="59"/>
        <v>#N/A</v>
      </c>
      <c r="R257" s="5" t="e">
        <f ca="1">IF(G257=0,INDEX(cards[object_id],MATCH($C257,cards[object_id order],0)),"")</f>
        <v>#N/A</v>
      </c>
      <c r="S257" s="5" t="e">
        <f ca="1">IF(G257=1,INDEX(cards[[name]:[control]],MATCH($C257,cards[object_id order],0),'Group code'!J257),"")</f>
        <v>#N/A</v>
      </c>
      <c r="T257" s="5" t="e">
        <f ca="1">IF(G257=3,INDEX(cards[[1]:[25]],MATCH($C257,cards[object_id order],0),'Group code'!I257),"")</f>
        <v>#N/A</v>
      </c>
      <c r="U257" s="5" t="e">
        <f ca="1">VLOOKUP(G257,'Group code'!$Z$9:$AC$13,4,FALSE)</f>
        <v>#N/A</v>
      </c>
      <c r="V257" s="5" t="e">
        <f ca="1">IF(J257="","",VLOOKUP(J257,'Group code'!$Z$15:$AC$18,4,FALSE))</f>
        <v>#N/A</v>
      </c>
      <c r="W257" s="23" t="str">
        <f t="shared" ca="1" si="60"/>
        <v/>
      </c>
      <c r="X257" s="5" t="str">
        <f t="shared" ca="1" si="62"/>
        <v/>
      </c>
    </row>
    <row r="258" spans="2:24" x14ac:dyDescent="0.25">
      <c r="B258" s="5">
        <f t="shared" si="47"/>
        <v>252</v>
      </c>
      <c r="C258" s="5" t="e">
        <f t="shared" ca="1" si="61"/>
        <v>#N/A</v>
      </c>
      <c r="D258" s="5" t="e">
        <f ca="1">INDEX(cards[Attribute Index],MATCH('Group code'!C258,cards[object_id order],0))</f>
        <v>#N/A</v>
      </c>
      <c r="E258" s="5" t="e">
        <f t="shared" ca="1" si="48"/>
        <v>#N/A</v>
      </c>
      <c r="F258" s="14" t="e">
        <f ca="1">INDEX(cards[Entities count],MATCH('Group code'!C258,cards[object_id order],0))</f>
        <v>#N/A</v>
      </c>
      <c r="G258" s="14" t="e">
        <f t="shared" ca="1" si="51"/>
        <v>#N/A</v>
      </c>
      <c r="H258" s="14" t="e">
        <f t="shared" ca="1" si="52"/>
        <v>#N/A</v>
      </c>
      <c r="I258" s="5" t="e">
        <f t="shared" ca="1" si="53"/>
        <v>#N/A</v>
      </c>
      <c r="J258" s="5" t="e">
        <f t="shared" ca="1" si="49"/>
        <v>#N/A</v>
      </c>
      <c r="K258" s="5" t="e">
        <f t="shared" ca="1" si="54"/>
        <v>#N/A</v>
      </c>
      <c r="L258" s="5" t="e">
        <f t="shared" ca="1" si="55"/>
        <v>#N/A</v>
      </c>
      <c r="M258" s="5" t="e">
        <f t="shared" ca="1" si="56"/>
        <v>#N/A</v>
      </c>
      <c r="N258" s="5" t="e">
        <f t="shared" ca="1" si="57"/>
        <v>#N/A</v>
      </c>
      <c r="O258" s="5" t="e">
        <f t="shared" ca="1" si="58"/>
        <v>#N/A</v>
      </c>
      <c r="P258" s="5" t="e">
        <f ca="1">VLOOKUP(G258,'Group code'!$Z$9:$AC$13,3,FALSE)</f>
        <v>#N/A</v>
      </c>
      <c r="Q258" s="5" t="e">
        <f t="shared" ca="1" si="59"/>
        <v>#N/A</v>
      </c>
      <c r="R258" s="5" t="e">
        <f ca="1">IF(G258=0,INDEX(cards[object_id],MATCH($C258,cards[object_id order],0)),"")</f>
        <v>#N/A</v>
      </c>
      <c r="S258" s="5" t="e">
        <f ca="1">IF(G258=1,INDEX(cards[[name]:[control]],MATCH($C258,cards[object_id order],0),'Group code'!J258),"")</f>
        <v>#N/A</v>
      </c>
      <c r="T258" s="5" t="e">
        <f ca="1">IF(G258=3,INDEX(cards[[1]:[25]],MATCH($C258,cards[object_id order],0),'Group code'!I258),"")</f>
        <v>#N/A</v>
      </c>
      <c r="U258" s="5" t="e">
        <f ca="1">VLOOKUP(G258,'Group code'!$Z$9:$AC$13,4,FALSE)</f>
        <v>#N/A</v>
      </c>
      <c r="V258" s="5" t="e">
        <f ca="1">IF(J258="","",VLOOKUP(J258,'Group code'!$Z$15:$AC$18,4,FALSE))</f>
        <v>#N/A</v>
      </c>
      <c r="W258" s="23" t="str">
        <f t="shared" ca="1" si="60"/>
        <v/>
      </c>
      <c r="X258" s="5" t="str">
        <f t="shared" ca="1" si="62"/>
        <v/>
      </c>
    </row>
    <row r="259" spans="2:24" x14ac:dyDescent="0.25">
      <c r="B259" s="5">
        <f t="shared" si="47"/>
        <v>253</v>
      </c>
      <c r="C259" s="5" t="e">
        <f t="shared" ca="1" si="61"/>
        <v>#N/A</v>
      </c>
      <c r="D259" s="5" t="e">
        <f ca="1">INDEX(cards[Attribute Index],MATCH('Group code'!C259,cards[object_id order],0))</f>
        <v>#N/A</v>
      </c>
      <c r="E259" s="5" t="e">
        <f t="shared" ca="1" si="48"/>
        <v>#N/A</v>
      </c>
      <c r="F259" s="14" t="e">
        <f ca="1">INDEX(cards[Entities count],MATCH('Group code'!C259,cards[object_id order],0))</f>
        <v>#N/A</v>
      </c>
      <c r="G259" s="14" t="e">
        <f t="shared" ca="1" si="51"/>
        <v>#N/A</v>
      </c>
      <c r="H259" s="14" t="e">
        <f t="shared" ca="1" si="52"/>
        <v>#N/A</v>
      </c>
      <c r="I259" s="5" t="e">
        <f t="shared" ca="1" si="53"/>
        <v>#N/A</v>
      </c>
      <c r="J259" s="5" t="e">
        <f t="shared" ca="1" si="49"/>
        <v>#N/A</v>
      </c>
      <c r="K259" s="5" t="e">
        <f t="shared" ca="1" si="54"/>
        <v>#N/A</v>
      </c>
      <c r="L259" s="5" t="e">
        <f t="shared" ca="1" si="55"/>
        <v>#N/A</v>
      </c>
      <c r="M259" s="5" t="e">
        <f t="shared" ca="1" si="56"/>
        <v>#N/A</v>
      </c>
      <c r="N259" s="5" t="e">
        <f t="shared" ca="1" si="57"/>
        <v>#N/A</v>
      </c>
      <c r="O259" s="5" t="e">
        <f t="shared" ca="1" si="58"/>
        <v>#N/A</v>
      </c>
      <c r="P259" s="5" t="e">
        <f ca="1">VLOOKUP(G259,'Group code'!$Z$9:$AC$13,3,FALSE)</f>
        <v>#N/A</v>
      </c>
      <c r="Q259" s="5" t="e">
        <f t="shared" ca="1" si="59"/>
        <v>#N/A</v>
      </c>
      <c r="R259" s="5" t="e">
        <f ca="1">IF(G259=0,INDEX(cards[object_id],MATCH($C259,cards[object_id order],0)),"")</f>
        <v>#N/A</v>
      </c>
      <c r="S259" s="5" t="e">
        <f ca="1">IF(G259=1,INDEX(cards[[name]:[control]],MATCH($C259,cards[object_id order],0),'Group code'!J259),"")</f>
        <v>#N/A</v>
      </c>
      <c r="T259" s="5" t="e">
        <f ca="1">IF(G259=3,INDEX(cards[[1]:[25]],MATCH($C259,cards[object_id order],0),'Group code'!I259),"")</f>
        <v>#N/A</v>
      </c>
      <c r="U259" s="5" t="e">
        <f ca="1">VLOOKUP(G259,'Group code'!$Z$9:$AC$13,4,FALSE)</f>
        <v>#N/A</v>
      </c>
      <c r="V259" s="5" t="e">
        <f ca="1">IF(J259="","",VLOOKUP(J259,'Group code'!$Z$15:$AC$18,4,FALSE))</f>
        <v>#N/A</v>
      </c>
      <c r="W259" s="23" t="str">
        <f t="shared" ca="1" si="60"/>
        <v/>
      </c>
      <c r="X259" s="5" t="str">
        <f t="shared" ca="1" si="62"/>
        <v/>
      </c>
    </row>
    <row r="260" spans="2:24" x14ac:dyDescent="0.25">
      <c r="B260" s="5">
        <f t="shared" si="47"/>
        <v>254</v>
      </c>
      <c r="C260" s="5" t="e">
        <f t="shared" ca="1" si="61"/>
        <v>#N/A</v>
      </c>
      <c r="D260" s="5" t="e">
        <f ca="1">INDEX(cards[Attribute Index],MATCH('Group code'!C260,cards[object_id order],0))</f>
        <v>#N/A</v>
      </c>
      <c r="E260" s="5" t="e">
        <f t="shared" ca="1" si="48"/>
        <v>#N/A</v>
      </c>
      <c r="F260" s="14" t="e">
        <f ca="1">INDEX(cards[Entities count],MATCH('Group code'!C260,cards[object_id order],0))</f>
        <v>#N/A</v>
      </c>
      <c r="G260" s="14" t="e">
        <f t="shared" ca="1" si="51"/>
        <v>#N/A</v>
      </c>
      <c r="H260" s="14" t="e">
        <f t="shared" ca="1" si="52"/>
        <v>#N/A</v>
      </c>
      <c r="I260" s="5" t="e">
        <f t="shared" ca="1" si="53"/>
        <v>#N/A</v>
      </c>
      <c r="J260" s="5" t="e">
        <f t="shared" ca="1" si="49"/>
        <v>#N/A</v>
      </c>
      <c r="K260" s="5" t="e">
        <f t="shared" ca="1" si="54"/>
        <v>#N/A</v>
      </c>
      <c r="L260" s="5" t="e">
        <f t="shared" ca="1" si="55"/>
        <v>#N/A</v>
      </c>
      <c r="M260" s="5" t="e">
        <f t="shared" ca="1" si="56"/>
        <v>#N/A</v>
      </c>
      <c r="N260" s="5" t="e">
        <f t="shared" ca="1" si="57"/>
        <v>#N/A</v>
      </c>
      <c r="O260" s="5" t="e">
        <f t="shared" ca="1" si="58"/>
        <v>#N/A</v>
      </c>
      <c r="P260" s="5" t="e">
        <f ca="1">VLOOKUP(G260,'Group code'!$Z$9:$AC$13,3,FALSE)</f>
        <v>#N/A</v>
      </c>
      <c r="Q260" s="5" t="e">
        <f t="shared" ca="1" si="59"/>
        <v>#N/A</v>
      </c>
      <c r="R260" s="5" t="e">
        <f ca="1">IF(G260=0,INDEX(cards[object_id],MATCH($C260,cards[object_id order],0)),"")</f>
        <v>#N/A</v>
      </c>
      <c r="S260" s="5" t="e">
        <f ca="1">IF(G260=1,INDEX(cards[[name]:[control]],MATCH($C260,cards[object_id order],0),'Group code'!J260),"")</f>
        <v>#N/A</v>
      </c>
      <c r="T260" s="5" t="e">
        <f ca="1">IF(G260=3,INDEX(cards[[1]:[25]],MATCH($C260,cards[object_id order],0),'Group code'!I260),"")</f>
        <v>#N/A</v>
      </c>
      <c r="U260" s="5" t="e">
        <f ca="1">VLOOKUP(G260,'Group code'!$Z$9:$AC$13,4,FALSE)</f>
        <v>#N/A</v>
      </c>
      <c r="V260" s="5" t="e">
        <f ca="1">IF(J260="","",VLOOKUP(J260,'Group code'!$Z$15:$AC$18,4,FALSE))</f>
        <v>#N/A</v>
      </c>
      <c r="W260" s="23" t="str">
        <f t="shared" ca="1" si="60"/>
        <v/>
      </c>
      <c r="X260" s="5" t="str">
        <f t="shared" ca="1" si="62"/>
        <v/>
      </c>
    </row>
    <row r="261" spans="2:24" x14ac:dyDescent="0.25">
      <c r="B261" s="5">
        <f t="shared" si="47"/>
        <v>255</v>
      </c>
      <c r="C261" s="5" t="e">
        <f t="shared" ca="1" si="61"/>
        <v>#N/A</v>
      </c>
      <c r="D261" s="5" t="e">
        <f ca="1">INDEX(cards[Attribute Index],MATCH('Group code'!C261,cards[object_id order],0))</f>
        <v>#N/A</v>
      </c>
      <c r="E261" s="5" t="e">
        <f t="shared" ca="1" si="48"/>
        <v>#N/A</v>
      </c>
      <c r="F261" s="14" t="e">
        <f ca="1">INDEX(cards[Entities count],MATCH('Group code'!C261,cards[object_id order],0))</f>
        <v>#N/A</v>
      </c>
      <c r="G261" s="14" t="e">
        <f t="shared" ca="1" si="51"/>
        <v>#N/A</v>
      </c>
      <c r="H261" s="14" t="e">
        <f t="shared" ca="1" si="52"/>
        <v>#N/A</v>
      </c>
      <c r="I261" s="5" t="e">
        <f t="shared" ca="1" si="53"/>
        <v>#N/A</v>
      </c>
      <c r="J261" s="5" t="e">
        <f t="shared" ca="1" si="49"/>
        <v>#N/A</v>
      </c>
      <c r="K261" s="5" t="e">
        <f t="shared" ca="1" si="54"/>
        <v>#N/A</v>
      </c>
      <c r="L261" s="5" t="e">
        <f t="shared" ca="1" si="55"/>
        <v>#N/A</v>
      </c>
      <c r="M261" s="5" t="e">
        <f t="shared" ca="1" si="56"/>
        <v>#N/A</v>
      </c>
      <c r="N261" s="5" t="e">
        <f t="shared" ca="1" si="57"/>
        <v>#N/A</v>
      </c>
      <c r="O261" s="5" t="e">
        <f t="shared" ca="1" si="58"/>
        <v>#N/A</v>
      </c>
      <c r="P261" s="5" t="e">
        <f ca="1">VLOOKUP(G261,'Group code'!$Z$9:$AC$13,3,FALSE)</f>
        <v>#N/A</v>
      </c>
      <c r="Q261" s="5" t="e">
        <f t="shared" ca="1" si="59"/>
        <v>#N/A</v>
      </c>
      <c r="R261" s="5" t="e">
        <f ca="1">IF(G261=0,INDEX(cards[object_id],MATCH($C261,cards[object_id order],0)),"")</f>
        <v>#N/A</v>
      </c>
      <c r="S261" s="5" t="e">
        <f ca="1">IF(G261=1,INDEX(cards[[name]:[control]],MATCH($C261,cards[object_id order],0),'Group code'!J261),"")</f>
        <v>#N/A</v>
      </c>
      <c r="T261" s="5" t="e">
        <f ca="1">IF(G261=3,INDEX(cards[[1]:[25]],MATCH($C261,cards[object_id order],0),'Group code'!I261),"")</f>
        <v>#N/A</v>
      </c>
      <c r="U261" s="5" t="e">
        <f ca="1">VLOOKUP(G261,'Group code'!$Z$9:$AC$13,4,FALSE)</f>
        <v>#N/A</v>
      </c>
      <c r="V261" s="5" t="e">
        <f ca="1">IF(J261="","",VLOOKUP(J261,'Group code'!$Z$15:$AC$18,4,FALSE))</f>
        <v>#N/A</v>
      </c>
      <c r="W261" s="23" t="str">
        <f t="shared" ca="1" si="60"/>
        <v/>
      </c>
      <c r="X261" s="5" t="str">
        <f t="shared" ca="1" si="62"/>
        <v/>
      </c>
    </row>
    <row r="262" spans="2:24" x14ac:dyDescent="0.25">
      <c r="B262" s="5">
        <f t="shared" si="47"/>
        <v>256</v>
      </c>
      <c r="C262" s="5" t="e">
        <f t="shared" ca="1" si="61"/>
        <v>#N/A</v>
      </c>
      <c r="D262" s="5" t="e">
        <f ca="1">INDEX(cards[Attribute Index],MATCH('Group code'!C262,cards[object_id order],0))</f>
        <v>#N/A</v>
      </c>
      <c r="E262" s="5" t="e">
        <f t="shared" ca="1" si="48"/>
        <v>#N/A</v>
      </c>
      <c r="F262" s="14" t="e">
        <f ca="1">INDEX(cards[Entities count],MATCH('Group code'!C262,cards[object_id order],0))</f>
        <v>#N/A</v>
      </c>
      <c r="G262" s="14" t="e">
        <f t="shared" ca="1" si="51"/>
        <v>#N/A</v>
      </c>
      <c r="H262" s="14" t="e">
        <f t="shared" ca="1" si="52"/>
        <v>#N/A</v>
      </c>
      <c r="I262" s="5" t="e">
        <f t="shared" ca="1" si="53"/>
        <v>#N/A</v>
      </c>
      <c r="J262" s="5" t="e">
        <f t="shared" ca="1" si="49"/>
        <v>#N/A</v>
      </c>
      <c r="K262" s="5" t="e">
        <f t="shared" ca="1" si="54"/>
        <v>#N/A</v>
      </c>
      <c r="L262" s="5" t="e">
        <f t="shared" ca="1" si="55"/>
        <v>#N/A</v>
      </c>
      <c r="M262" s="5" t="e">
        <f t="shared" ca="1" si="56"/>
        <v>#N/A</v>
      </c>
      <c r="N262" s="5" t="e">
        <f t="shared" ca="1" si="57"/>
        <v>#N/A</v>
      </c>
      <c r="O262" s="5" t="e">
        <f t="shared" ca="1" si="58"/>
        <v>#N/A</v>
      </c>
      <c r="P262" s="5" t="e">
        <f ca="1">VLOOKUP(G262,'Group code'!$Z$9:$AC$13,3,FALSE)</f>
        <v>#N/A</v>
      </c>
      <c r="Q262" s="5" t="e">
        <f t="shared" ca="1" si="59"/>
        <v>#N/A</v>
      </c>
      <c r="R262" s="5" t="e">
        <f ca="1">IF(G262=0,INDEX(cards[object_id],MATCH($C262,cards[object_id order],0)),"")</f>
        <v>#N/A</v>
      </c>
      <c r="S262" s="5" t="e">
        <f ca="1">IF(G262=1,INDEX(cards[[name]:[control]],MATCH($C262,cards[object_id order],0),'Group code'!J262),"")</f>
        <v>#N/A</v>
      </c>
      <c r="T262" s="5" t="e">
        <f ca="1">IF(G262=3,INDEX(cards[[1]:[25]],MATCH($C262,cards[object_id order],0),'Group code'!I262),"")</f>
        <v>#N/A</v>
      </c>
      <c r="U262" s="5" t="e">
        <f ca="1">VLOOKUP(G262,'Group code'!$Z$9:$AC$13,4,FALSE)</f>
        <v>#N/A</v>
      </c>
      <c r="V262" s="5" t="e">
        <f ca="1">IF(J262="","",VLOOKUP(J262,'Group code'!$Z$15:$AC$18,4,FALSE))</f>
        <v>#N/A</v>
      </c>
      <c r="W262" s="23" t="str">
        <f t="shared" ca="1" si="60"/>
        <v/>
      </c>
      <c r="X262" s="5" t="str">
        <f t="shared" ca="1" si="62"/>
        <v/>
      </c>
    </row>
    <row r="263" spans="2:24" x14ac:dyDescent="0.25">
      <c r="B263" s="5">
        <f t="shared" si="47"/>
        <v>257</v>
      </c>
      <c r="C263" s="5" t="e">
        <f t="shared" ca="1" si="61"/>
        <v>#N/A</v>
      </c>
      <c r="D263" s="5" t="e">
        <f ca="1">INDEX(cards[Attribute Index],MATCH('Group code'!C263,cards[object_id order],0))</f>
        <v>#N/A</v>
      </c>
      <c r="E263" s="5" t="e">
        <f t="shared" ca="1" si="48"/>
        <v>#N/A</v>
      </c>
      <c r="F263" s="14" t="e">
        <f ca="1">INDEX(cards[Entities count],MATCH('Group code'!C263,cards[object_id order],0))</f>
        <v>#N/A</v>
      </c>
      <c r="G263" s="14" t="e">
        <f t="shared" ca="1" si="51"/>
        <v>#N/A</v>
      </c>
      <c r="H263" s="14" t="e">
        <f t="shared" ca="1" si="52"/>
        <v>#N/A</v>
      </c>
      <c r="I263" s="5" t="e">
        <f t="shared" ca="1" si="53"/>
        <v>#N/A</v>
      </c>
      <c r="J263" s="5" t="e">
        <f t="shared" ca="1" si="49"/>
        <v>#N/A</v>
      </c>
      <c r="K263" s="5" t="e">
        <f t="shared" ca="1" si="54"/>
        <v>#N/A</v>
      </c>
      <c r="L263" s="5" t="e">
        <f t="shared" ca="1" si="55"/>
        <v>#N/A</v>
      </c>
      <c r="M263" s="5" t="e">
        <f t="shared" ca="1" si="56"/>
        <v>#N/A</v>
      </c>
      <c r="N263" s="5" t="e">
        <f t="shared" ca="1" si="57"/>
        <v>#N/A</v>
      </c>
      <c r="O263" s="5" t="e">
        <f t="shared" ca="1" si="58"/>
        <v>#N/A</v>
      </c>
      <c r="P263" s="5" t="e">
        <f ca="1">VLOOKUP(G263,'Group code'!$Z$9:$AC$13,3,FALSE)</f>
        <v>#N/A</v>
      </c>
      <c r="Q263" s="5" t="e">
        <f t="shared" ca="1" si="59"/>
        <v>#N/A</v>
      </c>
      <c r="R263" s="5" t="e">
        <f ca="1">IF(G263=0,INDEX(cards[object_id],MATCH($C263,cards[object_id order],0)),"")</f>
        <v>#N/A</v>
      </c>
      <c r="S263" s="5" t="e">
        <f ca="1">IF(G263=1,INDEX(cards[[name]:[control]],MATCH($C263,cards[object_id order],0),'Group code'!J263),"")</f>
        <v>#N/A</v>
      </c>
      <c r="T263" s="5" t="e">
        <f ca="1">IF(G263=3,INDEX(cards[[1]:[25]],MATCH($C263,cards[object_id order],0),'Group code'!I263),"")</f>
        <v>#N/A</v>
      </c>
      <c r="U263" s="5" t="e">
        <f ca="1">VLOOKUP(G263,'Group code'!$Z$9:$AC$13,4,FALSE)</f>
        <v>#N/A</v>
      </c>
      <c r="V263" s="5" t="e">
        <f ca="1">IF(J263="","",VLOOKUP(J263,'Group code'!$Z$15:$AC$18,4,FALSE))</f>
        <v>#N/A</v>
      </c>
      <c r="W263" s="23" t="str">
        <f t="shared" ca="1" si="60"/>
        <v/>
      </c>
      <c r="X263" s="5" t="str">
        <f t="shared" ca="1" si="62"/>
        <v/>
      </c>
    </row>
    <row r="264" spans="2:24" x14ac:dyDescent="0.25">
      <c r="B264" s="5">
        <f t="shared" si="47"/>
        <v>258</v>
      </c>
      <c r="C264" s="5" t="e">
        <f t="shared" ca="1" si="61"/>
        <v>#N/A</v>
      </c>
      <c r="D264" s="5" t="e">
        <f ca="1">INDEX(cards[Attribute Index],MATCH('Group code'!C264,cards[object_id order],0))</f>
        <v>#N/A</v>
      </c>
      <c r="E264" s="5" t="e">
        <f t="shared" ca="1" si="48"/>
        <v>#N/A</v>
      </c>
      <c r="F264" s="14" t="e">
        <f ca="1">INDEX(cards[Entities count],MATCH('Group code'!C264,cards[object_id order],0))</f>
        <v>#N/A</v>
      </c>
      <c r="G264" s="14" t="e">
        <f t="shared" ca="1" si="51"/>
        <v>#N/A</v>
      </c>
      <c r="H264" s="14" t="e">
        <f t="shared" ca="1" si="52"/>
        <v>#N/A</v>
      </c>
      <c r="I264" s="5" t="e">
        <f t="shared" ca="1" si="53"/>
        <v>#N/A</v>
      </c>
      <c r="J264" s="5" t="e">
        <f t="shared" ca="1" si="49"/>
        <v>#N/A</v>
      </c>
      <c r="K264" s="5" t="e">
        <f t="shared" ca="1" si="54"/>
        <v>#N/A</v>
      </c>
      <c r="L264" s="5" t="e">
        <f t="shared" ca="1" si="55"/>
        <v>#N/A</v>
      </c>
      <c r="M264" s="5" t="e">
        <f t="shared" ca="1" si="56"/>
        <v>#N/A</v>
      </c>
      <c r="N264" s="5" t="e">
        <f t="shared" ca="1" si="57"/>
        <v>#N/A</v>
      </c>
      <c r="O264" s="5" t="e">
        <f t="shared" ca="1" si="58"/>
        <v>#N/A</v>
      </c>
      <c r="P264" s="5" t="e">
        <f ca="1">VLOOKUP(G264,'Group code'!$Z$9:$AC$13,3,FALSE)</f>
        <v>#N/A</v>
      </c>
      <c r="Q264" s="5" t="e">
        <f t="shared" ca="1" si="59"/>
        <v>#N/A</v>
      </c>
      <c r="R264" s="5" t="e">
        <f ca="1">IF(G264=0,INDEX(cards[object_id],MATCH($C264,cards[object_id order],0)),"")</f>
        <v>#N/A</v>
      </c>
      <c r="S264" s="5" t="e">
        <f ca="1">IF(G264=1,INDEX(cards[[name]:[control]],MATCH($C264,cards[object_id order],0),'Group code'!J264),"")</f>
        <v>#N/A</v>
      </c>
      <c r="T264" s="5" t="e">
        <f ca="1">IF(G264=3,INDEX(cards[[1]:[25]],MATCH($C264,cards[object_id order],0),'Group code'!I264),"")</f>
        <v>#N/A</v>
      </c>
      <c r="U264" s="5" t="e">
        <f ca="1">VLOOKUP(G264,'Group code'!$Z$9:$AC$13,4,FALSE)</f>
        <v>#N/A</v>
      </c>
      <c r="V264" s="5" t="e">
        <f ca="1">IF(J264="","",VLOOKUP(J264,'Group code'!$Z$15:$AC$18,4,FALSE))</f>
        <v>#N/A</v>
      </c>
      <c r="W264" s="23" t="str">
        <f t="shared" ca="1" si="60"/>
        <v/>
      </c>
      <c r="X264" s="5" t="str">
        <f t="shared" ca="1" si="62"/>
        <v/>
      </c>
    </row>
    <row r="265" spans="2:24" x14ac:dyDescent="0.25">
      <c r="B265" s="5">
        <f t="shared" ref="B265:B328" si="63">B264+1</f>
        <v>259</v>
      </c>
      <c r="C265" s="5" t="e">
        <f t="shared" ca="1" si="61"/>
        <v>#N/A</v>
      </c>
      <c r="D265" s="5" t="e">
        <f ca="1">INDEX(cards[Attribute Index],MATCH('Group code'!C265,cards[object_id order],0))</f>
        <v>#N/A</v>
      </c>
      <c r="E265" s="5" t="e">
        <f t="shared" ref="E265:E328" ca="1" si="64">LEN(D265)</f>
        <v>#N/A</v>
      </c>
      <c r="F265" s="14" t="e">
        <f ca="1">INDEX(cards[Entities count],MATCH('Group code'!C265,cards[object_id order],0))</f>
        <v>#N/A</v>
      </c>
      <c r="G265" s="14" t="e">
        <f t="shared" ca="1" si="51"/>
        <v>#N/A</v>
      </c>
      <c r="H265" s="14" t="e">
        <f t="shared" ca="1" si="52"/>
        <v>#N/A</v>
      </c>
      <c r="I265" s="5" t="e">
        <f t="shared" ca="1" si="53"/>
        <v>#N/A</v>
      </c>
      <c r="J265" s="5" t="e">
        <f t="shared" ref="J265:J328" ca="1" si="65">IF(H265="","",VALUE(MID(D265,H265,1)))</f>
        <v>#N/A</v>
      </c>
      <c r="K265" s="5" t="e">
        <f t="shared" ca="1" si="54"/>
        <v>#N/A</v>
      </c>
      <c r="L265" s="5" t="e">
        <f t="shared" ca="1" si="55"/>
        <v>#N/A</v>
      </c>
      <c r="M265" s="5" t="e">
        <f t="shared" ca="1" si="56"/>
        <v>#N/A</v>
      </c>
      <c r="N265" s="5" t="e">
        <f t="shared" ca="1" si="57"/>
        <v>#N/A</v>
      </c>
      <c r="O265" s="5" t="e">
        <f t="shared" ca="1" si="58"/>
        <v>#N/A</v>
      </c>
      <c r="P265" s="5" t="e">
        <f ca="1">VLOOKUP(G265,'Group code'!$Z$9:$AC$13,3,FALSE)</f>
        <v>#N/A</v>
      </c>
      <c r="Q265" s="5" t="e">
        <f t="shared" ca="1" si="59"/>
        <v>#N/A</v>
      </c>
      <c r="R265" s="5" t="e">
        <f ca="1">IF(G265=0,INDEX(cards[object_id],MATCH($C265,cards[object_id order],0)),"")</f>
        <v>#N/A</v>
      </c>
      <c r="S265" s="5" t="e">
        <f ca="1">IF(G265=1,INDEX(cards[[name]:[control]],MATCH($C265,cards[object_id order],0),'Group code'!J265),"")</f>
        <v>#N/A</v>
      </c>
      <c r="T265" s="5" t="e">
        <f ca="1">IF(G265=3,INDEX(cards[[1]:[25]],MATCH($C265,cards[object_id order],0),'Group code'!I265),"")</f>
        <v>#N/A</v>
      </c>
      <c r="U265" s="5" t="e">
        <f ca="1">VLOOKUP(G265,'Group code'!$Z$9:$AC$13,4,FALSE)</f>
        <v>#N/A</v>
      </c>
      <c r="V265" s="5" t="e">
        <f ca="1">IF(J265="","",VLOOKUP(J265,'Group code'!$Z$15:$AC$18,4,FALSE))</f>
        <v>#N/A</v>
      </c>
      <c r="W265" s="23" t="str">
        <f t="shared" ca="1" si="60"/>
        <v/>
      </c>
      <c r="X265" s="5" t="str">
        <f t="shared" ca="1" si="62"/>
        <v/>
      </c>
    </row>
    <row r="266" spans="2:24" x14ac:dyDescent="0.25">
      <c r="B266" s="5">
        <f t="shared" si="63"/>
        <v>260</v>
      </c>
      <c r="C266" s="5" t="e">
        <f t="shared" ca="1" si="61"/>
        <v>#N/A</v>
      </c>
      <c r="D266" s="5" t="e">
        <f ca="1">INDEX(cards[Attribute Index],MATCH('Group code'!C266,cards[object_id order],0))</f>
        <v>#N/A</v>
      </c>
      <c r="E266" s="5" t="e">
        <f t="shared" ca="1" si="64"/>
        <v>#N/A</v>
      </c>
      <c r="F266" s="14" t="e">
        <f ca="1">INDEX(cards[Entities count],MATCH('Group code'!C266,cards[object_id order],0))</f>
        <v>#N/A</v>
      </c>
      <c r="G266" s="14" t="e">
        <f t="shared" ref="G266:G329" ca="1" si="66">G265+SUM(K265:O265)</f>
        <v>#N/A</v>
      </c>
      <c r="H266" s="14" t="e">
        <f t="shared" ref="H266:H329" ca="1" si="67">IF(AND(G265=0,D265&lt;&gt;""),1,IF(G266=1,H265+1,""))</f>
        <v>#N/A</v>
      </c>
      <c r="I266" s="5" t="e">
        <f t="shared" ref="I266:I329" ca="1" si="68">IF(G265=2,1,IF(G266=3,I265+1,""))</f>
        <v>#N/A</v>
      </c>
      <c r="J266" s="5" t="e">
        <f t="shared" ca="1" si="65"/>
        <v>#N/A</v>
      </c>
      <c r="K266" s="5" t="e">
        <f t="shared" ref="K266:K329" ca="1" si="69">IF(G266=0,
IF(D266&lt;&gt;"",1,2),
"")</f>
        <v>#N/A</v>
      </c>
      <c r="L266" s="5" t="e">
        <f t="shared" ref="L266:L329" ca="1" si="70">IF(G266=1,
IF(E266=H266,1,0),
"")</f>
        <v>#N/A</v>
      </c>
      <c r="M266" s="5" t="e">
        <f t="shared" ref="M266:M329" ca="1" si="71">IF(G266=2,
1,
"")</f>
        <v>#N/A</v>
      </c>
      <c r="N266" s="5" t="e">
        <f t="shared" ref="N266:N329" ca="1" si="72">IF(G266=3,
IF(F266=I266,1,0),
"")</f>
        <v>#N/A</v>
      </c>
      <c r="O266" s="5" t="e">
        <f t="shared" ref="O266:O329" ca="1" si="73">IF(G266=4,
-4,
"")</f>
        <v>#N/A</v>
      </c>
      <c r="P266" s="5" t="e">
        <f ca="1">VLOOKUP(G266,'Group code'!$Z$9:$AC$13,3,FALSE)</f>
        <v>#N/A</v>
      </c>
      <c r="Q266" s="5" t="e">
        <f t="shared" ref="Q266:Q329" ca="1" si="74">IF(J266="","",VLOOKUP(J266,$Z$15:$AC$18,3,FALSE))</f>
        <v>#N/A</v>
      </c>
      <c r="R266" s="5" t="e">
        <f ca="1">IF(G266=0,INDEX(cards[object_id],MATCH($C266,cards[object_id order],0)),"")</f>
        <v>#N/A</v>
      </c>
      <c r="S266" s="5" t="e">
        <f ca="1">IF(G266=1,INDEX(cards[[name]:[control]],MATCH($C266,cards[object_id order],0),'Group code'!J266),"")</f>
        <v>#N/A</v>
      </c>
      <c r="T266" s="5" t="e">
        <f ca="1">IF(G266=3,INDEX(cards[[1]:[25]],MATCH($C266,cards[object_id order],0),'Group code'!I266),"")</f>
        <v>#N/A</v>
      </c>
      <c r="U266" s="5" t="e">
        <f ca="1">VLOOKUP(G266,'Group code'!$Z$9:$AC$13,4,FALSE)</f>
        <v>#N/A</v>
      </c>
      <c r="V266" s="5" t="e">
        <f ca="1">IF(J266="","",VLOOKUP(J266,'Group code'!$Z$15:$AC$18,4,FALSE))</f>
        <v>#N/A</v>
      </c>
      <c r="W266" s="23" t="str">
        <f t="shared" ref="W266:W329" ca="1" si="75">_xlfn.IFNA(  CONCATENATE(P266,Q266,R266,S266,T266,U266,V266),  "")</f>
        <v/>
      </c>
      <c r="X266" s="5" t="str">
        <f t="shared" ca="1" si="62"/>
        <v/>
      </c>
    </row>
    <row r="267" spans="2:24" x14ac:dyDescent="0.25">
      <c r="B267" s="5">
        <f t="shared" si="63"/>
        <v>261</v>
      </c>
      <c r="C267" s="5" t="e">
        <f t="shared" ref="C267:C330" ca="1" si="76">IF(G266=4,C266+1,C266)</f>
        <v>#N/A</v>
      </c>
      <c r="D267" s="5" t="e">
        <f ca="1">INDEX(cards[Attribute Index],MATCH('Group code'!C267,cards[object_id order],0))</f>
        <v>#N/A</v>
      </c>
      <c r="E267" s="5" t="e">
        <f t="shared" ca="1" si="64"/>
        <v>#N/A</v>
      </c>
      <c r="F267" s="14" t="e">
        <f ca="1">INDEX(cards[Entities count],MATCH('Group code'!C267,cards[object_id order],0))</f>
        <v>#N/A</v>
      </c>
      <c r="G267" s="14" t="e">
        <f t="shared" ca="1" si="66"/>
        <v>#N/A</v>
      </c>
      <c r="H267" s="14" t="e">
        <f t="shared" ca="1" si="67"/>
        <v>#N/A</v>
      </c>
      <c r="I267" s="5" t="e">
        <f t="shared" ca="1" si="68"/>
        <v>#N/A</v>
      </c>
      <c r="J267" s="5" t="e">
        <f t="shared" ca="1" si="65"/>
        <v>#N/A</v>
      </c>
      <c r="K267" s="5" t="e">
        <f t="shared" ca="1" si="69"/>
        <v>#N/A</v>
      </c>
      <c r="L267" s="5" t="e">
        <f t="shared" ca="1" si="70"/>
        <v>#N/A</v>
      </c>
      <c r="M267" s="5" t="e">
        <f t="shared" ca="1" si="71"/>
        <v>#N/A</v>
      </c>
      <c r="N267" s="5" t="e">
        <f t="shared" ca="1" si="72"/>
        <v>#N/A</v>
      </c>
      <c r="O267" s="5" t="e">
        <f t="shared" ca="1" si="73"/>
        <v>#N/A</v>
      </c>
      <c r="P267" s="5" t="e">
        <f ca="1">VLOOKUP(G267,'Group code'!$Z$9:$AC$13,3,FALSE)</f>
        <v>#N/A</v>
      </c>
      <c r="Q267" s="5" t="e">
        <f t="shared" ca="1" si="74"/>
        <v>#N/A</v>
      </c>
      <c r="R267" s="5" t="e">
        <f ca="1">IF(G267=0,INDEX(cards[object_id],MATCH($C267,cards[object_id order],0)),"")</f>
        <v>#N/A</v>
      </c>
      <c r="S267" s="5" t="e">
        <f ca="1">IF(G267=1,INDEX(cards[[name]:[control]],MATCH($C267,cards[object_id order],0),'Group code'!J267),"")</f>
        <v>#N/A</v>
      </c>
      <c r="T267" s="5" t="e">
        <f ca="1">IF(G267=3,INDEX(cards[[1]:[25]],MATCH($C267,cards[object_id order],0),'Group code'!I267),"")</f>
        <v>#N/A</v>
      </c>
      <c r="U267" s="5" t="e">
        <f ca="1">VLOOKUP(G267,'Group code'!$Z$9:$AC$13,4,FALSE)</f>
        <v>#N/A</v>
      </c>
      <c r="V267" s="5" t="e">
        <f ca="1">IF(J267="","",VLOOKUP(J267,'Group code'!$Z$15:$AC$18,4,FALSE))</f>
        <v>#N/A</v>
      </c>
      <c r="W267" s="23" t="str">
        <f t="shared" ca="1" si="75"/>
        <v/>
      </c>
      <c r="X267" s="5" t="str">
        <f t="shared" ca="1" si="62"/>
        <v/>
      </c>
    </row>
    <row r="268" spans="2:24" x14ac:dyDescent="0.25">
      <c r="B268" s="5">
        <f t="shared" si="63"/>
        <v>262</v>
      </c>
      <c r="C268" s="5" t="e">
        <f t="shared" ca="1" si="76"/>
        <v>#N/A</v>
      </c>
      <c r="D268" s="5" t="e">
        <f ca="1">INDEX(cards[Attribute Index],MATCH('Group code'!C268,cards[object_id order],0))</f>
        <v>#N/A</v>
      </c>
      <c r="E268" s="5" t="e">
        <f t="shared" ca="1" si="64"/>
        <v>#N/A</v>
      </c>
      <c r="F268" s="14" t="e">
        <f ca="1">INDEX(cards[Entities count],MATCH('Group code'!C268,cards[object_id order],0))</f>
        <v>#N/A</v>
      </c>
      <c r="G268" s="14" t="e">
        <f t="shared" ca="1" si="66"/>
        <v>#N/A</v>
      </c>
      <c r="H268" s="14" t="e">
        <f t="shared" ca="1" si="67"/>
        <v>#N/A</v>
      </c>
      <c r="I268" s="5" t="e">
        <f t="shared" ca="1" si="68"/>
        <v>#N/A</v>
      </c>
      <c r="J268" s="5" t="e">
        <f t="shared" ca="1" si="65"/>
        <v>#N/A</v>
      </c>
      <c r="K268" s="5" t="e">
        <f t="shared" ca="1" si="69"/>
        <v>#N/A</v>
      </c>
      <c r="L268" s="5" t="e">
        <f t="shared" ca="1" si="70"/>
        <v>#N/A</v>
      </c>
      <c r="M268" s="5" t="e">
        <f t="shared" ca="1" si="71"/>
        <v>#N/A</v>
      </c>
      <c r="N268" s="5" t="e">
        <f t="shared" ca="1" si="72"/>
        <v>#N/A</v>
      </c>
      <c r="O268" s="5" t="e">
        <f t="shared" ca="1" si="73"/>
        <v>#N/A</v>
      </c>
      <c r="P268" s="5" t="e">
        <f ca="1">VLOOKUP(G268,'Group code'!$Z$9:$AC$13,3,FALSE)</f>
        <v>#N/A</v>
      </c>
      <c r="Q268" s="5" t="e">
        <f t="shared" ca="1" si="74"/>
        <v>#N/A</v>
      </c>
      <c r="R268" s="5" t="e">
        <f ca="1">IF(G268=0,INDEX(cards[object_id],MATCH($C268,cards[object_id order],0)),"")</f>
        <v>#N/A</v>
      </c>
      <c r="S268" s="5" t="e">
        <f ca="1">IF(G268=1,INDEX(cards[[name]:[control]],MATCH($C268,cards[object_id order],0),'Group code'!J268),"")</f>
        <v>#N/A</v>
      </c>
      <c r="T268" s="5" t="e">
        <f ca="1">IF(G268=3,INDEX(cards[[1]:[25]],MATCH($C268,cards[object_id order],0),'Group code'!I268),"")</f>
        <v>#N/A</v>
      </c>
      <c r="U268" s="5" t="e">
        <f ca="1">VLOOKUP(G268,'Group code'!$Z$9:$AC$13,4,FALSE)</f>
        <v>#N/A</v>
      </c>
      <c r="V268" s="5" t="e">
        <f ca="1">IF(J268="","",VLOOKUP(J268,'Group code'!$Z$15:$AC$18,4,FALSE))</f>
        <v>#N/A</v>
      </c>
      <c r="W268" s="23" t="str">
        <f t="shared" ca="1" si="75"/>
        <v/>
      </c>
      <c r="X268" s="5" t="str">
        <f t="shared" ca="1" si="62"/>
        <v/>
      </c>
    </row>
    <row r="269" spans="2:24" x14ac:dyDescent="0.25">
      <c r="B269" s="5">
        <f t="shared" si="63"/>
        <v>263</v>
      </c>
      <c r="C269" s="5" t="e">
        <f t="shared" ca="1" si="76"/>
        <v>#N/A</v>
      </c>
      <c r="D269" s="5" t="e">
        <f ca="1">INDEX(cards[Attribute Index],MATCH('Group code'!C269,cards[object_id order],0))</f>
        <v>#N/A</v>
      </c>
      <c r="E269" s="5" t="e">
        <f t="shared" ca="1" si="64"/>
        <v>#N/A</v>
      </c>
      <c r="F269" s="14" t="e">
        <f ca="1">INDEX(cards[Entities count],MATCH('Group code'!C269,cards[object_id order],0))</f>
        <v>#N/A</v>
      </c>
      <c r="G269" s="14" t="e">
        <f t="shared" ca="1" si="66"/>
        <v>#N/A</v>
      </c>
      <c r="H269" s="14" t="e">
        <f t="shared" ca="1" si="67"/>
        <v>#N/A</v>
      </c>
      <c r="I269" s="5" t="e">
        <f t="shared" ca="1" si="68"/>
        <v>#N/A</v>
      </c>
      <c r="J269" s="5" t="e">
        <f t="shared" ca="1" si="65"/>
        <v>#N/A</v>
      </c>
      <c r="K269" s="5" t="e">
        <f t="shared" ca="1" si="69"/>
        <v>#N/A</v>
      </c>
      <c r="L269" s="5" t="e">
        <f t="shared" ca="1" si="70"/>
        <v>#N/A</v>
      </c>
      <c r="M269" s="5" t="e">
        <f t="shared" ca="1" si="71"/>
        <v>#N/A</v>
      </c>
      <c r="N269" s="5" t="e">
        <f t="shared" ca="1" si="72"/>
        <v>#N/A</v>
      </c>
      <c r="O269" s="5" t="e">
        <f t="shared" ca="1" si="73"/>
        <v>#N/A</v>
      </c>
      <c r="P269" s="5" t="e">
        <f ca="1">VLOOKUP(G269,'Group code'!$Z$9:$AC$13,3,FALSE)</f>
        <v>#N/A</v>
      </c>
      <c r="Q269" s="5" t="e">
        <f t="shared" ca="1" si="74"/>
        <v>#N/A</v>
      </c>
      <c r="R269" s="5" t="e">
        <f ca="1">IF(G269=0,INDEX(cards[object_id],MATCH($C269,cards[object_id order],0)),"")</f>
        <v>#N/A</v>
      </c>
      <c r="S269" s="5" t="e">
        <f ca="1">IF(G269=1,INDEX(cards[[name]:[control]],MATCH($C269,cards[object_id order],0),'Group code'!J269),"")</f>
        <v>#N/A</v>
      </c>
      <c r="T269" s="5" t="e">
        <f ca="1">IF(G269=3,INDEX(cards[[1]:[25]],MATCH($C269,cards[object_id order],0),'Group code'!I269),"")</f>
        <v>#N/A</v>
      </c>
      <c r="U269" s="5" t="e">
        <f ca="1">VLOOKUP(G269,'Group code'!$Z$9:$AC$13,4,FALSE)</f>
        <v>#N/A</v>
      </c>
      <c r="V269" s="5" t="e">
        <f ca="1">IF(J269="","",VLOOKUP(J269,'Group code'!$Z$15:$AC$18,4,FALSE))</f>
        <v>#N/A</v>
      </c>
      <c r="W269" s="23" t="str">
        <f t="shared" ca="1" si="75"/>
        <v/>
      </c>
      <c r="X269" s="5" t="str">
        <f t="shared" ca="1" si="62"/>
        <v/>
      </c>
    </row>
    <row r="270" spans="2:24" x14ac:dyDescent="0.25">
      <c r="B270" s="5">
        <f t="shared" si="63"/>
        <v>264</v>
      </c>
      <c r="C270" s="5" t="e">
        <f t="shared" ca="1" si="76"/>
        <v>#N/A</v>
      </c>
      <c r="D270" s="5" t="e">
        <f ca="1">INDEX(cards[Attribute Index],MATCH('Group code'!C270,cards[object_id order],0))</f>
        <v>#N/A</v>
      </c>
      <c r="E270" s="5" t="e">
        <f t="shared" ca="1" si="64"/>
        <v>#N/A</v>
      </c>
      <c r="F270" s="14" t="e">
        <f ca="1">INDEX(cards[Entities count],MATCH('Group code'!C270,cards[object_id order],0))</f>
        <v>#N/A</v>
      </c>
      <c r="G270" s="14" t="e">
        <f t="shared" ca="1" si="66"/>
        <v>#N/A</v>
      </c>
      <c r="H270" s="14" t="e">
        <f t="shared" ca="1" si="67"/>
        <v>#N/A</v>
      </c>
      <c r="I270" s="5" t="e">
        <f t="shared" ca="1" si="68"/>
        <v>#N/A</v>
      </c>
      <c r="J270" s="5" t="e">
        <f t="shared" ca="1" si="65"/>
        <v>#N/A</v>
      </c>
      <c r="K270" s="5" t="e">
        <f t="shared" ca="1" si="69"/>
        <v>#N/A</v>
      </c>
      <c r="L270" s="5" t="e">
        <f t="shared" ca="1" si="70"/>
        <v>#N/A</v>
      </c>
      <c r="M270" s="5" t="e">
        <f t="shared" ca="1" si="71"/>
        <v>#N/A</v>
      </c>
      <c r="N270" s="5" t="e">
        <f t="shared" ca="1" si="72"/>
        <v>#N/A</v>
      </c>
      <c r="O270" s="5" t="e">
        <f t="shared" ca="1" si="73"/>
        <v>#N/A</v>
      </c>
      <c r="P270" s="5" t="e">
        <f ca="1">VLOOKUP(G270,'Group code'!$Z$9:$AC$13,3,FALSE)</f>
        <v>#N/A</v>
      </c>
      <c r="Q270" s="5" t="e">
        <f t="shared" ca="1" si="74"/>
        <v>#N/A</v>
      </c>
      <c r="R270" s="5" t="e">
        <f ca="1">IF(G270=0,INDEX(cards[object_id],MATCH($C270,cards[object_id order],0)),"")</f>
        <v>#N/A</v>
      </c>
      <c r="S270" s="5" t="e">
        <f ca="1">IF(G270=1,INDEX(cards[[name]:[control]],MATCH($C270,cards[object_id order],0),'Group code'!J270),"")</f>
        <v>#N/A</v>
      </c>
      <c r="T270" s="5" t="e">
        <f ca="1">IF(G270=3,INDEX(cards[[1]:[25]],MATCH($C270,cards[object_id order],0),'Group code'!I270),"")</f>
        <v>#N/A</v>
      </c>
      <c r="U270" s="5" t="e">
        <f ca="1">VLOOKUP(G270,'Group code'!$Z$9:$AC$13,4,FALSE)</f>
        <v>#N/A</v>
      </c>
      <c r="V270" s="5" t="e">
        <f ca="1">IF(J270="","",VLOOKUP(J270,'Group code'!$Z$15:$AC$18,4,FALSE))</f>
        <v>#N/A</v>
      </c>
      <c r="W270" s="23" t="str">
        <f t="shared" ca="1" si="75"/>
        <v/>
      </c>
      <c r="X270" s="5" t="str">
        <f t="shared" ca="1" si="62"/>
        <v/>
      </c>
    </row>
    <row r="271" spans="2:24" x14ac:dyDescent="0.25">
      <c r="B271" s="5">
        <f t="shared" si="63"/>
        <v>265</v>
      </c>
      <c r="C271" s="5" t="e">
        <f t="shared" ca="1" si="76"/>
        <v>#N/A</v>
      </c>
      <c r="D271" s="5" t="e">
        <f ca="1">INDEX(cards[Attribute Index],MATCH('Group code'!C271,cards[object_id order],0))</f>
        <v>#N/A</v>
      </c>
      <c r="E271" s="5" t="e">
        <f t="shared" ca="1" si="64"/>
        <v>#N/A</v>
      </c>
      <c r="F271" s="14" t="e">
        <f ca="1">INDEX(cards[Entities count],MATCH('Group code'!C271,cards[object_id order],0))</f>
        <v>#N/A</v>
      </c>
      <c r="G271" s="14" t="e">
        <f t="shared" ca="1" si="66"/>
        <v>#N/A</v>
      </c>
      <c r="H271" s="14" t="e">
        <f t="shared" ca="1" si="67"/>
        <v>#N/A</v>
      </c>
      <c r="I271" s="5" t="e">
        <f t="shared" ca="1" si="68"/>
        <v>#N/A</v>
      </c>
      <c r="J271" s="5" t="e">
        <f t="shared" ca="1" si="65"/>
        <v>#N/A</v>
      </c>
      <c r="K271" s="5" t="e">
        <f t="shared" ca="1" si="69"/>
        <v>#N/A</v>
      </c>
      <c r="L271" s="5" t="e">
        <f t="shared" ca="1" si="70"/>
        <v>#N/A</v>
      </c>
      <c r="M271" s="5" t="e">
        <f t="shared" ca="1" si="71"/>
        <v>#N/A</v>
      </c>
      <c r="N271" s="5" t="e">
        <f t="shared" ca="1" si="72"/>
        <v>#N/A</v>
      </c>
      <c r="O271" s="5" t="e">
        <f t="shared" ca="1" si="73"/>
        <v>#N/A</v>
      </c>
      <c r="P271" s="5" t="e">
        <f ca="1">VLOOKUP(G271,'Group code'!$Z$9:$AC$13,3,FALSE)</f>
        <v>#N/A</v>
      </c>
      <c r="Q271" s="5" t="e">
        <f t="shared" ca="1" si="74"/>
        <v>#N/A</v>
      </c>
      <c r="R271" s="5" t="e">
        <f ca="1">IF(G271=0,INDEX(cards[object_id],MATCH($C271,cards[object_id order],0)),"")</f>
        <v>#N/A</v>
      </c>
      <c r="S271" s="5" t="e">
        <f ca="1">IF(G271=1,INDEX(cards[[name]:[control]],MATCH($C271,cards[object_id order],0),'Group code'!J271),"")</f>
        <v>#N/A</v>
      </c>
      <c r="T271" s="5" t="e">
        <f ca="1">IF(G271=3,INDEX(cards[[1]:[25]],MATCH($C271,cards[object_id order],0),'Group code'!I271),"")</f>
        <v>#N/A</v>
      </c>
      <c r="U271" s="5" t="e">
        <f ca="1">VLOOKUP(G271,'Group code'!$Z$9:$AC$13,4,FALSE)</f>
        <v>#N/A</v>
      </c>
      <c r="V271" s="5" t="e">
        <f ca="1">IF(J271="","",VLOOKUP(J271,'Group code'!$Z$15:$AC$18,4,FALSE))</f>
        <v>#N/A</v>
      </c>
      <c r="W271" s="23" t="str">
        <f t="shared" ca="1" si="75"/>
        <v/>
      </c>
      <c r="X271" s="5" t="str">
        <f t="shared" ca="1" si="62"/>
        <v/>
      </c>
    </row>
    <row r="272" spans="2:24" x14ac:dyDescent="0.25">
      <c r="B272" s="5">
        <f t="shared" si="63"/>
        <v>266</v>
      </c>
      <c r="C272" s="5" t="e">
        <f t="shared" ca="1" si="76"/>
        <v>#N/A</v>
      </c>
      <c r="D272" s="5" t="e">
        <f ca="1">INDEX(cards[Attribute Index],MATCH('Group code'!C272,cards[object_id order],0))</f>
        <v>#N/A</v>
      </c>
      <c r="E272" s="5" t="e">
        <f t="shared" ca="1" si="64"/>
        <v>#N/A</v>
      </c>
      <c r="F272" s="14" t="e">
        <f ca="1">INDEX(cards[Entities count],MATCH('Group code'!C272,cards[object_id order],0))</f>
        <v>#N/A</v>
      </c>
      <c r="G272" s="14" t="e">
        <f t="shared" ca="1" si="66"/>
        <v>#N/A</v>
      </c>
      <c r="H272" s="14" t="e">
        <f t="shared" ca="1" si="67"/>
        <v>#N/A</v>
      </c>
      <c r="I272" s="5" t="e">
        <f t="shared" ca="1" si="68"/>
        <v>#N/A</v>
      </c>
      <c r="J272" s="5" t="e">
        <f t="shared" ca="1" si="65"/>
        <v>#N/A</v>
      </c>
      <c r="K272" s="5" t="e">
        <f t="shared" ca="1" si="69"/>
        <v>#N/A</v>
      </c>
      <c r="L272" s="5" t="e">
        <f t="shared" ca="1" si="70"/>
        <v>#N/A</v>
      </c>
      <c r="M272" s="5" t="e">
        <f t="shared" ca="1" si="71"/>
        <v>#N/A</v>
      </c>
      <c r="N272" s="5" t="e">
        <f t="shared" ca="1" si="72"/>
        <v>#N/A</v>
      </c>
      <c r="O272" s="5" t="e">
        <f t="shared" ca="1" si="73"/>
        <v>#N/A</v>
      </c>
      <c r="P272" s="5" t="e">
        <f ca="1">VLOOKUP(G272,'Group code'!$Z$9:$AC$13,3,FALSE)</f>
        <v>#N/A</v>
      </c>
      <c r="Q272" s="5" t="e">
        <f t="shared" ca="1" si="74"/>
        <v>#N/A</v>
      </c>
      <c r="R272" s="5" t="e">
        <f ca="1">IF(G272=0,INDEX(cards[object_id],MATCH($C272,cards[object_id order],0)),"")</f>
        <v>#N/A</v>
      </c>
      <c r="S272" s="5" t="e">
        <f ca="1">IF(G272=1,INDEX(cards[[name]:[control]],MATCH($C272,cards[object_id order],0),'Group code'!J272),"")</f>
        <v>#N/A</v>
      </c>
      <c r="T272" s="5" t="e">
        <f ca="1">IF(G272=3,INDEX(cards[[1]:[25]],MATCH($C272,cards[object_id order],0),'Group code'!I272),"")</f>
        <v>#N/A</v>
      </c>
      <c r="U272" s="5" t="e">
        <f ca="1">VLOOKUP(G272,'Group code'!$Z$9:$AC$13,4,FALSE)</f>
        <v>#N/A</v>
      </c>
      <c r="V272" s="5" t="e">
        <f ca="1">IF(J272="","",VLOOKUP(J272,'Group code'!$Z$15:$AC$18,4,FALSE))</f>
        <v>#N/A</v>
      </c>
      <c r="W272" s="23" t="str">
        <f t="shared" ca="1" si="75"/>
        <v/>
      </c>
      <c r="X272" s="5" t="str">
        <f t="shared" ca="1" si="62"/>
        <v/>
      </c>
    </row>
    <row r="273" spans="2:24" x14ac:dyDescent="0.25">
      <c r="B273" s="5">
        <f t="shared" si="63"/>
        <v>267</v>
      </c>
      <c r="C273" s="5" t="e">
        <f t="shared" ca="1" si="76"/>
        <v>#N/A</v>
      </c>
      <c r="D273" s="5" t="e">
        <f ca="1">INDEX(cards[Attribute Index],MATCH('Group code'!C273,cards[object_id order],0))</f>
        <v>#N/A</v>
      </c>
      <c r="E273" s="5" t="e">
        <f t="shared" ca="1" si="64"/>
        <v>#N/A</v>
      </c>
      <c r="F273" s="14" t="e">
        <f ca="1">INDEX(cards[Entities count],MATCH('Group code'!C273,cards[object_id order],0))</f>
        <v>#N/A</v>
      </c>
      <c r="G273" s="14" t="e">
        <f t="shared" ca="1" si="66"/>
        <v>#N/A</v>
      </c>
      <c r="H273" s="14" t="e">
        <f t="shared" ca="1" si="67"/>
        <v>#N/A</v>
      </c>
      <c r="I273" s="5" t="e">
        <f t="shared" ca="1" si="68"/>
        <v>#N/A</v>
      </c>
      <c r="J273" s="5" t="e">
        <f t="shared" ca="1" si="65"/>
        <v>#N/A</v>
      </c>
      <c r="K273" s="5" t="e">
        <f t="shared" ca="1" si="69"/>
        <v>#N/A</v>
      </c>
      <c r="L273" s="5" t="e">
        <f t="shared" ca="1" si="70"/>
        <v>#N/A</v>
      </c>
      <c r="M273" s="5" t="e">
        <f t="shared" ca="1" si="71"/>
        <v>#N/A</v>
      </c>
      <c r="N273" s="5" t="e">
        <f t="shared" ca="1" si="72"/>
        <v>#N/A</v>
      </c>
      <c r="O273" s="5" t="e">
        <f t="shared" ca="1" si="73"/>
        <v>#N/A</v>
      </c>
      <c r="P273" s="5" t="e">
        <f ca="1">VLOOKUP(G273,'Group code'!$Z$9:$AC$13,3,FALSE)</f>
        <v>#N/A</v>
      </c>
      <c r="Q273" s="5" t="e">
        <f t="shared" ca="1" si="74"/>
        <v>#N/A</v>
      </c>
      <c r="R273" s="5" t="e">
        <f ca="1">IF(G273=0,INDEX(cards[object_id],MATCH($C273,cards[object_id order],0)),"")</f>
        <v>#N/A</v>
      </c>
      <c r="S273" s="5" t="e">
        <f ca="1">IF(G273=1,INDEX(cards[[name]:[control]],MATCH($C273,cards[object_id order],0),'Group code'!J273),"")</f>
        <v>#N/A</v>
      </c>
      <c r="T273" s="5" t="e">
        <f ca="1">IF(G273=3,INDEX(cards[[1]:[25]],MATCH($C273,cards[object_id order],0),'Group code'!I273),"")</f>
        <v>#N/A</v>
      </c>
      <c r="U273" s="5" t="e">
        <f ca="1">VLOOKUP(G273,'Group code'!$Z$9:$AC$13,4,FALSE)</f>
        <v>#N/A</v>
      </c>
      <c r="V273" s="5" t="e">
        <f ca="1">IF(J273="","",VLOOKUP(J273,'Group code'!$Z$15:$AC$18,4,FALSE))</f>
        <v>#N/A</v>
      </c>
      <c r="W273" s="23" t="str">
        <f t="shared" ca="1" si="75"/>
        <v/>
      </c>
      <c r="X273" s="5" t="str">
        <f t="shared" ca="1" si="62"/>
        <v/>
      </c>
    </row>
    <row r="274" spans="2:24" x14ac:dyDescent="0.25">
      <c r="B274" s="5">
        <f t="shared" si="63"/>
        <v>268</v>
      </c>
      <c r="C274" s="5" t="e">
        <f t="shared" ca="1" si="76"/>
        <v>#N/A</v>
      </c>
      <c r="D274" s="5" t="e">
        <f ca="1">INDEX(cards[Attribute Index],MATCH('Group code'!C274,cards[object_id order],0))</f>
        <v>#N/A</v>
      </c>
      <c r="E274" s="5" t="e">
        <f t="shared" ca="1" si="64"/>
        <v>#N/A</v>
      </c>
      <c r="F274" s="14" t="e">
        <f ca="1">INDEX(cards[Entities count],MATCH('Group code'!C274,cards[object_id order],0))</f>
        <v>#N/A</v>
      </c>
      <c r="G274" s="14" t="e">
        <f t="shared" ca="1" si="66"/>
        <v>#N/A</v>
      </c>
      <c r="H274" s="14" t="e">
        <f t="shared" ca="1" si="67"/>
        <v>#N/A</v>
      </c>
      <c r="I274" s="5" t="e">
        <f t="shared" ca="1" si="68"/>
        <v>#N/A</v>
      </c>
      <c r="J274" s="5" t="e">
        <f t="shared" ca="1" si="65"/>
        <v>#N/A</v>
      </c>
      <c r="K274" s="5" t="e">
        <f t="shared" ca="1" si="69"/>
        <v>#N/A</v>
      </c>
      <c r="L274" s="5" t="e">
        <f t="shared" ca="1" si="70"/>
        <v>#N/A</v>
      </c>
      <c r="M274" s="5" t="e">
        <f t="shared" ca="1" si="71"/>
        <v>#N/A</v>
      </c>
      <c r="N274" s="5" t="e">
        <f t="shared" ca="1" si="72"/>
        <v>#N/A</v>
      </c>
      <c r="O274" s="5" t="e">
        <f t="shared" ca="1" si="73"/>
        <v>#N/A</v>
      </c>
      <c r="P274" s="5" t="e">
        <f ca="1">VLOOKUP(G274,'Group code'!$Z$9:$AC$13,3,FALSE)</f>
        <v>#N/A</v>
      </c>
      <c r="Q274" s="5" t="e">
        <f t="shared" ca="1" si="74"/>
        <v>#N/A</v>
      </c>
      <c r="R274" s="5" t="e">
        <f ca="1">IF(G274=0,INDEX(cards[object_id],MATCH($C274,cards[object_id order],0)),"")</f>
        <v>#N/A</v>
      </c>
      <c r="S274" s="5" t="e">
        <f ca="1">IF(G274=1,INDEX(cards[[name]:[control]],MATCH($C274,cards[object_id order],0),'Group code'!J274),"")</f>
        <v>#N/A</v>
      </c>
      <c r="T274" s="5" t="e">
        <f ca="1">IF(G274=3,INDEX(cards[[1]:[25]],MATCH($C274,cards[object_id order],0),'Group code'!I274),"")</f>
        <v>#N/A</v>
      </c>
      <c r="U274" s="5" t="e">
        <f ca="1">VLOOKUP(G274,'Group code'!$Z$9:$AC$13,4,FALSE)</f>
        <v>#N/A</v>
      </c>
      <c r="V274" s="5" t="e">
        <f ca="1">IF(J274="","",VLOOKUP(J274,'Group code'!$Z$15:$AC$18,4,FALSE))</f>
        <v>#N/A</v>
      </c>
      <c r="W274" s="23" t="str">
        <f t="shared" ca="1" si="75"/>
        <v/>
      </c>
      <c r="X274" s="5" t="str">
        <f t="shared" ca="1" si="62"/>
        <v/>
      </c>
    </row>
    <row r="275" spans="2:24" x14ac:dyDescent="0.25">
      <c r="B275" s="5">
        <f t="shared" si="63"/>
        <v>269</v>
      </c>
      <c r="C275" s="5" t="e">
        <f t="shared" ca="1" si="76"/>
        <v>#N/A</v>
      </c>
      <c r="D275" s="5" t="e">
        <f ca="1">INDEX(cards[Attribute Index],MATCH('Group code'!C275,cards[object_id order],0))</f>
        <v>#N/A</v>
      </c>
      <c r="E275" s="5" t="e">
        <f t="shared" ca="1" si="64"/>
        <v>#N/A</v>
      </c>
      <c r="F275" s="14" t="e">
        <f ca="1">INDEX(cards[Entities count],MATCH('Group code'!C275,cards[object_id order],0))</f>
        <v>#N/A</v>
      </c>
      <c r="G275" s="14" t="e">
        <f t="shared" ca="1" si="66"/>
        <v>#N/A</v>
      </c>
      <c r="H275" s="14" t="e">
        <f t="shared" ca="1" si="67"/>
        <v>#N/A</v>
      </c>
      <c r="I275" s="5" t="e">
        <f t="shared" ca="1" si="68"/>
        <v>#N/A</v>
      </c>
      <c r="J275" s="5" t="e">
        <f t="shared" ca="1" si="65"/>
        <v>#N/A</v>
      </c>
      <c r="K275" s="5" t="e">
        <f t="shared" ca="1" si="69"/>
        <v>#N/A</v>
      </c>
      <c r="L275" s="5" t="e">
        <f t="shared" ca="1" si="70"/>
        <v>#N/A</v>
      </c>
      <c r="M275" s="5" t="e">
        <f t="shared" ca="1" si="71"/>
        <v>#N/A</v>
      </c>
      <c r="N275" s="5" t="e">
        <f t="shared" ca="1" si="72"/>
        <v>#N/A</v>
      </c>
      <c r="O275" s="5" t="e">
        <f t="shared" ca="1" si="73"/>
        <v>#N/A</v>
      </c>
      <c r="P275" s="5" t="e">
        <f ca="1">VLOOKUP(G275,'Group code'!$Z$9:$AC$13,3,FALSE)</f>
        <v>#N/A</v>
      </c>
      <c r="Q275" s="5" t="e">
        <f t="shared" ca="1" si="74"/>
        <v>#N/A</v>
      </c>
      <c r="R275" s="5" t="e">
        <f ca="1">IF(G275=0,INDEX(cards[object_id],MATCH($C275,cards[object_id order],0)),"")</f>
        <v>#N/A</v>
      </c>
      <c r="S275" s="5" t="e">
        <f ca="1">IF(G275=1,INDEX(cards[[name]:[control]],MATCH($C275,cards[object_id order],0),'Group code'!J275),"")</f>
        <v>#N/A</v>
      </c>
      <c r="T275" s="5" t="e">
        <f ca="1">IF(G275=3,INDEX(cards[[1]:[25]],MATCH($C275,cards[object_id order],0),'Group code'!I275),"")</f>
        <v>#N/A</v>
      </c>
      <c r="U275" s="5" t="e">
        <f ca="1">VLOOKUP(G275,'Group code'!$Z$9:$AC$13,4,FALSE)</f>
        <v>#N/A</v>
      </c>
      <c r="V275" s="5" t="e">
        <f ca="1">IF(J275="","",VLOOKUP(J275,'Group code'!$Z$15:$AC$18,4,FALSE))</f>
        <v>#N/A</v>
      </c>
      <c r="W275" s="23" t="str">
        <f t="shared" ca="1" si="75"/>
        <v/>
      </c>
      <c r="X275" s="5" t="str">
        <f t="shared" ca="1" si="62"/>
        <v/>
      </c>
    </row>
    <row r="276" spans="2:24" x14ac:dyDescent="0.25">
      <c r="B276" s="5">
        <f t="shared" si="63"/>
        <v>270</v>
      </c>
      <c r="C276" s="5" t="e">
        <f t="shared" ca="1" si="76"/>
        <v>#N/A</v>
      </c>
      <c r="D276" s="5" t="e">
        <f ca="1">INDEX(cards[Attribute Index],MATCH('Group code'!C276,cards[object_id order],0))</f>
        <v>#N/A</v>
      </c>
      <c r="E276" s="5" t="e">
        <f t="shared" ca="1" si="64"/>
        <v>#N/A</v>
      </c>
      <c r="F276" s="14" t="e">
        <f ca="1">INDEX(cards[Entities count],MATCH('Group code'!C276,cards[object_id order],0))</f>
        <v>#N/A</v>
      </c>
      <c r="G276" s="14" t="e">
        <f t="shared" ca="1" si="66"/>
        <v>#N/A</v>
      </c>
      <c r="H276" s="14" t="e">
        <f t="shared" ca="1" si="67"/>
        <v>#N/A</v>
      </c>
      <c r="I276" s="5" t="e">
        <f t="shared" ca="1" si="68"/>
        <v>#N/A</v>
      </c>
      <c r="J276" s="5" t="e">
        <f t="shared" ca="1" si="65"/>
        <v>#N/A</v>
      </c>
      <c r="K276" s="5" t="e">
        <f t="shared" ca="1" si="69"/>
        <v>#N/A</v>
      </c>
      <c r="L276" s="5" t="e">
        <f t="shared" ca="1" si="70"/>
        <v>#N/A</v>
      </c>
      <c r="M276" s="5" t="e">
        <f t="shared" ca="1" si="71"/>
        <v>#N/A</v>
      </c>
      <c r="N276" s="5" t="e">
        <f t="shared" ca="1" si="72"/>
        <v>#N/A</v>
      </c>
      <c r="O276" s="5" t="e">
        <f t="shared" ca="1" si="73"/>
        <v>#N/A</v>
      </c>
      <c r="P276" s="5" t="e">
        <f ca="1">VLOOKUP(G276,'Group code'!$Z$9:$AC$13,3,FALSE)</f>
        <v>#N/A</v>
      </c>
      <c r="Q276" s="5" t="e">
        <f t="shared" ca="1" si="74"/>
        <v>#N/A</v>
      </c>
      <c r="R276" s="5" t="e">
        <f ca="1">IF(G276=0,INDEX(cards[object_id],MATCH($C276,cards[object_id order],0)),"")</f>
        <v>#N/A</v>
      </c>
      <c r="S276" s="5" t="e">
        <f ca="1">IF(G276=1,INDEX(cards[[name]:[control]],MATCH($C276,cards[object_id order],0),'Group code'!J276),"")</f>
        <v>#N/A</v>
      </c>
      <c r="T276" s="5" t="e">
        <f ca="1">IF(G276=3,INDEX(cards[[1]:[25]],MATCH($C276,cards[object_id order],0),'Group code'!I276),"")</f>
        <v>#N/A</v>
      </c>
      <c r="U276" s="5" t="e">
        <f ca="1">VLOOKUP(G276,'Group code'!$Z$9:$AC$13,4,FALSE)</f>
        <v>#N/A</v>
      </c>
      <c r="V276" s="5" t="e">
        <f ca="1">IF(J276="","",VLOOKUP(J276,'Group code'!$Z$15:$AC$18,4,FALSE))</f>
        <v>#N/A</v>
      </c>
      <c r="W276" s="23" t="str">
        <f t="shared" ca="1" si="75"/>
        <v/>
      </c>
      <c r="X276" s="5" t="str">
        <f t="shared" ca="1" si="62"/>
        <v/>
      </c>
    </row>
    <row r="277" spans="2:24" x14ac:dyDescent="0.25">
      <c r="B277" s="5">
        <f t="shared" si="63"/>
        <v>271</v>
      </c>
      <c r="C277" s="5" t="e">
        <f t="shared" ca="1" si="76"/>
        <v>#N/A</v>
      </c>
      <c r="D277" s="5" t="e">
        <f ca="1">INDEX(cards[Attribute Index],MATCH('Group code'!C277,cards[object_id order],0))</f>
        <v>#N/A</v>
      </c>
      <c r="E277" s="5" t="e">
        <f t="shared" ca="1" si="64"/>
        <v>#N/A</v>
      </c>
      <c r="F277" s="14" t="e">
        <f ca="1">INDEX(cards[Entities count],MATCH('Group code'!C277,cards[object_id order],0))</f>
        <v>#N/A</v>
      </c>
      <c r="G277" s="14" t="e">
        <f t="shared" ca="1" si="66"/>
        <v>#N/A</v>
      </c>
      <c r="H277" s="14" t="e">
        <f t="shared" ca="1" si="67"/>
        <v>#N/A</v>
      </c>
      <c r="I277" s="5" t="e">
        <f t="shared" ca="1" si="68"/>
        <v>#N/A</v>
      </c>
      <c r="J277" s="5" t="e">
        <f t="shared" ca="1" si="65"/>
        <v>#N/A</v>
      </c>
      <c r="K277" s="5" t="e">
        <f t="shared" ca="1" si="69"/>
        <v>#N/A</v>
      </c>
      <c r="L277" s="5" t="e">
        <f t="shared" ca="1" si="70"/>
        <v>#N/A</v>
      </c>
      <c r="M277" s="5" t="e">
        <f t="shared" ca="1" si="71"/>
        <v>#N/A</v>
      </c>
      <c r="N277" s="5" t="e">
        <f t="shared" ca="1" si="72"/>
        <v>#N/A</v>
      </c>
      <c r="O277" s="5" t="e">
        <f t="shared" ca="1" si="73"/>
        <v>#N/A</v>
      </c>
      <c r="P277" s="5" t="e">
        <f ca="1">VLOOKUP(G277,'Group code'!$Z$9:$AC$13,3,FALSE)</f>
        <v>#N/A</v>
      </c>
      <c r="Q277" s="5" t="e">
        <f t="shared" ca="1" si="74"/>
        <v>#N/A</v>
      </c>
      <c r="R277" s="5" t="e">
        <f ca="1">IF(G277=0,INDEX(cards[object_id],MATCH($C277,cards[object_id order],0)),"")</f>
        <v>#N/A</v>
      </c>
      <c r="S277" s="5" t="e">
        <f ca="1">IF(G277=1,INDEX(cards[[name]:[control]],MATCH($C277,cards[object_id order],0),'Group code'!J277),"")</f>
        <v>#N/A</v>
      </c>
      <c r="T277" s="5" t="e">
        <f ca="1">IF(G277=3,INDEX(cards[[1]:[25]],MATCH($C277,cards[object_id order],0),'Group code'!I277),"")</f>
        <v>#N/A</v>
      </c>
      <c r="U277" s="5" t="e">
        <f ca="1">VLOOKUP(G277,'Group code'!$Z$9:$AC$13,4,FALSE)</f>
        <v>#N/A</v>
      </c>
      <c r="V277" s="5" t="e">
        <f ca="1">IF(J277="","",VLOOKUP(J277,'Group code'!$Z$15:$AC$18,4,FALSE))</f>
        <v>#N/A</v>
      </c>
      <c r="W277" s="23" t="str">
        <f t="shared" ca="1" si="75"/>
        <v/>
      </c>
      <c r="X277" s="5" t="str">
        <f t="shared" ca="1" si="62"/>
        <v/>
      </c>
    </row>
    <row r="278" spans="2:24" x14ac:dyDescent="0.25">
      <c r="B278" s="5">
        <f t="shared" si="63"/>
        <v>272</v>
      </c>
      <c r="C278" s="5" t="e">
        <f t="shared" ca="1" si="76"/>
        <v>#N/A</v>
      </c>
      <c r="D278" s="5" t="e">
        <f ca="1">INDEX(cards[Attribute Index],MATCH('Group code'!C278,cards[object_id order],0))</f>
        <v>#N/A</v>
      </c>
      <c r="E278" s="5" t="e">
        <f t="shared" ca="1" si="64"/>
        <v>#N/A</v>
      </c>
      <c r="F278" s="14" t="e">
        <f ca="1">INDEX(cards[Entities count],MATCH('Group code'!C278,cards[object_id order],0))</f>
        <v>#N/A</v>
      </c>
      <c r="G278" s="14" t="e">
        <f t="shared" ca="1" si="66"/>
        <v>#N/A</v>
      </c>
      <c r="H278" s="14" t="e">
        <f t="shared" ca="1" si="67"/>
        <v>#N/A</v>
      </c>
      <c r="I278" s="5" t="e">
        <f t="shared" ca="1" si="68"/>
        <v>#N/A</v>
      </c>
      <c r="J278" s="5" t="e">
        <f t="shared" ca="1" si="65"/>
        <v>#N/A</v>
      </c>
      <c r="K278" s="5" t="e">
        <f t="shared" ca="1" si="69"/>
        <v>#N/A</v>
      </c>
      <c r="L278" s="5" t="e">
        <f t="shared" ca="1" si="70"/>
        <v>#N/A</v>
      </c>
      <c r="M278" s="5" t="e">
        <f t="shared" ca="1" si="71"/>
        <v>#N/A</v>
      </c>
      <c r="N278" s="5" t="e">
        <f t="shared" ca="1" si="72"/>
        <v>#N/A</v>
      </c>
      <c r="O278" s="5" t="e">
        <f t="shared" ca="1" si="73"/>
        <v>#N/A</v>
      </c>
      <c r="P278" s="5" t="e">
        <f ca="1">VLOOKUP(G278,'Group code'!$Z$9:$AC$13,3,FALSE)</f>
        <v>#N/A</v>
      </c>
      <c r="Q278" s="5" t="e">
        <f t="shared" ca="1" si="74"/>
        <v>#N/A</v>
      </c>
      <c r="R278" s="5" t="e">
        <f ca="1">IF(G278=0,INDEX(cards[object_id],MATCH($C278,cards[object_id order],0)),"")</f>
        <v>#N/A</v>
      </c>
      <c r="S278" s="5" t="e">
        <f ca="1">IF(G278=1,INDEX(cards[[name]:[control]],MATCH($C278,cards[object_id order],0),'Group code'!J278),"")</f>
        <v>#N/A</v>
      </c>
      <c r="T278" s="5" t="e">
        <f ca="1">IF(G278=3,INDEX(cards[[1]:[25]],MATCH($C278,cards[object_id order],0),'Group code'!I278),"")</f>
        <v>#N/A</v>
      </c>
      <c r="U278" s="5" t="e">
        <f ca="1">VLOOKUP(G278,'Group code'!$Z$9:$AC$13,4,FALSE)</f>
        <v>#N/A</v>
      </c>
      <c r="V278" s="5" t="e">
        <f ca="1">IF(J278="","",VLOOKUP(J278,'Group code'!$Z$15:$AC$18,4,FALSE))</f>
        <v>#N/A</v>
      </c>
      <c r="W278" s="23" t="str">
        <f t="shared" ca="1" si="75"/>
        <v/>
      </c>
      <c r="X278" s="5" t="str">
        <f t="shared" ca="1" si="62"/>
        <v/>
      </c>
    </row>
    <row r="279" spans="2:24" x14ac:dyDescent="0.25">
      <c r="B279" s="5">
        <f t="shared" si="63"/>
        <v>273</v>
      </c>
      <c r="C279" s="5" t="e">
        <f t="shared" ca="1" si="76"/>
        <v>#N/A</v>
      </c>
      <c r="D279" s="5" t="e">
        <f ca="1">INDEX(cards[Attribute Index],MATCH('Group code'!C279,cards[object_id order],0))</f>
        <v>#N/A</v>
      </c>
      <c r="E279" s="5" t="e">
        <f t="shared" ca="1" si="64"/>
        <v>#N/A</v>
      </c>
      <c r="F279" s="14" t="e">
        <f ca="1">INDEX(cards[Entities count],MATCH('Group code'!C279,cards[object_id order],0))</f>
        <v>#N/A</v>
      </c>
      <c r="G279" s="14" t="e">
        <f t="shared" ca="1" si="66"/>
        <v>#N/A</v>
      </c>
      <c r="H279" s="14" t="e">
        <f t="shared" ca="1" si="67"/>
        <v>#N/A</v>
      </c>
      <c r="I279" s="5" t="e">
        <f t="shared" ca="1" si="68"/>
        <v>#N/A</v>
      </c>
      <c r="J279" s="5" t="e">
        <f t="shared" ca="1" si="65"/>
        <v>#N/A</v>
      </c>
      <c r="K279" s="5" t="e">
        <f t="shared" ca="1" si="69"/>
        <v>#N/A</v>
      </c>
      <c r="L279" s="5" t="e">
        <f t="shared" ca="1" si="70"/>
        <v>#N/A</v>
      </c>
      <c r="M279" s="5" t="e">
        <f t="shared" ca="1" si="71"/>
        <v>#N/A</v>
      </c>
      <c r="N279" s="5" t="e">
        <f t="shared" ca="1" si="72"/>
        <v>#N/A</v>
      </c>
      <c r="O279" s="5" t="e">
        <f t="shared" ca="1" si="73"/>
        <v>#N/A</v>
      </c>
      <c r="P279" s="5" t="e">
        <f ca="1">VLOOKUP(G279,'Group code'!$Z$9:$AC$13,3,FALSE)</f>
        <v>#N/A</v>
      </c>
      <c r="Q279" s="5" t="e">
        <f t="shared" ca="1" si="74"/>
        <v>#N/A</v>
      </c>
      <c r="R279" s="5" t="e">
        <f ca="1">IF(G279=0,INDEX(cards[object_id],MATCH($C279,cards[object_id order],0)),"")</f>
        <v>#N/A</v>
      </c>
      <c r="S279" s="5" t="e">
        <f ca="1">IF(G279=1,INDEX(cards[[name]:[control]],MATCH($C279,cards[object_id order],0),'Group code'!J279),"")</f>
        <v>#N/A</v>
      </c>
      <c r="T279" s="5" t="e">
        <f ca="1">IF(G279=3,INDEX(cards[[1]:[25]],MATCH($C279,cards[object_id order],0),'Group code'!I279),"")</f>
        <v>#N/A</v>
      </c>
      <c r="U279" s="5" t="e">
        <f ca="1">VLOOKUP(G279,'Group code'!$Z$9:$AC$13,4,FALSE)</f>
        <v>#N/A</v>
      </c>
      <c r="V279" s="5" t="e">
        <f ca="1">IF(J279="","",VLOOKUP(J279,'Group code'!$Z$15:$AC$18,4,FALSE))</f>
        <v>#N/A</v>
      </c>
      <c r="W279" s="23" t="str">
        <f t="shared" ca="1" si="75"/>
        <v/>
      </c>
      <c r="X279" s="5" t="str">
        <f t="shared" ca="1" si="62"/>
        <v/>
      </c>
    </row>
    <row r="280" spans="2:24" x14ac:dyDescent="0.25">
      <c r="B280" s="5">
        <f t="shared" si="63"/>
        <v>274</v>
      </c>
      <c r="C280" s="5" t="e">
        <f t="shared" ca="1" si="76"/>
        <v>#N/A</v>
      </c>
      <c r="D280" s="5" t="e">
        <f ca="1">INDEX(cards[Attribute Index],MATCH('Group code'!C280,cards[object_id order],0))</f>
        <v>#N/A</v>
      </c>
      <c r="E280" s="5" t="e">
        <f t="shared" ca="1" si="64"/>
        <v>#N/A</v>
      </c>
      <c r="F280" s="14" t="e">
        <f ca="1">INDEX(cards[Entities count],MATCH('Group code'!C280,cards[object_id order],0))</f>
        <v>#N/A</v>
      </c>
      <c r="G280" s="14" t="e">
        <f t="shared" ca="1" si="66"/>
        <v>#N/A</v>
      </c>
      <c r="H280" s="14" t="e">
        <f t="shared" ca="1" si="67"/>
        <v>#N/A</v>
      </c>
      <c r="I280" s="5" t="e">
        <f t="shared" ca="1" si="68"/>
        <v>#N/A</v>
      </c>
      <c r="J280" s="5" t="e">
        <f t="shared" ca="1" si="65"/>
        <v>#N/A</v>
      </c>
      <c r="K280" s="5" t="e">
        <f t="shared" ca="1" si="69"/>
        <v>#N/A</v>
      </c>
      <c r="L280" s="5" t="e">
        <f t="shared" ca="1" si="70"/>
        <v>#N/A</v>
      </c>
      <c r="M280" s="5" t="e">
        <f t="shared" ca="1" si="71"/>
        <v>#N/A</v>
      </c>
      <c r="N280" s="5" t="e">
        <f t="shared" ca="1" si="72"/>
        <v>#N/A</v>
      </c>
      <c r="O280" s="5" t="e">
        <f t="shared" ca="1" si="73"/>
        <v>#N/A</v>
      </c>
      <c r="P280" s="5" t="e">
        <f ca="1">VLOOKUP(G280,'Group code'!$Z$9:$AC$13,3,FALSE)</f>
        <v>#N/A</v>
      </c>
      <c r="Q280" s="5" t="e">
        <f t="shared" ca="1" si="74"/>
        <v>#N/A</v>
      </c>
      <c r="R280" s="5" t="e">
        <f ca="1">IF(G280=0,INDEX(cards[object_id],MATCH($C280,cards[object_id order],0)),"")</f>
        <v>#N/A</v>
      </c>
      <c r="S280" s="5" t="e">
        <f ca="1">IF(G280=1,INDEX(cards[[name]:[control]],MATCH($C280,cards[object_id order],0),'Group code'!J280),"")</f>
        <v>#N/A</v>
      </c>
      <c r="T280" s="5" t="e">
        <f ca="1">IF(G280=3,INDEX(cards[[1]:[25]],MATCH($C280,cards[object_id order],0),'Group code'!I280),"")</f>
        <v>#N/A</v>
      </c>
      <c r="U280" s="5" t="e">
        <f ca="1">VLOOKUP(G280,'Group code'!$Z$9:$AC$13,4,FALSE)</f>
        <v>#N/A</v>
      </c>
      <c r="V280" s="5" t="e">
        <f ca="1">IF(J280="","",VLOOKUP(J280,'Group code'!$Z$15:$AC$18,4,FALSE))</f>
        <v>#N/A</v>
      </c>
      <c r="W280" s="23" t="str">
        <f t="shared" ca="1" si="75"/>
        <v/>
      </c>
      <c r="X280" s="5" t="str">
        <f t="shared" ca="1" si="62"/>
        <v/>
      </c>
    </row>
    <row r="281" spans="2:24" x14ac:dyDescent="0.25">
      <c r="B281" s="5">
        <f t="shared" si="63"/>
        <v>275</v>
      </c>
      <c r="C281" s="5" t="e">
        <f t="shared" ca="1" si="76"/>
        <v>#N/A</v>
      </c>
      <c r="D281" s="5" t="e">
        <f ca="1">INDEX(cards[Attribute Index],MATCH('Group code'!C281,cards[object_id order],0))</f>
        <v>#N/A</v>
      </c>
      <c r="E281" s="5" t="e">
        <f t="shared" ca="1" si="64"/>
        <v>#N/A</v>
      </c>
      <c r="F281" s="14" t="e">
        <f ca="1">INDEX(cards[Entities count],MATCH('Group code'!C281,cards[object_id order],0))</f>
        <v>#N/A</v>
      </c>
      <c r="G281" s="14" t="e">
        <f t="shared" ca="1" si="66"/>
        <v>#N/A</v>
      </c>
      <c r="H281" s="14" t="e">
        <f t="shared" ca="1" si="67"/>
        <v>#N/A</v>
      </c>
      <c r="I281" s="5" t="e">
        <f t="shared" ca="1" si="68"/>
        <v>#N/A</v>
      </c>
      <c r="J281" s="5" t="e">
        <f t="shared" ca="1" si="65"/>
        <v>#N/A</v>
      </c>
      <c r="K281" s="5" t="e">
        <f t="shared" ca="1" si="69"/>
        <v>#N/A</v>
      </c>
      <c r="L281" s="5" t="e">
        <f t="shared" ca="1" si="70"/>
        <v>#N/A</v>
      </c>
      <c r="M281" s="5" t="e">
        <f t="shared" ca="1" si="71"/>
        <v>#N/A</v>
      </c>
      <c r="N281" s="5" t="e">
        <f t="shared" ca="1" si="72"/>
        <v>#N/A</v>
      </c>
      <c r="O281" s="5" t="e">
        <f t="shared" ca="1" si="73"/>
        <v>#N/A</v>
      </c>
      <c r="P281" s="5" t="e">
        <f ca="1">VLOOKUP(G281,'Group code'!$Z$9:$AC$13,3,FALSE)</f>
        <v>#N/A</v>
      </c>
      <c r="Q281" s="5" t="e">
        <f t="shared" ca="1" si="74"/>
        <v>#N/A</v>
      </c>
      <c r="R281" s="5" t="e">
        <f ca="1">IF(G281=0,INDEX(cards[object_id],MATCH($C281,cards[object_id order],0)),"")</f>
        <v>#N/A</v>
      </c>
      <c r="S281" s="5" t="e">
        <f ca="1">IF(G281=1,INDEX(cards[[name]:[control]],MATCH($C281,cards[object_id order],0),'Group code'!J281),"")</f>
        <v>#N/A</v>
      </c>
      <c r="T281" s="5" t="e">
        <f ca="1">IF(G281=3,INDEX(cards[[1]:[25]],MATCH($C281,cards[object_id order],0),'Group code'!I281),"")</f>
        <v>#N/A</v>
      </c>
      <c r="U281" s="5" t="e">
        <f ca="1">VLOOKUP(G281,'Group code'!$Z$9:$AC$13,4,FALSE)</f>
        <v>#N/A</v>
      </c>
      <c r="V281" s="5" t="e">
        <f ca="1">IF(J281="","",VLOOKUP(J281,'Group code'!$Z$15:$AC$18,4,FALSE))</f>
        <v>#N/A</v>
      </c>
      <c r="W281" s="23" t="str">
        <f t="shared" ca="1" si="75"/>
        <v/>
      </c>
      <c r="X281" s="5" t="str">
        <f t="shared" ca="1" si="62"/>
        <v/>
      </c>
    </row>
    <row r="282" spans="2:24" x14ac:dyDescent="0.25">
      <c r="B282" s="5">
        <f t="shared" si="63"/>
        <v>276</v>
      </c>
      <c r="C282" s="5" t="e">
        <f t="shared" ca="1" si="76"/>
        <v>#N/A</v>
      </c>
      <c r="D282" s="5" t="e">
        <f ca="1">INDEX(cards[Attribute Index],MATCH('Group code'!C282,cards[object_id order],0))</f>
        <v>#N/A</v>
      </c>
      <c r="E282" s="5" t="e">
        <f t="shared" ca="1" si="64"/>
        <v>#N/A</v>
      </c>
      <c r="F282" s="14" t="e">
        <f ca="1">INDEX(cards[Entities count],MATCH('Group code'!C282,cards[object_id order],0))</f>
        <v>#N/A</v>
      </c>
      <c r="G282" s="14" t="e">
        <f t="shared" ca="1" si="66"/>
        <v>#N/A</v>
      </c>
      <c r="H282" s="14" t="e">
        <f t="shared" ca="1" si="67"/>
        <v>#N/A</v>
      </c>
      <c r="I282" s="5" t="e">
        <f t="shared" ca="1" si="68"/>
        <v>#N/A</v>
      </c>
      <c r="J282" s="5" t="e">
        <f t="shared" ca="1" si="65"/>
        <v>#N/A</v>
      </c>
      <c r="K282" s="5" t="e">
        <f t="shared" ca="1" si="69"/>
        <v>#N/A</v>
      </c>
      <c r="L282" s="5" t="e">
        <f t="shared" ca="1" si="70"/>
        <v>#N/A</v>
      </c>
      <c r="M282" s="5" t="e">
        <f t="shared" ca="1" si="71"/>
        <v>#N/A</v>
      </c>
      <c r="N282" s="5" t="e">
        <f t="shared" ca="1" si="72"/>
        <v>#N/A</v>
      </c>
      <c r="O282" s="5" t="e">
        <f t="shared" ca="1" si="73"/>
        <v>#N/A</v>
      </c>
      <c r="P282" s="5" t="e">
        <f ca="1">VLOOKUP(G282,'Group code'!$Z$9:$AC$13,3,FALSE)</f>
        <v>#N/A</v>
      </c>
      <c r="Q282" s="5" t="e">
        <f t="shared" ca="1" si="74"/>
        <v>#N/A</v>
      </c>
      <c r="R282" s="5" t="e">
        <f ca="1">IF(G282=0,INDEX(cards[object_id],MATCH($C282,cards[object_id order],0)),"")</f>
        <v>#N/A</v>
      </c>
      <c r="S282" s="5" t="e">
        <f ca="1">IF(G282=1,INDEX(cards[[name]:[control]],MATCH($C282,cards[object_id order],0),'Group code'!J282),"")</f>
        <v>#N/A</v>
      </c>
      <c r="T282" s="5" t="e">
        <f ca="1">IF(G282=3,INDEX(cards[[1]:[25]],MATCH($C282,cards[object_id order],0),'Group code'!I282),"")</f>
        <v>#N/A</v>
      </c>
      <c r="U282" s="5" t="e">
        <f ca="1">VLOOKUP(G282,'Group code'!$Z$9:$AC$13,4,FALSE)</f>
        <v>#N/A</v>
      </c>
      <c r="V282" s="5" t="e">
        <f ca="1">IF(J282="","",VLOOKUP(J282,'Group code'!$Z$15:$AC$18,4,FALSE))</f>
        <v>#N/A</v>
      </c>
      <c r="W282" s="23" t="str">
        <f t="shared" ca="1" si="75"/>
        <v/>
      </c>
      <c r="X282" s="5" t="str">
        <f t="shared" ca="1" si="62"/>
        <v/>
      </c>
    </row>
    <row r="283" spans="2:24" x14ac:dyDescent="0.25">
      <c r="B283" s="5">
        <f t="shared" si="63"/>
        <v>277</v>
      </c>
      <c r="C283" s="5" t="e">
        <f t="shared" ca="1" si="76"/>
        <v>#N/A</v>
      </c>
      <c r="D283" s="5" t="e">
        <f ca="1">INDEX(cards[Attribute Index],MATCH('Group code'!C283,cards[object_id order],0))</f>
        <v>#N/A</v>
      </c>
      <c r="E283" s="5" t="e">
        <f t="shared" ca="1" si="64"/>
        <v>#N/A</v>
      </c>
      <c r="F283" s="14" t="e">
        <f ca="1">INDEX(cards[Entities count],MATCH('Group code'!C283,cards[object_id order],0))</f>
        <v>#N/A</v>
      </c>
      <c r="G283" s="14" t="e">
        <f t="shared" ca="1" si="66"/>
        <v>#N/A</v>
      </c>
      <c r="H283" s="14" t="e">
        <f t="shared" ca="1" si="67"/>
        <v>#N/A</v>
      </c>
      <c r="I283" s="5" t="e">
        <f t="shared" ca="1" si="68"/>
        <v>#N/A</v>
      </c>
      <c r="J283" s="5" t="e">
        <f t="shared" ca="1" si="65"/>
        <v>#N/A</v>
      </c>
      <c r="K283" s="5" t="e">
        <f t="shared" ca="1" si="69"/>
        <v>#N/A</v>
      </c>
      <c r="L283" s="5" t="e">
        <f t="shared" ca="1" si="70"/>
        <v>#N/A</v>
      </c>
      <c r="M283" s="5" t="e">
        <f t="shared" ca="1" si="71"/>
        <v>#N/A</v>
      </c>
      <c r="N283" s="5" t="e">
        <f t="shared" ca="1" si="72"/>
        <v>#N/A</v>
      </c>
      <c r="O283" s="5" t="e">
        <f t="shared" ca="1" si="73"/>
        <v>#N/A</v>
      </c>
      <c r="P283" s="5" t="e">
        <f ca="1">VLOOKUP(G283,'Group code'!$Z$9:$AC$13,3,FALSE)</f>
        <v>#N/A</v>
      </c>
      <c r="Q283" s="5" t="e">
        <f t="shared" ca="1" si="74"/>
        <v>#N/A</v>
      </c>
      <c r="R283" s="5" t="e">
        <f ca="1">IF(G283=0,INDEX(cards[object_id],MATCH($C283,cards[object_id order],0)),"")</f>
        <v>#N/A</v>
      </c>
      <c r="S283" s="5" t="e">
        <f ca="1">IF(G283=1,INDEX(cards[[name]:[control]],MATCH($C283,cards[object_id order],0),'Group code'!J283),"")</f>
        <v>#N/A</v>
      </c>
      <c r="T283" s="5" t="e">
        <f ca="1">IF(G283=3,INDEX(cards[[1]:[25]],MATCH($C283,cards[object_id order],0),'Group code'!I283),"")</f>
        <v>#N/A</v>
      </c>
      <c r="U283" s="5" t="e">
        <f ca="1">VLOOKUP(G283,'Group code'!$Z$9:$AC$13,4,FALSE)</f>
        <v>#N/A</v>
      </c>
      <c r="V283" s="5" t="e">
        <f ca="1">IF(J283="","",VLOOKUP(J283,'Group code'!$Z$15:$AC$18,4,FALSE))</f>
        <v>#N/A</v>
      </c>
      <c r="W283" s="23" t="str">
        <f t="shared" ca="1" si="75"/>
        <v/>
      </c>
      <c r="X283" s="5" t="str">
        <f t="shared" ca="1" si="62"/>
        <v/>
      </c>
    </row>
    <row r="284" spans="2:24" x14ac:dyDescent="0.25">
      <c r="B284" s="5">
        <f t="shared" si="63"/>
        <v>278</v>
      </c>
      <c r="C284" s="5" t="e">
        <f t="shared" ca="1" si="76"/>
        <v>#N/A</v>
      </c>
      <c r="D284" s="5" t="e">
        <f ca="1">INDEX(cards[Attribute Index],MATCH('Group code'!C284,cards[object_id order],0))</f>
        <v>#N/A</v>
      </c>
      <c r="E284" s="5" t="e">
        <f t="shared" ca="1" si="64"/>
        <v>#N/A</v>
      </c>
      <c r="F284" s="14" t="e">
        <f ca="1">INDEX(cards[Entities count],MATCH('Group code'!C284,cards[object_id order],0))</f>
        <v>#N/A</v>
      </c>
      <c r="G284" s="14" t="e">
        <f t="shared" ca="1" si="66"/>
        <v>#N/A</v>
      </c>
      <c r="H284" s="14" t="e">
        <f t="shared" ca="1" si="67"/>
        <v>#N/A</v>
      </c>
      <c r="I284" s="5" t="e">
        <f t="shared" ca="1" si="68"/>
        <v>#N/A</v>
      </c>
      <c r="J284" s="5" t="e">
        <f t="shared" ca="1" si="65"/>
        <v>#N/A</v>
      </c>
      <c r="K284" s="5" t="e">
        <f t="shared" ca="1" si="69"/>
        <v>#N/A</v>
      </c>
      <c r="L284" s="5" t="e">
        <f t="shared" ca="1" si="70"/>
        <v>#N/A</v>
      </c>
      <c r="M284" s="5" t="e">
        <f t="shared" ca="1" si="71"/>
        <v>#N/A</v>
      </c>
      <c r="N284" s="5" t="e">
        <f t="shared" ca="1" si="72"/>
        <v>#N/A</v>
      </c>
      <c r="O284" s="5" t="e">
        <f t="shared" ca="1" si="73"/>
        <v>#N/A</v>
      </c>
      <c r="P284" s="5" t="e">
        <f ca="1">VLOOKUP(G284,'Group code'!$Z$9:$AC$13,3,FALSE)</f>
        <v>#N/A</v>
      </c>
      <c r="Q284" s="5" t="e">
        <f t="shared" ca="1" si="74"/>
        <v>#N/A</v>
      </c>
      <c r="R284" s="5" t="e">
        <f ca="1">IF(G284=0,INDEX(cards[object_id],MATCH($C284,cards[object_id order],0)),"")</f>
        <v>#N/A</v>
      </c>
      <c r="S284" s="5" t="e">
        <f ca="1">IF(G284=1,INDEX(cards[[name]:[control]],MATCH($C284,cards[object_id order],0),'Group code'!J284),"")</f>
        <v>#N/A</v>
      </c>
      <c r="T284" s="5" t="e">
        <f ca="1">IF(G284=3,INDEX(cards[[1]:[25]],MATCH($C284,cards[object_id order],0),'Group code'!I284),"")</f>
        <v>#N/A</v>
      </c>
      <c r="U284" s="5" t="e">
        <f ca="1">VLOOKUP(G284,'Group code'!$Z$9:$AC$13,4,FALSE)</f>
        <v>#N/A</v>
      </c>
      <c r="V284" s="5" t="e">
        <f ca="1">IF(J284="","",VLOOKUP(J284,'Group code'!$Z$15:$AC$18,4,FALSE))</f>
        <v>#N/A</v>
      </c>
      <c r="W284" s="23" t="str">
        <f t="shared" ca="1" si="75"/>
        <v/>
      </c>
      <c r="X284" s="5" t="str">
        <f t="shared" ca="1" si="62"/>
        <v/>
      </c>
    </row>
    <row r="285" spans="2:24" x14ac:dyDescent="0.25">
      <c r="B285" s="5">
        <f t="shared" si="63"/>
        <v>279</v>
      </c>
      <c r="C285" s="5" t="e">
        <f t="shared" ca="1" si="76"/>
        <v>#N/A</v>
      </c>
      <c r="D285" s="5" t="e">
        <f ca="1">INDEX(cards[Attribute Index],MATCH('Group code'!C285,cards[object_id order],0))</f>
        <v>#N/A</v>
      </c>
      <c r="E285" s="5" t="e">
        <f t="shared" ca="1" si="64"/>
        <v>#N/A</v>
      </c>
      <c r="F285" s="14" t="e">
        <f ca="1">INDEX(cards[Entities count],MATCH('Group code'!C285,cards[object_id order],0))</f>
        <v>#N/A</v>
      </c>
      <c r="G285" s="14" t="e">
        <f t="shared" ca="1" si="66"/>
        <v>#N/A</v>
      </c>
      <c r="H285" s="14" t="e">
        <f t="shared" ca="1" si="67"/>
        <v>#N/A</v>
      </c>
      <c r="I285" s="5" t="e">
        <f t="shared" ca="1" si="68"/>
        <v>#N/A</v>
      </c>
      <c r="J285" s="5" t="e">
        <f t="shared" ca="1" si="65"/>
        <v>#N/A</v>
      </c>
      <c r="K285" s="5" t="e">
        <f t="shared" ca="1" si="69"/>
        <v>#N/A</v>
      </c>
      <c r="L285" s="5" t="e">
        <f t="shared" ca="1" si="70"/>
        <v>#N/A</v>
      </c>
      <c r="M285" s="5" t="e">
        <f t="shared" ca="1" si="71"/>
        <v>#N/A</v>
      </c>
      <c r="N285" s="5" t="e">
        <f t="shared" ca="1" si="72"/>
        <v>#N/A</v>
      </c>
      <c r="O285" s="5" t="e">
        <f t="shared" ca="1" si="73"/>
        <v>#N/A</v>
      </c>
      <c r="P285" s="5" t="e">
        <f ca="1">VLOOKUP(G285,'Group code'!$Z$9:$AC$13,3,FALSE)</f>
        <v>#N/A</v>
      </c>
      <c r="Q285" s="5" t="e">
        <f t="shared" ca="1" si="74"/>
        <v>#N/A</v>
      </c>
      <c r="R285" s="5" t="e">
        <f ca="1">IF(G285=0,INDEX(cards[object_id],MATCH($C285,cards[object_id order],0)),"")</f>
        <v>#N/A</v>
      </c>
      <c r="S285" s="5" t="e">
        <f ca="1">IF(G285=1,INDEX(cards[[name]:[control]],MATCH($C285,cards[object_id order],0),'Group code'!J285),"")</f>
        <v>#N/A</v>
      </c>
      <c r="T285" s="5" t="e">
        <f ca="1">IF(G285=3,INDEX(cards[[1]:[25]],MATCH($C285,cards[object_id order],0),'Group code'!I285),"")</f>
        <v>#N/A</v>
      </c>
      <c r="U285" s="5" t="e">
        <f ca="1">VLOOKUP(G285,'Group code'!$Z$9:$AC$13,4,FALSE)</f>
        <v>#N/A</v>
      </c>
      <c r="V285" s="5" t="e">
        <f ca="1">IF(J285="","",VLOOKUP(J285,'Group code'!$Z$15:$AC$18,4,FALSE))</f>
        <v>#N/A</v>
      </c>
      <c r="W285" s="23" t="str">
        <f t="shared" ca="1" si="75"/>
        <v/>
      </c>
      <c r="X285" s="5" t="str">
        <f t="shared" ca="1" si="62"/>
        <v/>
      </c>
    </row>
    <row r="286" spans="2:24" x14ac:dyDescent="0.25">
      <c r="B286" s="5">
        <f t="shared" si="63"/>
        <v>280</v>
      </c>
      <c r="C286" s="5" t="e">
        <f t="shared" ca="1" si="76"/>
        <v>#N/A</v>
      </c>
      <c r="D286" s="5" t="e">
        <f ca="1">INDEX(cards[Attribute Index],MATCH('Group code'!C286,cards[object_id order],0))</f>
        <v>#N/A</v>
      </c>
      <c r="E286" s="5" t="e">
        <f t="shared" ca="1" si="64"/>
        <v>#N/A</v>
      </c>
      <c r="F286" s="14" t="e">
        <f ca="1">INDEX(cards[Entities count],MATCH('Group code'!C286,cards[object_id order],0))</f>
        <v>#N/A</v>
      </c>
      <c r="G286" s="14" t="e">
        <f t="shared" ca="1" si="66"/>
        <v>#N/A</v>
      </c>
      <c r="H286" s="14" t="e">
        <f t="shared" ca="1" si="67"/>
        <v>#N/A</v>
      </c>
      <c r="I286" s="5" t="e">
        <f t="shared" ca="1" si="68"/>
        <v>#N/A</v>
      </c>
      <c r="J286" s="5" t="e">
        <f t="shared" ca="1" si="65"/>
        <v>#N/A</v>
      </c>
      <c r="K286" s="5" t="e">
        <f t="shared" ca="1" si="69"/>
        <v>#N/A</v>
      </c>
      <c r="L286" s="5" t="e">
        <f t="shared" ca="1" si="70"/>
        <v>#N/A</v>
      </c>
      <c r="M286" s="5" t="e">
        <f t="shared" ca="1" si="71"/>
        <v>#N/A</v>
      </c>
      <c r="N286" s="5" t="e">
        <f t="shared" ca="1" si="72"/>
        <v>#N/A</v>
      </c>
      <c r="O286" s="5" t="e">
        <f t="shared" ca="1" si="73"/>
        <v>#N/A</v>
      </c>
      <c r="P286" s="5" t="e">
        <f ca="1">VLOOKUP(G286,'Group code'!$Z$9:$AC$13,3,FALSE)</f>
        <v>#N/A</v>
      </c>
      <c r="Q286" s="5" t="e">
        <f t="shared" ca="1" si="74"/>
        <v>#N/A</v>
      </c>
      <c r="R286" s="5" t="e">
        <f ca="1">IF(G286=0,INDEX(cards[object_id],MATCH($C286,cards[object_id order],0)),"")</f>
        <v>#N/A</v>
      </c>
      <c r="S286" s="5" t="e">
        <f ca="1">IF(G286=1,INDEX(cards[[name]:[control]],MATCH($C286,cards[object_id order],0),'Group code'!J286),"")</f>
        <v>#N/A</v>
      </c>
      <c r="T286" s="5" t="e">
        <f ca="1">IF(G286=3,INDEX(cards[[1]:[25]],MATCH($C286,cards[object_id order],0),'Group code'!I286),"")</f>
        <v>#N/A</v>
      </c>
      <c r="U286" s="5" t="e">
        <f ca="1">VLOOKUP(G286,'Group code'!$Z$9:$AC$13,4,FALSE)</f>
        <v>#N/A</v>
      </c>
      <c r="V286" s="5" t="e">
        <f ca="1">IF(J286="","",VLOOKUP(J286,'Group code'!$Z$15:$AC$18,4,FALSE))</f>
        <v>#N/A</v>
      </c>
      <c r="W286" s="23" t="str">
        <f t="shared" ca="1" si="75"/>
        <v/>
      </c>
      <c r="X286" s="5" t="str">
        <f t="shared" ca="1" si="62"/>
        <v/>
      </c>
    </row>
    <row r="287" spans="2:24" x14ac:dyDescent="0.25">
      <c r="B287" s="5">
        <f t="shared" si="63"/>
        <v>281</v>
      </c>
      <c r="C287" s="5" t="e">
        <f t="shared" ca="1" si="76"/>
        <v>#N/A</v>
      </c>
      <c r="D287" s="5" t="e">
        <f ca="1">INDEX(cards[Attribute Index],MATCH('Group code'!C287,cards[object_id order],0))</f>
        <v>#N/A</v>
      </c>
      <c r="E287" s="5" t="e">
        <f t="shared" ca="1" si="64"/>
        <v>#N/A</v>
      </c>
      <c r="F287" s="14" t="e">
        <f ca="1">INDEX(cards[Entities count],MATCH('Group code'!C287,cards[object_id order],0))</f>
        <v>#N/A</v>
      </c>
      <c r="G287" s="14" t="e">
        <f t="shared" ca="1" si="66"/>
        <v>#N/A</v>
      </c>
      <c r="H287" s="14" t="e">
        <f t="shared" ca="1" si="67"/>
        <v>#N/A</v>
      </c>
      <c r="I287" s="5" t="e">
        <f t="shared" ca="1" si="68"/>
        <v>#N/A</v>
      </c>
      <c r="J287" s="5" t="e">
        <f t="shared" ca="1" si="65"/>
        <v>#N/A</v>
      </c>
      <c r="K287" s="5" t="e">
        <f t="shared" ca="1" si="69"/>
        <v>#N/A</v>
      </c>
      <c r="L287" s="5" t="e">
        <f t="shared" ca="1" si="70"/>
        <v>#N/A</v>
      </c>
      <c r="M287" s="5" t="e">
        <f t="shared" ca="1" si="71"/>
        <v>#N/A</v>
      </c>
      <c r="N287" s="5" t="e">
        <f t="shared" ca="1" si="72"/>
        <v>#N/A</v>
      </c>
      <c r="O287" s="5" t="e">
        <f t="shared" ca="1" si="73"/>
        <v>#N/A</v>
      </c>
      <c r="P287" s="5" t="e">
        <f ca="1">VLOOKUP(G287,'Group code'!$Z$9:$AC$13,3,FALSE)</f>
        <v>#N/A</v>
      </c>
      <c r="Q287" s="5" t="e">
        <f t="shared" ca="1" si="74"/>
        <v>#N/A</v>
      </c>
      <c r="R287" s="5" t="e">
        <f ca="1">IF(G287=0,INDEX(cards[object_id],MATCH($C287,cards[object_id order],0)),"")</f>
        <v>#N/A</v>
      </c>
      <c r="S287" s="5" t="e">
        <f ca="1">IF(G287=1,INDEX(cards[[name]:[control]],MATCH($C287,cards[object_id order],0),'Group code'!J287),"")</f>
        <v>#N/A</v>
      </c>
      <c r="T287" s="5" t="e">
        <f ca="1">IF(G287=3,INDEX(cards[[1]:[25]],MATCH($C287,cards[object_id order],0),'Group code'!I287),"")</f>
        <v>#N/A</v>
      </c>
      <c r="U287" s="5" t="e">
        <f ca="1">VLOOKUP(G287,'Group code'!$Z$9:$AC$13,4,FALSE)</f>
        <v>#N/A</v>
      </c>
      <c r="V287" s="5" t="e">
        <f ca="1">IF(J287="","",VLOOKUP(J287,'Group code'!$Z$15:$AC$18,4,FALSE))</f>
        <v>#N/A</v>
      </c>
      <c r="W287" s="23" t="str">
        <f t="shared" ca="1" si="75"/>
        <v/>
      </c>
      <c r="X287" s="5" t="str">
        <f t="shared" ca="1" si="62"/>
        <v/>
      </c>
    </row>
    <row r="288" spans="2:24" x14ac:dyDescent="0.25">
      <c r="B288" s="5">
        <f t="shared" si="63"/>
        <v>282</v>
      </c>
      <c r="C288" s="5" t="e">
        <f t="shared" ca="1" si="76"/>
        <v>#N/A</v>
      </c>
      <c r="D288" s="5" t="e">
        <f ca="1">INDEX(cards[Attribute Index],MATCH('Group code'!C288,cards[object_id order],0))</f>
        <v>#N/A</v>
      </c>
      <c r="E288" s="5" t="e">
        <f t="shared" ca="1" si="64"/>
        <v>#N/A</v>
      </c>
      <c r="F288" s="14" t="e">
        <f ca="1">INDEX(cards[Entities count],MATCH('Group code'!C288,cards[object_id order],0))</f>
        <v>#N/A</v>
      </c>
      <c r="G288" s="14" t="e">
        <f t="shared" ca="1" si="66"/>
        <v>#N/A</v>
      </c>
      <c r="H288" s="14" t="e">
        <f t="shared" ca="1" si="67"/>
        <v>#N/A</v>
      </c>
      <c r="I288" s="5" t="e">
        <f t="shared" ca="1" si="68"/>
        <v>#N/A</v>
      </c>
      <c r="J288" s="5" t="e">
        <f t="shared" ca="1" si="65"/>
        <v>#N/A</v>
      </c>
      <c r="K288" s="5" t="e">
        <f t="shared" ca="1" si="69"/>
        <v>#N/A</v>
      </c>
      <c r="L288" s="5" t="e">
        <f t="shared" ca="1" si="70"/>
        <v>#N/A</v>
      </c>
      <c r="M288" s="5" t="e">
        <f t="shared" ca="1" si="71"/>
        <v>#N/A</v>
      </c>
      <c r="N288" s="5" t="e">
        <f t="shared" ca="1" si="72"/>
        <v>#N/A</v>
      </c>
      <c r="O288" s="5" t="e">
        <f t="shared" ca="1" si="73"/>
        <v>#N/A</v>
      </c>
      <c r="P288" s="5" t="e">
        <f ca="1">VLOOKUP(G288,'Group code'!$Z$9:$AC$13,3,FALSE)</f>
        <v>#N/A</v>
      </c>
      <c r="Q288" s="5" t="e">
        <f t="shared" ca="1" si="74"/>
        <v>#N/A</v>
      </c>
      <c r="R288" s="5" t="e">
        <f ca="1">IF(G288=0,INDEX(cards[object_id],MATCH($C288,cards[object_id order],0)),"")</f>
        <v>#N/A</v>
      </c>
      <c r="S288" s="5" t="e">
        <f ca="1">IF(G288=1,INDEX(cards[[name]:[control]],MATCH($C288,cards[object_id order],0),'Group code'!J288),"")</f>
        <v>#N/A</v>
      </c>
      <c r="T288" s="5" t="e">
        <f ca="1">IF(G288=3,INDEX(cards[[1]:[25]],MATCH($C288,cards[object_id order],0),'Group code'!I288),"")</f>
        <v>#N/A</v>
      </c>
      <c r="U288" s="5" t="e">
        <f ca="1">VLOOKUP(G288,'Group code'!$Z$9:$AC$13,4,FALSE)</f>
        <v>#N/A</v>
      </c>
      <c r="V288" s="5" t="e">
        <f ca="1">IF(J288="","",VLOOKUP(J288,'Group code'!$Z$15:$AC$18,4,FALSE))</f>
        <v>#N/A</v>
      </c>
      <c r="W288" s="23" t="str">
        <f t="shared" ca="1" si="75"/>
        <v/>
      </c>
      <c r="X288" s="5" t="str">
        <f t="shared" ca="1" si="62"/>
        <v/>
      </c>
    </row>
    <row r="289" spans="2:24" x14ac:dyDescent="0.25">
      <c r="B289" s="5">
        <f t="shared" si="63"/>
        <v>283</v>
      </c>
      <c r="C289" s="5" t="e">
        <f t="shared" ca="1" si="76"/>
        <v>#N/A</v>
      </c>
      <c r="D289" s="5" t="e">
        <f ca="1">INDEX(cards[Attribute Index],MATCH('Group code'!C289,cards[object_id order],0))</f>
        <v>#N/A</v>
      </c>
      <c r="E289" s="5" t="e">
        <f t="shared" ca="1" si="64"/>
        <v>#N/A</v>
      </c>
      <c r="F289" s="14" t="e">
        <f ca="1">INDEX(cards[Entities count],MATCH('Group code'!C289,cards[object_id order],0))</f>
        <v>#N/A</v>
      </c>
      <c r="G289" s="14" t="e">
        <f t="shared" ca="1" si="66"/>
        <v>#N/A</v>
      </c>
      <c r="H289" s="14" t="e">
        <f t="shared" ca="1" si="67"/>
        <v>#N/A</v>
      </c>
      <c r="I289" s="5" t="e">
        <f t="shared" ca="1" si="68"/>
        <v>#N/A</v>
      </c>
      <c r="J289" s="5" t="e">
        <f t="shared" ca="1" si="65"/>
        <v>#N/A</v>
      </c>
      <c r="K289" s="5" t="e">
        <f t="shared" ca="1" si="69"/>
        <v>#N/A</v>
      </c>
      <c r="L289" s="5" t="e">
        <f t="shared" ca="1" si="70"/>
        <v>#N/A</v>
      </c>
      <c r="M289" s="5" t="e">
        <f t="shared" ca="1" si="71"/>
        <v>#N/A</v>
      </c>
      <c r="N289" s="5" t="e">
        <f t="shared" ca="1" si="72"/>
        <v>#N/A</v>
      </c>
      <c r="O289" s="5" t="e">
        <f t="shared" ca="1" si="73"/>
        <v>#N/A</v>
      </c>
      <c r="P289" s="5" t="e">
        <f ca="1">VLOOKUP(G289,'Group code'!$Z$9:$AC$13,3,FALSE)</f>
        <v>#N/A</v>
      </c>
      <c r="Q289" s="5" t="e">
        <f t="shared" ca="1" si="74"/>
        <v>#N/A</v>
      </c>
      <c r="R289" s="5" t="e">
        <f ca="1">IF(G289=0,INDEX(cards[object_id],MATCH($C289,cards[object_id order],0)),"")</f>
        <v>#N/A</v>
      </c>
      <c r="S289" s="5" t="e">
        <f ca="1">IF(G289=1,INDEX(cards[[name]:[control]],MATCH($C289,cards[object_id order],0),'Group code'!J289),"")</f>
        <v>#N/A</v>
      </c>
      <c r="T289" s="5" t="e">
        <f ca="1">IF(G289=3,INDEX(cards[[1]:[25]],MATCH($C289,cards[object_id order],0),'Group code'!I289),"")</f>
        <v>#N/A</v>
      </c>
      <c r="U289" s="5" t="e">
        <f ca="1">VLOOKUP(G289,'Group code'!$Z$9:$AC$13,4,FALSE)</f>
        <v>#N/A</v>
      </c>
      <c r="V289" s="5" t="e">
        <f ca="1">IF(J289="","",VLOOKUP(J289,'Group code'!$Z$15:$AC$18,4,FALSE))</f>
        <v>#N/A</v>
      </c>
      <c r="W289" s="23" t="str">
        <f t="shared" ca="1" si="75"/>
        <v/>
      </c>
      <c r="X289" s="5" t="str">
        <f t="shared" ca="1" si="62"/>
        <v/>
      </c>
    </row>
    <row r="290" spans="2:24" x14ac:dyDescent="0.25">
      <c r="B290" s="5">
        <f t="shared" si="63"/>
        <v>284</v>
      </c>
      <c r="C290" s="5" t="e">
        <f t="shared" ca="1" si="76"/>
        <v>#N/A</v>
      </c>
      <c r="D290" s="5" t="e">
        <f ca="1">INDEX(cards[Attribute Index],MATCH('Group code'!C290,cards[object_id order],0))</f>
        <v>#N/A</v>
      </c>
      <c r="E290" s="5" t="e">
        <f t="shared" ca="1" si="64"/>
        <v>#N/A</v>
      </c>
      <c r="F290" s="14" t="e">
        <f ca="1">INDEX(cards[Entities count],MATCH('Group code'!C290,cards[object_id order],0))</f>
        <v>#N/A</v>
      </c>
      <c r="G290" s="14" t="e">
        <f t="shared" ca="1" si="66"/>
        <v>#N/A</v>
      </c>
      <c r="H290" s="14" t="e">
        <f t="shared" ca="1" si="67"/>
        <v>#N/A</v>
      </c>
      <c r="I290" s="5" t="e">
        <f t="shared" ca="1" si="68"/>
        <v>#N/A</v>
      </c>
      <c r="J290" s="5" t="e">
        <f t="shared" ca="1" si="65"/>
        <v>#N/A</v>
      </c>
      <c r="K290" s="5" t="e">
        <f t="shared" ca="1" si="69"/>
        <v>#N/A</v>
      </c>
      <c r="L290" s="5" t="e">
        <f t="shared" ca="1" si="70"/>
        <v>#N/A</v>
      </c>
      <c r="M290" s="5" t="e">
        <f t="shared" ca="1" si="71"/>
        <v>#N/A</v>
      </c>
      <c r="N290" s="5" t="e">
        <f t="shared" ca="1" si="72"/>
        <v>#N/A</v>
      </c>
      <c r="O290" s="5" t="e">
        <f t="shared" ca="1" si="73"/>
        <v>#N/A</v>
      </c>
      <c r="P290" s="5" t="e">
        <f ca="1">VLOOKUP(G290,'Group code'!$Z$9:$AC$13,3,FALSE)</f>
        <v>#N/A</v>
      </c>
      <c r="Q290" s="5" t="e">
        <f t="shared" ca="1" si="74"/>
        <v>#N/A</v>
      </c>
      <c r="R290" s="5" t="e">
        <f ca="1">IF(G290=0,INDEX(cards[object_id],MATCH($C290,cards[object_id order],0)),"")</f>
        <v>#N/A</v>
      </c>
      <c r="S290" s="5" t="e">
        <f ca="1">IF(G290=1,INDEX(cards[[name]:[control]],MATCH($C290,cards[object_id order],0),'Group code'!J290),"")</f>
        <v>#N/A</v>
      </c>
      <c r="T290" s="5" t="e">
        <f ca="1">IF(G290=3,INDEX(cards[[1]:[25]],MATCH($C290,cards[object_id order],0),'Group code'!I290),"")</f>
        <v>#N/A</v>
      </c>
      <c r="U290" s="5" t="e">
        <f ca="1">VLOOKUP(G290,'Group code'!$Z$9:$AC$13,4,FALSE)</f>
        <v>#N/A</v>
      </c>
      <c r="V290" s="5" t="e">
        <f ca="1">IF(J290="","",VLOOKUP(J290,'Group code'!$Z$15:$AC$18,4,FALSE))</f>
        <v>#N/A</v>
      </c>
      <c r="W290" s="23" t="str">
        <f t="shared" ca="1" si="75"/>
        <v/>
      </c>
      <c r="X290" s="5" t="str">
        <f t="shared" ca="1" si="62"/>
        <v/>
      </c>
    </row>
    <row r="291" spans="2:24" x14ac:dyDescent="0.25">
      <c r="B291" s="5">
        <f t="shared" si="63"/>
        <v>285</v>
      </c>
      <c r="C291" s="5" t="e">
        <f t="shared" ca="1" si="76"/>
        <v>#N/A</v>
      </c>
      <c r="D291" s="5" t="e">
        <f ca="1">INDEX(cards[Attribute Index],MATCH('Group code'!C291,cards[object_id order],0))</f>
        <v>#N/A</v>
      </c>
      <c r="E291" s="5" t="e">
        <f t="shared" ca="1" si="64"/>
        <v>#N/A</v>
      </c>
      <c r="F291" s="14" t="e">
        <f ca="1">INDEX(cards[Entities count],MATCH('Group code'!C291,cards[object_id order],0))</f>
        <v>#N/A</v>
      </c>
      <c r="G291" s="14" t="e">
        <f t="shared" ca="1" si="66"/>
        <v>#N/A</v>
      </c>
      <c r="H291" s="14" t="e">
        <f t="shared" ca="1" si="67"/>
        <v>#N/A</v>
      </c>
      <c r="I291" s="5" t="e">
        <f t="shared" ca="1" si="68"/>
        <v>#N/A</v>
      </c>
      <c r="J291" s="5" t="e">
        <f t="shared" ca="1" si="65"/>
        <v>#N/A</v>
      </c>
      <c r="K291" s="5" t="e">
        <f t="shared" ca="1" si="69"/>
        <v>#N/A</v>
      </c>
      <c r="L291" s="5" t="e">
        <f t="shared" ca="1" si="70"/>
        <v>#N/A</v>
      </c>
      <c r="M291" s="5" t="e">
        <f t="shared" ca="1" si="71"/>
        <v>#N/A</v>
      </c>
      <c r="N291" s="5" t="e">
        <f t="shared" ca="1" si="72"/>
        <v>#N/A</v>
      </c>
      <c r="O291" s="5" t="e">
        <f t="shared" ca="1" si="73"/>
        <v>#N/A</v>
      </c>
      <c r="P291" s="5" t="e">
        <f ca="1">VLOOKUP(G291,'Group code'!$Z$9:$AC$13,3,FALSE)</f>
        <v>#N/A</v>
      </c>
      <c r="Q291" s="5" t="e">
        <f t="shared" ca="1" si="74"/>
        <v>#N/A</v>
      </c>
      <c r="R291" s="5" t="e">
        <f ca="1">IF(G291=0,INDEX(cards[object_id],MATCH($C291,cards[object_id order],0)),"")</f>
        <v>#N/A</v>
      </c>
      <c r="S291" s="5" t="e">
        <f ca="1">IF(G291=1,INDEX(cards[[name]:[control]],MATCH($C291,cards[object_id order],0),'Group code'!J291),"")</f>
        <v>#N/A</v>
      </c>
      <c r="T291" s="5" t="e">
        <f ca="1">IF(G291=3,INDEX(cards[[1]:[25]],MATCH($C291,cards[object_id order],0),'Group code'!I291),"")</f>
        <v>#N/A</v>
      </c>
      <c r="U291" s="5" t="e">
        <f ca="1">VLOOKUP(G291,'Group code'!$Z$9:$AC$13,4,FALSE)</f>
        <v>#N/A</v>
      </c>
      <c r="V291" s="5" t="e">
        <f ca="1">IF(J291="","",VLOOKUP(J291,'Group code'!$Z$15:$AC$18,4,FALSE))</f>
        <v>#N/A</v>
      </c>
      <c r="W291" s="23" t="str">
        <f t="shared" ca="1" si="75"/>
        <v/>
      </c>
      <c r="X291" s="5" t="str">
        <f t="shared" ca="1" si="62"/>
        <v/>
      </c>
    </row>
    <row r="292" spans="2:24" x14ac:dyDescent="0.25">
      <c r="B292" s="5">
        <f t="shared" si="63"/>
        <v>286</v>
      </c>
      <c r="C292" s="5" t="e">
        <f t="shared" ca="1" si="76"/>
        <v>#N/A</v>
      </c>
      <c r="D292" s="5" t="e">
        <f ca="1">INDEX(cards[Attribute Index],MATCH('Group code'!C292,cards[object_id order],0))</f>
        <v>#N/A</v>
      </c>
      <c r="E292" s="5" t="e">
        <f t="shared" ca="1" si="64"/>
        <v>#N/A</v>
      </c>
      <c r="F292" s="14" t="e">
        <f ca="1">INDEX(cards[Entities count],MATCH('Group code'!C292,cards[object_id order],0))</f>
        <v>#N/A</v>
      </c>
      <c r="G292" s="14" t="e">
        <f t="shared" ca="1" si="66"/>
        <v>#N/A</v>
      </c>
      <c r="H292" s="14" t="e">
        <f t="shared" ca="1" si="67"/>
        <v>#N/A</v>
      </c>
      <c r="I292" s="5" t="e">
        <f t="shared" ca="1" si="68"/>
        <v>#N/A</v>
      </c>
      <c r="J292" s="5" t="e">
        <f t="shared" ca="1" si="65"/>
        <v>#N/A</v>
      </c>
      <c r="K292" s="5" t="e">
        <f t="shared" ca="1" si="69"/>
        <v>#N/A</v>
      </c>
      <c r="L292" s="5" t="e">
        <f t="shared" ca="1" si="70"/>
        <v>#N/A</v>
      </c>
      <c r="M292" s="5" t="e">
        <f t="shared" ca="1" si="71"/>
        <v>#N/A</v>
      </c>
      <c r="N292" s="5" t="e">
        <f t="shared" ca="1" si="72"/>
        <v>#N/A</v>
      </c>
      <c r="O292" s="5" t="e">
        <f t="shared" ca="1" si="73"/>
        <v>#N/A</v>
      </c>
      <c r="P292" s="5" t="e">
        <f ca="1">VLOOKUP(G292,'Group code'!$Z$9:$AC$13,3,FALSE)</f>
        <v>#N/A</v>
      </c>
      <c r="Q292" s="5" t="e">
        <f t="shared" ca="1" si="74"/>
        <v>#N/A</v>
      </c>
      <c r="R292" s="5" t="e">
        <f ca="1">IF(G292=0,INDEX(cards[object_id],MATCH($C292,cards[object_id order],0)),"")</f>
        <v>#N/A</v>
      </c>
      <c r="S292" s="5" t="e">
        <f ca="1">IF(G292=1,INDEX(cards[[name]:[control]],MATCH($C292,cards[object_id order],0),'Group code'!J292),"")</f>
        <v>#N/A</v>
      </c>
      <c r="T292" s="5" t="e">
        <f ca="1">IF(G292=3,INDEX(cards[[1]:[25]],MATCH($C292,cards[object_id order],0),'Group code'!I292),"")</f>
        <v>#N/A</v>
      </c>
      <c r="U292" s="5" t="e">
        <f ca="1">VLOOKUP(G292,'Group code'!$Z$9:$AC$13,4,FALSE)</f>
        <v>#N/A</v>
      </c>
      <c r="V292" s="5" t="e">
        <f ca="1">IF(J292="","",VLOOKUP(J292,'Group code'!$Z$15:$AC$18,4,FALSE))</f>
        <v>#N/A</v>
      </c>
      <c r="W292" s="23" t="str">
        <f t="shared" ca="1" si="75"/>
        <v/>
      </c>
      <c r="X292" s="5" t="str">
        <f t="shared" ca="1" si="62"/>
        <v/>
      </c>
    </row>
    <row r="293" spans="2:24" x14ac:dyDescent="0.25">
      <c r="B293" s="5">
        <f t="shared" si="63"/>
        <v>287</v>
      </c>
      <c r="C293" s="5" t="e">
        <f t="shared" ca="1" si="76"/>
        <v>#N/A</v>
      </c>
      <c r="D293" s="5" t="e">
        <f ca="1">INDEX(cards[Attribute Index],MATCH('Group code'!C293,cards[object_id order],0))</f>
        <v>#N/A</v>
      </c>
      <c r="E293" s="5" t="e">
        <f t="shared" ca="1" si="64"/>
        <v>#N/A</v>
      </c>
      <c r="F293" s="14" t="e">
        <f ca="1">INDEX(cards[Entities count],MATCH('Group code'!C293,cards[object_id order],0))</f>
        <v>#N/A</v>
      </c>
      <c r="G293" s="14" t="e">
        <f t="shared" ca="1" si="66"/>
        <v>#N/A</v>
      </c>
      <c r="H293" s="14" t="e">
        <f t="shared" ca="1" si="67"/>
        <v>#N/A</v>
      </c>
      <c r="I293" s="5" t="e">
        <f t="shared" ca="1" si="68"/>
        <v>#N/A</v>
      </c>
      <c r="J293" s="5" t="e">
        <f t="shared" ca="1" si="65"/>
        <v>#N/A</v>
      </c>
      <c r="K293" s="5" t="e">
        <f t="shared" ca="1" si="69"/>
        <v>#N/A</v>
      </c>
      <c r="L293" s="5" t="e">
        <f t="shared" ca="1" si="70"/>
        <v>#N/A</v>
      </c>
      <c r="M293" s="5" t="e">
        <f t="shared" ca="1" si="71"/>
        <v>#N/A</v>
      </c>
      <c r="N293" s="5" t="e">
        <f t="shared" ca="1" si="72"/>
        <v>#N/A</v>
      </c>
      <c r="O293" s="5" t="e">
        <f t="shared" ca="1" si="73"/>
        <v>#N/A</v>
      </c>
      <c r="P293" s="5" t="e">
        <f ca="1">VLOOKUP(G293,'Group code'!$Z$9:$AC$13,3,FALSE)</f>
        <v>#N/A</v>
      </c>
      <c r="Q293" s="5" t="e">
        <f t="shared" ca="1" si="74"/>
        <v>#N/A</v>
      </c>
      <c r="R293" s="5" t="e">
        <f ca="1">IF(G293=0,INDEX(cards[object_id],MATCH($C293,cards[object_id order],0)),"")</f>
        <v>#N/A</v>
      </c>
      <c r="S293" s="5" t="e">
        <f ca="1">IF(G293=1,INDEX(cards[[name]:[control]],MATCH($C293,cards[object_id order],0),'Group code'!J293),"")</f>
        <v>#N/A</v>
      </c>
      <c r="T293" s="5" t="e">
        <f ca="1">IF(G293=3,INDEX(cards[[1]:[25]],MATCH($C293,cards[object_id order],0),'Group code'!I293),"")</f>
        <v>#N/A</v>
      </c>
      <c r="U293" s="5" t="e">
        <f ca="1">VLOOKUP(G293,'Group code'!$Z$9:$AC$13,4,FALSE)</f>
        <v>#N/A</v>
      </c>
      <c r="V293" s="5" t="e">
        <f ca="1">IF(J293="","",VLOOKUP(J293,'Group code'!$Z$15:$AC$18,4,FALSE))</f>
        <v>#N/A</v>
      </c>
      <c r="W293" s="23" t="str">
        <f t="shared" ca="1" si="75"/>
        <v/>
      </c>
      <c r="X293" s="5" t="str">
        <f t="shared" ca="1" si="62"/>
        <v/>
      </c>
    </row>
    <row r="294" spans="2:24" x14ac:dyDescent="0.25">
      <c r="B294" s="5">
        <f t="shared" si="63"/>
        <v>288</v>
      </c>
      <c r="C294" s="5" t="e">
        <f t="shared" ca="1" si="76"/>
        <v>#N/A</v>
      </c>
      <c r="D294" s="5" t="e">
        <f ca="1">INDEX(cards[Attribute Index],MATCH('Group code'!C294,cards[object_id order],0))</f>
        <v>#N/A</v>
      </c>
      <c r="E294" s="5" t="e">
        <f t="shared" ca="1" si="64"/>
        <v>#N/A</v>
      </c>
      <c r="F294" s="14" t="e">
        <f ca="1">INDEX(cards[Entities count],MATCH('Group code'!C294,cards[object_id order],0))</f>
        <v>#N/A</v>
      </c>
      <c r="G294" s="14" t="e">
        <f t="shared" ca="1" si="66"/>
        <v>#N/A</v>
      </c>
      <c r="H294" s="14" t="e">
        <f t="shared" ca="1" si="67"/>
        <v>#N/A</v>
      </c>
      <c r="I294" s="5" t="e">
        <f t="shared" ca="1" si="68"/>
        <v>#N/A</v>
      </c>
      <c r="J294" s="5" t="e">
        <f t="shared" ca="1" si="65"/>
        <v>#N/A</v>
      </c>
      <c r="K294" s="5" t="e">
        <f t="shared" ca="1" si="69"/>
        <v>#N/A</v>
      </c>
      <c r="L294" s="5" t="e">
        <f t="shared" ca="1" si="70"/>
        <v>#N/A</v>
      </c>
      <c r="M294" s="5" t="e">
        <f t="shared" ca="1" si="71"/>
        <v>#N/A</v>
      </c>
      <c r="N294" s="5" t="e">
        <f t="shared" ca="1" si="72"/>
        <v>#N/A</v>
      </c>
      <c r="O294" s="5" t="e">
        <f t="shared" ca="1" si="73"/>
        <v>#N/A</v>
      </c>
      <c r="P294" s="5" t="e">
        <f ca="1">VLOOKUP(G294,'Group code'!$Z$9:$AC$13,3,FALSE)</f>
        <v>#N/A</v>
      </c>
      <c r="Q294" s="5" t="e">
        <f t="shared" ca="1" si="74"/>
        <v>#N/A</v>
      </c>
      <c r="R294" s="5" t="e">
        <f ca="1">IF(G294=0,INDEX(cards[object_id],MATCH($C294,cards[object_id order],0)),"")</f>
        <v>#N/A</v>
      </c>
      <c r="S294" s="5" t="e">
        <f ca="1">IF(G294=1,INDEX(cards[[name]:[control]],MATCH($C294,cards[object_id order],0),'Group code'!J294),"")</f>
        <v>#N/A</v>
      </c>
      <c r="T294" s="5" t="e">
        <f ca="1">IF(G294=3,INDEX(cards[[1]:[25]],MATCH($C294,cards[object_id order],0),'Group code'!I294),"")</f>
        <v>#N/A</v>
      </c>
      <c r="U294" s="5" t="e">
        <f ca="1">VLOOKUP(G294,'Group code'!$Z$9:$AC$13,4,FALSE)</f>
        <v>#N/A</v>
      </c>
      <c r="V294" s="5" t="e">
        <f ca="1">IF(J294="","",VLOOKUP(J294,'Group code'!$Z$15:$AC$18,4,FALSE))</f>
        <v>#N/A</v>
      </c>
      <c r="W294" s="23" t="str">
        <f t="shared" ca="1" si="75"/>
        <v/>
      </c>
      <c r="X294" s="5" t="str">
        <f t="shared" ca="1" si="62"/>
        <v/>
      </c>
    </row>
    <row r="295" spans="2:24" x14ac:dyDescent="0.25">
      <c r="B295" s="5">
        <f t="shared" si="63"/>
        <v>289</v>
      </c>
      <c r="C295" s="5" t="e">
        <f t="shared" ca="1" si="76"/>
        <v>#N/A</v>
      </c>
      <c r="D295" s="5" t="e">
        <f ca="1">INDEX(cards[Attribute Index],MATCH('Group code'!C295,cards[object_id order],0))</f>
        <v>#N/A</v>
      </c>
      <c r="E295" s="5" t="e">
        <f t="shared" ca="1" si="64"/>
        <v>#N/A</v>
      </c>
      <c r="F295" s="14" t="e">
        <f ca="1">INDEX(cards[Entities count],MATCH('Group code'!C295,cards[object_id order],0))</f>
        <v>#N/A</v>
      </c>
      <c r="G295" s="14" t="e">
        <f t="shared" ca="1" si="66"/>
        <v>#N/A</v>
      </c>
      <c r="H295" s="14" t="e">
        <f t="shared" ca="1" si="67"/>
        <v>#N/A</v>
      </c>
      <c r="I295" s="5" t="e">
        <f t="shared" ca="1" si="68"/>
        <v>#N/A</v>
      </c>
      <c r="J295" s="5" t="e">
        <f t="shared" ca="1" si="65"/>
        <v>#N/A</v>
      </c>
      <c r="K295" s="5" t="e">
        <f t="shared" ca="1" si="69"/>
        <v>#N/A</v>
      </c>
      <c r="L295" s="5" t="e">
        <f t="shared" ca="1" si="70"/>
        <v>#N/A</v>
      </c>
      <c r="M295" s="5" t="e">
        <f t="shared" ca="1" si="71"/>
        <v>#N/A</v>
      </c>
      <c r="N295" s="5" t="e">
        <f t="shared" ca="1" si="72"/>
        <v>#N/A</v>
      </c>
      <c r="O295" s="5" t="e">
        <f t="shared" ca="1" si="73"/>
        <v>#N/A</v>
      </c>
      <c r="P295" s="5" t="e">
        <f ca="1">VLOOKUP(G295,'Group code'!$Z$9:$AC$13,3,FALSE)</f>
        <v>#N/A</v>
      </c>
      <c r="Q295" s="5" t="e">
        <f t="shared" ca="1" si="74"/>
        <v>#N/A</v>
      </c>
      <c r="R295" s="5" t="e">
        <f ca="1">IF(G295=0,INDEX(cards[object_id],MATCH($C295,cards[object_id order],0)),"")</f>
        <v>#N/A</v>
      </c>
      <c r="S295" s="5" t="e">
        <f ca="1">IF(G295=1,INDEX(cards[[name]:[control]],MATCH($C295,cards[object_id order],0),'Group code'!J295),"")</f>
        <v>#N/A</v>
      </c>
      <c r="T295" s="5" t="e">
        <f ca="1">IF(G295=3,INDEX(cards[[1]:[25]],MATCH($C295,cards[object_id order],0),'Group code'!I295),"")</f>
        <v>#N/A</v>
      </c>
      <c r="U295" s="5" t="e">
        <f ca="1">VLOOKUP(G295,'Group code'!$Z$9:$AC$13,4,FALSE)</f>
        <v>#N/A</v>
      </c>
      <c r="V295" s="5" t="e">
        <f ca="1">IF(J295="","",VLOOKUP(J295,'Group code'!$Z$15:$AC$18,4,FALSE))</f>
        <v>#N/A</v>
      </c>
      <c r="W295" s="23" t="str">
        <f t="shared" ca="1" si="75"/>
        <v/>
      </c>
      <c r="X295" s="5" t="str">
        <f t="shared" ca="1" si="62"/>
        <v/>
      </c>
    </row>
    <row r="296" spans="2:24" x14ac:dyDescent="0.25">
      <c r="B296" s="5">
        <f t="shared" si="63"/>
        <v>290</v>
      </c>
      <c r="C296" s="5" t="e">
        <f t="shared" ca="1" si="76"/>
        <v>#N/A</v>
      </c>
      <c r="D296" s="5" t="e">
        <f ca="1">INDEX(cards[Attribute Index],MATCH('Group code'!C296,cards[object_id order],0))</f>
        <v>#N/A</v>
      </c>
      <c r="E296" s="5" t="e">
        <f t="shared" ca="1" si="64"/>
        <v>#N/A</v>
      </c>
      <c r="F296" s="14" t="e">
        <f ca="1">INDEX(cards[Entities count],MATCH('Group code'!C296,cards[object_id order],0))</f>
        <v>#N/A</v>
      </c>
      <c r="G296" s="14" t="e">
        <f t="shared" ca="1" si="66"/>
        <v>#N/A</v>
      </c>
      <c r="H296" s="14" t="e">
        <f t="shared" ca="1" si="67"/>
        <v>#N/A</v>
      </c>
      <c r="I296" s="5" t="e">
        <f t="shared" ca="1" si="68"/>
        <v>#N/A</v>
      </c>
      <c r="J296" s="5" t="e">
        <f t="shared" ca="1" si="65"/>
        <v>#N/A</v>
      </c>
      <c r="K296" s="5" t="e">
        <f t="shared" ca="1" si="69"/>
        <v>#N/A</v>
      </c>
      <c r="L296" s="5" t="e">
        <f t="shared" ca="1" si="70"/>
        <v>#N/A</v>
      </c>
      <c r="M296" s="5" t="e">
        <f t="shared" ca="1" si="71"/>
        <v>#N/A</v>
      </c>
      <c r="N296" s="5" t="e">
        <f t="shared" ca="1" si="72"/>
        <v>#N/A</v>
      </c>
      <c r="O296" s="5" t="e">
        <f t="shared" ca="1" si="73"/>
        <v>#N/A</v>
      </c>
      <c r="P296" s="5" t="e">
        <f ca="1">VLOOKUP(G296,'Group code'!$Z$9:$AC$13,3,FALSE)</f>
        <v>#N/A</v>
      </c>
      <c r="Q296" s="5" t="e">
        <f t="shared" ca="1" si="74"/>
        <v>#N/A</v>
      </c>
      <c r="R296" s="5" t="e">
        <f ca="1">IF(G296=0,INDEX(cards[object_id],MATCH($C296,cards[object_id order],0)),"")</f>
        <v>#N/A</v>
      </c>
      <c r="S296" s="5" t="e">
        <f ca="1">IF(G296=1,INDEX(cards[[name]:[control]],MATCH($C296,cards[object_id order],0),'Group code'!J296),"")</f>
        <v>#N/A</v>
      </c>
      <c r="T296" s="5" t="e">
        <f ca="1">IF(G296=3,INDEX(cards[[1]:[25]],MATCH($C296,cards[object_id order],0),'Group code'!I296),"")</f>
        <v>#N/A</v>
      </c>
      <c r="U296" s="5" t="e">
        <f ca="1">VLOOKUP(G296,'Group code'!$Z$9:$AC$13,4,FALSE)</f>
        <v>#N/A</v>
      </c>
      <c r="V296" s="5" t="e">
        <f ca="1">IF(J296="","",VLOOKUP(J296,'Group code'!$Z$15:$AC$18,4,FALSE))</f>
        <v>#N/A</v>
      </c>
      <c r="W296" s="23" t="str">
        <f t="shared" ca="1" si="75"/>
        <v/>
      </c>
      <c r="X296" s="5" t="str">
        <f t="shared" ca="1" si="62"/>
        <v/>
      </c>
    </row>
    <row r="297" spans="2:24" x14ac:dyDescent="0.25">
      <c r="B297" s="5">
        <f t="shared" si="63"/>
        <v>291</v>
      </c>
      <c r="C297" s="5" t="e">
        <f t="shared" ca="1" si="76"/>
        <v>#N/A</v>
      </c>
      <c r="D297" s="5" t="e">
        <f ca="1">INDEX(cards[Attribute Index],MATCH('Group code'!C297,cards[object_id order],0))</f>
        <v>#N/A</v>
      </c>
      <c r="E297" s="5" t="e">
        <f t="shared" ca="1" si="64"/>
        <v>#N/A</v>
      </c>
      <c r="F297" s="14" t="e">
        <f ca="1">INDEX(cards[Entities count],MATCH('Group code'!C297,cards[object_id order],0))</f>
        <v>#N/A</v>
      </c>
      <c r="G297" s="14" t="e">
        <f t="shared" ca="1" si="66"/>
        <v>#N/A</v>
      </c>
      <c r="H297" s="14" t="e">
        <f t="shared" ca="1" si="67"/>
        <v>#N/A</v>
      </c>
      <c r="I297" s="5" t="e">
        <f t="shared" ca="1" si="68"/>
        <v>#N/A</v>
      </c>
      <c r="J297" s="5" t="e">
        <f t="shared" ca="1" si="65"/>
        <v>#N/A</v>
      </c>
      <c r="K297" s="5" t="e">
        <f t="shared" ca="1" si="69"/>
        <v>#N/A</v>
      </c>
      <c r="L297" s="5" t="e">
        <f t="shared" ca="1" si="70"/>
        <v>#N/A</v>
      </c>
      <c r="M297" s="5" t="e">
        <f t="shared" ca="1" si="71"/>
        <v>#N/A</v>
      </c>
      <c r="N297" s="5" t="e">
        <f t="shared" ca="1" si="72"/>
        <v>#N/A</v>
      </c>
      <c r="O297" s="5" t="e">
        <f t="shared" ca="1" si="73"/>
        <v>#N/A</v>
      </c>
      <c r="P297" s="5" t="e">
        <f ca="1">VLOOKUP(G297,'Group code'!$Z$9:$AC$13,3,FALSE)</f>
        <v>#N/A</v>
      </c>
      <c r="Q297" s="5" t="e">
        <f t="shared" ca="1" si="74"/>
        <v>#N/A</v>
      </c>
      <c r="R297" s="5" t="e">
        <f ca="1">IF(G297=0,INDEX(cards[object_id],MATCH($C297,cards[object_id order],0)),"")</f>
        <v>#N/A</v>
      </c>
      <c r="S297" s="5" t="e">
        <f ca="1">IF(G297=1,INDEX(cards[[name]:[control]],MATCH($C297,cards[object_id order],0),'Group code'!J297),"")</f>
        <v>#N/A</v>
      </c>
      <c r="T297" s="5" t="e">
        <f ca="1">IF(G297=3,INDEX(cards[[1]:[25]],MATCH($C297,cards[object_id order],0),'Group code'!I297),"")</f>
        <v>#N/A</v>
      </c>
      <c r="U297" s="5" t="e">
        <f ca="1">VLOOKUP(G297,'Group code'!$Z$9:$AC$13,4,FALSE)</f>
        <v>#N/A</v>
      </c>
      <c r="V297" s="5" t="e">
        <f ca="1">IF(J297="","",VLOOKUP(J297,'Group code'!$Z$15:$AC$18,4,FALSE))</f>
        <v>#N/A</v>
      </c>
      <c r="W297" s="23" t="str">
        <f t="shared" ca="1" si="75"/>
        <v/>
      </c>
      <c r="X297" s="5" t="str">
        <f t="shared" ca="1" si="62"/>
        <v/>
      </c>
    </row>
    <row r="298" spans="2:24" x14ac:dyDescent="0.25">
      <c r="B298" s="5">
        <f t="shared" si="63"/>
        <v>292</v>
      </c>
      <c r="C298" s="5" t="e">
        <f t="shared" ca="1" si="76"/>
        <v>#N/A</v>
      </c>
      <c r="D298" s="5" t="e">
        <f ca="1">INDEX(cards[Attribute Index],MATCH('Group code'!C298,cards[object_id order],0))</f>
        <v>#N/A</v>
      </c>
      <c r="E298" s="5" t="e">
        <f t="shared" ca="1" si="64"/>
        <v>#N/A</v>
      </c>
      <c r="F298" s="14" t="e">
        <f ca="1">INDEX(cards[Entities count],MATCH('Group code'!C298,cards[object_id order],0))</f>
        <v>#N/A</v>
      </c>
      <c r="G298" s="14" t="e">
        <f t="shared" ca="1" si="66"/>
        <v>#N/A</v>
      </c>
      <c r="H298" s="14" t="e">
        <f t="shared" ca="1" si="67"/>
        <v>#N/A</v>
      </c>
      <c r="I298" s="5" t="e">
        <f t="shared" ca="1" si="68"/>
        <v>#N/A</v>
      </c>
      <c r="J298" s="5" t="e">
        <f t="shared" ca="1" si="65"/>
        <v>#N/A</v>
      </c>
      <c r="K298" s="5" t="e">
        <f t="shared" ca="1" si="69"/>
        <v>#N/A</v>
      </c>
      <c r="L298" s="5" t="e">
        <f t="shared" ca="1" si="70"/>
        <v>#N/A</v>
      </c>
      <c r="M298" s="5" t="e">
        <f t="shared" ca="1" si="71"/>
        <v>#N/A</v>
      </c>
      <c r="N298" s="5" t="e">
        <f t="shared" ca="1" si="72"/>
        <v>#N/A</v>
      </c>
      <c r="O298" s="5" t="e">
        <f t="shared" ca="1" si="73"/>
        <v>#N/A</v>
      </c>
      <c r="P298" s="5" t="e">
        <f ca="1">VLOOKUP(G298,'Group code'!$Z$9:$AC$13,3,FALSE)</f>
        <v>#N/A</v>
      </c>
      <c r="Q298" s="5" t="e">
        <f t="shared" ca="1" si="74"/>
        <v>#N/A</v>
      </c>
      <c r="R298" s="5" t="e">
        <f ca="1">IF(G298=0,INDEX(cards[object_id],MATCH($C298,cards[object_id order],0)),"")</f>
        <v>#N/A</v>
      </c>
      <c r="S298" s="5" t="e">
        <f ca="1">IF(G298=1,INDEX(cards[[name]:[control]],MATCH($C298,cards[object_id order],0),'Group code'!J298),"")</f>
        <v>#N/A</v>
      </c>
      <c r="T298" s="5" t="e">
        <f ca="1">IF(G298=3,INDEX(cards[[1]:[25]],MATCH($C298,cards[object_id order],0),'Group code'!I298),"")</f>
        <v>#N/A</v>
      </c>
      <c r="U298" s="5" t="e">
        <f ca="1">VLOOKUP(G298,'Group code'!$Z$9:$AC$13,4,FALSE)</f>
        <v>#N/A</v>
      </c>
      <c r="V298" s="5" t="e">
        <f ca="1">IF(J298="","",VLOOKUP(J298,'Group code'!$Z$15:$AC$18,4,FALSE))</f>
        <v>#N/A</v>
      </c>
      <c r="W298" s="23" t="str">
        <f t="shared" ca="1" si="75"/>
        <v/>
      </c>
      <c r="X298" s="5" t="str">
        <f t="shared" ca="1" si="62"/>
        <v/>
      </c>
    </row>
    <row r="299" spans="2:24" x14ac:dyDescent="0.25">
      <c r="B299" s="5">
        <f t="shared" si="63"/>
        <v>293</v>
      </c>
      <c r="C299" s="5" t="e">
        <f t="shared" ca="1" si="76"/>
        <v>#N/A</v>
      </c>
      <c r="D299" s="5" t="e">
        <f ca="1">INDEX(cards[Attribute Index],MATCH('Group code'!C299,cards[object_id order],0))</f>
        <v>#N/A</v>
      </c>
      <c r="E299" s="5" t="e">
        <f t="shared" ca="1" si="64"/>
        <v>#N/A</v>
      </c>
      <c r="F299" s="14" t="e">
        <f ca="1">INDEX(cards[Entities count],MATCH('Group code'!C299,cards[object_id order],0))</f>
        <v>#N/A</v>
      </c>
      <c r="G299" s="14" t="e">
        <f t="shared" ca="1" si="66"/>
        <v>#N/A</v>
      </c>
      <c r="H299" s="14" t="e">
        <f t="shared" ca="1" si="67"/>
        <v>#N/A</v>
      </c>
      <c r="I299" s="5" t="e">
        <f t="shared" ca="1" si="68"/>
        <v>#N/A</v>
      </c>
      <c r="J299" s="5" t="e">
        <f t="shared" ca="1" si="65"/>
        <v>#N/A</v>
      </c>
      <c r="K299" s="5" t="e">
        <f t="shared" ca="1" si="69"/>
        <v>#N/A</v>
      </c>
      <c r="L299" s="5" t="e">
        <f t="shared" ca="1" si="70"/>
        <v>#N/A</v>
      </c>
      <c r="M299" s="5" t="e">
        <f t="shared" ca="1" si="71"/>
        <v>#N/A</v>
      </c>
      <c r="N299" s="5" t="e">
        <f t="shared" ca="1" si="72"/>
        <v>#N/A</v>
      </c>
      <c r="O299" s="5" t="e">
        <f t="shared" ca="1" si="73"/>
        <v>#N/A</v>
      </c>
      <c r="P299" s="5" t="e">
        <f ca="1">VLOOKUP(G299,'Group code'!$Z$9:$AC$13,3,FALSE)</f>
        <v>#N/A</v>
      </c>
      <c r="Q299" s="5" t="e">
        <f t="shared" ca="1" si="74"/>
        <v>#N/A</v>
      </c>
      <c r="R299" s="5" t="e">
        <f ca="1">IF(G299=0,INDEX(cards[object_id],MATCH($C299,cards[object_id order],0)),"")</f>
        <v>#N/A</v>
      </c>
      <c r="S299" s="5" t="e">
        <f ca="1">IF(G299=1,INDEX(cards[[name]:[control]],MATCH($C299,cards[object_id order],0),'Group code'!J299),"")</f>
        <v>#N/A</v>
      </c>
      <c r="T299" s="5" t="e">
        <f ca="1">IF(G299=3,INDEX(cards[[1]:[25]],MATCH($C299,cards[object_id order],0),'Group code'!I299),"")</f>
        <v>#N/A</v>
      </c>
      <c r="U299" s="5" t="e">
        <f ca="1">VLOOKUP(G299,'Group code'!$Z$9:$AC$13,4,FALSE)</f>
        <v>#N/A</v>
      </c>
      <c r="V299" s="5" t="e">
        <f ca="1">IF(J299="","",VLOOKUP(J299,'Group code'!$Z$15:$AC$18,4,FALSE))</f>
        <v>#N/A</v>
      </c>
      <c r="W299" s="23" t="str">
        <f t="shared" ca="1" si="75"/>
        <v/>
      </c>
      <c r="X299" s="5" t="str">
        <f t="shared" ca="1" si="62"/>
        <v/>
      </c>
    </row>
    <row r="300" spans="2:24" x14ac:dyDescent="0.25">
      <c r="B300" s="5">
        <f t="shared" si="63"/>
        <v>294</v>
      </c>
      <c r="C300" s="5" t="e">
        <f t="shared" ca="1" si="76"/>
        <v>#N/A</v>
      </c>
      <c r="D300" s="5" t="e">
        <f ca="1">INDEX(cards[Attribute Index],MATCH('Group code'!C300,cards[object_id order],0))</f>
        <v>#N/A</v>
      </c>
      <c r="E300" s="5" t="e">
        <f t="shared" ca="1" si="64"/>
        <v>#N/A</v>
      </c>
      <c r="F300" s="14" t="e">
        <f ca="1">INDEX(cards[Entities count],MATCH('Group code'!C300,cards[object_id order],0))</f>
        <v>#N/A</v>
      </c>
      <c r="G300" s="14" t="e">
        <f t="shared" ca="1" si="66"/>
        <v>#N/A</v>
      </c>
      <c r="H300" s="14" t="e">
        <f t="shared" ca="1" si="67"/>
        <v>#N/A</v>
      </c>
      <c r="I300" s="5" t="e">
        <f t="shared" ca="1" si="68"/>
        <v>#N/A</v>
      </c>
      <c r="J300" s="5" t="e">
        <f t="shared" ca="1" si="65"/>
        <v>#N/A</v>
      </c>
      <c r="K300" s="5" t="e">
        <f t="shared" ca="1" si="69"/>
        <v>#N/A</v>
      </c>
      <c r="L300" s="5" t="e">
        <f t="shared" ca="1" si="70"/>
        <v>#N/A</v>
      </c>
      <c r="M300" s="5" t="e">
        <f t="shared" ca="1" si="71"/>
        <v>#N/A</v>
      </c>
      <c r="N300" s="5" t="e">
        <f t="shared" ca="1" si="72"/>
        <v>#N/A</v>
      </c>
      <c r="O300" s="5" t="e">
        <f t="shared" ca="1" si="73"/>
        <v>#N/A</v>
      </c>
      <c r="P300" s="5" t="e">
        <f ca="1">VLOOKUP(G300,'Group code'!$Z$9:$AC$13,3,FALSE)</f>
        <v>#N/A</v>
      </c>
      <c r="Q300" s="5" t="e">
        <f t="shared" ca="1" si="74"/>
        <v>#N/A</v>
      </c>
      <c r="R300" s="5" t="e">
        <f ca="1">IF(G300=0,INDEX(cards[object_id],MATCH($C300,cards[object_id order],0)),"")</f>
        <v>#N/A</v>
      </c>
      <c r="S300" s="5" t="e">
        <f ca="1">IF(G300=1,INDEX(cards[[name]:[control]],MATCH($C300,cards[object_id order],0),'Group code'!J300),"")</f>
        <v>#N/A</v>
      </c>
      <c r="T300" s="5" t="e">
        <f ca="1">IF(G300=3,INDEX(cards[[1]:[25]],MATCH($C300,cards[object_id order],0),'Group code'!I300),"")</f>
        <v>#N/A</v>
      </c>
      <c r="U300" s="5" t="e">
        <f ca="1">VLOOKUP(G300,'Group code'!$Z$9:$AC$13,4,FALSE)</f>
        <v>#N/A</v>
      </c>
      <c r="V300" s="5" t="e">
        <f ca="1">IF(J300="","",VLOOKUP(J300,'Group code'!$Z$15:$AC$18,4,FALSE))</f>
        <v>#N/A</v>
      </c>
      <c r="W300" s="23" t="str">
        <f t="shared" ca="1" si="75"/>
        <v/>
      </c>
      <c r="X300" s="5" t="str">
        <f t="shared" ca="1" si="62"/>
        <v/>
      </c>
    </row>
    <row r="301" spans="2:24" x14ac:dyDescent="0.25">
      <c r="B301" s="5">
        <f t="shared" si="63"/>
        <v>295</v>
      </c>
      <c r="C301" s="5" t="e">
        <f t="shared" ca="1" si="76"/>
        <v>#N/A</v>
      </c>
      <c r="D301" s="5" t="e">
        <f ca="1">INDEX(cards[Attribute Index],MATCH('Group code'!C301,cards[object_id order],0))</f>
        <v>#N/A</v>
      </c>
      <c r="E301" s="5" t="e">
        <f t="shared" ca="1" si="64"/>
        <v>#N/A</v>
      </c>
      <c r="F301" s="14" t="e">
        <f ca="1">INDEX(cards[Entities count],MATCH('Group code'!C301,cards[object_id order],0))</f>
        <v>#N/A</v>
      </c>
      <c r="G301" s="14" t="e">
        <f t="shared" ca="1" si="66"/>
        <v>#N/A</v>
      </c>
      <c r="H301" s="14" t="e">
        <f t="shared" ca="1" si="67"/>
        <v>#N/A</v>
      </c>
      <c r="I301" s="5" t="e">
        <f t="shared" ca="1" si="68"/>
        <v>#N/A</v>
      </c>
      <c r="J301" s="5" t="e">
        <f t="shared" ca="1" si="65"/>
        <v>#N/A</v>
      </c>
      <c r="K301" s="5" t="e">
        <f t="shared" ca="1" si="69"/>
        <v>#N/A</v>
      </c>
      <c r="L301" s="5" t="e">
        <f t="shared" ca="1" si="70"/>
        <v>#N/A</v>
      </c>
      <c r="M301" s="5" t="e">
        <f t="shared" ca="1" si="71"/>
        <v>#N/A</v>
      </c>
      <c r="N301" s="5" t="e">
        <f t="shared" ca="1" si="72"/>
        <v>#N/A</v>
      </c>
      <c r="O301" s="5" t="e">
        <f t="shared" ca="1" si="73"/>
        <v>#N/A</v>
      </c>
      <c r="P301" s="5" t="e">
        <f ca="1">VLOOKUP(G301,'Group code'!$Z$9:$AC$13,3,FALSE)</f>
        <v>#N/A</v>
      </c>
      <c r="Q301" s="5" t="e">
        <f t="shared" ca="1" si="74"/>
        <v>#N/A</v>
      </c>
      <c r="R301" s="5" t="e">
        <f ca="1">IF(G301=0,INDEX(cards[object_id],MATCH($C301,cards[object_id order],0)),"")</f>
        <v>#N/A</v>
      </c>
      <c r="S301" s="5" t="e">
        <f ca="1">IF(G301=1,INDEX(cards[[name]:[control]],MATCH($C301,cards[object_id order],0),'Group code'!J301),"")</f>
        <v>#N/A</v>
      </c>
      <c r="T301" s="5" t="e">
        <f ca="1">IF(G301=3,INDEX(cards[[1]:[25]],MATCH($C301,cards[object_id order],0),'Group code'!I301),"")</f>
        <v>#N/A</v>
      </c>
      <c r="U301" s="5" t="e">
        <f ca="1">VLOOKUP(G301,'Group code'!$Z$9:$AC$13,4,FALSE)</f>
        <v>#N/A</v>
      </c>
      <c r="V301" s="5" t="e">
        <f ca="1">IF(J301="","",VLOOKUP(J301,'Group code'!$Z$15:$AC$18,4,FALSE))</f>
        <v>#N/A</v>
      </c>
      <c r="W301" s="23" t="str">
        <f t="shared" ca="1" si="75"/>
        <v/>
      </c>
      <c r="X301" s="5" t="str">
        <f t="shared" ca="1" si="62"/>
        <v/>
      </c>
    </row>
    <row r="302" spans="2:24" x14ac:dyDescent="0.25">
      <c r="B302" s="5">
        <f t="shared" si="63"/>
        <v>296</v>
      </c>
      <c r="C302" s="5" t="e">
        <f t="shared" ca="1" si="76"/>
        <v>#N/A</v>
      </c>
      <c r="D302" s="5" t="e">
        <f ca="1">INDEX(cards[Attribute Index],MATCH('Group code'!C302,cards[object_id order],0))</f>
        <v>#N/A</v>
      </c>
      <c r="E302" s="5" t="e">
        <f t="shared" ca="1" si="64"/>
        <v>#N/A</v>
      </c>
      <c r="F302" s="14" t="e">
        <f ca="1">INDEX(cards[Entities count],MATCH('Group code'!C302,cards[object_id order],0))</f>
        <v>#N/A</v>
      </c>
      <c r="G302" s="14" t="e">
        <f t="shared" ca="1" si="66"/>
        <v>#N/A</v>
      </c>
      <c r="H302" s="14" t="e">
        <f t="shared" ca="1" si="67"/>
        <v>#N/A</v>
      </c>
      <c r="I302" s="5" t="e">
        <f t="shared" ca="1" si="68"/>
        <v>#N/A</v>
      </c>
      <c r="J302" s="5" t="e">
        <f t="shared" ca="1" si="65"/>
        <v>#N/A</v>
      </c>
      <c r="K302" s="5" t="e">
        <f t="shared" ca="1" si="69"/>
        <v>#N/A</v>
      </c>
      <c r="L302" s="5" t="e">
        <f t="shared" ca="1" si="70"/>
        <v>#N/A</v>
      </c>
      <c r="M302" s="5" t="e">
        <f t="shared" ca="1" si="71"/>
        <v>#N/A</v>
      </c>
      <c r="N302" s="5" t="e">
        <f t="shared" ca="1" si="72"/>
        <v>#N/A</v>
      </c>
      <c r="O302" s="5" t="e">
        <f t="shared" ca="1" si="73"/>
        <v>#N/A</v>
      </c>
      <c r="P302" s="5" t="e">
        <f ca="1">VLOOKUP(G302,'Group code'!$Z$9:$AC$13,3,FALSE)</f>
        <v>#N/A</v>
      </c>
      <c r="Q302" s="5" t="e">
        <f t="shared" ca="1" si="74"/>
        <v>#N/A</v>
      </c>
      <c r="R302" s="5" t="e">
        <f ca="1">IF(G302=0,INDEX(cards[object_id],MATCH($C302,cards[object_id order],0)),"")</f>
        <v>#N/A</v>
      </c>
      <c r="S302" s="5" t="e">
        <f ca="1">IF(G302=1,INDEX(cards[[name]:[control]],MATCH($C302,cards[object_id order],0),'Group code'!J302),"")</f>
        <v>#N/A</v>
      </c>
      <c r="T302" s="5" t="e">
        <f ca="1">IF(G302=3,INDEX(cards[[1]:[25]],MATCH($C302,cards[object_id order],0),'Group code'!I302),"")</f>
        <v>#N/A</v>
      </c>
      <c r="U302" s="5" t="e">
        <f ca="1">VLOOKUP(G302,'Group code'!$Z$9:$AC$13,4,FALSE)</f>
        <v>#N/A</v>
      </c>
      <c r="V302" s="5" t="e">
        <f ca="1">IF(J302="","",VLOOKUP(J302,'Group code'!$Z$15:$AC$18,4,FALSE))</f>
        <v>#N/A</v>
      </c>
      <c r="W302" s="23" t="str">
        <f t="shared" ca="1" si="75"/>
        <v/>
      </c>
      <c r="X302" s="5" t="str">
        <f t="shared" ca="1" si="62"/>
        <v/>
      </c>
    </row>
    <row r="303" spans="2:24" x14ac:dyDescent="0.25">
      <c r="B303" s="5">
        <f t="shared" si="63"/>
        <v>297</v>
      </c>
      <c r="C303" s="5" t="e">
        <f t="shared" ca="1" si="76"/>
        <v>#N/A</v>
      </c>
      <c r="D303" s="5" t="e">
        <f ca="1">INDEX(cards[Attribute Index],MATCH('Group code'!C303,cards[object_id order],0))</f>
        <v>#N/A</v>
      </c>
      <c r="E303" s="5" t="e">
        <f t="shared" ca="1" si="64"/>
        <v>#N/A</v>
      </c>
      <c r="F303" s="14" t="e">
        <f ca="1">INDEX(cards[Entities count],MATCH('Group code'!C303,cards[object_id order],0))</f>
        <v>#N/A</v>
      </c>
      <c r="G303" s="14" t="e">
        <f t="shared" ca="1" si="66"/>
        <v>#N/A</v>
      </c>
      <c r="H303" s="14" t="e">
        <f t="shared" ca="1" si="67"/>
        <v>#N/A</v>
      </c>
      <c r="I303" s="5" t="e">
        <f t="shared" ca="1" si="68"/>
        <v>#N/A</v>
      </c>
      <c r="J303" s="5" t="e">
        <f t="shared" ca="1" si="65"/>
        <v>#N/A</v>
      </c>
      <c r="K303" s="5" t="e">
        <f t="shared" ca="1" si="69"/>
        <v>#N/A</v>
      </c>
      <c r="L303" s="5" t="e">
        <f t="shared" ca="1" si="70"/>
        <v>#N/A</v>
      </c>
      <c r="M303" s="5" t="e">
        <f t="shared" ca="1" si="71"/>
        <v>#N/A</v>
      </c>
      <c r="N303" s="5" t="e">
        <f t="shared" ca="1" si="72"/>
        <v>#N/A</v>
      </c>
      <c r="O303" s="5" t="e">
        <f t="shared" ca="1" si="73"/>
        <v>#N/A</v>
      </c>
      <c r="P303" s="5" t="e">
        <f ca="1">VLOOKUP(G303,'Group code'!$Z$9:$AC$13,3,FALSE)</f>
        <v>#N/A</v>
      </c>
      <c r="Q303" s="5" t="e">
        <f t="shared" ca="1" si="74"/>
        <v>#N/A</v>
      </c>
      <c r="R303" s="5" t="e">
        <f ca="1">IF(G303=0,INDEX(cards[object_id],MATCH($C303,cards[object_id order],0)),"")</f>
        <v>#N/A</v>
      </c>
      <c r="S303" s="5" t="e">
        <f ca="1">IF(G303=1,INDEX(cards[[name]:[control]],MATCH($C303,cards[object_id order],0),'Group code'!J303),"")</f>
        <v>#N/A</v>
      </c>
      <c r="T303" s="5" t="e">
        <f ca="1">IF(G303=3,INDEX(cards[[1]:[25]],MATCH($C303,cards[object_id order],0),'Group code'!I303),"")</f>
        <v>#N/A</v>
      </c>
      <c r="U303" s="5" t="e">
        <f ca="1">VLOOKUP(G303,'Group code'!$Z$9:$AC$13,4,FALSE)</f>
        <v>#N/A</v>
      </c>
      <c r="V303" s="5" t="e">
        <f ca="1">IF(J303="","",VLOOKUP(J303,'Group code'!$Z$15:$AC$18,4,FALSE))</f>
        <v>#N/A</v>
      </c>
      <c r="W303" s="23" t="str">
        <f t="shared" ca="1" si="75"/>
        <v/>
      </c>
      <c r="X303" s="5" t="str">
        <f t="shared" ca="1" si="62"/>
        <v/>
      </c>
    </row>
    <row r="304" spans="2:24" x14ac:dyDescent="0.25">
      <c r="B304" s="5">
        <f t="shared" si="63"/>
        <v>298</v>
      </c>
      <c r="C304" s="5" t="e">
        <f t="shared" ca="1" si="76"/>
        <v>#N/A</v>
      </c>
      <c r="D304" s="5" t="e">
        <f ca="1">INDEX(cards[Attribute Index],MATCH('Group code'!C304,cards[object_id order],0))</f>
        <v>#N/A</v>
      </c>
      <c r="E304" s="5" t="e">
        <f t="shared" ca="1" si="64"/>
        <v>#N/A</v>
      </c>
      <c r="F304" s="14" t="e">
        <f ca="1">INDEX(cards[Entities count],MATCH('Group code'!C304,cards[object_id order],0))</f>
        <v>#N/A</v>
      </c>
      <c r="G304" s="14" t="e">
        <f t="shared" ca="1" si="66"/>
        <v>#N/A</v>
      </c>
      <c r="H304" s="14" t="e">
        <f t="shared" ca="1" si="67"/>
        <v>#N/A</v>
      </c>
      <c r="I304" s="5" t="e">
        <f t="shared" ca="1" si="68"/>
        <v>#N/A</v>
      </c>
      <c r="J304" s="5" t="e">
        <f t="shared" ca="1" si="65"/>
        <v>#N/A</v>
      </c>
      <c r="K304" s="5" t="e">
        <f t="shared" ca="1" si="69"/>
        <v>#N/A</v>
      </c>
      <c r="L304" s="5" t="e">
        <f t="shared" ca="1" si="70"/>
        <v>#N/A</v>
      </c>
      <c r="M304" s="5" t="e">
        <f t="shared" ca="1" si="71"/>
        <v>#N/A</v>
      </c>
      <c r="N304" s="5" t="e">
        <f t="shared" ca="1" si="72"/>
        <v>#N/A</v>
      </c>
      <c r="O304" s="5" t="e">
        <f t="shared" ca="1" si="73"/>
        <v>#N/A</v>
      </c>
      <c r="P304" s="5" t="e">
        <f ca="1">VLOOKUP(G304,'Group code'!$Z$9:$AC$13,3,FALSE)</f>
        <v>#N/A</v>
      </c>
      <c r="Q304" s="5" t="e">
        <f t="shared" ca="1" si="74"/>
        <v>#N/A</v>
      </c>
      <c r="R304" s="5" t="e">
        <f ca="1">IF(G304=0,INDEX(cards[object_id],MATCH($C304,cards[object_id order],0)),"")</f>
        <v>#N/A</v>
      </c>
      <c r="S304" s="5" t="e">
        <f ca="1">IF(G304=1,INDEX(cards[[name]:[control]],MATCH($C304,cards[object_id order],0),'Group code'!J304),"")</f>
        <v>#N/A</v>
      </c>
      <c r="T304" s="5" t="e">
        <f ca="1">IF(G304=3,INDEX(cards[[1]:[25]],MATCH($C304,cards[object_id order],0),'Group code'!I304),"")</f>
        <v>#N/A</v>
      </c>
      <c r="U304" s="5" t="e">
        <f ca="1">VLOOKUP(G304,'Group code'!$Z$9:$AC$13,4,FALSE)</f>
        <v>#N/A</v>
      </c>
      <c r="V304" s="5" t="e">
        <f ca="1">IF(J304="","",VLOOKUP(J304,'Group code'!$Z$15:$AC$18,4,FALSE))</f>
        <v>#N/A</v>
      </c>
      <c r="W304" s="23" t="str">
        <f t="shared" ca="1" si="75"/>
        <v/>
      </c>
      <c r="X304" s="5" t="str">
        <f t="shared" ca="1" si="62"/>
        <v/>
      </c>
    </row>
    <row r="305" spans="2:24" x14ac:dyDescent="0.25">
      <c r="B305" s="5">
        <f t="shared" si="63"/>
        <v>299</v>
      </c>
      <c r="C305" s="5" t="e">
        <f t="shared" ca="1" si="76"/>
        <v>#N/A</v>
      </c>
      <c r="D305" s="5" t="e">
        <f ca="1">INDEX(cards[Attribute Index],MATCH('Group code'!C305,cards[object_id order],0))</f>
        <v>#N/A</v>
      </c>
      <c r="E305" s="5" t="e">
        <f t="shared" ca="1" si="64"/>
        <v>#N/A</v>
      </c>
      <c r="F305" s="14" t="e">
        <f ca="1">INDEX(cards[Entities count],MATCH('Group code'!C305,cards[object_id order],0))</f>
        <v>#N/A</v>
      </c>
      <c r="G305" s="14" t="e">
        <f t="shared" ca="1" si="66"/>
        <v>#N/A</v>
      </c>
      <c r="H305" s="14" t="e">
        <f t="shared" ca="1" si="67"/>
        <v>#N/A</v>
      </c>
      <c r="I305" s="5" t="e">
        <f t="shared" ca="1" si="68"/>
        <v>#N/A</v>
      </c>
      <c r="J305" s="5" t="e">
        <f t="shared" ca="1" si="65"/>
        <v>#N/A</v>
      </c>
      <c r="K305" s="5" t="e">
        <f t="shared" ca="1" si="69"/>
        <v>#N/A</v>
      </c>
      <c r="L305" s="5" t="e">
        <f t="shared" ca="1" si="70"/>
        <v>#N/A</v>
      </c>
      <c r="M305" s="5" t="e">
        <f t="shared" ca="1" si="71"/>
        <v>#N/A</v>
      </c>
      <c r="N305" s="5" t="e">
        <f t="shared" ca="1" si="72"/>
        <v>#N/A</v>
      </c>
      <c r="O305" s="5" t="e">
        <f t="shared" ca="1" si="73"/>
        <v>#N/A</v>
      </c>
      <c r="P305" s="5" t="e">
        <f ca="1">VLOOKUP(G305,'Group code'!$Z$9:$AC$13,3,FALSE)</f>
        <v>#N/A</v>
      </c>
      <c r="Q305" s="5" t="e">
        <f t="shared" ca="1" si="74"/>
        <v>#N/A</v>
      </c>
      <c r="R305" s="5" t="e">
        <f ca="1">IF(G305=0,INDEX(cards[object_id],MATCH($C305,cards[object_id order],0)),"")</f>
        <v>#N/A</v>
      </c>
      <c r="S305" s="5" t="e">
        <f ca="1">IF(G305=1,INDEX(cards[[name]:[control]],MATCH($C305,cards[object_id order],0),'Group code'!J305),"")</f>
        <v>#N/A</v>
      </c>
      <c r="T305" s="5" t="e">
        <f ca="1">IF(G305=3,INDEX(cards[[1]:[25]],MATCH($C305,cards[object_id order],0),'Group code'!I305),"")</f>
        <v>#N/A</v>
      </c>
      <c r="U305" s="5" t="e">
        <f ca="1">VLOOKUP(G305,'Group code'!$Z$9:$AC$13,4,FALSE)</f>
        <v>#N/A</v>
      </c>
      <c r="V305" s="5" t="e">
        <f ca="1">IF(J305="","",VLOOKUP(J305,'Group code'!$Z$15:$AC$18,4,FALSE))</f>
        <v>#N/A</v>
      </c>
      <c r="W305" s="23" t="str">
        <f t="shared" ca="1" si="75"/>
        <v/>
      </c>
      <c r="X305" s="5" t="str">
        <f t="shared" ca="1" si="62"/>
        <v/>
      </c>
    </row>
    <row r="306" spans="2:24" x14ac:dyDescent="0.25">
      <c r="B306" s="5">
        <f t="shared" si="63"/>
        <v>300</v>
      </c>
      <c r="C306" s="5" t="e">
        <f t="shared" ca="1" si="76"/>
        <v>#N/A</v>
      </c>
      <c r="D306" s="5" t="e">
        <f ca="1">INDEX(cards[Attribute Index],MATCH('Group code'!C306,cards[object_id order],0))</f>
        <v>#N/A</v>
      </c>
      <c r="E306" s="5" t="e">
        <f t="shared" ca="1" si="64"/>
        <v>#N/A</v>
      </c>
      <c r="F306" s="14" t="e">
        <f ca="1">INDEX(cards[Entities count],MATCH('Group code'!C306,cards[object_id order],0))</f>
        <v>#N/A</v>
      </c>
      <c r="G306" s="14" t="e">
        <f t="shared" ca="1" si="66"/>
        <v>#N/A</v>
      </c>
      <c r="H306" s="14" t="e">
        <f t="shared" ca="1" si="67"/>
        <v>#N/A</v>
      </c>
      <c r="I306" s="5" t="e">
        <f t="shared" ca="1" si="68"/>
        <v>#N/A</v>
      </c>
      <c r="J306" s="5" t="e">
        <f t="shared" ca="1" si="65"/>
        <v>#N/A</v>
      </c>
      <c r="K306" s="5" t="e">
        <f t="shared" ca="1" si="69"/>
        <v>#N/A</v>
      </c>
      <c r="L306" s="5" t="e">
        <f t="shared" ca="1" si="70"/>
        <v>#N/A</v>
      </c>
      <c r="M306" s="5" t="e">
        <f t="shared" ca="1" si="71"/>
        <v>#N/A</v>
      </c>
      <c r="N306" s="5" t="e">
        <f t="shared" ca="1" si="72"/>
        <v>#N/A</v>
      </c>
      <c r="O306" s="5" t="e">
        <f t="shared" ca="1" si="73"/>
        <v>#N/A</v>
      </c>
      <c r="P306" s="5" t="e">
        <f ca="1">VLOOKUP(G306,'Group code'!$Z$9:$AC$13,3,FALSE)</f>
        <v>#N/A</v>
      </c>
      <c r="Q306" s="5" t="e">
        <f t="shared" ca="1" si="74"/>
        <v>#N/A</v>
      </c>
      <c r="R306" s="5" t="e">
        <f ca="1">IF(G306=0,INDEX(cards[object_id],MATCH($C306,cards[object_id order],0)),"")</f>
        <v>#N/A</v>
      </c>
      <c r="S306" s="5" t="e">
        <f ca="1">IF(G306=1,INDEX(cards[[name]:[control]],MATCH($C306,cards[object_id order],0),'Group code'!J306),"")</f>
        <v>#N/A</v>
      </c>
      <c r="T306" s="5" t="e">
        <f ca="1">IF(G306=3,INDEX(cards[[1]:[25]],MATCH($C306,cards[object_id order],0),'Group code'!I306),"")</f>
        <v>#N/A</v>
      </c>
      <c r="U306" s="5" t="e">
        <f ca="1">VLOOKUP(G306,'Group code'!$Z$9:$AC$13,4,FALSE)</f>
        <v>#N/A</v>
      </c>
      <c r="V306" s="5" t="e">
        <f ca="1">IF(J306="","",VLOOKUP(J306,'Group code'!$Z$15:$AC$18,4,FALSE))</f>
        <v>#N/A</v>
      </c>
      <c r="W306" s="23" t="str">
        <f t="shared" ca="1" si="75"/>
        <v/>
      </c>
      <c r="X306" s="5" t="str">
        <f t="shared" ca="1" si="62"/>
        <v/>
      </c>
    </row>
    <row r="307" spans="2:24" x14ac:dyDescent="0.25">
      <c r="B307" s="5">
        <f t="shared" si="63"/>
        <v>301</v>
      </c>
      <c r="C307" s="5" t="e">
        <f t="shared" ca="1" si="76"/>
        <v>#N/A</v>
      </c>
      <c r="D307" s="5" t="e">
        <f ca="1">INDEX(cards[Attribute Index],MATCH('Group code'!C307,cards[object_id order],0))</f>
        <v>#N/A</v>
      </c>
      <c r="E307" s="5" t="e">
        <f t="shared" ca="1" si="64"/>
        <v>#N/A</v>
      </c>
      <c r="F307" s="14" t="e">
        <f ca="1">INDEX(cards[Entities count],MATCH('Group code'!C307,cards[object_id order],0))</f>
        <v>#N/A</v>
      </c>
      <c r="G307" s="14" t="e">
        <f t="shared" ca="1" si="66"/>
        <v>#N/A</v>
      </c>
      <c r="H307" s="14" t="e">
        <f t="shared" ca="1" si="67"/>
        <v>#N/A</v>
      </c>
      <c r="I307" s="5" t="e">
        <f t="shared" ca="1" si="68"/>
        <v>#N/A</v>
      </c>
      <c r="J307" s="5" t="e">
        <f t="shared" ca="1" si="65"/>
        <v>#N/A</v>
      </c>
      <c r="K307" s="5" t="e">
        <f t="shared" ca="1" si="69"/>
        <v>#N/A</v>
      </c>
      <c r="L307" s="5" t="e">
        <f t="shared" ca="1" si="70"/>
        <v>#N/A</v>
      </c>
      <c r="M307" s="5" t="e">
        <f t="shared" ca="1" si="71"/>
        <v>#N/A</v>
      </c>
      <c r="N307" s="5" t="e">
        <f t="shared" ca="1" si="72"/>
        <v>#N/A</v>
      </c>
      <c r="O307" s="5" t="e">
        <f t="shared" ca="1" si="73"/>
        <v>#N/A</v>
      </c>
      <c r="P307" s="5" t="e">
        <f ca="1">VLOOKUP(G307,'Group code'!$Z$9:$AC$13,3,FALSE)</f>
        <v>#N/A</v>
      </c>
      <c r="Q307" s="5" t="e">
        <f t="shared" ca="1" si="74"/>
        <v>#N/A</v>
      </c>
      <c r="R307" s="5" t="e">
        <f ca="1">IF(G307=0,INDEX(cards[object_id],MATCH($C307,cards[object_id order],0)),"")</f>
        <v>#N/A</v>
      </c>
      <c r="S307" s="5" t="e">
        <f ca="1">IF(G307=1,INDEX(cards[[name]:[control]],MATCH($C307,cards[object_id order],0),'Group code'!J307),"")</f>
        <v>#N/A</v>
      </c>
      <c r="T307" s="5" t="e">
        <f ca="1">IF(G307=3,INDEX(cards[[1]:[25]],MATCH($C307,cards[object_id order],0),'Group code'!I307),"")</f>
        <v>#N/A</v>
      </c>
      <c r="U307" s="5" t="e">
        <f ca="1">VLOOKUP(G307,'Group code'!$Z$9:$AC$13,4,FALSE)</f>
        <v>#N/A</v>
      </c>
      <c r="V307" s="5" t="e">
        <f ca="1">IF(J307="","",VLOOKUP(J307,'Group code'!$Z$15:$AC$18,4,FALSE))</f>
        <v>#N/A</v>
      </c>
      <c r="W307" s="23" t="str">
        <f t="shared" ca="1" si="75"/>
        <v/>
      </c>
      <c r="X307" s="5" t="str">
        <f t="shared" ca="1" si="62"/>
        <v/>
      </c>
    </row>
    <row r="308" spans="2:24" x14ac:dyDescent="0.25">
      <c r="B308" s="5">
        <f t="shared" si="63"/>
        <v>302</v>
      </c>
      <c r="C308" s="5" t="e">
        <f t="shared" ca="1" si="76"/>
        <v>#N/A</v>
      </c>
      <c r="D308" s="5" t="e">
        <f ca="1">INDEX(cards[Attribute Index],MATCH('Group code'!C308,cards[object_id order],0))</f>
        <v>#N/A</v>
      </c>
      <c r="E308" s="5" t="e">
        <f t="shared" ca="1" si="64"/>
        <v>#N/A</v>
      </c>
      <c r="F308" s="14" t="e">
        <f ca="1">INDEX(cards[Entities count],MATCH('Group code'!C308,cards[object_id order],0))</f>
        <v>#N/A</v>
      </c>
      <c r="G308" s="14" t="e">
        <f t="shared" ca="1" si="66"/>
        <v>#N/A</v>
      </c>
      <c r="H308" s="14" t="e">
        <f t="shared" ca="1" si="67"/>
        <v>#N/A</v>
      </c>
      <c r="I308" s="5" t="e">
        <f t="shared" ca="1" si="68"/>
        <v>#N/A</v>
      </c>
      <c r="J308" s="5" t="e">
        <f t="shared" ca="1" si="65"/>
        <v>#N/A</v>
      </c>
      <c r="K308" s="5" t="e">
        <f t="shared" ca="1" si="69"/>
        <v>#N/A</v>
      </c>
      <c r="L308" s="5" t="e">
        <f t="shared" ca="1" si="70"/>
        <v>#N/A</v>
      </c>
      <c r="M308" s="5" t="e">
        <f t="shared" ca="1" si="71"/>
        <v>#N/A</v>
      </c>
      <c r="N308" s="5" t="e">
        <f t="shared" ca="1" si="72"/>
        <v>#N/A</v>
      </c>
      <c r="O308" s="5" t="e">
        <f t="shared" ca="1" si="73"/>
        <v>#N/A</v>
      </c>
      <c r="P308" s="5" t="e">
        <f ca="1">VLOOKUP(G308,'Group code'!$Z$9:$AC$13,3,FALSE)</f>
        <v>#N/A</v>
      </c>
      <c r="Q308" s="5" t="e">
        <f t="shared" ca="1" si="74"/>
        <v>#N/A</v>
      </c>
      <c r="R308" s="5" t="e">
        <f ca="1">IF(G308=0,INDEX(cards[object_id],MATCH($C308,cards[object_id order],0)),"")</f>
        <v>#N/A</v>
      </c>
      <c r="S308" s="5" t="e">
        <f ca="1">IF(G308=1,INDEX(cards[[name]:[control]],MATCH($C308,cards[object_id order],0),'Group code'!J308),"")</f>
        <v>#N/A</v>
      </c>
      <c r="T308" s="5" t="e">
        <f ca="1">IF(G308=3,INDEX(cards[[1]:[25]],MATCH($C308,cards[object_id order],0),'Group code'!I308),"")</f>
        <v>#N/A</v>
      </c>
      <c r="U308" s="5" t="e">
        <f ca="1">VLOOKUP(G308,'Group code'!$Z$9:$AC$13,4,FALSE)</f>
        <v>#N/A</v>
      </c>
      <c r="V308" s="5" t="e">
        <f ca="1">IF(J308="","",VLOOKUP(J308,'Group code'!$Z$15:$AC$18,4,FALSE))</f>
        <v>#N/A</v>
      </c>
      <c r="W308" s="23" t="str">
        <f t="shared" ca="1" si="75"/>
        <v/>
      </c>
      <c r="X308" s="5" t="str">
        <f t="shared" ca="1" si="62"/>
        <v/>
      </c>
    </row>
    <row r="309" spans="2:24" x14ac:dyDescent="0.25">
      <c r="B309" s="5">
        <f t="shared" si="63"/>
        <v>303</v>
      </c>
      <c r="C309" s="5" t="e">
        <f t="shared" ca="1" si="76"/>
        <v>#N/A</v>
      </c>
      <c r="D309" s="5" t="e">
        <f ca="1">INDEX(cards[Attribute Index],MATCH('Group code'!C309,cards[object_id order],0))</f>
        <v>#N/A</v>
      </c>
      <c r="E309" s="5" t="e">
        <f t="shared" ca="1" si="64"/>
        <v>#N/A</v>
      </c>
      <c r="F309" s="14" t="e">
        <f ca="1">INDEX(cards[Entities count],MATCH('Group code'!C309,cards[object_id order],0))</f>
        <v>#N/A</v>
      </c>
      <c r="G309" s="14" t="e">
        <f t="shared" ca="1" si="66"/>
        <v>#N/A</v>
      </c>
      <c r="H309" s="14" t="e">
        <f t="shared" ca="1" si="67"/>
        <v>#N/A</v>
      </c>
      <c r="I309" s="5" t="e">
        <f t="shared" ca="1" si="68"/>
        <v>#N/A</v>
      </c>
      <c r="J309" s="5" t="e">
        <f t="shared" ca="1" si="65"/>
        <v>#N/A</v>
      </c>
      <c r="K309" s="5" t="e">
        <f t="shared" ca="1" si="69"/>
        <v>#N/A</v>
      </c>
      <c r="L309" s="5" t="e">
        <f t="shared" ca="1" si="70"/>
        <v>#N/A</v>
      </c>
      <c r="M309" s="5" t="e">
        <f t="shared" ca="1" si="71"/>
        <v>#N/A</v>
      </c>
      <c r="N309" s="5" t="e">
        <f t="shared" ca="1" si="72"/>
        <v>#N/A</v>
      </c>
      <c r="O309" s="5" t="e">
        <f t="shared" ca="1" si="73"/>
        <v>#N/A</v>
      </c>
      <c r="P309" s="5" t="e">
        <f ca="1">VLOOKUP(G309,'Group code'!$Z$9:$AC$13,3,FALSE)</f>
        <v>#N/A</v>
      </c>
      <c r="Q309" s="5" t="e">
        <f t="shared" ca="1" si="74"/>
        <v>#N/A</v>
      </c>
      <c r="R309" s="5" t="e">
        <f ca="1">IF(G309=0,INDEX(cards[object_id],MATCH($C309,cards[object_id order],0)),"")</f>
        <v>#N/A</v>
      </c>
      <c r="S309" s="5" t="e">
        <f ca="1">IF(G309=1,INDEX(cards[[name]:[control]],MATCH($C309,cards[object_id order],0),'Group code'!J309),"")</f>
        <v>#N/A</v>
      </c>
      <c r="T309" s="5" t="e">
        <f ca="1">IF(G309=3,INDEX(cards[[1]:[25]],MATCH($C309,cards[object_id order],0),'Group code'!I309),"")</f>
        <v>#N/A</v>
      </c>
      <c r="U309" s="5" t="e">
        <f ca="1">VLOOKUP(G309,'Group code'!$Z$9:$AC$13,4,FALSE)</f>
        <v>#N/A</v>
      </c>
      <c r="V309" s="5" t="e">
        <f ca="1">IF(J309="","",VLOOKUP(J309,'Group code'!$Z$15:$AC$18,4,FALSE))</f>
        <v>#N/A</v>
      </c>
      <c r="W309" s="23" t="str">
        <f t="shared" ca="1" si="75"/>
        <v/>
      </c>
      <c r="X309" s="5" t="str">
        <f t="shared" ca="1" si="62"/>
        <v/>
      </c>
    </row>
    <row r="310" spans="2:24" x14ac:dyDescent="0.25">
      <c r="B310" s="5">
        <f t="shared" si="63"/>
        <v>304</v>
      </c>
      <c r="C310" s="5" t="e">
        <f t="shared" ca="1" si="76"/>
        <v>#N/A</v>
      </c>
      <c r="D310" s="5" t="e">
        <f ca="1">INDEX(cards[Attribute Index],MATCH('Group code'!C310,cards[object_id order],0))</f>
        <v>#N/A</v>
      </c>
      <c r="E310" s="5" t="e">
        <f t="shared" ca="1" si="64"/>
        <v>#N/A</v>
      </c>
      <c r="F310" s="14" t="e">
        <f ca="1">INDEX(cards[Entities count],MATCH('Group code'!C310,cards[object_id order],0))</f>
        <v>#N/A</v>
      </c>
      <c r="G310" s="14" t="e">
        <f t="shared" ca="1" si="66"/>
        <v>#N/A</v>
      </c>
      <c r="H310" s="14" t="e">
        <f t="shared" ca="1" si="67"/>
        <v>#N/A</v>
      </c>
      <c r="I310" s="5" t="e">
        <f t="shared" ca="1" si="68"/>
        <v>#N/A</v>
      </c>
      <c r="J310" s="5" t="e">
        <f t="shared" ca="1" si="65"/>
        <v>#N/A</v>
      </c>
      <c r="K310" s="5" t="e">
        <f t="shared" ca="1" si="69"/>
        <v>#N/A</v>
      </c>
      <c r="L310" s="5" t="e">
        <f t="shared" ca="1" si="70"/>
        <v>#N/A</v>
      </c>
      <c r="M310" s="5" t="e">
        <f t="shared" ca="1" si="71"/>
        <v>#N/A</v>
      </c>
      <c r="N310" s="5" t="e">
        <f t="shared" ca="1" si="72"/>
        <v>#N/A</v>
      </c>
      <c r="O310" s="5" t="e">
        <f t="shared" ca="1" si="73"/>
        <v>#N/A</v>
      </c>
      <c r="P310" s="5" t="e">
        <f ca="1">VLOOKUP(G310,'Group code'!$Z$9:$AC$13,3,FALSE)</f>
        <v>#N/A</v>
      </c>
      <c r="Q310" s="5" t="e">
        <f t="shared" ca="1" si="74"/>
        <v>#N/A</v>
      </c>
      <c r="R310" s="5" t="e">
        <f ca="1">IF(G310=0,INDEX(cards[object_id],MATCH($C310,cards[object_id order],0)),"")</f>
        <v>#N/A</v>
      </c>
      <c r="S310" s="5" t="e">
        <f ca="1">IF(G310=1,INDEX(cards[[name]:[control]],MATCH($C310,cards[object_id order],0),'Group code'!J310),"")</f>
        <v>#N/A</v>
      </c>
      <c r="T310" s="5" t="e">
        <f ca="1">IF(G310=3,INDEX(cards[[1]:[25]],MATCH($C310,cards[object_id order],0),'Group code'!I310),"")</f>
        <v>#N/A</v>
      </c>
      <c r="U310" s="5" t="e">
        <f ca="1">VLOOKUP(G310,'Group code'!$Z$9:$AC$13,4,FALSE)</f>
        <v>#N/A</v>
      </c>
      <c r="V310" s="5" t="e">
        <f ca="1">IF(J310="","",VLOOKUP(J310,'Group code'!$Z$15:$AC$18,4,FALSE))</f>
        <v>#N/A</v>
      </c>
      <c r="W310" s="23" t="str">
        <f t="shared" ca="1" si="75"/>
        <v/>
      </c>
      <c r="X310" s="5" t="str">
        <f t="shared" ref="X310:X373" ca="1" si="77">IF(AND(NOT(ISNA(F310)),ISNA(F311)),"END","")</f>
        <v/>
      </c>
    </row>
    <row r="311" spans="2:24" x14ac:dyDescent="0.25">
      <c r="B311" s="5">
        <f t="shared" si="63"/>
        <v>305</v>
      </c>
      <c r="C311" s="5" t="e">
        <f t="shared" ca="1" si="76"/>
        <v>#N/A</v>
      </c>
      <c r="D311" s="5" t="e">
        <f ca="1">INDEX(cards[Attribute Index],MATCH('Group code'!C311,cards[object_id order],0))</f>
        <v>#N/A</v>
      </c>
      <c r="E311" s="5" t="e">
        <f t="shared" ca="1" si="64"/>
        <v>#N/A</v>
      </c>
      <c r="F311" s="14" t="e">
        <f ca="1">INDEX(cards[Entities count],MATCH('Group code'!C311,cards[object_id order],0))</f>
        <v>#N/A</v>
      </c>
      <c r="G311" s="14" t="e">
        <f t="shared" ca="1" si="66"/>
        <v>#N/A</v>
      </c>
      <c r="H311" s="14" t="e">
        <f t="shared" ca="1" si="67"/>
        <v>#N/A</v>
      </c>
      <c r="I311" s="5" t="e">
        <f t="shared" ca="1" si="68"/>
        <v>#N/A</v>
      </c>
      <c r="J311" s="5" t="e">
        <f t="shared" ca="1" si="65"/>
        <v>#N/A</v>
      </c>
      <c r="K311" s="5" t="e">
        <f t="shared" ca="1" si="69"/>
        <v>#N/A</v>
      </c>
      <c r="L311" s="5" t="e">
        <f t="shared" ca="1" si="70"/>
        <v>#N/A</v>
      </c>
      <c r="M311" s="5" t="e">
        <f t="shared" ca="1" si="71"/>
        <v>#N/A</v>
      </c>
      <c r="N311" s="5" t="e">
        <f t="shared" ca="1" si="72"/>
        <v>#N/A</v>
      </c>
      <c r="O311" s="5" t="e">
        <f t="shared" ca="1" si="73"/>
        <v>#N/A</v>
      </c>
      <c r="P311" s="5" t="e">
        <f ca="1">VLOOKUP(G311,'Group code'!$Z$9:$AC$13,3,FALSE)</f>
        <v>#N/A</v>
      </c>
      <c r="Q311" s="5" t="e">
        <f t="shared" ca="1" si="74"/>
        <v>#N/A</v>
      </c>
      <c r="R311" s="5" t="e">
        <f ca="1">IF(G311=0,INDEX(cards[object_id],MATCH($C311,cards[object_id order],0)),"")</f>
        <v>#N/A</v>
      </c>
      <c r="S311" s="5" t="e">
        <f ca="1">IF(G311=1,INDEX(cards[[name]:[control]],MATCH($C311,cards[object_id order],0),'Group code'!J311),"")</f>
        <v>#N/A</v>
      </c>
      <c r="T311" s="5" t="e">
        <f ca="1">IF(G311=3,INDEX(cards[[1]:[25]],MATCH($C311,cards[object_id order],0),'Group code'!I311),"")</f>
        <v>#N/A</v>
      </c>
      <c r="U311" s="5" t="e">
        <f ca="1">VLOOKUP(G311,'Group code'!$Z$9:$AC$13,4,FALSE)</f>
        <v>#N/A</v>
      </c>
      <c r="V311" s="5" t="e">
        <f ca="1">IF(J311="","",VLOOKUP(J311,'Group code'!$Z$15:$AC$18,4,FALSE))</f>
        <v>#N/A</v>
      </c>
      <c r="W311" s="23" t="str">
        <f t="shared" ca="1" si="75"/>
        <v/>
      </c>
      <c r="X311" s="5" t="str">
        <f t="shared" ca="1" si="77"/>
        <v/>
      </c>
    </row>
    <row r="312" spans="2:24" x14ac:dyDescent="0.25">
      <c r="B312" s="5">
        <f t="shared" si="63"/>
        <v>306</v>
      </c>
      <c r="C312" s="5" t="e">
        <f t="shared" ca="1" si="76"/>
        <v>#N/A</v>
      </c>
      <c r="D312" s="5" t="e">
        <f ca="1">INDEX(cards[Attribute Index],MATCH('Group code'!C312,cards[object_id order],0))</f>
        <v>#N/A</v>
      </c>
      <c r="E312" s="5" t="e">
        <f t="shared" ca="1" si="64"/>
        <v>#N/A</v>
      </c>
      <c r="F312" s="14" t="e">
        <f ca="1">INDEX(cards[Entities count],MATCH('Group code'!C312,cards[object_id order],0))</f>
        <v>#N/A</v>
      </c>
      <c r="G312" s="14" t="e">
        <f t="shared" ca="1" si="66"/>
        <v>#N/A</v>
      </c>
      <c r="H312" s="14" t="e">
        <f t="shared" ca="1" si="67"/>
        <v>#N/A</v>
      </c>
      <c r="I312" s="5" t="e">
        <f t="shared" ca="1" si="68"/>
        <v>#N/A</v>
      </c>
      <c r="J312" s="5" t="e">
        <f t="shared" ca="1" si="65"/>
        <v>#N/A</v>
      </c>
      <c r="K312" s="5" t="e">
        <f t="shared" ca="1" si="69"/>
        <v>#N/A</v>
      </c>
      <c r="L312" s="5" t="e">
        <f t="shared" ca="1" si="70"/>
        <v>#N/A</v>
      </c>
      <c r="M312" s="5" t="e">
        <f t="shared" ca="1" si="71"/>
        <v>#N/A</v>
      </c>
      <c r="N312" s="5" t="e">
        <f t="shared" ca="1" si="72"/>
        <v>#N/A</v>
      </c>
      <c r="O312" s="5" t="e">
        <f t="shared" ca="1" si="73"/>
        <v>#N/A</v>
      </c>
      <c r="P312" s="5" t="e">
        <f ca="1">VLOOKUP(G312,'Group code'!$Z$9:$AC$13,3,FALSE)</f>
        <v>#N/A</v>
      </c>
      <c r="Q312" s="5" t="e">
        <f t="shared" ca="1" si="74"/>
        <v>#N/A</v>
      </c>
      <c r="R312" s="5" t="e">
        <f ca="1">IF(G312=0,INDEX(cards[object_id],MATCH($C312,cards[object_id order],0)),"")</f>
        <v>#N/A</v>
      </c>
      <c r="S312" s="5" t="e">
        <f ca="1">IF(G312=1,INDEX(cards[[name]:[control]],MATCH($C312,cards[object_id order],0),'Group code'!J312),"")</f>
        <v>#N/A</v>
      </c>
      <c r="T312" s="5" t="e">
        <f ca="1">IF(G312=3,INDEX(cards[[1]:[25]],MATCH($C312,cards[object_id order],0),'Group code'!I312),"")</f>
        <v>#N/A</v>
      </c>
      <c r="U312" s="5" t="e">
        <f ca="1">VLOOKUP(G312,'Group code'!$Z$9:$AC$13,4,FALSE)</f>
        <v>#N/A</v>
      </c>
      <c r="V312" s="5" t="e">
        <f ca="1">IF(J312="","",VLOOKUP(J312,'Group code'!$Z$15:$AC$18,4,FALSE))</f>
        <v>#N/A</v>
      </c>
      <c r="W312" s="23" t="str">
        <f t="shared" ca="1" si="75"/>
        <v/>
      </c>
      <c r="X312" s="5" t="str">
        <f t="shared" ca="1" si="77"/>
        <v/>
      </c>
    </row>
    <row r="313" spans="2:24" x14ac:dyDescent="0.25">
      <c r="B313" s="5">
        <f t="shared" si="63"/>
        <v>307</v>
      </c>
      <c r="C313" s="5" t="e">
        <f t="shared" ca="1" si="76"/>
        <v>#N/A</v>
      </c>
      <c r="D313" s="5" t="e">
        <f ca="1">INDEX(cards[Attribute Index],MATCH('Group code'!C313,cards[object_id order],0))</f>
        <v>#N/A</v>
      </c>
      <c r="E313" s="5" t="e">
        <f t="shared" ca="1" si="64"/>
        <v>#N/A</v>
      </c>
      <c r="F313" s="14" t="e">
        <f ca="1">INDEX(cards[Entities count],MATCH('Group code'!C313,cards[object_id order],0))</f>
        <v>#N/A</v>
      </c>
      <c r="G313" s="14" t="e">
        <f t="shared" ca="1" si="66"/>
        <v>#N/A</v>
      </c>
      <c r="H313" s="14" t="e">
        <f t="shared" ca="1" si="67"/>
        <v>#N/A</v>
      </c>
      <c r="I313" s="5" t="e">
        <f t="shared" ca="1" si="68"/>
        <v>#N/A</v>
      </c>
      <c r="J313" s="5" t="e">
        <f t="shared" ca="1" si="65"/>
        <v>#N/A</v>
      </c>
      <c r="K313" s="5" t="e">
        <f t="shared" ca="1" si="69"/>
        <v>#N/A</v>
      </c>
      <c r="L313" s="5" t="e">
        <f t="shared" ca="1" si="70"/>
        <v>#N/A</v>
      </c>
      <c r="M313" s="5" t="e">
        <f t="shared" ca="1" si="71"/>
        <v>#N/A</v>
      </c>
      <c r="N313" s="5" t="e">
        <f t="shared" ca="1" si="72"/>
        <v>#N/A</v>
      </c>
      <c r="O313" s="5" t="e">
        <f t="shared" ca="1" si="73"/>
        <v>#N/A</v>
      </c>
      <c r="P313" s="5" t="e">
        <f ca="1">VLOOKUP(G313,'Group code'!$Z$9:$AC$13,3,FALSE)</f>
        <v>#N/A</v>
      </c>
      <c r="Q313" s="5" t="e">
        <f t="shared" ca="1" si="74"/>
        <v>#N/A</v>
      </c>
      <c r="R313" s="5" t="e">
        <f ca="1">IF(G313=0,INDEX(cards[object_id],MATCH($C313,cards[object_id order],0)),"")</f>
        <v>#N/A</v>
      </c>
      <c r="S313" s="5" t="e">
        <f ca="1">IF(G313=1,INDEX(cards[[name]:[control]],MATCH($C313,cards[object_id order],0),'Group code'!J313),"")</f>
        <v>#N/A</v>
      </c>
      <c r="T313" s="5" t="e">
        <f ca="1">IF(G313=3,INDEX(cards[[1]:[25]],MATCH($C313,cards[object_id order],0),'Group code'!I313),"")</f>
        <v>#N/A</v>
      </c>
      <c r="U313" s="5" t="e">
        <f ca="1">VLOOKUP(G313,'Group code'!$Z$9:$AC$13,4,FALSE)</f>
        <v>#N/A</v>
      </c>
      <c r="V313" s="5" t="e">
        <f ca="1">IF(J313="","",VLOOKUP(J313,'Group code'!$Z$15:$AC$18,4,FALSE))</f>
        <v>#N/A</v>
      </c>
      <c r="W313" s="23" t="str">
        <f t="shared" ca="1" si="75"/>
        <v/>
      </c>
      <c r="X313" s="5" t="str">
        <f t="shared" ca="1" si="77"/>
        <v/>
      </c>
    </row>
    <row r="314" spans="2:24" x14ac:dyDescent="0.25">
      <c r="B314" s="5">
        <f t="shared" si="63"/>
        <v>308</v>
      </c>
      <c r="C314" s="5" t="e">
        <f t="shared" ca="1" si="76"/>
        <v>#N/A</v>
      </c>
      <c r="D314" s="5" t="e">
        <f ca="1">INDEX(cards[Attribute Index],MATCH('Group code'!C314,cards[object_id order],0))</f>
        <v>#N/A</v>
      </c>
      <c r="E314" s="5" t="e">
        <f t="shared" ca="1" si="64"/>
        <v>#N/A</v>
      </c>
      <c r="F314" s="14" t="e">
        <f ca="1">INDEX(cards[Entities count],MATCH('Group code'!C314,cards[object_id order],0))</f>
        <v>#N/A</v>
      </c>
      <c r="G314" s="14" t="e">
        <f t="shared" ca="1" si="66"/>
        <v>#N/A</v>
      </c>
      <c r="H314" s="14" t="e">
        <f t="shared" ca="1" si="67"/>
        <v>#N/A</v>
      </c>
      <c r="I314" s="5" t="e">
        <f t="shared" ca="1" si="68"/>
        <v>#N/A</v>
      </c>
      <c r="J314" s="5" t="e">
        <f t="shared" ca="1" si="65"/>
        <v>#N/A</v>
      </c>
      <c r="K314" s="5" t="e">
        <f t="shared" ca="1" si="69"/>
        <v>#N/A</v>
      </c>
      <c r="L314" s="5" t="e">
        <f t="shared" ca="1" si="70"/>
        <v>#N/A</v>
      </c>
      <c r="M314" s="5" t="e">
        <f t="shared" ca="1" si="71"/>
        <v>#N/A</v>
      </c>
      <c r="N314" s="5" t="e">
        <f t="shared" ca="1" si="72"/>
        <v>#N/A</v>
      </c>
      <c r="O314" s="5" t="e">
        <f t="shared" ca="1" si="73"/>
        <v>#N/A</v>
      </c>
      <c r="P314" s="5" t="e">
        <f ca="1">VLOOKUP(G314,'Group code'!$Z$9:$AC$13,3,FALSE)</f>
        <v>#N/A</v>
      </c>
      <c r="Q314" s="5" t="e">
        <f t="shared" ca="1" si="74"/>
        <v>#N/A</v>
      </c>
      <c r="R314" s="5" t="e">
        <f ca="1">IF(G314=0,INDEX(cards[object_id],MATCH($C314,cards[object_id order],0)),"")</f>
        <v>#N/A</v>
      </c>
      <c r="S314" s="5" t="e">
        <f ca="1">IF(G314=1,INDEX(cards[[name]:[control]],MATCH($C314,cards[object_id order],0),'Group code'!J314),"")</f>
        <v>#N/A</v>
      </c>
      <c r="T314" s="5" t="e">
        <f ca="1">IF(G314=3,INDEX(cards[[1]:[25]],MATCH($C314,cards[object_id order],0),'Group code'!I314),"")</f>
        <v>#N/A</v>
      </c>
      <c r="U314" s="5" t="e">
        <f ca="1">VLOOKUP(G314,'Group code'!$Z$9:$AC$13,4,FALSE)</f>
        <v>#N/A</v>
      </c>
      <c r="V314" s="5" t="e">
        <f ca="1">IF(J314="","",VLOOKUP(J314,'Group code'!$Z$15:$AC$18,4,FALSE))</f>
        <v>#N/A</v>
      </c>
      <c r="W314" s="23" t="str">
        <f t="shared" ca="1" si="75"/>
        <v/>
      </c>
      <c r="X314" s="5" t="str">
        <f t="shared" ca="1" si="77"/>
        <v/>
      </c>
    </row>
    <row r="315" spans="2:24" x14ac:dyDescent="0.25">
      <c r="B315" s="5">
        <f t="shared" si="63"/>
        <v>309</v>
      </c>
      <c r="C315" s="5" t="e">
        <f t="shared" ca="1" si="76"/>
        <v>#N/A</v>
      </c>
      <c r="D315" s="5" t="e">
        <f ca="1">INDEX(cards[Attribute Index],MATCH('Group code'!C315,cards[object_id order],0))</f>
        <v>#N/A</v>
      </c>
      <c r="E315" s="5" t="e">
        <f t="shared" ca="1" si="64"/>
        <v>#N/A</v>
      </c>
      <c r="F315" s="14" t="e">
        <f ca="1">INDEX(cards[Entities count],MATCH('Group code'!C315,cards[object_id order],0))</f>
        <v>#N/A</v>
      </c>
      <c r="G315" s="14" t="e">
        <f t="shared" ca="1" si="66"/>
        <v>#N/A</v>
      </c>
      <c r="H315" s="14" t="e">
        <f t="shared" ca="1" si="67"/>
        <v>#N/A</v>
      </c>
      <c r="I315" s="5" t="e">
        <f t="shared" ca="1" si="68"/>
        <v>#N/A</v>
      </c>
      <c r="J315" s="5" t="e">
        <f t="shared" ca="1" si="65"/>
        <v>#N/A</v>
      </c>
      <c r="K315" s="5" t="e">
        <f t="shared" ca="1" si="69"/>
        <v>#N/A</v>
      </c>
      <c r="L315" s="5" t="e">
        <f t="shared" ca="1" si="70"/>
        <v>#N/A</v>
      </c>
      <c r="M315" s="5" t="e">
        <f t="shared" ca="1" si="71"/>
        <v>#N/A</v>
      </c>
      <c r="N315" s="5" t="e">
        <f t="shared" ca="1" si="72"/>
        <v>#N/A</v>
      </c>
      <c r="O315" s="5" t="e">
        <f t="shared" ca="1" si="73"/>
        <v>#N/A</v>
      </c>
      <c r="P315" s="5" t="e">
        <f ca="1">VLOOKUP(G315,'Group code'!$Z$9:$AC$13,3,FALSE)</f>
        <v>#N/A</v>
      </c>
      <c r="Q315" s="5" t="e">
        <f t="shared" ca="1" si="74"/>
        <v>#N/A</v>
      </c>
      <c r="R315" s="5" t="e">
        <f ca="1">IF(G315=0,INDEX(cards[object_id],MATCH($C315,cards[object_id order],0)),"")</f>
        <v>#N/A</v>
      </c>
      <c r="S315" s="5" t="e">
        <f ca="1">IF(G315=1,INDEX(cards[[name]:[control]],MATCH($C315,cards[object_id order],0),'Group code'!J315),"")</f>
        <v>#N/A</v>
      </c>
      <c r="T315" s="5" t="e">
        <f ca="1">IF(G315=3,INDEX(cards[[1]:[25]],MATCH($C315,cards[object_id order],0),'Group code'!I315),"")</f>
        <v>#N/A</v>
      </c>
      <c r="U315" s="5" t="e">
        <f ca="1">VLOOKUP(G315,'Group code'!$Z$9:$AC$13,4,FALSE)</f>
        <v>#N/A</v>
      </c>
      <c r="V315" s="5" t="e">
        <f ca="1">IF(J315="","",VLOOKUP(J315,'Group code'!$Z$15:$AC$18,4,FALSE))</f>
        <v>#N/A</v>
      </c>
      <c r="W315" s="23" t="str">
        <f t="shared" ca="1" si="75"/>
        <v/>
      </c>
      <c r="X315" s="5" t="str">
        <f t="shared" ca="1" si="77"/>
        <v/>
      </c>
    </row>
    <row r="316" spans="2:24" x14ac:dyDescent="0.25">
      <c r="B316" s="5">
        <f t="shared" si="63"/>
        <v>310</v>
      </c>
      <c r="C316" s="5" t="e">
        <f t="shared" ca="1" si="76"/>
        <v>#N/A</v>
      </c>
      <c r="D316" s="5" t="e">
        <f ca="1">INDEX(cards[Attribute Index],MATCH('Group code'!C316,cards[object_id order],0))</f>
        <v>#N/A</v>
      </c>
      <c r="E316" s="5" t="e">
        <f t="shared" ca="1" si="64"/>
        <v>#N/A</v>
      </c>
      <c r="F316" s="14" t="e">
        <f ca="1">INDEX(cards[Entities count],MATCH('Group code'!C316,cards[object_id order],0))</f>
        <v>#N/A</v>
      </c>
      <c r="G316" s="14" t="e">
        <f t="shared" ca="1" si="66"/>
        <v>#N/A</v>
      </c>
      <c r="H316" s="14" t="e">
        <f t="shared" ca="1" si="67"/>
        <v>#N/A</v>
      </c>
      <c r="I316" s="5" t="e">
        <f t="shared" ca="1" si="68"/>
        <v>#N/A</v>
      </c>
      <c r="J316" s="5" t="e">
        <f t="shared" ca="1" si="65"/>
        <v>#N/A</v>
      </c>
      <c r="K316" s="5" t="e">
        <f t="shared" ca="1" si="69"/>
        <v>#N/A</v>
      </c>
      <c r="L316" s="5" t="e">
        <f t="shared" ca="1" si="70"/>
        <v>#N/A</v>
      </c>
      <c r="M316" s="5" t="e">
        <f t="shared" ca="1" si="71"/>
        <v>#N/A</v>
      </c>
      <c r="N316" s="5" t="e">
        <f t="shared" ca="1" si="72"/>
        <v>#N/A</v>
      </c>
      <c r="O316" s="5" t="e">
        <f t="shared" ca="1" si="73"/>
        <v>#N/A</v>
      </c>
      <c r="P316" s="5" t="e">
        <f ca="1">VLOOKUP(G316,'Group code'!$Z$9:$AC$13,3,FALSE)</f>
        <v>#N/A</v>
      </c>
      <c r="Q316" s="5" t="e">
        <f t="shared" ca="1" si="74"/>
        <v>#N/A</v>
      </c>
      <c r="R316" s="5" t="e">
        <f ca="1">IF(G316=0,INDEX(cards[object_id],MATCH($C316,cards[object_id order],0)),"")</f>
        <v>#N/A</v>
      </c>
      <c r="S316" s="5" t="e">
        <f ca="1">IF(G316=1,INDEX(cards[[name]:[control]],MATCH($C316,cards[object_id order],0),'Group code'!J316),"")</f>
        <v>#N/A</v>
      </c>
      <c r="T316" s="5" t="e">
        <f ca="1">IF(G316=3,INDEX(cards[[1]:[25]],MATCH($C316,cards[object_id order],0),'Group code'!I316),"")</f>
        <v>#N/A</v>
      </c>
      <c r="U316" s="5" t="e">
        <f ca="1">VLOOKUP(G316,'Group code'!$Z$9:$AC$13,4,FALSE)</f>
        <v>#N/A</v>
      </c>
      <c r="V316" s="5" t="e">
        <f ca="1">IF(J316="","",VLOOKUP(J316,'Group code'!$Z$15:$AC$18,4,FALSE))</f>
        <v>#N/A</v>
      </c>
      <c r="W316" s="23" t="str">
        <f t="shared" ca="1" si="75"/>
        <v/>
      </c>
      <c r="X316" s="5" t="str">
        <f t="shared" ca="1" si="77"/>
        <v/>
      </c>
    </row>
    <row r="317" spans="2:24" x14ac:dyDescent="0.25">
      <c r="B317" s="5">
        <f t="shared" si="63"/>
        <v>311</v>
      </c>
      <c r="C317" s="5" t="e">
        <f t="shared" ca="1" si="76"/>
        <v>#N/A</v>
      </c>
      <c r="D317" s="5" t="e">
        <f ca="1">INDEX(cards[Attribute Index],MATCH('Group code'!C317,cards[object_id order],0))</f>
        <v>#N/A</v>
      </c>
      <c r="E317" s="5" t="e">
        <f t="shared" ca="1" si="64"/>
        <v>#N/A</v>
      </c>
      <c r="F317" s="14" t="e">
        <f ca="1">INDEX(cards[Entities count],MATCH('Group code'!C317,cards[object_id order],0))</f>
        <v>#N/A</v>
      </c>
      <c r="G317" s="14" t="e">
        <f t="shared" ca="1" si="66"/>
        <v>#N/A</v>
      </c>
      <c r="H317" s="14" t="e">
        <f t="shared" ca="1" si="67"/>
        <v>#N/A</v>
      </c>
      <c r="I317" s="5" t="e">
        <f t="shared" ca="1" si="68"/>
        <v>#N/A</v>
      </c>
      <c r="J317" s="5" t="e">
        <f t="shared" ca="1" si="65"/>
        <v>#N/A</v>
      </c>
      <c r="K317" s="5" t="e">
        <f t="shared" ca="1" si="69"/>
        <v>#N/A</v>
      </c>
      <c r="L317" s="5" t="e">
        <f t="shared" ca="1" si="70"/>
        <v>#N/A</v>
      </c>
      <c r="M317" s="5" t="e">
        <f t="shared" ca="1" si="71"/>
        <v>#N/A</v>
      </c>
      <c r="N317" s="5" t="e">
        <f t="shared" ca="1" si="72"/>
        <v>#N/A</v>
      </c>
      <c r="O317" s="5" t="e">
        <f t="shared" ca="1" si="73"/>
        <v>#N/A</v>
      </c>
      <c r="P317" s="5" t="e">
        <f ca="1">VLOOKUP(G317,'Group code'!$Z$9:$AC$13,3,FALSE)</f>
        <v>#N/A</v>
      </c>
      <c r="Q317" s="5" t="e">
        <f t="shared" ca="1" si="74"/>
        <v>#N/A</v>
      </c>
      <c r="R317" s="5" t="e">
        <f ca="1">IF(G317=0,INDEX(cards[object_id],MATCH($C317,cards[object_id order],0)),"")</f>
        <v>#N/A</v>
      </c>
      <c r="S317" s="5" t="e">
        <f ca="1">IF(G317=1,INDEX(cards[[name]:[control]],MATCH($C317,cards[object_id order],0),'Group code'!J317),"")</f>
        <v>#N/A</v>
      </c>
      <c r="T317" s="5" t="e">
        <f ca="1">IF(G317=3,INDEX(cards[[1]:[25]],MATCH($C317,cards[object_id order],0),'Group code'!I317),"")</f>
        <v>#N/A</v>
      </c>
      <c r="U317" s="5" t="e">
        <f ca="1">VLOOKUP(G317,'Group code'!$Z$9:$AC$13,4,FALSE)</f>
        <v>#N/A</v>
      </c>
      <c r="V317" s="5" t="e">
        <f ca="1">IF(J317="","",VLOOKUP(J317,'Group code'!$Z$15:$AC$18,4,FALSE))</f>
        <v>#N/A</v>
      </c>
      <c r="W317" s="23" t="str">
        <f t="shared" ca="1" si="75"/>
        <v/>
      </c>
      <c r="X317" s="5" t="str">
        <f t="shared" ca="1" si="77"/>
        <v/>
      </c>
    </row>
    <row r="318" spans="2:24" x14ac:dyDescent="0.25">
      <c r="B318" s="5">
        <f t="shared" si="63"/>
        <v>312</v>
      </c>
      <c r="C318" s="5" t="e">
        <f t="shared" ca="1" si="76"/>
        <v>#N/A</v>
      </c>
      <c r="D318" s="5" t="e">
        <f ca="1">INDEX(cards[Attribute Index],MATCH('Group code'!C318,cards[object_id order],0))</f>
        <v>#N/A</v>
      </c>
      <c r="E318" s="5" t="e">
        <f t="shared" ca="1" si="64"/>
        <v>#N/A</v>
      </c>
      <c r="F318" s="14" t="e">
        <f ca="1">INDEX(cards[Entities count],MATCH('Group code'!C318,cards[object_id order],0))</f>
        <v>#N/A</v>
      </c>
      <c r="G318" s="14" t="e">
        <f t="shared" ca="1" si="66"/>
        <v>#N/A</v>
      </c>
      <c r="H318" s="14" t="e">
        <f t="shared" ca="1" si="67"/>
        <v>#N/A</v>
      </c>
      <c r="I318" s="5" t="e">
        <f t="shared" ca="1" si="68"/>
        <v>#N/A</v>
      </c>
      <c r="J318" s="5" t="e">
        <f t="shared" ca="1" si="65"/>
        <v>#N/A</v>
      </c>
      <c r="K318" s="5" t="e">
        <f t="shared" ca="1" si="69"/>
        <v>#N/A</v>
      </c>
      <c r="L318" s="5" t="e">
        <f t="shared" ca="1" si="70"/>
        <v>#N/A</v>
      </c>
      <c r="M318" s="5" t="e">
        <f t="shared" ca="1" si="71"/>
        <v>#N/A</v>
      </c>
      <c r="N318" s="5" t="e">
        <f t="shared" ca="1" si="72"/>
        <v>#N/A</v>
      </c>
      <c r="O318" s="5" t="e">
        <f t="shared" ca="1" si="73"/>
        <v>#N/A</v>
      </c>
      <c r="P318" s="5" t="e">
        <f ca="1">VLOOKUP(G318,'Group code'!$Z$9:$AC$13,3,FALSE)</f>
        <v>#N/A</v>
      </c>
      <c r="Q318" s="5" t="e">
        <f t="shared" ca="1" si="74"/>
        <v>#N/A</v>
      </c>
      <c r="R318" s="5" t="e">
        <f ca="1">IF(G318=0,INDEX(cards[object_id],MATCH($C318,cards[object_id order],0)),"")</f>
        <v>#N/A</v>
      </c>
      <c r="S318" s="5" t="e">
        <f ca="1">IF(G318=1,INDEX(cards[[name]:[control]],MATCH($C318,cards[object_id order],0),'Group code'!J318),"")</f>
        <v>#N/A</v>
      </c>
      <c r="T318" s="5" t="e">
        <f ca="1">IF(G318=3,INDEX(cards[[1]:[25]],MATCH($C318,cards[object_id order],0),'Group code'!I318),"")</f>
        <v>#N/A</v>
      </c>
      <c r="U318" s="5" t="e">
        <f ca="1">VLOOKUP(G318,'Group code'!$Z$9:$AC$13,4,FALSE)</f>
        <v>#N/A</v>
      </c>
      <c r="V318" s="5" t="e">
        <f ca="1">IF(J318="","",VLOOKUP(J318,'Group code'!$Z$15:$AC$18,4,FALSE))</f>
        <v>#N/A</v>
      </c>
      <c r="W318" s="23" t="str">
        <f t="shared" ca="1" si="75"/>
        <v/>
      </c>
      <c r="X318" s="5" t="str">
        <f t="shared" ca="1" si="77"/>
        <v/>
      </c>
    </row>
    <row r="319" spans="2:24" x14ac:dyDescent="0.25">
      <c r="B319" s="5">
        <f t="shared" si="63"/>
        <v>313</v>
      </c>
      <c r="C319" s="5" t="e">
        <f t="shared" ca="1" si="76"/>
        <v>#N/A</v>
      </c>
      <c r="D319" s="5" t="e">
        <f ca="1">INDEX(cards[Attribute Index],MATCH('Group code'!C319,cards[object_id order],0))</f>
        <v>#N/A</v>
      </c>
      <c r="E319" s="5" t="e">
        <f t="shared" ca="1" si="64"/>
        <v>#N/A</v>
      </c>
      <c r="F319" s="14" t="e">
        <f ca="1">INDEX(cards[Entities count],MATCH('Group code'!C319,cards[object_id order],0))</f>
        <v>#N/A</v>
      </c>
      <c r="G319" s="14" t="e">
        <f t="shared" ca="1" si="66"/>
        <v>#N/A</v>
      </c>
      <c r="H319" s="14" t="e">
        <f t="shared" ca="1" si="67"/>
        <v>#N/A</v>
      </c>
      <c r="I319" s="5" t="e">
        <f t="shared" ca="1" si="68"/>
        <v>#N/A</v>
      </c>
      <c r="J319" s="5" t="e">
        <f t="shared" ca="1" si="65"/>
        <v>#N/A</v>
      </c>
      <c r="K319" s="5" t="e">
        <f t="shared" ca="1" si="69"/>
        <v>#N/A</v>
      </c>
      <c r="L319" s="5" t="e">
        <f t="shared" ca="1" si="70"/>
        <v>#N/A</v>
      </c>
      <c r="M319" s="5" t="e">
        <f t="shared" ca="1" si="71"/>
        <v>#N/A</v>
      </c>
      <c r="N319" s="5" t="e">
        <f t="shared" ca="1" si="72"/>
        <v>#N/A</v>
      </c>
      <c r="O319" s="5" t="e">
        <f t="shared" ca="1" si="73"/>
        <v>#N/A</v>
      </c>
      <c r="P319" s="5" t="e">
        <f ca="1">VLOOKUP(G319,'Group code'!$Z$9:$AC$13,3,FALSE)</f>
        <v>#N/A</v>
      </c>
      <c r="Q319" s="5" t="e">
        <f t="shared" ca="1" si="74"/>
        <v>#N/A</v>
      </c>
      <c r="R319" s="5" t="e">
        <f ca="1">IF(G319=0,INDEX(cards[object_id],MATCH($C319,cards[object_id order],0)),"")</f>
        <v>#N/A</v>
      </c>
      <c r="S319" s="5" t="e">
        <f ca="1">IF(G319=1,INDEX(cards[[name]:[control]],MATCH($C319,cards[object_id order],0),'Group code'!J319),"")</f>
        <v>#N/A</v>
      </c>
      <c r="T319" s="5" t="e">
        <f ca="1">IF(G319=3,INDEX(cards[[1]:[25]],MATCH($C319,cards[object_id order],0),'Group code'!I319),"")</f>
        <v>#N/A</v>
      </c>
      <c r="U319" s="5" t="e">
        <f ca="1">VLOOKUP(G319,'Group code'!$Z$9:$AC$13,4,FALSE)</f>
        <v>#N/A</v>
      </c>
      <c r="V319" s="5" t="e">
        <f ca="1">IF(J319="","",VLOOKUP(J319,'Group code'!$Z$15:$AC$18,4,FALSE))</f>
        <v>#N/A</v>
      </c>
      <c r="W319" s="23" t="str">
        <f t="shared" ca="1" si="75"/>
        <v/>
      </c>
      <c r="X319" s="5" t="str">
        <f t="shared" ca="1" si="77"/>
        <v/>
      </c>
    </row>
    <row r="320" spans="2:24" x14ac:dyDescent="0.25">
      <c r="B320" s="5">
        <f t="shared" si="63"/>
        <v>314</v>
      </c>
      <c r="C320" s="5" t="e">
        <f t="shared" ca="1" si="76"/>
        <v>#N/A</v>
      </c>
      <c r="D320" s="5" t="e">
        <f ca="1">INDEX(cards[Attribute Index],MATCH('Group code'!C320,cards[object_id order],0))</f>
        <v>#N/A</v>
      </c>
      <c r="E320" s="5" t="e">
        <f t="shared" ca="1" si="64"/>
        <v>#N/A</v>
      </c>
      <c r="F320" s="14" t="e">
        <f ca="1">INDEX(cards[Entities count],MATCH('Group code'!C320,cards[object_id order],0))</f>
        <v>#N/A</v>
      </c>
      <c r="G320" s="14" t="e">
        <f t="shared" ca="1" si="66"/>
        <v>#N/A</v>
      </c>
      <c r="H320" s="14" t="e">
        <f t="shared" ca="1" si="67"/>
        <v>#N/A</v>
      </c>
      <c r="I320" s="5" t="e">
        <f t="shared" ca="1" si="68"/>
        <v>#N/A</v>
      </c>
      <c r="J320" s="5" t="e">
        <f t="shared" ca="1" si="65"/>
        <v>#N/A</v>
      </c>
      <c r="K320" s="5" t="e">
        <f t="shared" ca="1" si="69"/>
        <v>#N/A</v>
      </c>
      <c r="L320" s="5" t="e">
        <f t="shared" ca="1" si="70"/>
        <v>#N/A</v>
      </c>
      <c r="M320" s="5" t="e">
        <f t="shared" ca="1" si="71"/>
        <v>#N/A</v>
      </c>
      <c r="N320" s="5" t="e">
        <f t="shared" ca="1" si="72"/>
        <v>#N/A</v>
      </c>
      <c r="O320" s="5" t="e">
        <f t="shared" ca="1" si="73"/>
        <v>#N/A</v>
      </c>
      <c r="P320" s="5" t="e">
        <f ca="1">VLOOKUP(G320,'Group code'!$Z$9:$AC$13,3,FALSE)</f>
        <v>#N/A</v>
      </c>
      <c r="Q320" s="5" t="e">
        <f t="shared" ca="1" si="74"/>
        <v>#N/A</v>
      </c>
      <c r="R320" s="5" t="e">
        <f ca="1">IF(G320=0,INDEX(cards[object_id],MATCH($C320,cards[object_id order],0)),"")</f>
        <v>#N/A</v>
      </c>
      <c r="S320" s="5" t="e">
        <f ca="1">IF(G320=1,INDEX(cards[[name]:[control]],MATCH($C320,cards[object_id order],0),'Group code'!J320),"")</f>
        <v>#N/A</v>
      </c>
      <c r="T320" s="5" t="e">
        <f ca="1">IF(G320=3,INDEX(cards[[1]:[25]],MATCH($C320,cards[object_id order],0),'Group code'!I320),"")</f>
        <v>#N/A</v>
      </c>
      <c r="U320" s="5" t="e">
        <f ca="1">VLOOKUP(G320,'Group code'!$Z$9:$AC$13,4,FALSE)</f>
        <v>#N/A</v>
      </c>
      <c r="V320" s="5" t="e">
        <f ca="1">IF(J320="","",VLOOKUP(J320,'Group code'!$Z$15:$AC$18,4,FALSE))</f>
        <v>#N/A</v>
      </c>
      <c r="W320" s="23" t="str">
        <f t="shared" ca="1" si="75"/>
        <v/>
      </c>
      <c r="X320" s="5" t="str">
        <f t="shared" ca="1" si="77"/>
        <v/>
      </c>
    </row>
    <row r="321" spans="2:24" x14ac:dyDescent="0.25">
      <c r="B321" s="5">
        <f t="shared" si="63"/>
        <v>315</v>
      </c>
      <c r="C321" s="5" t="e">
        <f t="shared" ca="1" si="76"/>
        <v>#N/A</v>
      </c>
      <c r="D321" s="5" t="e">
        <f ca="1">INDEX(cards[Attribute Index],MATCH('Group code'!C321,cards[object_id order],0))</f>
        <v>#N/A</v>
      </c>
      <c r="E321" s="5" t="e">
        <f t="shared" ca="1" si="64"/>
        <v>#N/A</v>
      </c>
      <c r="F321" s="14" t="e">
        <f ca="1">INDEX(cards[Entities count],MATCH('Group code'!C321,cards[object_id order],0))</f>
        <v>#N/A</v>
      </c>
      <c r="G321" s="14" t="e">
        <f t="shared" ca="1" si="66"/>
        <v>#N/A</v>
      </c>
      <c r="H321" s="14" t="e">
        <f t="shared" ca="1" si="67"/>
        <v>#N/A</v>
      </c>
      <c r="I321" s="5" t="e">
        <f t="shared" ca="1" si="68"/>
        <v>#N/A</v>
      </c>
      <c r="J321" s="5" t="e">
        <f t="shared" ca="1" si="65"/>
        <v>#N/A</v>
      </c>
      <c r="K321" s="5" t="e">
        <f t="shared" ca="1" si="69"/>
        <v>#N/A</v>
      </c>
      <c r="L321" s="5" t="e">
        <f t="shared" ca="1" si="70"/>
        <v>#N/A</v>
      </c>
      <c r="M321" s="5" t="e">
        <f t="shared" ca="1" si="71"/>
        <v>#N/A</v>
      </c>
      <c r="N321" s="5" t="e">
        <f t="shared" ca="1" si="72"/>
        <v>#N/A</v>
      </c>
      <c r="O321" s="5" t="e">
        <f t="shared" ca="1" si="73"/>
        <v>#N/A</v>
      </c>
      <c r="P321" s="5" t="e">
        <f ca="1">VLOOKUP(G321,'Group code'!$Z$9:$AC$13,3,FALSE)</f>
        <v>#N/A</v>
      </c>
      <c r="Q321" s="5" t="e">
        <f t="shared" ca="1" si="74"/>
        <v>#N/A</v>
      </c>
      <c r="R321" s="5" t="e">
        <f ca="1">IF(G321=0,INDEX(cards[object_id],MATCH($C321,cards[object_id order],0)),"")</f>
        <v>#N/A</v>
      </c>
      <c r="S321" s="5" t="e">
        <f ca="1">IF(G321=1,INDEX(cards[[name]:[control]],MATCH($C321,cards[object_id order],0),'Group code'!J321),"")</f>
        <v>#N/A</v>
      </c>
      <c r="T321" s="5" t="e">
        <f ca="1">IF(G321=3,INDEX(cards[[1]:[25]],MATCH($C321,cards[object_id order],0),'Group code'!I321),"")</f>
        <v>#N/A</v>
      </c>
      <c r="U321" s="5" t="e">
        <f ca="1">VLOOKUP(G321,'Group code'!$Z$9:$AC$13,4,FALSE)</f>
        <v>#N/A</v>
      </c>
      <c r="V321" s="5" t="e">
        <f ca="1">IF(J321="","",VLOOKUP(J321,'Group code'!$Z$15:$AC$18,4,FALSE))</f>
        <v>#N/A</v>
      </c>
      <c r="W321" s="23" t="str">
        <f t="shared" ca="1" si="75"/>
        <v/>
      </c>
      <c r="X321" s="5" t="str">
        <f t="shared" ca="1" si="77"/>
        <v/>
      </c>
    </row>
    <row r="322" spans="2:24" x14ac:dyDescent="0.25">
      <c r="B322" s="5">
        <f t="shared" si="63"/>
        <v>316</v>
      </c>
      <c r="C322" s="5" t="e">
        <f t="shared" ca="1" si="76"/>
        <v>#N/A</v>
      </c>
      <c r="D322" s="5" t="e">
        <f ca="1">INDEX(cards[Attribute Index],MATCH('Group code'!C322,cards[object_id order],0))</f>
        <v>#N/A</v>
      </c>
      <c r="E322" s="5" t="e">
        <f t="shared" ca="1" si="64"/>
        <v>#N/A</v>
      </c>
      <c r="F322" s="14" t="e">
        <f ca="1">INDEX(cards[Entities count],MATCH('Group code'!C322,cards[object_id order],0))</f>
        <v>#N/A</v>
      </c>
      <c r="G322" s="14" t="e">
        <f t="shared" ca="1" si="66"/>
        <v>#N/A</v>
      </c>
      <c r="H322" s="14" t="e">
        <f t="shared" ca="1" si="67"/>
        <v>#N/A</v>
      </c>
      <c r="I322" s="5" t="e">
        <f t="shared" ca="1" si="68"/>
        <v>#N/A</v>
      </c>
      <c r="J322" s="5" t="e">
        <f t="shared" ca="1" si="65"/>
        <v>#N/A</v>
      </c>
      <c r="K322" s="5" t="e">
        <f t="shared" ca="1" si="69"/>
        <v>#N/A</v>
      </c>
      <c r="L322" s="5" t="e">
        <f t="shared" ca="1" si="70"/>
        <v>#N/A</v>
      </c>
      <c r="M322" s="5" t="e">
        <f t="shared" ca="1" si="71"/>
        <v>#N/A</v>
      </c>
      <c r="N322" s="5" t="e">
        <f t="shared" ca="1" si="72"/>
        <v>#N/A</v>
      </c>
      <c r="O322" s="5" t="e">
        <f t="shared" ca="1" si="73"/>
        <v>#N/A</v>
      </c>
      <c r="P322" s="5" t="e">
        <f ca="1">VLOOKUP(G322,'Group code'!$Z$9:$AC$13,3,FALSE)</f>
        <v>#N/A</v>
      </c>
      <c r="Q322" s="5" t="e">
        <f t="shared" ca="1" si="74"/>
        <v>#N/A</v>
      </c>
      <c r="R322" s="5" t="e">
        <f ca="1">IF(G322=0,INDEX(cards[object_id],MATCH($C322,cards[object_id order],0)),"")</f>
        <v>#N/A</v>
      </c>
      <c r="S322" s="5" t="e">
        <f ca="1">IF(G322=1,INDEX(cards[[name]:[control]],MATCH($C322,cards[object_id order],0),'Group code'!J322),"")</f>
        <v>#N/A</v>
      </c>
      <c r="T322" s="5" t="e">
        <f ca="1">IF(G322=3,INDEX(cards[[1]:[25]],MATCH($C322,cards[object_id order],0),'Group code'!I322),"")</f>
        <v>#N/A</v>
      </c>
      <c r="U322" s="5" t="e">
        <f ca="1">VLOOKUP(G322,'Group code'!$Z$9:$AC$13,4,FALSE)</f>
        <v>#N/A</v>
      </c>
      <c r="V322" s="5" t="e">
        <f ca="1">IF(J322="","",VLOOKUP(J322,'Group code'!$Z$15:$AC$18,4,FALSE))</f>
        <v>#N/A</v>
      </c>
      <c r="W322" s="23" t="str">
        <f t="shared" ca="1" si="75"/>
        <v/>
      </c>
      <c r="X322" s="5" t="str">
        <f t="shared" ca="1" si="77"/>
        <v/>
      </c>
    </row>
    <row r="323" spans="2:24" x14ac:dyDescent="0.25">
      <c r="B323" s="5">
        <f t="shared" si="63"/>
        <v>317</v>
      </c>
      <c r="C323" s="5" t="e">
        <f t="shared" ca="1" si="76"/>
        <v>#N/A</v>
      </c>
      <c r="D323" s="5" t="e">
        <f ca="1">INDEX(cards[Attribute Index],MATCH('Group code'!C323,cards[object_id order],0))</f>
        <v>#N/A</v>
      </c>
      <c r="E323" s="5" t="e">
        <f t="shared" ca="1" si="64"/>
        <v>#N/A</v>
      </c>
      <c r="F323" s="14" t="e">
        <f ca="1">INDEX(cards[Entities count],MATCH('Group code'!C323,cards[object_id order],0))</f>
        <v>#N/A</v>
      </c>
      <c r="G323" s="14" t="e">
        <f t="shared" ca="1" si="66"/>
        <v>#N/A</v>
      </c>
      <c r="H323" s="14" t="e">
        <f t="shared" ca="1" si="67"/>
        <v>#N/A</v>
      </c>
      <c r="I323" s="5" t="e">
        <f t="shared" ca="1" si="68"/>
        <v>#N/A</v>
      </c>
      <c r="J323" s="5" t="e">
        <f t="shared" ca="1" si="65"/>
        <v>#N/A</v>
      </c>
      <c r="K323" s="5" t="e">
        <f t="shared" ca="1" si="69"/>
        <v>#N/A</v>
      </c>
      <c r="L323" s="5" t="e">
        <f t="shared" ca="1" si="70"/>
        <v>#N/A</v>
      </c>
      <c r="M323" s="5" t="e">
        <f t="shared" ca="1" si="71"/>
        <v>#N/A</v>
      </c>
      <c r="N323" s="5" t="e">
        <f t="shared" ca="1" si="72"/>
        <v>#N/A</v>
      </c>
      <c r="O323" s="5" t="e">
        <f t="shared" ca="1" si="73"/>
        <v>#N/A</v>
      </c>
      <c r="P323" s="5" t="e">
        <f ca="1">VLOOKUP(G323,'Group code'!$Z$9:$AC$13,3,FALSE)</f>
        <v>#N/A</v>
      </c>
      <c r="Q323" s="5" t="e">
        <f t="shared" ca="1" si="74"/>
        <v>#N/A</v>
      </c>
      <c r="R323" s="5" t="e">
        <f ca="1">IF(G323=0,INDEX(cards[object_id],MATCH($C323,cards[object_id order],0)),"")</f>
        <v>#N/A</v>
      </c>
      <c r="S323" s="5" t="e">
        <f ca="1">IF(G323=1,INDEX(cards[[name]:[control]],MATCH($C323,cards[object_id order],0),'Group code'!J323),"")</f>
        <v>#N/A</v>
      </c>
      <c r="T323" s="5" t="e">
        <f ca="1">IF(G323=3,INDEX(cards[[1]:[25]],MATCH($C323,cards[object_id order],0),'Group code'!I323),"")</f>
        <v>#N/A</v>
      </c>
      <c r="U323" s="5" t="e">
        <f ca="1">VLOOKUP(G323,'Group code'!$Z$9:$AC$13,4,FALSE)</f>
        <v>#N/A</v>
      </c>
      <c r="V323" s="5" t="e">
        <f ca="1">IF(J323="","",VLOOKUP(J323,'Group code'!$Z$15:$AC$18,4,FALSE))</f>
        <v>#N/A</v>
      </c>
      <c r="W323" s="23" t="str">
        <f t="shared" ca="1" si="75"/>
        <v/>
      </c>
      <c r="X323" s="5" t="str">
        <f t="shared" ca="1" si="77"/>
        <v/>
      </c>
    </row>
    <row r="324" spans="2:24" x14ac:dyDescent="0.25">
      <c r="B324" s="5">
        <f t="shared" si="63"/>
        <v>318</v>
      </c>
      <c r="C324" s="5" t="e">
        <f t="shared" ca="1" si="76"/>
        <v>#N/A</v>
      </c>
      <c r="D324" s="5" t="e">
        <f ca="1">INDEX(cards[Attribute Index],MATCH('Group code'!C324,cards[object_id order],0))</f>
        <v>#N/A</v>
      </c>
      <c r="E324" s="5" t="e">
        <f t="shared" ca="1" si="64"/>
        <v>#N/A</v>
      </c>
      <c r="F324" s="14" t="e">
        <f ca="1">INDEX(cards[Entities count],MATCH('Group code'!C324,cards[object_id order],0))</f>
        <v>#N/A</v>
      </c>
      <c r="G324" s="14" t="e">
        <f t="shared" ca="1" si="66"/>
        <v>#N/A</v>
      </c>
      <c r="H324" s="14" t="e">
        <f t="shared" ca="1" si="67"/>
        <v>#N/A</v>
      </c>
      <c r="I324" s="5" t="e">
        <f t="shared" ca="1" si="68"/>
        <v>#N/A</v>
      </c>
      <c r="J324" s="5" t="e">
        <f t="shared" ca="1" si="65"/>
        <v>#N/A</v>
      </c>
      <c r="K324" s="5" t="e">
        <f t="shared" ca="1" si="69"/>
        <v>#N/A</v>
      </c>
      <c r="L324" s="5" t="e">
        <f t="shared" ca="1" si="70"/>
        <v>#N/A</v>
      </c>
      <c r="M324" s="5" t="e">
        <f t="shared" ca="1" si="71"/>
        <v>#N/A</v>
      </c>
      <c r="N324" s="5" t="e">
        <f t="shared" ca="1" si="72"/>
        <v>#N/A</v>
      </c>
      <c r="O324" s="5" t="e">
        <f t="shared" ca="1" si="73"/>
        <v>#N/A</v>
      </c>
      <c r="P324" s="5" t="e">
        <f ca="1">VLOOKUP(G324,'Group code'!$Z$9:$AC$13,3,FALSE)</f>
        <v>#N/A</v>
      </c>
      <c r="Q324" s="5" t="e">
        <f t="shared" ca="1" si="74"/>
        <v>#N/A</v>
      </c>
      <c r="R324" s="5" t="e">
        <f ca="1">IF(G324=0,INDEX(cards[object_id],MATCH($C324,cards[object_id order],0)),"")</f>
        <v>#N/A</v>
      </c>
      <c r="S324" s="5" t="e">
        <f ca="1">IF(G324=1,INDEX(cards[[name]:[control]],MATCH($C324,cards[object_id order],0),'Group code'!J324),"")</f>
        <v>#N/A</v>
      </c>
      <c r="T324" s="5" t="e">
        <f ca="1">IF(G324=3,INDEX(cards[[1]:[25]],MATCH($C324,cards[object_id order],0),'Group code'!I324),"")</f>
        <v>#N/A</v>
      </c>
      <c r="U324" s="5" t="e">
        <f ca="1">VLOOKUP(G324,'Group code'!$Z$9:$AC$13,4,FALSE)</f>
        <v>#N/A</v>
      </c>
      <c r="V324" s="5" t="e">
        <f ca="1">IF(J324="","",VLOOKUP(J324,'Group code'!$Z$15:$AC$18,4,FALSE))</f>
        <v>#N/A</v>
      </c>
      <c r="W324" s="23" t="str">
        <f t="shared" ca="1" si="75"/>
        <v/>
      </c>
      <c r="X324" s="5" t="str">
        <f t="shared" ca="1" si="77"/>
        <v/>
      </c>
    </row>
    <row r="325" spans="2:24" x14ac:dyDescent="0.25">
      <c r="B325" s="5">
        <f t="shared" si="63"/>
        <v>319</v>
      </c>
      <c r="C325" s="5" t="e">
        <f t="shared" ca="1" si="76"/>
        <v>#N/A</v>
      </c>
      <c r="D325" s="5" t="e">
        <f ca="1">INDEX(cards[Attribute Index],MATCH('Group code'!C325,cards[object_id order],0))</f>
        <v>#N/A</v>
      </c>
      <c r="E325" s="5" t="e">
        <f t="shared" ca="1" si="64"/>
        <v>#N/A</v>
      </c>
      <c r="F325" s="14" t="e">
        <f ca="1">INDEX(cards[Entities count],MATCH('Group code'!C325,cards[object_id order],0))</f>
        <v>#N/A</v>
      </c>
      <c r="G325" s="14" t="e">
        <f t="shared" ca="1" si="66"/>
        <v>#N/A</v>
      </c>
      <c r="H325" s="14" t="e">
        <f t="shared" ca="1" si="67"/>
        <v>#N/A</v>
      </c>
      <c r="I325" s="5" t="e">
        <f t="shared" ca="1" si="68"/>
        <v>#N/A</v>
      </c>
      <c r="J325" s="5" t="e">
        <f t="shared" ca="1" si="65"/>
        <v>#N/A</v>
      </c>
      <c r="K325" s="5" t="e">
        <f t="shared" ca="1" si="69"/>
        <v>#N/A</v>
      </c>
      <c r="L325" s="5" t="e">
        <f t="shared" ca="1" si="70"/>
        <v>#N/A</v>
      </c>
      <c r="M325" s="5" t="e">
        <f t="shared" ca="1" si="71"/>
        <v>#N/A</v>
      </c>
      <c r="N325" s="5" t="e">
        <f t="shared" ca="1" si="72"/>
        <v>#N/A</v>
      </c>
      <c r="O325" s="5" t="e">
        <f t="shared" ca="1" si="73"/>
        <v>#N/A</v>
      </c>
      <c r="P325" s="5" t="e">
        <f ca="1">VLOOKUP(G325,'Group code'!$Z$9:$AC$13,3,FALSE)</f>
        <v>#N/A</v>
      </c>
      <c r="Q325" s="5" t="e">
        <f t="shared" ca="1" si="74"/>
        <v>#N/A</v>
      </c>
      <c r="R325" s="5" t="e">
        <f ca="1">IF(G325=0,INDEX(cards[object_id],MATCH($C325,cards[object_id order],0)),"")</f>
        <v>#N/A</v>
      </c>
      <c r="S325" s="5" t="e">
        <f ca="1">IF(G325=1,INDEX(cards[[name]:[control]],MATCH($C325,cards[object_id order],0),'Group code'!J325),"")</f>
        <v>#N/A</v>
      </c>
      <c r="T325" s="5" t="e">
        <f ca="1">IF(G325=3,INDEX(cards[[1]:[25]],MATCH($C325,cards[object_id order],0),'Group code'!I325),"")</f>
        <v>#N/A</v>
      </c>
      <c r="U325" s="5" t="e">
        <f ca="1">VLOOKUP(G325,'Group code'!$Z$9:$AC$13,4,FALSE)</f>
        <v>#N/A</v>
      </c>
      <c r="V325" s="5" t="e">
        <f ca="1">IF(J325="","",VLOOKUP(J325,'Group code'!$Z$15:$AC$18,4,FALSE))</f>
        <v>#N/A</v>
      </c>
      <c r="W325" s="23" t="str">
        <f t="shared" ca="1" si="75"/>
        <v/>
      </c>
      <c r="X325" s="5" t="str">
        <f t="shared" ca="1" si="77"/>
        <v/>
      </c>
    </row>
    <row r="326" spans="2:24" x14ac:dyDescent="0.25">
      <c r="B326" s="5">
        <f t="shared" si="63"/>
        <v>320</v>
      </c>
      <c r="C326" s="5" t="e">
        <f t="shared" ca="1" si="76"/>
        <v>#N/A</v>
      </c>
      <c r="D326" s="5" t="e">
        <f ca="1">INDEX(cards[Attribute Index],MATCH('Group code'!C326,cards[object_id order],0))</f>
        <v>#N/A</v>
      </c>
      <c r="E326" s="5" t="e">
        <f t="shared" ca="1" si="64"/>
        <v>#N/A</v>
      </c>
      <c r="F326" s="14" t="e">
        <f ca="1">INDEX(cards[Entities count],MATCH('Group code'!C326,cards[object_id order],0))</f>
        <v>#N/A</v>
      </c>
      <c r="G326" s="14" t="e">
        <f t="shared" ca="1" si="66"/>
        <v>#N/A</v>
      </c>
      <c r="H326" s="14" t="e">
        <f t="shared" ca="1" si="67"/>
        <v>#N/A</v>
      </c>
      <c r="I326" s="5" t="e">
        <f t="shared" ca="1" si="68"/>
        <v>#N/A</v>
      </c>
      <c r="J326" s="5" t="e">
        <f t="shared" ca="1" si="65"/>
        <v>#N/A</v>
      </c>
      <c r="K326" s="5" t="e">
        <f t="shared" ca="1" si="69"/>
        <v>#N/A</v>
      </c>
      <c r="L326" s="5" t="e">
        <f t="shared" ca="1" si="70"/>
        <v>#N/A</v>
      </c>
      <c r="M326" s="5" t="e">
        <f t="shared" ca="1" si="71"/>
        <v>#N/A</v>
      </c>
      <c r="N326" s="5" t="e">
        <f t="shared" ca="1" si="72"/>
        <v>#N/A</v>
      </c>
      <c r="O326" s="5" t="e">
        <f t="shared" ca="1" si="73"/>
        <v>#N/A</v>
      </c>
      <c r="P326" s="5" t="e">
        <f ca="1">VLOOKUP(G326,'Group code'!$Z$9:$AC$13,3,FALSE)</f>
        <v>#N/A</v>
      </c>
      <c r="Q326" s="5" t="e">
        <f t="shared" ca="1" si="74"/>
        <v>#N/A</v>
      </c>
      <c r="R326" s="5" t="e">
        <f ca="1">IF(G326=0,INDEX(cards[object_id],MATCH($C326,cards[object_id order],0)),"")</f>
        <v>#N/A</v>
      </c>
      <c r="S326" s="5" t="e">
        <f ca="1">IF(G326=1,INDEX(cards[[name]:[control]],MATCH($C326,cards[object_id order],0),'Group code'!J326),"")</f>
        <v>#N/A</v>
      </c>
      <c r="T326" s="5" t="e">
        <f ca="1">IF(G326=3,INDEX(cards[[1]:[25]],MATCH($C326,cards[object_id order],0),'Group code'!I326),"")</f>
        <v>#N/A</v>
      </c>
      <c r="U326" s="5" t="e">
        <f ca="1">VLOOKUP(G326,'Group code'!$Z$9:$AC$13,4,FALSE)</f>
        <v>#N/A</v>
      </c>
      <c r="V326" s="5" t="e">
        <f ca="1">IF(J326="","",VLOOKUP(J326,'Group code'!$Z$15:$AC$18,4,FALSE))</f>
        <v>#N/A</v>
      </c>
      <c r="W326" s="23" t="str">
        <f t="shared" ca="1" si="75"/>
        <v/>
      </c>
      <c r="X326" s="5" t="str">
        <f t="shared" ca="1" si="77"/>
        <v/>
      </c>
    </row>
    <row r="327" spans="2:24" x14ac:dyDescent="0.25">
      <c r="B327" s="5">
        <f t="shared" si="63"/>
        <v>321</v>
      </c>
      <c r="C327" s="5" t="e">
        <f t="shared" ca="1" si="76"/>
        <v>#N/A</v>
      </c>
      <c r="D327" s="5" t="e">
        <f ca="1">INDEX(cards[Attribute Index],MATCH('Group code'!C327,cards[object_id order],0))</f>
        <v>#N/A</v>
      </c>
      <c r="E327" s="5" t="e">
        <f t="shared" ca="1" si="64"/>
        <v>#N/A</v>
      </c>
      <c r="F327" s="14" t="e">
        <f ca="1">INDEX(cards[Entities count],MATCH('Group code'!C327,cards[object_id order],0))</f>
        <v>#N/A</v>
      </c>
      <c r="G327" s="14" t="e">
        <f t="shared" ca="1" si="66"/>
        <v>#N/A</v>
      </c>
      <c r="H327" s="14" t="e">
        <f t="shared" ca="1" si="67"/>
        <v>#N/A</v>
      </c>
      <c r="I327" s="5" t="e">
        <f t="shared" ca="1" si="68"/>
        <v>#N/A</v>
      </c>
      <c r="J327" s="5" t="e">
        <f t="shared" ca="1" si="65"/>
        <v>#N/A</v>
      </c>
      <c r="K327" s="5" t="e">
        <f t="shared" ca="1" si="69"/>
        <v>#N/A</v>
      </c>
      <c r="L327" s="5" t="e">
        <f t="shared" ca="1" si="70"/>
        <v>#N/A</v>
      </c>
      <c r="M327" s="5" t="e">
        <f t="shared" ca="1" si="71"/>
        <v>#N/A</v>
      </c>
      <c r="N327" s="5" t="e">
        <f t="shared" ca="1" si="72"/>
        <v>#N/A</v>
      </c>
      <c r="O327" s="5" t="e">
        <f t="shared" ca="1" si="73"/>
        <v>#N/A</v>
      </c>
      <c r="P327" s="5" t="e">
        <f ca="1">VLOOKUP(G327,'Group code'!$Z$9:$AC$13,3,FALSE)</f>
        <v>#N/A</v>
      </c>
      <c r="Q327" s="5" t="e">
        <f t="shared" ca="1" si="74"/>
        <v>#N/A</v>
      </c>
      <c r="R327" s="5" t="e">
        <f ca="1">IF(G327=0,INDEX(cards[object_id],MATCH($C327,cards[object_id order],0)),"")</f>
        <v>#N/A</v>
      </c>
      <c r="S327" s="5" t="e">
        <f ca="1">IF(G327=1,INDEX(cards[[name]:[control]],MATCH($C327,cards[object_id order],0),'Group code'!J327),"")</f>
        <v>#N/A</v>
      </c>
      <c r="T327" s="5" t="e">
        <f ca="1">IF(G327=3,INDEX(cards[[1]:[25]],MATCH($C327,cards[object_id order],0),'Group code'!I327),"")</f>
        <v>#N/A</v>
      </c>
      <c r="U327" s="5" t="e">
        <f ca="1">VLOOKUP(G327,'Group code'!$Z$9:$AC$13,4,FALSE)</f>
        <v>#N/A</v>
      </c>
      <c r="V327" s="5" t="e">
        <f ca="1">IF(J327="","",VLOOKUP(J327,'Group code'!$Z$15:$AC$18,4,FALSE))</f>
        <v>#N/A</v>
      </c>
      <c r="W327" s="23" t="str">
        <f t="shared" ca="1" si="75"/>
        <v/>
      </c>
      <c r="X327" s="5" t="str">
        <f t="shared" ca="1" si="77"/>
        <v/>
      </c>
    </row>
    <row r="328" spans="2:24" x14ac:dyDescent="0.25">
      <c r="B328" s="5">
        <f t="shared" si="63"/>
        <v>322</v>
      </c>
      <c r="C328" s="5" t="e">
        <f t="shared" ca="1" si="76"/>
        <v>#N/A</v>
      </c>
      <c r="D328" s="5" t="e">
        <f ca="1">INDEX(cards[Attribute Index],MATCH('Group code'!C328,cards[object_id order],0))</f>
        <v>#N/A</v>
      </c>
      <c r="E328" s="5" t="e">
        <f t="shared" ca="1" si="64"/>
        <v>#N/A</v>
      </c>
      <c r="F328" s="14" t="e">
        <f ca="1">INDEX(cards[Entities count],MATCH('Group code'!C328,cards[object_id order],0))</f>
        <v>#N/A</v>
      </c>
      <c r="G328" s="14" t="e">
        <f t="shared" ca="1" si="66"/>
        <v>#N/A</v>
      </c>
      <c r="H328" s="14" t="e">
        <f t="shared" ca="1" si="67"/>
        <v>#N/A</v>
      </c>
      <c r="I328" s="5" t="e">
        <f t="shared" ca="1" si="68"/>
        <v>#N/A</v>
      </c>
      <c r="J328" s="5" t="e">
        <f t="shared" ca="1" si="65"/>
        <v>#N/A</v>
      </c>
      <c r="K328" s="5" t="e">
        <f t="shared" ca="1" si="69"/>
        <v>#N/A</v>
      </c>
      <c r="L328" s="5" t="e">
        <f t="shared" ca="1" si="70"/>
        <v>#N/A</v>
      </c>
      <c r="M328" s="5" t="e">
        <f t="shared" ca="1" si="71"/>
        <v>#N/A</v>
      </c>
      <c r="N328" s="5" t="e">
        <f t="shared" ca="1" si="72"/>
        <v>#N/A</v>
      </c>
      <c r="O328" s="5" t="e">
        <f t="shared" ca="1" si="73"/>
        <v>#N/A</v>
      </c>
      <c r="P328" s="5" t="e">
        <f ca="1">VLOOKUP(G328,'Group code'!$Z$9:$AC$13,3,FALSE)</f>
        <v>#N/A</v>
      </c>
      <c r="Q328" s="5" t="e">
        <f t="shared" ca="1" si="74"/>
        <v>#N/A</v>
      </c>
      <c r="R328" s="5" t="e">
        <f ca="1">IF(G328=0,INDEX(cards[object_id],MATCH($C328,cards[object_id order],0)),"")</f>
        <v>#N/A</v>
      </c>
      <c r="S328" s="5" t="e">
        <f ca="1">IF(G328=1,INDEX(cards[[name]:[control]],MATCH($C328,cards[object_id order],0),'Group code'!J328),"")</f>
        <v>#N/A</v>
      </c>
      <c r="T328" s="5" t="e">
        <f ca="1">IF(G328=3,INDEX(cards[[1]:[25]],MATCH($C328,cards[object_id order],0),'Group code'!I328),"")</f>
        <v>#N/A</v>
      </c>
      <c r="U328" s="5" t="e">
        <f ca="1">VLOOKUP(G328,'Group code'!$Z$9:$AC$13,4,FALSE)</f>
        <v>#N/A</v>
      </c>
      <c r="V328" s="5" t="e">
        <f ca="1">IF(J328="","",VLOOKUP(J328,'Group code'!$Z$15:$AC$18,4,FALSE))</f>
        <v>#N/A</v>
      </c>
      <c r="W328" s="23" t="str">
        <f t="shared" ca="1" si="75"/>
        <v/>
      </c>
      <c r="X328" s="5" t="str">
        <f t="shared" ca="1" si="77"/>
        <v/>
      </c>
    </row>
    <row r="329" spans="2:24" x14ac:dyDescent="0.25">
      <c r="B329" s="5">
        <f t="shared" ref="B329:B392" si="78">B328+1</f>
        <v>323</v>
      </c>
      <c r="C329" s="5" t="e">
        <f t="shared" ca="1" si="76"/>
        <v>#N/A</v>
      </c>
      <c r="D329" s="5" t="e">
        <f ca="1">INDEX(cards[Attribute Index],MATCH('Group code'!C329,cards[object_id order],0))</f>
        <v>#N/A</v>
      </c>
      <c r="E329" s="5" t="e">
        <f t="shared" ref="E329:E392" ca="1" si="79">LEN(D329)</f>
        <v>#N/A</v>
      </c>
      <c r="F329" s="14" t="e">
        <f ca="1">INDEX(cards[Entities count],MATCH('Group code'!C329,cards[object_id order],0))</f>
        <v>#N/A</v>
      </c>
      <c r="G329" s="14" t="e">
        <f t="shared" ca="1" si="66"/>
        <v>#N/A</v>
      </c>
      <c r="H329" s="14" t="e">
        <f t="shared" ca="1" si="67"/>
        <v>#N/A</v>
      </c>
      <c r="I329" s="5" t="e">
        <f t="shared" ca="1" si="68"/>
        <v>#N/A</v>
      </c>
      <c r="J329" s="5" t="e">
        <f t="shared" ref="J329:J392" ca="1" si="80">IF(H329="","",VALUE(MID(D329,H329,1)))</f>
        <v>#N/A</v>
      </c>
      <c r="K329" s="5" t="e">
        <f t="shared" ca="1" si="69"/>
        <v>#N/A</v>
      </c>
      <c r="L329" s="5" t="e">
        <f t="shared" ca="1" si="70"/>
        <v>#N/A</v>
      </c>
      <c r="M329" s="5" t="e">
        <f t="shared" ca="1" si="71"/>
        <v>#N/A</v>
      </c>
      <c r="N329" s="5" t="e">
        <f t="shared" ca="1" si="72"/>
        <v>#N/A</v>
      </c>
      <c r="O329" s="5" t="e">
        <f t="shared" ca="1" si="73"/>
        <v>#N/A</v>
      </c>
      <c r="P329" s="5" t="e">
        <f ca="1">VLOOKUP(G329,'Group code'!$Z$9:$AC$13,3,FALSE)</f>
        <v>#N/A</v>
      </c>
      <c r="Q329" s="5" t="e">
        <f t="shared" ca="1" si="74"/>
        <v>#N/A</v>
      </c>
      <c r="R329" s="5" t="e">
        <f ca="1">IF(G329=0,INDEX(cards[object_id],MATCH($C329,cards[object_id order],0)),"")</f>
        <v>#N/A</v>
      </c>
      <c r="S329" s="5" t="e">
        <f ca="1">IF(G329=1,INDEX(cards[[name]:[control]],MATCH($C329,cards[object_id order],0),'Group code'!J329),"")</f>
        <v>#N/A</v>
      </c>
      <c r="T329" s="5" t="e">
        <f ca="1">IF(G329=3,INDEX(cards[[1]:[25]],MATCH($C329,cards[object_id order],0),'Group code'!I329),"")</f>
        <v>#N/A</v>
      </c>
      <c r="U329" s="5" t="e">
        <f ca="1">VLOOKUP(G329,'Group code'!$Z$9:$AC$13,4,FALSE)</f>
        <v>#N/A</v>
      </c>
      <c r="V329" s="5" t="e">
        <f ca="1">IF(J329="","",VLOOKUP(J329,'Group code'!$Z$15:$AC$18,4,FALSE))</f>
        <v>#N/A</v>
      </c>
      <c r="W329" s="23" t="str">
        <f t="shared" ca="1" si="75"/>
        <v/>
      </c>
      <c r="X329" s="5" t="str">
        <f t="shared" ca="1" si="77"/>
        <v/>
      </c>
    </row>
    <row r="330" spans="2:24" x14ac:dyDescent="0.25">
      <c r="B330" s="5">
        <f t="shared" si="78"/>
        <v>324</v>
      </c>
      <c r="C330" s="5" t="e">
        <f t="shared" ca="1" si="76"/>
        <v>#N/A</v>
      </c>
      <c r="D330" s="5" t="e">
        <f ca="1">INDEX(cards[Attribute Index],MATCH('Group code'!C330,cards[object_id order],0))</f>
        <v>#N/A</v>
      </c>
      <c r="E330" s="5" t="e">
        <f t="shared" ca="1" si="79"/>
        <v>#N/A</v>
      </c>
      <c r="F330" s="14" t="e">
        <f ca="1">INDEX(cards[Entities count],MATCH('Group code'!C330,cards[object_id order],0))</f>
        <v>#N/A</v>
      </c>
      <c r="G330" s="14" t="e">
        <f t="shared" ref="G330:G393" ca="1" si="81">G329+SUM(K329:O329)</f>
        <v>#N/A</v>
      </c>
      <c r="H330" s="14" t="e">
        <f t="shared" ref="H330:H393" ca="1" si="82">IF(AND(G329=0,D329&lt;&gt;""),1,IF(G330=1,H329+1,""))</f>
        <v>#N/A</v>
      </c>
      <c r="I330" s="5" t="e">
        <f t="shared" ref="I330:I393" ca="1" si="83">IF(G329=2,1,IF(G330=3,I329+1,""))</f>
        <v>#N/A</v>
      </c>
      <c r="J330" s="5" t="e">
        <f t="shared" ca="1" si="80"/>
        <v>#N/A</v>
      </c>
      <c r="K330" s="5" t="e">
        <f t="shared" ref="K330:K393" ca="1" si="84">IF(G330=0,
IF(D330&lt;&gt;"",1,2),
"")</f>
        <v>#N/A</v>
      </c>
      <c r="L330" s="5" t="e">
        <f t="shared" ref="L330:L393" ca="1" si="85">IF(G330=1,
IF(E330=H330,1,0),
"")</f>
        <v>#N/A</v>
      </c>
      <c r="M330" s="5" t="e">
        <f t="shared" ref="M330:M393" ca="1" si="86">IF(G330=2,
1,
"")</f>
        <v>#N/A</v>
      </c>
      <c r="N330" s="5" t="e">
        <f t="shared" ref="N330:N393" ca="1" si="87">IF(G330=3,
IF(F330=I330,1,0),
"")</f>
        <v>#N/A</v>
      </c>
      <c r="O330" s="5" t="e">
        <f t="shared" ref="O330:O393" ca="1" si="88">IF(G330=4,
-4,
"")</f>
        <v>#N/A</v>
      </c>
      <c r="P330" s="5" t="e">
        <f ca="1">VLOOKUP(G330,'Group code'!$Z$9:$AC$13,3,FALSE)</f>
        <v>#N/A</v>
      </c>
      <c r="Q330" s="5" t="e">
        <f t="shared" ref="Q330:Q393" ca="1" si="89">IF(J330="","",VLOOKUP(J330,$Z$15:$AC$18,3,FALSE))</f>
        <v>#N/A</v>
      </c>
      <c r="R330" s="5" t="e">
        <f ca="1">IF(G330=0,INDEX(cards[object_id],MATCH($C330,cards[object_id order],0)),"")</f>
        <v>#N/A</v>
      </c>
      <c r="S330" s="5" t="e">
        <f ca="1">IF(G330=1,INDEX(cards[[name]:[control]],MATCH($C330,cards[object_id order],0),'Group code'!J330),"")</f>
        <v>#N/A</v>
      </c>
      <c r="T330" s="5" t="e">
        <f ca="1">IF(G330=3,INDEX(cards[[1]:[25]],MATCH($C330,cards[object_id order],0),'Group code'!I330),"")</f>
        <v>#N/A</v>
      </c>
      <c r="U330" s="5" t="e">
        <f ca="1">VLOOKUP(G330,'Group code'!$Z$9:$AC$13,4,FALSE)</f>
        <v>#N/A</v>
      </c>
      <c r="V330" s="5" t="e">
        <f ca="1">IF(J330="","",VLOOKUP(J330,'Group code'!$Z$15:$AC$18,4,FALSE))</f>
        <v>#N/A</v>
      </c>
      <c r="W330" s="23" t="str">
        <f t="shared" ref="W330:W393" ca="1" si="90">_xlfn.IFNA(  CONCATENATE(P330,Q330,R330,S330,T330,U330,V330),  "")</f>
        <v/>
      </c>
      <c r="X330" s="5" t="str">
        <f t="shared" ca="1" si="77"/>
        <v/>
      </c>
    </row>
    <row r="331" spans="2:24" x14ac:dyDescent="0.25">
      <c r="B331" s="5">
        <f t="shared" si="78"/>
        <v>325</v>
      </c>
      <c r="C331" s="5" t="e">
        <f t="shared" ref="C331:C394" ca="1" si="91">IF(G330=4,C330+1,C330)</f>
        <v>#N/A</v>
      </c>
      <c r="D331" s="5" t="e">
        <f ca="1">INDEX(cards[Attribute Index],MATCH('Group code'!C331,cards[object_id order],0))</f>
        <v>#N/A</v>
      </c>
      <c r="E331" s="5" t="e">
        <f t="shared" ca="1" si="79"/>
        <v>#N/A</v>
      </c>
      <c r="F331" s="14" t="e">
        <f ca="1">INDEX(cards[Entities count],MATCH('Group code'!C331,cards[object_id order],0))</f>
        <v>#N/A</v>
      </c>
      <c r="G331" s="14" t="e">
        <f t="shared" ca="1" si="81"/>
        <v>#N/A</v>
      </c>
      <c r="H331" s="14" t="e">
        <f t="shared" ca="1" si="82"/>
        <v>#N/A</v>
      </c>
      <c r="I331" s="5" t="e">
        <f t="shared" ca="1" si="83"/>
        <v>#N/A</v>
      </c>
      <c r="J331" s="5" t="e">
        <f t="shared" ca="1" si="80"/>
        <v>#N/A</v>
      </c>
      <c r="K331" s="5" t="e">
        <f t="shared" ca="1" si="84"/>
        <v>#N/A</v>
      </c>
      <c r="L331" s="5" t="e">
        <f t="shared" ca="1" si="85"/>
        <v>#N/A</v>
      </c>
      <c r="M331" s="5" t="e">
        <f t="shared" ca="1" si="86"/>
        <v>#N/A</v>
      </c>
      <c r="N331" s="5" t="e">
        <f t="shared" ca="1" si="87"/>
        <v>#N/A</v>
      </c>
      <c r="O331" s="5" t="e">
        <f t="shared" ca="1" si="88"/>
        <v>#N/A</v>
      </c>
      <c r="P331" s="5" t="e">
        <f ca="1">VLOOKUP(G331,'Group code'!$Z$9:$AC$13,3,FALSE)</f>
        <v>#N/A</v>
      </c>
      <c r="Q331" s="5" t="e">
        <f t="shared" ca="1" si="89"/>
        <v>#N/A</v>
      </c>
      <c r="R331" s="5" t="e">
        <f ca="1">IF(G331=0,INDEX(cards[object_id],MATCH($C331,cards[object_id order],0)),"")</f>
        <v>#N/A</v>
      </c>
      <c r="S331" s="5" t="e">
        <f ca="1">IF(G331=1,INDEX(cards[[name]:[control]],MATCH($C331,cards[object_id order],0),'Group code'!J331),"")</f>
        <v>#N/A</v>
      </c>
      <c r="T331" s="5" t="e">
        <f ca="1">IF(G331=3,INDEX(cards[[1]:[25]],MATCH($C331,cards[object_id order],0),'Group code'!I331),"")</f>
        <v>#N/A</v>
      </c>
      <c r="U331" s="5" t="e">
        <f ca="1">VLOOKUP(G331,'Group code'!$Z$9:$AC$13,4,FALSE)</f>
        <v>#N/A</v>
      </c>
      <c r="V331" s="5" t="e">
        <f ca="1">IF(J331="","",VLOOKUP(J331,'Group code'!$Z$15:$AC$18,4,FALSE))</f>
        <v>#N/A</v>
      </c>
      <c r="W331" s="23" t="str">
        <f t="shared" ca="1" si="90"/>
        <v/>
      </c>
      <c r="X331" s="5" t="str">
        <f t="shared" ca="1" si="77"/>
        <v/>
      </c>
    </row>
    <row r="332" spans="2:24" x14ac:dyDescent="0.25">
      <c r="B332" s="5">
        <f t="shared" si="78"/>
        <v>326</v>
      </c>
      <c r="C332" s="5" t="e">
        <f t="shared" ca="1" si="91"/>
        <v>#N/A</v>
      </c>
      <c r="D332" s="5" t="e">
        <f ca="1">INDEX(cards[Attribute Index],MATCH('Group code'!C332,cards[object_id order],0))</f>
        <v>#N/A</v>
      </c>
      <c r="E332" s="5" t="e">
        <f t="shared" ca="1" si="79"/>
        <v>#N/A</v>
      </c>
      <c r="F332" s="14" t="e">
        <f ca="1">INDEX(cards[Entities count],MATCH('Group code'!C332,cards[object_id order],0))</f>
        <v>#N/A</v>
      </c>
      <c r="G332" s="14" t="e">
        <f t="shared" ca="1" si="81"/>
        <v>#N/A</v>
      </c>
      <c r="H332" s="14" t="e">
        <f t="shared" ca="1" si="82"/>
        <v>#N/A</v>
      </c>
      <c r="I332" s="5" t="e">
        <f t="shared" ca="1" si="83"/>
        <v>#N/A</v>
      </c>
      <c r="J332" s="5" t="e">
        <f t="shared" ca="1" si="80"/>
        <v>#N/A</v>
      </c>
      <c r="K332" s="5" t="e">
        <f t="shared" ca="1" si="84"/>
        <v>#N/A</v>
      </c>
      <c r="L332" s="5" t="e">
        <f t="shared" ca="1" si="85"/>
        <v>#N/A</v>
      </c>
      <c r="M332" s="5" t="e">
        <f t="shared" ca="1" si="86"/>
        <v>#N/A</v>
      </c>
      <c r="N332" s="5" t="e">
        <f t="shared" ca="1" si="87"/>
        <v>#N/A</v>
      </c>
      <c r="O332" s="5" t="e">
        <f t="shared" ca="1" si="88"/>
        <v>#N/A</v>
      </c>
      <c r="P332" s="5" t="e">
        <f ca="1">VLOOKUP(G332,'Group code'!$Z$9:$AC$13,3,FALSE)</f>
        <v>#N/A</v>
      </c>
      <c r="Q332" s="5" t="e">
        <f t="shared" ca="1" si="89"/>
        <v>#N/A</v>
      </c>
      <c r="R332" s="5" t="e">
        <f ca="1">IF(G332=0,INDEX(cards[object_id],MATCH($C332,cards[object_id order],0)),"")</f>
        <v>#N/A</v>
      </c>
      <c r="S332" s="5" t="e">
        <f ca="1">IF(G332=1,INDEX(cards[[name]:[control]],MATCH($C332,cards[object_id order],0),'Group code'!J332),"")</f>
        <v>#N/A</v>
      </c>
      <c r="T332" s="5" t="e">
        <f ca="1">IF(G332=3,INDEX(cards[[1]:[25]],MATCH($C332,cards[object_id order],0),'Group code'!I332),"")</f>
        <v>#N/A</v>
      </c>
      <c r="U332" s="5" t="e">
        <f ca="1">VLOOKUP(G332,'Group code'!$Z$9:$AC$13,4,FALSE)</f>
        <v>#N/A</v>
      </c>
      <c r="V332" s="5" t="e">
        <f ca="1">IF(J332="","",VLOOKUP(J332,'Group code'!$Z$15:$AC$18,4,FALSE))</f>
        <v>#N/A</v>
      </c>
      <c r="W332" s="23" t="str">
        <f t="shared" ca="1" si="90"/>
        <v/>
      </c>
      <c r="X332" s="5" t="str">
        <f t="shared" ca="1" si="77"/>
        <v/>
      </c>
    </row>
    <row r="333" spans="2:24" x14ac:dyDescent="0.25">
      <c r="B333" s="5">
        <f t="shared" si="78"/>
        <v>327</v>
      </c>
      <c r="C333" s="5" t="e">
        <f t="shared" ca="1" si="91"/>
        <v>#N/A</v>
      </c>
      <c r="D333" s="5" t="e">
        <f ca="1">INDEX(cards[Attribute Index],MATCH('Group code'!C333,cards[object_id order],0))</f>
        <v>#N/A</v>
      </c>
      <c r="E333" s="5" t="e">
        <f t="shared" ca="1" si="79"/>
        <v>#N/A</v>
      </c>
      <c r="F333" s="14" t="e">
        <f ca="1">INDEX(cards[Entities count],MATCH('Group code'!C333,cards[object_id order],0))</f>
        <v>#N/A</v>
      </c>
      <c r="G333" s="14" t="e">
        <f t="shared" ca="1" si="81"/>
        <v>#N/A</v>
      </c>
      <c r="H333" s="14" t="e">
        <f t="shared" ca="1" si="82"/>
        <v>#N/A</v>
      </c>
      <c r="I333" s="5" t="e">
        <f t="shared" ca="1" si="83"/>
        <v>#N/A</v>
      </c>
      <c r="J333" s="5" t="e">
        <f t="shared" ca="1" si="80"/>
        <v>#N/A</v>
      </c>
      <c r="K333" s="5" t="e">
        <f t="shared" ca="1" si="84"/>
        <v>#N/A</v>
      </c>
      <c r="L333" s="5" t="e">
        <f t="shared" ca="1" si="85"/>
        <v>#N/A</v>
      </c>
      <c r="M333" s="5" t="e">
        <f t="shared" ca="1" si="86"/>
        <v>#N/A</v>
      </c>
      <c r="N333" s="5" t="e">
        <f t="shared" ca="1" si="87"/>
        <v>#N/A</v>
      </c>
      <c r="O333" s="5" t="e">
        <f t="shared" ca="1" si="88"/>
        <v>#N/A</v>
      </c>
      <c r="P333" s="5" t="e">
        <f ca="1">VLOOKUP(G333,'Group code'!$Z$9:$AC$13,3,FALSE)</f>
        <v>#N/A</v>
      </c>
      <c r="Q333" s="5" t="e">
        <f t="shared" ca="1" si="89"/>
        <v>#N/A</v>
      </c>
      <c r="R333" s="5" t="e">
        <f ca="1">IF(G333=0,INDEX(cards[object_id],MATCH($C333,cards[object_id order],0)),"")</f>
        <v>#N/A</v>
      </c>
      <c r="S333" s="5" t="e">
        <f ca="1">IF(G333=1,INDEX(cards[[name]:[control]],MATCH($C333,cards[object_id order],0),'Group code'!J333),"")</f>
        <v>#N/A</v>
      </c>
      <c r="T333" s="5" t="e">
        <f ca="1">IF(G333=3,INDEX(cards[[1]:[25]],MATCH($C333,cards[object_id order],0),'Group code'!I333),"")</f>
        <v>#N/A</v>
      </c>
      <c r="U333" s="5" t="e">
        <f ca="1">VLOOKUP(G333,'Group code'!$Z$9:$AC$13,4,FALSE)</f>
        <v>#N/A</v>
      </c>
      <c r="V333" s="5" t="e">
        <f ca="1">IF(J333="","",VLOOKUP(J333,'Group code'!$Z$15:$AC$18,4,FALSE))</f>
        <v>#N/A</v>
      </c>
      <c r="W333" s="23" t="str">
        <f t="shared" ca="1" si="90"/>
        <v/>
      </c>
      <c r="X333" s="5" t="str">
        <f t="shared" ca="1" si="77"/>
        <v/>
      </c>
    </row>
    <row r="334" spans="2:24" x14ac:dyDescent="0.25">
      <c r="B334" s="5">
        <f t="shared" si="78"/>
        <v>328</v>
      </c>
      <c r="C334" s="5" t="e">
        <f t="shared" ca="1" si="91"/>
        <v>#N/A</v>
      </c>
      <c r="D334" s="5" t="e">
        <f ca="1">INDEX(cards[Attribute Index],MATCH('Group code'!C334,cards[object_id order],0))</f>
        <v>#N/A</v>
      </c>
      <c r="E334" s="5" t="e">
        <f t="shared" ca="1" si="79"/>
        <v>#N/A</v>
      </c>
      <c r="F334" s="14" t="e">
        <f ca="1">INDEX(cards[Entities count],MATCH('Group code'!C334,cards[object_id order],0))</f>
        <v>#N/A</v>
      </c>
      <c r="G334" s="14" t="e">
        <f t="shared" ca="1" si="81"/>
        <v>#N/A</v>
      </c>
      <c r="H334" s="14" t="e">
        <f t="shared" ca="1" si="82"/>
        <v>#N/A</v>
      </c>
      <c r="I334" s="5" t="e">
        <f t="shared" ca="1" si="83"/>
        <v>#N/A</v>
      </c>
      <c r="J334" s="5" t="e">
        <f t="shared" ca="1" si="80"/>
        <v>#N/A</v>
      </c>
      <c r="K334" s="5" t="e">
        <f t="shared" ca="1" si="84"/>
        <v>#N/A</v>
      </c>
      <c r="L334" s="5" t="e">
        <f t="shared" ca="1" si="85"/>
        <v>#N/A</v>
      </c>
      <c r="M334" s="5" t="e">
        <f t="shared" ca="1" si="86"/>
        <v>#N/A</v>
      </c>
      <c r="N334" s="5" t="e">
        <f t="shared" ca="1" si="87"/>
        <v>#N/A</v>
      </c>
      <c r="O334" s="5" t="e">
        <f t="shared" ca="1" si="88"/>
        <v>#N/A</v>
      </c>
      <c r="P334" s="5" t="e">
        <f ca="1">VLOOKUP(G334,'Group code'!$Z$9:$AC$13,3,FALSE)</f>
        <v>#N/A</v>
      </c>
      <c r="Q334" s="5" t="e">
        <f t="shared" ca="1" si="89"/>
        <v>#N/A</v>
      </c>
      <c r="R334" s="5" t="e">
        <f ca="1">IF(G334=0,INDEX(cards[object_id],MATCH($C334,cards[object_id order],0)),"")</f>
        <v>#N/A</v>
      </c>
      <c r="S334" s="5" t="e">
        <f ca="1">IF(G334=1,INDEX(cards[[name]:[control]],MATCH($C334,cards[object_id order],0),'Group code'!J334),"")</f>
        <v>#N/A</v>
      </c>
      <c r="T334" s="5" t="e">
        <f ca="1">IF(G334=3,INDEX(cards[[1]:[25]],MATCH($C334,cards[object_id order],0),'Group code'!I334),"")</f>
        <v>#N/A</v>
      </c>
      <c r="U334" s="5" t="e">
        <f ca="1">VLOOKUP(G334,'Group code'!$Z$9:$AC$13,4,FALSE)</f>
        <v>#N/A</v>
      </c>
      <c r="V334" s="5" t="e">
        <f ca="1">IF(J334="","",VLOOKUP(J334,'Group code'!$Z$15:$AC$18,4,FALSE))</f>
        <v>#N/A</v>
      </c>
      <c r="W334" s="23" t="str">
        <f t="shared" ca="1" si="90"/>
        <v/>
      </c>
      <c r="X334" s="5" t="str">
        <f t="shared" ca="1" si="77"/>
        <v/>
      </c>
    </row>
    <row r="335" spans="2:24" x14ac:dyDescent="0.25">
      <c r="B335" s="5">
        <f t="shared" si="78"/>
        <v>329</v>
      </c>
      <c r="C335" s="5" t="e">
        <f t="shared" ca="1" si="91"/>
        <v>#N/A</v>
      </c>
      <c r="D335" s="5" t="e">
        <f ca="1">INDEX(cards[Attribute Index],MATCH('Group code'!C335,cards[object_id order],0))</f>
        <v>#N/A</v>
      </c>
      <c r="E335" s="5" t="e">
        <f t="shared" ca="1" si="79"/>
        <v>#N/A</v>
      </c>
      <c r="F335" s="14" t="e">
        <f ca="1">INDEX(cards[Entities count],MATCH('Group code'!C335,cards[object_id order],0))</f>
        <v>#N/A</v>
      </c>
      <c r="G335" s="14" t="e">
        <f t="shared" ca="1" si="81"/>
        <v>#N/A</v>
      </c>
      <c r="H335" s="14" t="e">
        <f t="shared" ca="1" si="82"/>
        <v>#N/A</v>
      </c>
      <c r="I335" s="5" t="e">
        <f t="shared" ca="1" si="83"/>
        <v>#N/A</v>
      </c>
      <c r="J335" s="5" t="e">
        <f t="shared" ca="1" si="80"/>
        <v>#N/A</v>
      </c>
      <c r="K335" s="5" t="e">
        <f t="shared" ca="1" si="84"/>
        <v>#N/A</v>
      </c>
      <c r="L335" s="5" t="e">
        <f t="shared" ca="1" si="85"/>
        <v>#N/A</v>
      </c>
      <c r="M335" s="5" t="e">
        <f t="shared" ca="1" si="86"/>
        <v>#N/A</v>
      </c>
      <c r="N335" s="5" t="e">
        <f t="shared" ca="1" si="87"/>
        <v>#N/A</v>
      </c>
      <c r="O335" s="5" t="e">
        <f t="shared" ca="1" si="88"/>
        <v>#N/A</v>
      </c>
      <c r="P335" s="5" t="e">
        <f ca="1">VLOOKUP(G335,'Group code'!$Z$9:$AC$13,3,FALSE)</f>
        <v>#N/A</v>
      </c>
      <c r="Q335" s="5" t="e">
        <f t="shared" ca="1" si="89"/>
        <v>#N/A</v>
      </c>
      <c r="R335" s="5" t="e">
        <f ca="1">IF(G335=0,INDEX(cards[object_id],MATCH($C335,cards[object_id order],0)),"")</f>
        <v>#N/A</v>
      </c>
      <c r="S335" s="5" t="e">
        <f ca="1">IF(G335=1,INDEX(cards[[name]:[control]],MATCH($C335,cards[object_id order],0),'Group code'!J335),"")</f>
        <v>#N/A</v>
      </c>
      <c r="T335" s="5" t="e">
        <f ca="1">IF(G335=3,INDEX(cards[[1]:[25]],MATCH($C335,cards[object_id order],0),'Group code'!I335),"")</f>
        <v>#N/A</v>
      </c>
      <c r="U335" s="5" t="e">
        <f ca="1">VLOOKUP(G335,'Group code'!$Z$9:$AC$13,4,FALSE)</f>
        <v>#N/A</v>
      </c>
      <c r="V335" s="5" t="e">
        <f ca="1">IF(J335="","",VLOOKUP(J335,'Group code'!$Z$15:$AC$18,4,FALSE))</f>
        <v>#N/A</v>
      </c>
      <c r="W335" s="23" t="str">
        <f t="shared" ca="1" si="90"/>
        <v/>
      </c>
      <c r="X335" s="5" t="str">
        <f t="shared" ca="1" si="77"/>
        <v/>
      </c>
    </row>
    <row r="336" spans="2:24" x14ac:dyDescent="0.25">
      <c r="B336" s="5">
        <f t="shared" si="78"/>
        <v>330</v>
      </c>
      <c r="C336" s="5" t="e">
        <f t="shared" ca="1" si="91"/>
        <v>#N/A</v>
      </c>
      <c r="D336" s="5" t="e">
        <f ca="1">INDEX(cards[Attribute Index],MATCH('Group code'!C336,cards[object_id order],0))</f>
        <v>#N/A</v>
      </c>
      <c r="E336" s="5" t="e">
        <f t="shared" ca="1" si="79"/>
        <v>#N/A</v>
      </c>
      <c r="F336" s="14" t="e">
        <f ca="1">INDEX(cards[Entities count],MATCH('Group code'!C336,cards[object_id order],0))</f>
        <v>#N/A</v>
      </c>
      <c r="G336" s="14" t="e">
        <f t="shared" ca="1" si="81"/>
        <v>#N/A</v>
      </c>
      <c r="H336" s="14" t="e">
        <f t="shared" ca="1" si="82"/>
        <v>#N/A</v>
      </c>
      <c r="I336" s="5" t="e">
        <f t="shared" ca="1" si="83"/>
        <v>#N/A</v>
      </c>
      <c r="J336" s="5" t="e">
        <f t="shared" ca="1" si="80"/>
        <v>#N/A</v>
      </c>
      <c r="K336" s="5" t="e">
        <f t="shared" ca="1" si="84"/>
        <v>#N/A</v>
      </c>
      <c r="L336" s="5" t="e">
        <f t="shared" ca="1" si="85"/>
        <v>#N/A</v>
      </c>
      <c r="M336" s="5" t="e">
        <f t="shared" ca="1" si="86"/>
        <v>#N/A</v>
      </c>
      <c r="N336" s="5" t="e">
        <f t="shared" ca="1" si="87"/>
        <v>#N/A</v>
      </c>
      <c r="O336" s="5" t="e">
        <f t="shared" ca="1" si="88"/>
        <v>#N/A</v>
      </c>
      <c r="P336" s="5" t="e">
        <f ca="1">VLOOKUP(G336,'Group code'!$Z$9:$AC$13,3,FALSE)</f>
        <v>#N/A</v>
      </c>
      <c r="Q336" s="5" t="e">
        <f t="shared" ca="1" si="89"/>
        <v>#N/A</v>
      </c>
      <c r="R336" s="5" t="e">
        <f ca="1">IF(G336=0,INDEX(cards[object_id],MATCH($C336,cards[object_id order],0)),"")</f>
        <v>#N/A</v>
      </c>
      <c r="S336" s="5" t="e">
        <f ca="1">IF(G336=1,INDEX(cards[[name]:[control]],MATCH($C336,cards[object_id order],0),'Group code'!J336),"")</f>
        <v>#N/A</v>
      </c>
      <c r="T336" s="5" t="e">
        <f ca="1">IF(G336=3,INDEX(cards[[1]:[25]],MATCH($C336,cards[object_id order],0),'Group code'!I336),"")</f>
        <v>#N/A</v>
      </c>
      <c r="U336" s="5" t="e">
        <f ca="1">VLOOKUP(G336,'Group code'!$Z$9:$AC$13,4,FALSE)</f>
        <v>#N/A</v>
      </c>
      <c r="V336" s="5" t="e">
        <f ca="1">IF(J336="","",VLOOKUP(J336,'Group code'!$Z$15:$AC$18,4,FALSE))</f>
        <v>#N/A</v>
      </c>
      <c r="W336" s="23" t="str">
        <f t="shared" ca="1" si="90"/>
        <v/>
      </c>
      <c r="X336" s="5" t="str">
        <f t="shared" ca="1" si="77"/>
        <v/>
      </c>
    </row>
    <row r="337" spans="2:24" x14ac:dyDescent="0.25">
      <c r="B337" s="5">
        <f t="shared" si="78"/>
        <v>331</v>
      </c>
      <c r="C337" s="5" t="e">
        <f t="shared" ca="1" si="91"/>
        <v>#N/A</v>
      </c>
      <c r="D337" s="5" t="e">
        <f ca="1">INDEX(cards[Attribute Index],MATCH('Group code'!C337,cards[object_id order],0))</f>
        <v>#N/A</v>
      </c>
      <c r="E337" s="5" t="e">
        <f t="shared" ca="1" si="79"/>
        <v>#N/A</v>
      </c>
      <c r="F337" s="14" t="e">
        <f ca="1">INDEX(cards[Entities count],MATCH('Group code'!C337,cards[object_id order],0))</f>
        <v>#N/A</v>
      </c>
      <c r="G337" s="14" t="e">
        <f t="shared" ca="1" si="81"/>
        <v>#N/A</v>
      </c>
      <c r="H337" s="14" t="e">
        <f t="shared" ca="1" si="82"/>
        <v>#N/A</v>
      </c>
      <c r="I337" s="5" t="e">
        <f t="shared" ca="1" si="83"/>
        <v>#N/A</v>
      </c>
      <c r="J337" s="5" t="e">
        <f t="shared" ca="1" si="80"/>
        <v>#N/A</v>
      </c>
      <c r="K337" s="5" t="e">
        <f t="shared" ca="1" si="84"/>
        <v>#N/A</v>
      </c>
      <c r="L337" s="5" t="e">
        <f t="shared" ca="1" si="85"/>
        <v>#N/A</v>
      </c>
      <c r="M337" s="5" t="e">
        <f t="shared" ca="1" si="86"/>
        <v>#N/A</v>
      </c>
      <c r="N337" s="5" t="e">
        <f t="shared" ca="1" si="87"/>
        <v>#N/A</v>
      </c>
      <c r="O337" s="5" t="e">
        <f t="shared" ca="1" si="88"/>
        <v>#N/A</v>
      </c>
      <c r="P337" s="5" t="e">
        <f ca="1">VLOOKUP(G337,'Group code'!$Z$9:$AC$13,3,FALSE)</f>
        <v>#N/A</v>
      </c>
      <c r="Q337" s="5" t="e">
        <f t="shared" ca="1" si="89"/>
        <v>#N/A</v>
      </c>
      <c r="R337" s="5" t="e">
        <f ca="1">IF(G337=0,INDEX(cards[object_id],MATCH($C337,cards[object_id order],0)),"")</f>
        <v>#N/A</v>
      </c>
      <c r="S337" s="5" t="e">
        <f ca="1">IF(G337=1,INDEX(cards[[name]:[control]],MATCH($C337,cards[object_id order],0),'Group code'!J337),"")</f>
        <v>#N/A</v>
      </c>
      <c r="T337" s="5" t="e">
        <f ca="1">IF(G337=3,INDEX(cards[[1]:[25]],MATCH($C337,cards[object_id order],0),'Group code'!I337),"")</f>
        <v>#N/A</v>
      </c>
      <c r="U337" s="5" t="e">
        <f ca="1">VLOOKUP(G337,'Group code'!$Z$9:$AC$13,4,FALSE)</f>
        <v>#N/A</v>
      </c>
      <c r="V337" s="5" t="e">
        <f ca="1">IF(J337="","",VLOOKUP(J337,'Group code'!$Z$15:$AC$18,4,FALSE))</f>
        <v>#N/A</v>
      </c>
      <c r="W337" s="23" t="str">
        <f t="shared" ca="1" si="90"/>
        <v/>
      </c>
      <c r="X337" s="5" t="str">
        <f t="shared" ca="1" si="77"/>
        <v/>
      </c>
    </row>
    <row r="338" spans="2:24" x14ac:dyDescent="0.25">
      <c r="B338" s="5">
        <f t="shared" si="78"/>
        <v>332</v>
      </c>
      <c r="C338" s="5" t="e">
        <f t="shared" ca="1" si="91"/>
        <v>#N/A</v>
      </c>
      <c r="D338" s="5" t="e">
        <f ca="1">INDEX(cards[Attribute Index],MATCH('Group code'!C338,cards[object_id order],0))</f>
        <v>#N/A</v>
      </c>
      <c r="E338" s="5" t="e">
        <f t="shared" ca="1" si="79"/>
        <v>#N/A</v>
      </c>
      <c r="F338" s="14" t="e">
        <f ca="1">INDEX(cards[Entities count],MATCH('Group code'!C338,cards[object_id order],0))</f>
        <v>#N/A</v>
      </c>
      <c r="G338" s="14" t="e">
        <f t="shared" ca="1" si="81"/>
        <v>#N/A</v>
      </c>
      <c r="H338" s="14" t="e">
        <f t="shared" ca="1" si="82"/>
        <v>#N/A</v>
      </c>
      <c r="I338" s="5" t="e">
        <f t="shared" ca="1" si="83"/>
        <v>#N/A</v>
      </c>
      <c r="J338" s="5" t="e">
        <f t="shared" ca="1" si="80"/>
        <v>#N/A</v>
      </c>
      <c r="K338" s="5" t="e">
        <f t="shared" ca="1" si="84"/>
        <v>#N/A</v>
      </c>
      <c r="L338" s="5" t="e">
        <f t="shared" ca="1" si="85"/>
        <v>#N/A</v>
      </c>
      <c r="M338" s="5" t="e">
        <f t="shared" ca="1" si="86"/>
        <v>#N/A</v>
      </c>
      <c r="N338" s="5" t="e">
        <f t="shared" ca="1" si="87"/>
        <v>#N/A</v>
      </c>
      <c r="O338" s="5" t="e">
        <f t="shared" ca="1" si="88"/>
        <v>#N/A</v>
      </c>
      <c r="P338" s="5" t="e">
        <f ca="1">VLOOKUP(G338,'Group code'!$Z$9:$AC$13,3,FALSE)</f>
        <v>#N/A</v>
      </c>
      <c r="Q338" s="5" t="e">
        <f t="shared" ca="1" si="89"/>
        <v>#N/A</v>
      </c>
      <c r="R338" s="5" t="e">
        <f ca="1">IF(G338=0,INDEX(cards[object_id],MATCH($C338,cards[object_id order],0)),"")</f>
        <v>#N/A</v>
      </c>
      <c r="S338" s="5" t="e">
        <f ca="1">IF(G338=1,INDEX(cards[[name]:[control]],MATCH($C338,cards[object_id order],0),'Group code'!J338),"")</f>
        <v>#N/A</v>
      </c>
      <c r="T338" s="5" t="e">
        <f ca="1">IF(G338=3,INDEX(cards[[1]:[25]],MATCH($C338,cards[object_id order],0),'Group code'!I338),"")</f>
        <v>#N/A</v>
      </c>
      <c r="U338" s="5" t="e">
        <f ca="1">VLOOKUP(G338,'Group code'!$Z$9:$AC$13,4,FALSE)</f>
        <v>#N/A</v>
      </c>
      <c r="V338" s="5" t="e">
        <f ca="1">IF(J338="","",VLOOKUP(J338,'Group code'!$Z$15:$AC$18,4,FALSE))</f>
        <v>#N/A</v>
      </c>
      <c r="W338" s="23" t="str">
        <f t="shared" ca="1" si="90"/>
        <v/>
      </c>
      <c r="X338" s="5" t="str">
        <f t="shared" ca="1" si="77"/>
        <v/>
      </c>
    </row>
    <row r="339" spans="2:24" x14ac:dyDescent="0.25">
      <c r="B339" s="5">
        <f t="shared" si="78"/>
        <v>333</v>
      </c>
      <c r="C339" s="5" t="e">
        <f t="shared" ca="1" si="91"/>
        <v>#N/A</v>
      </c>
      <c r="D339" s="5" t="e">
        <f ca="1">INDEX(cards[Attribute Index],MATCH('Group code'!C339,cards[object_id order],0))</f>
        <v>#N/A</v>
      </c>
      <c r="E339" s="5" t="e">
        <f t="shared" ca="1" si="79"/>
        <v>#N/A</v>
      </c>
      <c r="F339" s="14" t="e">
        <f ca="1">INDEX(cards[Entities count],MATCH('Group code'!C339,cards[object_id order],0))</f>
        <v>#N/A</v>
      </c>
      <c r="G339" s="14" t="e">
        <f t="shared" ca="1" si="81"/>
        <v>#N/A</v>
      </c>
      <c r="H339" s="14" t="e">
        <f t="shared" ca="1" si="82"/>
        <v>#N/A</v>
      </c>
      <c r="I339" s="5" t="e">
        <f t="shared" ca="1" si="83"/>
        <v>#N/A</v>
      </c>
      <c r="J339" s="5" t="e">
        <f t="shared" ca="1" si="80"/>
        <v>#N/A</v>
      </c>
      <c r="K339" s="5" t="e">
        <f t="shared" ca="1" si="84"/>
        <v>#N/A</v>
      </c>
      <c r="L339" s="5" t="e">
        <f t="shared" ca="1" si="85"/>
        <v>#N/A</v>
      </c>
      <c r="M339" s="5" t="e">
        <f t="shared" ca="1" si="86"/>
        <v>#N/A</v>
      </c>
      <c r="N339" s="5" t="e">
        <f t="shared" ca="1" si="87"/>
        <v>#N/A</v>
      </c>
      <c r="O339" s="5" t="e">
        <f t="shared" ca="1" si="88"/>
        <v>#N/A</v>
      </c>
      <c r="P339" s="5" t="e">
        <f ca="1">VLOOKUP(G339,'Group code'!$Z$9:$AC$13,3,FALSE)</f>
        <v>#N/A</v>
      </c>
      <c r="Q339" s="5" t="e">
        <f t="shared" ca="1" si="89"/>
        <v>#N/A</v>
      </c>
      <c r="R339" s="5" t="e">
        <f ca="1">IF(G339=0,INDEX(cards[object_id],MATCH($C339,cards[object_id order],0)),"")</f>
        <v>#N/A</v>
      </c>
      <c r="S339" s="5" t="e">
        <f ca="1">IF(G339=1,INDEX(cards[[name]:[control]],MATCH($C339,cards[object_id order],0),'Group code'!J339),"")</f>
        <v>#N/A</v>
      </c>
      <c r="T339" s="5" t="e">
        <f ca="1">IF(G339=3,INDEX(cards[[1]:[25]],MATCH($C339,cards[object_id order],0),'Group code'!I339),"")</f>
        <v>#N/A</v>
      </c>
      <c r="U339" s="5" t="e">
        <f ca="1">VLOOKUP(G339,'Group code'!$Z$9:$AC$13,4,FALSE)</f>
        <v>#N/A</v>
      </c>
      <c r="V339" s="5" t="e">
        <f ca="1">IF(J339="","",VLOOKUP(J339,'Group code'!$Z$15:$AC$18,4,FALSE))</f>
        <v>#N/A</v>
      </c>
      <c r="W339" s="23" t="str">
        <f t="shared" ca="1" si="90"/>
        <v/>
      </c>
      <c r="X339" s="5" t="str">
        <f t="shared" ca="1" si="77"/>
        <v/>
      </c>
    </row>
    <row r="340" spans="2:24" x14ac:dyDescent="0.25">
      <c r="B340" s="5">
        <f t="shared" si="78"/>
        <v>334</v>
      </c>
      <c r="C340" s="5" t="e">
        <f t="shared" ca="1" si="91"/>
        <v>#N/A</v>
      </c>
      <c r="D340" s="5" t="e">
        <f ca="1">INDEX(cards[Attribute Index],MATCH('Group code'!C340,cards[object_id order],0))</f>
        <v>#N/A</v>
      </c>
      <c r="E340" s="5" t="e">
        <f t="shared" ca="1" si="79"/>
        <v>#N/A</v>
      </c>
      <c r="F340" s="14" t="e">
        <f ca="1">INDEX(cards[Entities count],MATCH('Group code'!C340,cards[object_id order],0))</f>
        <v>#N/A</v>
      </c>
      <c r="G340" s="14" t="e">
        <f t="shared" ca="1" si="81"/>
        <v>#N/A</v>
      </c>
      <c r="H340" s="14" t="e">
        <f t="shared" ca="1" si="82"/>
        <v>#N/A</v>
      </c>
      <c r="I340" s="5" t="e">
        <f t="shared" ca="1" si="83"/>
        <v>#N/A</v>
      </c>
      <c r="J340" s="5" t="e">
        <f t="shared" ca="1" si="80"/>
        <v>#N/A</v>
      </c>
      <c r="K340" s="5" t="e">
        <f t="shared" ca="1" si="84"/>
        <v>#N/A</v>
      </c>
      <c r="L340" s="5" t="e">
        <f t="shared" ca="1" si="85"/>
        <v>#N/A</v>
      </c>
      <c r="M340" s="5" t="e">
        <f t="shared" ca="1" si="86"/>
        <v>#N/A</v>
      </c>
      <c r="N340" s="5" t="e">
        <f t="shared" ca="1" si="87"/>
        <v>#N/A</v>
      </c>
      <c r="O340" s="5" t="e">
        <f t="shared" ca="1" si="88"/>
        <v>#N/A</v>
      </c>
      <c r="P340" s="5" t="e">
        <f ca="1">VLOOKUP(G340,'Group code'!$Z$9:$AC$13,3,FALSE)</f>
        <v>#N/A</v>
      </c>
      <c r="Q340" s="5" t="e">
        <f t="shared" ca="1" si="89"/>
        <v>#N/A</v>
      </c>
      <c r="R340" s="5" t="e">
        <f ca="1">IF(G340=0,INDEX(cards[object_id],MATCH($C340,cards[object_id order],0)),"")</f>
        <v>#N/A</v>
      </c>
      <c r="S340" s="5" t="e">
        <f ca="1">IF(G340=1,INDEX(cards[[name]:[control]],MATCH($C340,cards[object_id order],0),'Group code'!J340),"")</f>
        <v>#N/A</v>
      </c>
      <c r="T340" s="5" t="e">
        <f ca="1">IF(G340=3,INDEX(cards[[1]:[25]],MATCH($C340,cards[object_id order],0),'Group code'!I340),"")</f>
        <v>#N/A</v>
      </c>
      <c r="U340" s="5" t="e">
        <f ca="1">VLOOKUP(G340,'Group code'!$Z$9:$AC$13,4,FALSE)</f>
        <v>#N/A</v>
      </c>
      <c r="V340" s="5" t="e">
        <f ca="1">IF(J340="","",VLOOKUP(J340,'Group code'!$Z$15:$AC$18,4,FALSE))</f>
        <v>#N/A</v>
      </c>
      <c r="W340" s="23" t="str">
        <f t="shared" ca="1" si="90"/>
        <v/>
      </c>
      <c r="X340" s="5" t="str">
        <f t="shared" ca="1" si="77"/>
        <v/>
      </c>
    </row>
    <row r="341" spans="2:24" x14ac:dyDescent="0.25">
      <c r="B341" s="5">
        <f t="shared" si="78"/>
        <v>335</v>
      </c>
      <c r="C341" s="5" t="e">
        <f t="shared" ca="1" si="91"/>
        <v>#N/A</v>
      </c>
      <c r="D341" s="5" t="e">
        <f ca="1">INDEX(cards[Attribute Index],MATCH('Group code'!C341,cards[object_id order],0))</f>
        <v>#N/A</v>
      </c>
      <c r="E341" s="5" t="e">
        <f t="shared" ca="1" si="79"/>
        <v>#N/A</v>
      </c>
      <c r="F341" s="14" t="e">
        <f ca="1">INDEX(cards[Entities count],MATCH('Group code'!C341,cards[object_id order],0))</f>
        <v>#N/A</v>
      </c>
      <c r="G341" s="14" t="e">
        <f t="shared" ca="1" si="81"/>
        <v>#N/A</v>
      </c>
      <c r="H341" s="14" t="e">
        <f t="shared" ca="1" si="82"/>
        <v>#N/A</v>
      </c>
      <c r="I341" s="5" t="e">
        <f t="shared" ca="1" si="83"/>
        <v>#N/A</v>
      </c>
      <c r="J341" s="5" t="e">
        <f t="shared" ca="1" si="80"/>
        <v>#N/A</v>
      </c>
      <c r="K341" s="5" t="e">
        <f t="shared" ca="1" si="84"/>
        <v>#N/A</v>
      </c>
      <c r="L341" s="5" t="e">
        <f t="shared" ca="1" si="85"/>
        <v>#N/A</v>
      </c>
      <c r="M341" s="5" t="e">
        <f t="shared" ca="1" si="86"/>
        <v>#N/A</v>
      </c>
      <c r="N341" s="5" t="e">
        <f t="shared" ca="1" si="87"/>
        <v>#N/A</v>
      </c>
      <c r="O341" s="5" t="e">
        <f t="shared" ca="1" si="88"/>
        <v>#N/A</v>
      </c>
      <c r="P341" s="5" t="e">
        <f ca="1">VLOOKUP(G341,'Group code'!$Z$9:$AC$13,3,FALSE)</f>
        <v>#N/A</v>
      </c>
      <c r="Q341" s="5" t="e">
        <f t="shared" ca="1" si="89"/>
        <v>#N/A</v>
      </c>
      <c r="R341" s="5" t="e">
        <f ca="1">IF(G341=0,INDEX(cards[object_id],MATCH($C341,cards[object_id order],0)),"")</f>
        <v>#N/A</v>
      </c>
      <c r="S341" s="5" t="e">
        <f ca="1">IF(G341=1,INDEX(cards[[name]:[control]],MATCH($C341,cards[object_id order],0),'Group code'!J341),"")</f>
        <v>#N/A</v>
      </c>
      <c r="T341" s="5" t="e">
        <f ca="1">IF(G341=3,INDEX(cards[[1]:[25]],MATCH($C341,cards[object_id order],0),'Group code'!I341),"")</f>
        <v>#N/A</v>
      </c>
      <c r="U341" s="5" t="e">
        <f ca="1">VLOOKUP(G341,'Group code'!$Z$9:$AC$13,4,FALSE)</f>
        <v>#N/A</v>
      </c>
      <c r="V341" s="5" t="e">
        <f ca="1">IF(J341="","",VLOOKUP(J341,'Group code'!$Z$15:$AC$18,4,FALSE))</f>
        <v>#N/A</v>
      </c>
      <c r="W341" s="23" t="str">
        <f t="shared" ca="1" si="90"/>
        <v/>
      </c>
      <c r="X341" s="5" t="str">
        <f t="shared" ca="1" si="77"/>
        <v/>
      </c>
    </row>
    <row r="342" spans="2:24" x14ac:dyDescent="0.25">
      <c r="B342" s="5">
        <f t="shared" si="78"/>
        <v>336</v>
      </c>
      <c r="C342" s="5" t="e">
        <f t="shared" ca="1" si="91"/>
        <v>#N/A</v>
      </c>
      <c r="D342" s="5" t="e">
        <f ca="1">INDEX(cards[Attribute Index],MATCH('Group code'!C342,cards[object_id order],0))</f>
        <v>#N/A</v>
      </c>
      <c r="E342" s="5" t="e">
        <f t="shared" ca="1" si="79"/>
        <v>#N/A</v>
      </c>
      <c r="F342" s="14" t="e">
        <f ca="1">INDEX(cards[Entities count],MATCH('Group code'!C342,cards[object_id order],0))</f>
        <v>#N/A</v>
      </c>
      <c r="G342" s="14" t="e">
        <f t="shared" ca="1" si="81"/>
        <v>#N/A</v>
      </c>
      <c r="H342" s="14" t="e">
        <f t="shared" ca="1" si="82"/>
        <v>#N/A</v>
      </c>
      <c r="I342" s="5" t="e">
        <f t="shared" ca="1" si="83"/>
        <v>#N/A</v>
      </c>
      <c r="J342" s="5" t="e">
        <f t="shared" ca="1" si="80"/>
        <v>#N/A</v>
      </c>
      <c r="K342" s="5" t="e">
        <f t="shared" ca="1" si="84"/>
        <v>#N/A</v>
      </c>
      <c r="L342" s="5" t="e">
        <f t="shared" ca="1" si="85"/>
        <v>#N/A</v>
      </c>
      <c r="M342" s="5" t="e">
        <f t="shared" ca="1" si="86"/>
        <v>#N/A</v>
      </c>
      <c r="N342" s="5" t="e">
        <f t="shared" ca="1" si="87"/>
        <v>#N/A</v>
      </c>
      <c r="O342" s="5" t="e">
        <f t="shared" ca="1" si="88"/>
        <v>#N/A</v>
      </c>
      <c r="P342" s="5" t="e">
        <f ca="1">VLOOKUP(G342,'Group code'!$Z$9:$AC$13,3,FALSE)</f>
        <v>#N/A</v>
      </c>
      <c r="Q342" s="5" t="e">
        <f t="shared" ca="1" si="89"/>
        <v>#N/A</v>
      </c>
      <c r="R342" s="5" t="e">
        <f ca="1">IF(G342=0,INDEX(cards[object_id],MATCH($C342,cards[object_id order],0)),"")</f>
        <v>#N/A</v>
      </c>
      <c r="S342" s="5" t="e">
        <f ca="1">IF(G342=1,INDEX(cards[[name]:[control]],MATCH($C342,cards[object_id order],0),'Group code'!J342),"")</f>
        <v>#N/A</v>
      </c>
      <c r="T342" s="5" t="e">
        <f ca="1">IF(G342=3,INDEX(cards[[1]:[25]],MATCH($C342,cards[object_id order],0),'Group code'!I342),"")</f>
        <v>#N/A</v>
      </c>
      <c r="U342" s="5" t="e">
        <f ca="1">VLOOKUP(G342,'Group code'!$Z$9:$AC$13,4,FALSE)</f>
        <v>#N/A</v>
      </c>
      <c r="V342" s="5" t="e">
        <f ca="1">IF(J342="","",VLOOKUP(J342,'Group code'!$Z$15:$AC$18,4,FALSE))</f>
        <v>#N/A</v>
      </c>
      <c r="W342" s="23" t="str">
        <f t="shared" ca="1" si="90"/>
        <v/>
      </c>
      <c r="X342" s="5" t="str">
        <f t="shared" ca="1" si="77"/>
        <v/>
      </c>
    </row>
    <row r="343" spans="2:24" x14ac:dyDescent="0.25">
      <c r="B343" s="5">
        <f t="shared" si="78"/>
        <v>337</v>
      </c>
      <c r="C343" s="5" t="e">
        <f t="shared" ca="1" si="91"/>
        <v>#N/A</v>
      </c>
      <c r="D343" s="5" t="e">
        <f ca="1">INDEX(cards[Attribute Index],MATCH('Group code'!C343,cards[object_id order],0))</f>
        <v>#N/A</v>
      </c>
      <c r="E343" s="5" t="e">
        <f t="shared" ca="1" si="79"/>
        <v>#N/A</v>
      </c>
      <c r="F343" s="14" t="e">
        <f ca="1">INDEX(cards[Entities count],MATCH('Group code'!C343,cards[object_id order],0))</f>
        <v>#N/A</v>
      </c>
      <c r="G343" s="14" t="e">
        <f t="shared" ca="1" si="81"/>
        <v>#N/A</v>
      </c>
      <c r="H343" s="14" t="e">
        <f t="shared" ca="1" si="82"/>
        <v>#N/A</v>
      </c>
      <c r="I343" s="5" t="e">
        <f t="shared" ca="1" si="83"/>
        <v>#N/A</v>
      </c>
      <c r="J343" s="5" t="e">
        <f t="shared" ca="1" si="80"/>
        <v>#N/A</v>
      </c>
      <c r="K343" s="5" t="e">
        <f t="shared" ca="1" si="84"/>
        <v>#N/A</v>
      </c>
      <c r="L343" s="5" t="e">
        <f t="shared" ca="1" si="85"/>
        <v>#N/A</v>
      </c>
      <c r="M343" s="5" t="e">
        <f t="shared" ca="1" si="86"/>
        <v>#N/A</v>
      </c>
      <c r="N343" s="5" t="e">
        <f t="shared" ca="1" si="87"/>
        <v>#N/A</v>
      </c>
      <c r="O343" s="5" t="e">
        <f t="shared" ca="1" si="88"/>
        <v>#N/A</v>
      </c>
      <c r="P343" s="5" t="e">
        <f ca="1">VLOOKUP(G343,'Group code'!$Z$9:$AC$13,3,FALSE)</f>
        <v>#N/A</v>
      </c>
      <c r="Q343" s="5" t="e">
        <f t="shared" ca="1" si="89"/>
        <v>#N/A</v>
      </c>
      <c r="R343" s="5" t="e">
        <f ca="1">IF(G343=0,INDEX(cards[object_id],MATCH($C343,cards[object_id order],0)),"")</f>
        <v>#N/A</v>
      </c>
      <c r="S343" s="5" t="e">
        <f ca="1">IF(G343=1,INDEX(cards[[name]:[control]],MATCH($C343,cards[object_id order],0),'Group code'!J343),"")</f>
        <v>#N/A</v>
      </c>
      <c r="T343" s="5" t="e">
        <f ca="1">IF(G343=3,INDEX(cards[[1]:[25]],MATCH($C343,cards[object_id order],0),'Group code'!I343),"")</f>
        <v>#N/A</v>
      </c>
      <c r="U343" s="5" t="e">
        <f ca="1">VLOOKUP(G343,'Group code'!$Z$9:$AC$13,4,FALSE)</f>
        <v>#N/A</v>
      </c>
      <c r="V343" s="5" t="e">
        <f ca="1">IF(J343="","",VLOOKUP(J343,'Group code'!$Z$15:$AC$18,4,FALSE))</f>
        <v>#N/A</v>
      </c>
      <c r="W343" s="23" t="str">
        <f t="shared" ca="1" si="90"/>
        <v/>
      </c>
      <c r="X343" s="5" t="str">
        <f t="shared" ca="1" si="77"/>
        <v/>
      </c>
    </row>
    <row r="344" spans="2:24" x14ac:dyDescent="0.25">
      <c r="B344" s="5">
        <f t="shared" si="78"/>
        <v>338</v>
      </c>
      <c r="C344" s="5" t="e">
        <f t="shared" ca="1" si="91"/>
        <v>#N/A</v>
      </c>
      <c r="D344" s="5" t="e">
        <f ca="1">INDEX(cards[Attribute Index],MATCH('Group code'!C344,cards[object_id order],0))</f>
        <v>#N/A</v>
      </c>
      <c r="E344" s="5" t="e">
        <f t="shared" ca="1" si="79"/>
        <v>#N/A</v>
      </c>
      <c r="F344" s="14" t="e">
        <f ca="1">INDEX(cards[Entities count],MATCH('Group code'!C344,cards[object_id order],0))</f>
        <v>#N/A</v>
      </c>
      <c r="G344" s="14" t="e">
        <f t="shared" ca="1" si="81"/>
        <v>#N/A</v>
      </c>
      <c r="H344" s="14" t="e">
        <f t="shared" ca="1" si="82"/>
        <v>#N/A</v>
      </c>
      <c r="I344" s="5" t="e">
        <f t="shared" ca="1" si="83"/>
        <v>#N/A</v>
      </c>
      <c r="J344" s="5" t="e">
        <f t="shared" ca="1" si="80"/>
        <v>#N/A</v>
      </c>
      <c r="K344" s="5" t="e">
        <f t="shared" ca="1" si="84"/>
        <v>#N/A</v>
      </c>
      <c r="L344" s="5" t="e">
        <f t="shared" ca="1" si="85"/>
        <v>#N/A</v>
      </c>
      <c r="M344" s="5" t="e">
        <f t="shared" ca="1" si="86"/>
        <v>#N/A</v>
      </c>
      <c r="N344" s="5" t="e">
        <f t="shared" ca="1" si="87"/>
        <v>#N/A</v>
      </c>
      <c r="O344" s="5" t="e">
        <f t="shared" ca="1" si="88"/>
        <v>#N/A</v>
      </c>
      <c r="P344" s="5" t="e">
        <f ca="1">VLOOKUP(G344,'Group code'!$Z$9:$AC$13,3,FALSE)</f>
        <v>#N/A</v>
      </c>
      <c r="Q344" s="5" t="e">
        <f t="shared" ca="1" si="89"/>
        <v>#N/A</v>
      </c>
      <c r="R344" s="5" t="e">
        <f ca="1">IF(G344=0,INDEX(cards[object_id],MATCH($C344,cards[object_id order],0)),"")</f>
        <v>#N/A</v>
      </c>
      <c r="S344" s="5" t="e">
        <f ca="1">IF(G344=1,INDEX(cards[[name]:[control]],MATCH($C344,cards[object_id order],0),'Group code'!J344),"")</f>
        <v>#N/A</v>
      </c>
      <c r="T344" s="5" t="e">
        <f ca="1">IF(G344=3,INDEX(cards[[1]:[25]],MATCH($C344,cards[object_id order],0),'Group code'!I344),"")</f>
        <v>#N/A</v>
      </c>
      <c r="U344" s="5" t="e">
        <f ca="1">VLOOKUP(G344,'Group code'!$Z$9:$AC$13,4,FALSE)</f>
        <v>#N/A</v>
      </c>
      <c r="V344" s="5" t="e">
        <f ca="1">IF(J344="","",VLOOKUP(J344,'Group code'!$Z$15:$AC$18,4,FALSE))</f>
        <v>#N/A</v>
      </c>
      <c r="W344" s="23" t="str">
        <f t="shared" ca="1" si="90"/>
        <v/>
      </c>
      <c r="X344" s="5" t="str">
        <f t="shared" ca="1" si="77"/>
        <v/>
      </c>
    </row>
    <row r="345" spans="2:24" x14ac:dyDescent="0.25">
      <c r="B345" s="5">
        <f t="shared" si="78"/>
        <v>339</v>
      </c>
      <c r="C345" s="5" t="e">
        <f t="shared" ca="1" si="91"/>
        <v>#N/A</v>
      </c>
      <c r="D345" s="5" t="e">
        <f ca="1">INDEX(cards[Attribute Index],MATCH('Group code'!C345,cards[object_id order],0))</f>
        <v>#N/A</v>
      </c>
      <c r="E345" s="5" t="e">
        <f t="shared" ca="1" si="79"/>
        <v>#N/A</v>
      </c>
      <c r="F345" s="14" t="e">
        <f ca="1">INDEX(cards[Entities count],MATCH('Group code'!C345,cards[object_id order],0))</f>
        <v>#N/A</v>
      </c>
      <c r="G345" s="14" t="e">
        <f t="shared" ca="1" si="81"/>
        <v>#N/A</v>
      </c>
      <c r="H345" s="14" t="e">
        <f t="shared" ca="1" si="82"/>
        <v>#N/A</v>
      </c>
      <c r="I345" s="5" t="e">
        <f t="shared" ca="1" si="83"/>
        <v>#N/A</v>
      </c>
      <c r="J345" s="5" t="e">
        <f t="shared" ca="1" si="80"/>
        <v>#N/A</v>
      </c>
      <c r="K345" s="5" t="e">
        <f t="shared" ca="1" si="84"/>
        <v>#N/A</v>
      </c>
      <c r="L345" s="5" t="e">
        <f t="shared" ca="1" si="85"/>
        <v>#N/A</v>
      </c>
      <c r="M345" s="5" t="e">
        <f t="shared" ca="1" si="86"/>
        <v>#N/A</v>
      </c>
      <c r="N345" s="5" t="e">
        <f t="shared" ca="1" si="87"/>
        <v>#N/A</v>
      </c>
      <c r="O345" s="5" t="e">
        <f t="shared" ca="1" si="88"/>
        <v>#N/A</v>
      </c>
      <c r="P345" s="5" t="e">
        <f ca="1">VLOOKUP(G345,'Group code'!$Z$9:$AC$13,3,FALSE)</f>
        <v>#N/A</v>
      </c>
      <c r="Q345" s="5" t="e">
        <f t="shared" ca="1" si="89"/>
        <v>#N/A</v>
      </c>
      <c r="R345" s="5" t="e">
        <f ca="1">IF(G345=0,INDEX(cards[object_id],MATCH($C345,cards[object_id order],0)),"")</f>
        <v>#N/A</v>
      </c>
      <c r="S345" s="5" t="e">
        <f ca="1">IF(G345=1,INDEX(cards[[name]:[control]],MATCH($C345,cards[object_id order],0),'Group code'!J345),"")</f>
        <v>#N/A</v>
      </c>
      <c r="T345" s="5" t="e">
        <f ca="1">IF(G345=3,INDEX(cards[[1]:[25]],MATCH($C345,cards[object_id order],0),'Group code'!I345),"")</f>
        <v>#N/A</v>
      </c>
      <c r="U345" s="5" t="e">
        <f ca="1">VLOOKUP(G345,'Group code'!$Z$9:$AC$13,4,FALSE)</f>
        <v>#N/A</v>
      </c>
      <c r="V345" s="5" t="e">
        <f ca="1">IF(J345="","",VLOOKUP(J345,'Group code'!$Z$15:$AC$18,4,FALSE))</f>
        <v>#N/A</v>
      </c>
      <c r="W345" s="23" t="str">
        <f t="shared" ca="1" si="90"/>
        <v/>
      </c>
      <c r="X345" s="5" t="str">
        <f t="shared" ca="1" si="77"/>
        <v/>
      </c>
    </row>
    <row r="346" spans="2:24" x14ac:dyDescent="0.25">
      <c r="B346" s="5">
        <f t="shared" si="78"/>
        <v>340</v>
      </c>
      <c r="C346" s="5" t="e">
        <f t="shared" ca="1" si="91"/>
        <v>#N/A</v>
      </c>
      <c r="D346" s="5" t="e">
        <f ca="1">INDEX(cards[Attribute Index],MATCH('Group code'!C346,cards[object_id order],0))</f>
        <v>#N/A</v>
      </c>
      <c r="E346" s="5" t="e">
        <f t="shared" ca="1" si="79"/>
        <v>#N/A</v>
      </c>
      <c r="F346" s="14" t="e">
        <f ca="1">INDEX(cards[Entities count],MATCH('Group code'!C346,cards[object_id order],0))</f>
        <v>#N/A</v>
      </c>
      <c r="G346" s="14" t="e">
        <f t="shared" ca="1" si="81"/>
        <v>#N/A</v>
      </c>
      <c r="H346" s="14" t="e">
        <f t="shared" ca="1" si="82"/>
        <v>#N/A</v>
      </c>
      <c r="I346" s="5" t="e">
        <f t="shared" ca="1" si="83"/>
        <v>#N/A</v>
      </c>
      <c r="J346" s="5" t="e">
        <f t="shared" ca="1" si="80"/>
        <v>#N/A</v>
      </c>
      <c r="K346" s="5" t="e">
        <f t="shared" ca="1" si="84"/>
        <v>#N/A</v>
      </c>
      <c r="L346" s="5" t="e">
        <f t="shared" ca="1" si="85"/>
        <v>#N/A</v>
      </c>
      <c r="M346" s="5" t="e">
        <f t="shared" ca="1" si="86"/>
        <v>#N/A</v>
      </c>
      <c r="N346" s="5" t="e">
        <f t="shared" ca="1" si="87"/>
        <v>#N/A</v>
      </c>
      <c r="O346" s="5" t="e">
        <f t="shared" ca="1" si="88"/>
        <v>#N/A</v>
      </c>
      <c r="P346" s="5" t="e">
        <f ca="1">VLOOKUP(G346,'Group code'!$Z$9:$AC$13,3,FALSE)</f>
        <v>#N/A</v>
      </c>
      <c r="Q346" s="5" t="e">
        <f t="shared" ca="1" si="89"/>
        <v>#N/A</v>
      </c>
      <c r="R346" s="5" t="e">
        <f ca="1">IF(G346=0,INDEX(cards[object_id],MATCH($C346,cards[object_id order],0)),"")</f>
        <v>#N/A</v>
      </c>
      <c r="S346" s="5" t="e">
        <f ca="1">IF(G346=1,INDEX(cards[[name]:[control]],MATCH($C346,cards[object_id order],0),'Group code'!J346),"")</f>
        <v>#N/A</v>
      </c>
      <c r="T346" s="5" t="e">
        <f ca="1">IF(G346=3,INDEX(cards[[1]:[25]],MATCH($C346,cards[object_id order],0),'Group code'!I346),"")</f>
        <v>#N/A</v>
      </c>
      <c r="U346" s="5" t="e">
        <f ca="1">VLOOKUP(G346,'Group code'!$Z$9:$AC$13,4,FALSE)</f>
        <v>#N/A</v>
      </c>
      <c r="V346" s="5" t="e">
        <f ca="1">IF(J346="","",VLOOKUP(J346,'Group code'!$Z$15:$AC$18,4,FALSE))</f>
        <v>#N/A</v>
      </c>
      <c r="W346" s="23" t="str">
        <f t="shared" ca="1" si="90"/>
        <v/>
      </c>
      <c r="X346" s="5" t="str">
        <f t="shared" ca="1" si="77"/>
        <v/>
      </c>
    </row>
    <row r="347" spans="2:24" x14ac:dyDescent="0.25">
      <c r="B347" s="5">
        <f t="shared" si="78"/>
        <v>341</v>
      </c>
      <c r="C347" s="5" t="e">
        <f t="shared" ca="1" si="91"/>
        <v>#N/A</v>
      </c>
      <c r="D347" s="5" t="e">
        <f ca="1">INDEX(cards[Attribute Index],MATCH('Group code'!C347,cards[object_id order],0))</f>
        <v>#N/A</v>
      </c>
      <c r="E347" s="5" t="e">
        <f t="shared" ca="1" si="79"/>
        <v>#N/A</v>
      </c>
      <c r="F347" s="14" t="e">
        <f ca="1">INDEX(cards[Entities count],MATCH('Group code'!C347,cards[object_id order],0))</f>
        <v>#N/A</v>
      </c>
      <c r="G347" s="14" t="e">
        <f t="shared" ca="1" si="81"/>
        <v>#N/A</v>
      </c>
      <c r="H347" s="14" t="e">
        <f t="shared" ca="1" si="82"/>
        <v>#N/A</v>
      </c>
      <c r="I347" s="5" t="e">
        <f t="shared" ca="1" si="83"/>
        <v>#N/A</v>
      </c>
      <c r="J347" s="5" t="e">
        <f t="shared" ca="1" si="80"/>
        <v>#N/A</v>
      </c>
      <c r="K347" s="5" t="e">
        <f t="shared" ca="1" si="84"/>
        <v>#N/A</v>
      </c>
      <c r="L347" s="5" t="e">
        <f t="shared" ca="1" si="85"/>
        <v>#N/A</v>
      </c>
      <c r="M347" s="5" t="e">
        <f t="shared" ca="1" si="86"/>
        <v>#N/A</v>
      </c>
      <c r="N347" s="5" t="e">
        <f t="shared" ca="1" si="87"/>
        <v>#N/A</v>
      </c>
      <c r="O347" s="5" t="e">
        <f t="shared" ca="1" si="88"/>
        <v>#N/A</v>
      </c>
      <c r="P347" s="5" t="e">
        <f ca="1">VLOOKUP(G347,'Group code'!$Z$9:$AC$13,3,FALSE)</f>
        <v>#N/A</v>
      </c>
      <c r="Q347" s="5" t="e">
        <f t="shared" ca="1" si="89"/>
        <v>#N/A</v>
      </c>
      <c r="R347" s="5" t="e">
        <f ca="1">IF(G347=0,INDEX(cards[object_id],MATCH($C347,cards[object_id order],0)),"")</f>
        <v>#N/A</v>
      </c>
      <c r="S347" s="5" t="e">
        <f ca="1">IF(G347=1,INDEX(cards[[name]:[control]],MATCH($C347,cards[object_id order],0),'Group code'!J347),"")</f>
        <v>#N/A</v>
      </c>
      <c r="T347" s="5" t="e">
        <f ca="1">IF(G347=3,INDEX(cards[[1]:[25]],MATCH($C347,cards[object_id order],0),'Group code'!I347),"")</f>
        <v>#N/A</v>
      </c>
      <c r="U347" s="5" t="e">
        <f ca="1">VLOOKUP(G347,'Group code'!$Z$9:$AC$13,4,FALSE)</f>
        <v>#N/A</v>
      </c>
      <c r="V347" s="5" t="e">
        <f ca="1">IF(J347="","",VLOOKUP(J347,'Group code'!$Z$15:$AC$18,4,FALSE))</f>
        <v>#N/A</v>
      </c>
      <c r="W347" s="23" t="str">
        <f t="shared" ca="1" si="90"/>
        <v/>
      </c>
      <c r="X347" s="5" t="str">
        <f t="shared" ca="1" si="77"/>
        <v/>
      </c>
    </row>
    <row r="348" spans="2:24" x14ac:dyDescent="0.25">
      <c r="B348" s="5">
        <f t="shared" si="78"/>
        <v>342</v>
      </c>
      <c r="C348" s="5" t="e">
        <f t="shared" ca="1" si="91"/>
        <v>#N/A</v>
      </c>
      <c r="D348" s="5" t="e">
        <f ca="1">INDEX(cards[Attribute Index],MATCH('Group code'!C348,cards[object_id order],0))</f>
        <v>#N/A</v>
      </c>
      <c r="E348" s="5" t="e">
        <f t="shared" ca="1" si="79"/>
        <v>#N/A</v>
      </c>
      <c r="F348" s="14" t="e">
        <f ca="1">INDEX(cards[Entities count],MATCH('Group code'!C348,cards[object_id order],0))</f>
        <v>#N/A</v>
      </c>
      <c r="G348" s="14" t="e">
        <f t="shared" ca="1" si="81"/>
        <v>#N/A</v>
      </c>
      <c r="H348" s="14" t="e">
        <f t="shared" ca="1" si="82"/>
        <v>#N/A</v>
      </c>
      <c r="I348" s="5" t="e">
        <f t="shared" ca="1" si="83"/>
        <v>#N/A</v>
      </c>
      <c r="J348" s="5" t="e">
        <f t="shared" ca="1" si="80"/>
        <v>#N/A</v>
      </c>
      <c r="K348" s="5" t="e">
        <f t="shared" ca="1" si="84"/>
        <v>#N/A</v>
      </c>
      <c r="L348" s="5" t="e">
        <f t="shared" ca="1" si="85"/>
        <v>#N/A</v>
      </c>
      <c r="M348" s="5" t="e">
        <f t="shared" ca="1" si="86"/>
        <v>#N/A</v>
      </c>
      <c r="N348" s="5" t="e">
        <f t="shared" ca="1" si="87"/>
        <v>#N/A</v>
      </c>
      <c r="O348" s="5" t="e">
        <f t="shared" ca="1" si="88"/>
        <v>#N/A</v>
      </c>
      <c r="P348" s="5" t="e">
        <f ca="1">VLOOKUP(G348,'Group code'!$Z$9:$AC$13,3,FALSE)</f>
        <v>#N/A</v>
      </c>
      <c r="Q348" s="5" t="e">
        <f t="shared" ca="1" si="89"/>
        <v>#N/A</v>
      </c>
      <c r="R348" s="5" t="e">
        <f ca="1">IF(G348=0,INDEX(cards[object_id],MATCH($C348,cards[object_id order],0)),"")</f>
        <v>#N/A</v>
      </c>
      <c r="S348" s="5" t="e">
        <f ca="1">IF(G348=1,INDEX(cards[[name]:[control]],MATCH($C348,cards[object_id order],0),'Group code'!J348),"")</f>
        <v>#N/A</v>
      </c>
      <c r="T348" s="5" t="e">
        <f ca="1">IF(G348=3,INDEX(cards[[1]:[25]],MATCH($C348,cards[object_id order],0),'Group code'!I348),"")</f>
        <v>#N/A</v>
      </c>
      <c r="U348" s="5" t="e">
        <f ca="1">VLOOKUP(G348,'Group code'!$Z$9:$AC$13,4,FALSE)</f>
        <v>#N/A</v>
      </c>
      <c r="V348" s="5" t="e">
        <f ca="1">IF(J348="","",VLOOKUP(J348,'Group code'!$Z$15:$AC$18,4,FALSE))</f>
        <v>#N/A</v>
      </c>
      <c r="W348" s="23" t="str">
        <f t="shared" ca="1" si="90"/>
        <v/>
      </c>
      <c r="X348" s="5" t="str">
        <f t="shared" ca="1" si="77"/>
        <v/>
      </c>
    </row>
    <row r="349" spans="2:24" x14ac:dyDescent="0.25">
      <c r="B349" s="5">
        <f t="shared" si="78"/>
        <v>343</v>
      </c>
      <c r="C349" s="5" t="e">
        <f t="shared" ca="1" si="91"/>
        <v>#N/A</v>
      </c>
      <c r="D349" s="5" t="e">
        <f ca="1">INDEX(cards[Attribute Index],MATCH('Group code'!C349,cards[object_id order],0))</f>
        <v>#N/A</v>
      </c>
      <c r="E349" s="5" t="e">
        <f t="shared" ca="1" si="79"/>
        <v>#N/A</v>
      </c>
      <c r="F349" s="14" t="e">
        <f ca="1">INDEX(cards[Entities count],MATCH('Group code'!C349,cards[object_id order],0))</f>
        <v>#N/A</v>
      </c>
      <c r="G349" s="14" t="e">
        <f t="shared" ca="1" si="81"/>
        <v>#N/A</v>
      </c>
      <c r="H349" s="14" t="e">
        <f t="shared" ca="1" si="82"/>
        <v>#N/A</v>
      </c>
      <c r="I349" s="5" t="e">
        <f t="shared" ca="1" si="83"/>
        <v>#N/A</v>
      </c>
      <c r="J349" s="5" t="e">
        <f t="shared" ca="1" si="80"/>
        <v>#N/A</v>
      </c>
      <c r="K349" s="5" t="e">
        <f t="shared" ca="1" si="84"/>
        <v>#N/A</v>
      </c>
      <c r="L349" s="5" t="e">
        <f t="shared" ca="1" si="85"/>
        <v>#N/A</v>
      </c>
      <c r="M349" s="5" t="e">
        <f t="shared" ca="1" si="86"/>
        <v>#N/A</v>
      </c>
      <c r="N349" s="5" t="e">
        <f t="shared" ca="1" si="87"/>
        <v>#N/A</v>
      </c>
      <c r="O349" s="5" t="e">
        <f t="shared" ca="1" si="88"/>
        <v>#N/A</v>
      </c>
      <c r="P349" s="5" t="e">
        <f ca="1">VLOOKUP(G349,'Group code'!$Z$9:$AC$13,3,FALSE)</f>
        <v>#N/A</v>
      </c>
      <c r="Q349" s="5" t="e">
        <f t="shared" ca="1" si="89"/>
        <v>#N/A</v>
      </c>
      <c r="R349" s="5" t="e">
        <f ca="1">IF(G349=0,INDEX(cards[object_id],MATCH($C349,cards[object_id order],0)),"")</f>
        <v>#N/A</v>
      </c>
      <c r="S349" s="5" t="e">
        <f ca="1">IF(G349=1,INDEX(cards[[name]:[control]],MATCH($C349,cards[object_id order],0),'Group code'!J349),"")</f>
        <v>#N/A</v>
      </c>
      <c r="T349" s="5" t="e">
        <f ca="1">IF(G349=3,INDEX(cards[[1]:[25]],MATCH($C349,cards[object_id order],0),'Group code'!I349),"")</f>
        <v>#N/A</v>
      </c>
      <c r="U349" s="5" t="e">
        <f ca="1">VLOOKUP(G349,'Group code'!$Z$9:$AC$13,4,FALSE)</f>
        <v>#N/A</v>
      </c>
      <c r="V349" s="5" t="e">
        <f ca="1">IF(J349="","",VLOOKUP(J349,'Group code'!$Z$15:$AC$18,4,FALSE))</f>
        <v>#N/A</v>
      </c>
      <c r="W349" s="23" t="str">
        <f t="shared" ca="1" si="90"/>
        <v/>
      </c>
      <c r="X349" s="5" t="str">
        <f t="shared" ca="1" si="77"/>
        <v/>
      </c>
    </row>
    <row r="350" spans="2:24" x14ac:dyDescent="0.25">
      <c r="B350" s="5">
        <f t="shared" si="78"/>
        <v>344</v>
      </c>
      <c r="C350" s="5" t="e">
        <f t="shared" ca="1" si="91"/>
        <v>#N/A</v>
      </c>
      <c r="D350" s="5" t="e">
        <f ca="1">INDEX(cards[Attribute Index],MATCH('Group code'!C350,cards[object_id order],0))</f>
        <v>#N/A</v>
      </c>
      <c r="E350" s="5" t="e">
        <f t="shared" ca="1" si="79"/>
        <v>#N/A</v>
      </c>
      <c r="F350" s="14" t="e">
        <f ca="1">INDEX(cards[Entities count],MATCH('Group code'!C350,cards[object_id order],0))</f>
        <v>#N/A</v>
      </c>
      <c r="G350" s="14" t="e">
        <f t="shared" ca="1" si="81"/>
        <v>#N/A</v>
      </c>
      <c r="H350" s="14" t="e">
        <f t="shared" ca="1" si="82"/>
        <v>#N/A</v>
      </c>
      <c r="I350" s="5" t="e">
        <f t="shared" ca="1" si="83"/>
        <v>#N/A</v>
      </c>
      <c r="J350" s="5" t="e">
        <f t="shared" ca="1" si="80"/>
        <v>#N/A</v>
      </c>
      <c r="K350" s="5" t="e">
        <f t="shared" ca="1" si="84"/>
        <v>#N/A</v>
      </c>
      <c r="L350" s="5" t="e">
        <f t="shared" ca="1" si="85"/>
        <v>#N/A</v>
      </c>
      <c r="M350" s="5" t="e">
        <f t="shared" ca="1" si="86"/>
        <v>#N/A</v>
      </c>
      <c r="N350" s="5" t="e">
        <f t="shared" ca="1" si="87"/>
        <v>#N/A</v>
      </c>
      <c r="O350" s="5" t="e">
        <f t="shared" ca="1" si="88"/>
        <v>#N/A</v>
      </c>
      <c r="P350" s="5" t="e">
        <f ca="1">VLOOKUP(G350,'Group code'!$Z$9:$AC$13,3,FALSE)</f>
        <v>#N/A</v>
      </c>
      <c r="Q350" s="5" t="e">
        <f t="shared" ca="1" si="89"/>
        <v>#N/A</v>
      </c>
      <c r="R350" s="5" t="e">
        <f ca="1">IF(G350=0,INDEX(cards[object_id],MATCH($C350,cards[object_id order],0)),"")</f>
        <v>#N/A</v>
      </c>
      <c r="S350" s="5" t="e">
        <f ca="1">IF(G350=1,INDEX(cards[[name]:[control]],MATCH($C350,cards[object_id order],0),'Group code'!J350),"")</f>
        <v>#N/A</v>
      </c>
      <c r="T350" s="5" t="e">
        <f ca="1">IF(G350=3,INDEX(cards[[1]:[25]],MATCH($C350,cards[object_id order],0),'Group code'!I350),"")</f>
        <v>#N/A</v>
      </c>
      <c r="U350" s="5" t="e">
        <f ca="1">VLOOKUP(G350,'Group code'!$Z$9:$AC$13,4,FALSE)</f>
        <v>#N/A</v>
      </c>
      <c r="V350" s="5" t="e">
        <f ca="1">IF(J350="","",VLOOKUP(J350,'Group code'!$Z$15:$AC$18,4,FALSE))</f>
        <v>#N/A</v>
      </c>
      <c r="W350" s="23" t="str">
        <f t="shared" ca="1" si="90"/>
        <v/>
      </c>
      <c r="X350" s="5" t="str">
        <f t="shared" ca="1" si="77"/>
        <v/>
      </c>
    </row>
    <row r="351" spans="2:24" x14ac:dyDescent="0.25">
      <c r="B351" s="5">
        <f t="shared" si="78"/>
        <v>345</v>
      </c>
      <c r="C351" s="5" t="e">
        <f t="shared" ca="1" si="91"/>
        <v>#N/A</v>
      </c>
      <c r="D351" s="5" t="e">
        <f ca="1">INDEX(cards[Attribute Index],MATCH('Group code'!C351,cards[object_id order],0))</f>
        <v>#N/A</v>
      </c>
      <c r="E351" s="5" t="e">
        <f t="shared" ca="1" si="79"/>
        <v>#N/A</v>
      </c>
      <c r="F351" s="14" t="e">
        <f ca="1">INDEX(cards[Entities count],MATCH('Group code'!C351,cards[object_id order],0))</f>
        <v>#N/A</v>
      </c>
      <c r="G351" s="14" t="e">
        <f t="shared" ca="1" si="81"/>
        <v>#N/A</v>
      </c>
      <c r="H351" s="14" t="e">
        <f t="shared" ca="1" si="82"/>
        <v>#N/A</v>
      </c>
      <c r="I351" s="5" t="e">
        <f t="shared" ca="1" si="83"/>
        <v>#N/A</v>
      </c>
      <c r="J351" s="5" t="e">
        <f t="shared" ca="1" si="80"/>
        <v>#N/A</v>
      </c>
      <c r="K351" s="5" t="e">
        <f t="shared" ca="1" si="84"/>
        <v>#N/A</v>
      </c>
      <c r="L351" s="5" t="e">
        <f t="shared" ca="1" si="85"/>
        <v>#N/A</v>
      </c>
      <c r="M351" s="5" t="e">
        <f t="shared" ca="1" si="86"/>
        <v>#N/A</v>
      </c>
      <c r="N351" s="5" t="e">
        <f t="shared" ca="1" si="87"/>
        <v>#N/A</v>
      </c>
      <c r="O351" s="5" t="e">
        <f t="shared" ca="1" si="88"/>
        <v>#N/A</v>
      </c>
      <c r="P351" s="5" t="e">
        <f ca="1">VLOOKUP(G351,'Group code'!$Z$9:$AC$13,3,FALSE)</f>
        <v>#N/A</v>
      </c>
      <c r="Q351" s="5" t="e">
        <f t="shared" ca="1" si="89"/>
        <v>#N/A</v>
      </c>
      <c r="R351" s="5" t="e">
        <f ca="1">IF(G351=0,INDEX(cards[object_id],MATCH($C351,cards[object_id order],0)),"")</f>
        <v>#N/A</v>
      </c>
      <c r="S351" s="5" t="e">
        <f ca="1">IF(G351=1,INDEX(cards[[name]:[control]],MATCH($C351,cards[object_id order],0),'Group code'!J351),"")</f>
        <v>#N/A</v>
      </c>
      <c r="T351" s="5" t="e">
        <f ca="1">IF(G351=3,INDEX(cards[[1]:[25]],MATCH($C351,cards[object_id order],0),'Group code'!I351),"")</f>
        <v>#N/A</v>
      </c>
      <c r="U351" s="5" t="e">
        <f ca="1">VLOOKUP(G351,'Group code'!$Z$9:$AC$13,4,FALSE)</f>
        <v>#N/A</v>
      </c>
      <c r="V351" s="5" t="e">
        <f ca="1">IF(J351="","",VLOOKUP(J351,'Group code'!$Z$15:$AC$18,4,FALSE))</f>
        <v>#N/A</v>
      </c>
      <c r="W351" s="23" t="str">
        <f t="shared" ca="1" si="90"/>
        <v/>
      </c>
      <c r="X351" s="5" t="str">
        <f t="shared" ca="1" si="77"/>
        <v/>
      </c>
    </row>
    <row r="352" spans="2:24" x14ac:dyDescent="0.25">
      <c r="B352" s="5">
        <f t="shared" si="78"/>
        <v>346</v>
      </c>
      <c r="C352" s="5" t="e">
        <f t="shared" ca="1" si="91"/>
        <v>#N/A</v>
      </c>
      <c r="D352" s="5" t="e">
        <f ca="1">INDEX(cards[Attribute Index],MATCH('Group code'!C352,cards[object_id order],0))</f>
        <v>#N/A</v>
      </c>
      <c r="E352" s="5" t="e">
        <f t="shared" ca="1" si="79"/>
        <v>#N/A</v>
      </c>
      <c r="F352" s="14" t="e">
        <f ca="1">INDEX(cards[Entities count],MATCH('Group code'!C352,cards[object_id order],0))</f>
        <v>#N/A</v>
      </c>
      <c r="G352" s="14" t="e">
        <f t="shared" ca="1" si="81"/>
        <v>#N/A</v>
      </c>
      <c r="H352" s="14" t="e">
        <f t="shared" ca="1" si="82"/>
        <v>#N/A</v>
      </c>
      <c r="I352" s="5" t="e">
        <f t="shared" ca="1" si="83"/>
        <v>#N/A</v>
      </c>
      <c r="J352" s="5" t="e">
        <f t="shared" ca="1" si="80"/>
        <v>#N/A</v>
      </c>
      <c r="K352" s="5" t="e">
        <f t="shared" ca="1" si="84"/>
        <v>#N/A</v>
      </c>
      <c r="L352" s="5" t="e">
        <f t="shared" ca="1" si="85"/>
        <v>#N/A</v>
      </c>
      <c r="M352" s="5" t="e">
        <f t="shared" ca="1" si="86"/>
        <v>#N/A</v>
      </c>
      <c r="N352" s="5" t="e">
        <f t="shared" ca="1" si="87"/>
        <v>#N/A</v>
      </c>
      <c r="O352" s="5" t="e">
        <f t="shared" ca="1" si="88"/>
        <v>#N/A</v>
      </c>
      <c r="P352" s="5" t="e">
        <f ca="1">VLOOKUP(G352,'Group code'!$Z$9:$AC$13,3,FALSE)</f>
        <v>#N/A</v>
      </c>
      <c r="Q352" s="5" t="e">
        <f t="shared" ca="1" si="89"/>
        <v>#N/A</v>
      </c>
      <c r="R352" s="5" t="e">
        <f ca="1">IF(G352=0,INDEX(cards[object_id],MATCH($C352,cards[object_id order],0)),"")</f>
        <v>#N/A</v>
      </c>
      <c r="S352" s="5" t="e">
        <f ca="1">IF(G352=1,INDEX(cards[[name]:[control]],MATCH($C352,cards[object_id order],0),'Group code'!J352),"")</f>
        <v>#N/A</v>
      </c>
      <c r="T352" s="5" t="e">
        <f ca="1">IF(G352=3,INDEX(cards[[1]:[25]],MATCH($C352,cards[object_id order],0),'Group code'!I352),"")</f>
        <v>#N/A</v>
      </c>
      <c r="U352" s="5" t="e">
        <f ca="1">VLOOKUP(G352,'Group code'!$Z$9:$AC$13,4,FALSE)</f>
        <v>#N/A</v>
      </c>
      <c r="V352" s="5" t="e">
        <f ca="1">IF(J352="","",VLOOKUP(J352,'Group code'!$Z$15:$AC$18,4,FALSE))</f>
        <v>#N/A</v>
      </c>
      <c r="W352" s="23" t="str">
        <f t="shared" ca="1" si="90"/>
        <v/>
      </c>
      <c r="X352" s="5" t="str">
        <f t="shared" ca="1" si="77"/>
        <v/>
      </c>
    </row>
    <row r="353" spans="2:24" x14ac:dyDescent="0.25">
      <c r="B353" s="5">
        <f t="shared" si="78"/>
        <v>347</v>
      </c>
      <c r="C353" s="5" t="e">
        <f t="shared" ca="1" si="91"/>
        <v>#N/A</v>
      </c>
      <c r="D353" s="5" t="e">
        <f ca="1">INDEX(cards[Attribute Index],MATCH('Group code'!C353,cards[object_id order],0))</f>
        <v>#N/A</v>
      </c>
      <c r="E353" s="5" t="e">
        <f t="shared" ca="1" si="79"/>
        <v>#N/A</v>
      </c>
      <c r="F353" s="14" t="e">
        <f ca="1">INDEX(cards[Entities count],MATCH('Group code'!C353,cards[object_id order],0))</f>
        <v>#N/A</v>
      </c>
      <c r="G353" s="14" t="e">
        <f t="shared" ca="1" si="81"/>
        <v>#N/A</v>
      </c>
      <c r="H353" s="14" t="e">
        <f t="shared" ca="1" si="82"/>
        <v>#N/A</v>
      </c>
      <c r="I353" s="5" t="e">
        <f t="shared" ca="1" si="83"/>
        <v>#N/A</v>
      </c>
      <c r="J353" s="5" t="e">
        <f t="shared" ca="1" si="80"/>
        <v>#N/A</v>
      </c>
      <c r="K353" s="5" t="e">
        <f t="shared" ca="1" si="84"/>
        <v>#N/A</v>
      </c>
      <c r="L353" s="5" t="e">
        <f t="shared" ca="1" si="85"/>
        <v>#N/A</v>
      </c>
      <c r="M353" s="5" t="e">
        <f t="shared" ca="1" si="86"/>
        <v>#N/A</v>
      </c>
      <c r="N353" s="5" t="e">
        <f t="shared" ca="1" si="87"/>
        <v>#N/A</v>
      </c>
      <c r="O353" s="5" t="e">
        <f t="shared" ca="1" si="88"/>
        <v>#N/A</v>
      </c>
      <c r="P353" s="5" t="e">
        <f ca="1">VLOOKUP(G353,'Group code'!$Z$9:$AC$13,3,FALSE)</f>
        <v>#N/A</v>
      </c>
      <c r="Q353" s="5" t="e">
        <f t="shared" ca="1" si="89"/>
        <v>#N/A</v>
      </c>
      <c r="R353" s="5" t="e">
        <f ca="1">IF(G353=0,INDEX(cards[object_id],MATCH($C353,cards[object_id order],0)),"")</f>
        <v>#N/A</v>
      </c>
      <c r="S353" s="5" t="e">
        <f ca="1">IF(G353=1,INDEX(cards[[name]:[control]],MATCH($C353,cards[object_id order],0),'Group code'!J353),"")</f>
        <v>#N/A</v>
      </c>
      <c r="T353" s="5" t="e">
        <f ca="1">IF(G353=3,INDEX(cards[[1]:[25]],MATCH($C353,cards[object_id order],0),'Group code'!I353),"")</f>
        <v>#N/A</v>
      </c>
      <c r="U353" s="5" t="e">
        <f ca="1">VLOOKUP(G353,'Group code'!$Z$9:$AC$13,4,FALSE)</f>
        <v>#N/A</v>
      </c>
      <c r="V353" s="5" t="e">
        <f ca="1">IF(J353="","",VLOOKUP(J353,'Group code'!$Z$15:$AC$18,4,FALSE))</f>
        <v>#N/A</v>
      </c>
      <c r="W353" s="23" t="str">
        <f t="shared" ca="1" si="90"/>
        <v/>
      </c>
      <c r="X353" s="5" t="str">
        <f t="shared" ca="1" si="77"/>
        <v/>
      </c>
    </row>
    <row r="354" spans="2:24" x14ac:dyDescent="0.25">
      <c r="B354" s="5">
        <f t="shared" si="78"/>
        <v>348</v>
      </c>
      <c r="C354" s="5" t="e">
        <f t="shared" ca="1" si="91"/>
        <v>#N/A</v>
      </c>
      <c r="D354" s="5" t="e">
        <f ca="1">INDEX(cards[Attribute Index],MATCH('Group code'!C354,cards[object_id order],0))</f>
        <v>#N/A</v>
      </c>
      <c r="E354" s="5" t="e">
        <f t="shared" ca="1" si="79"/>
        <v>#N/A</v>
      </c>
      <c r="F354" s="14" t="e">
        <f ca="1">INDEX(cards[Entities count],MATCH('Group code'!C354,cards[object_id order],0))</f>
        <v>#N/A</v>
      </c>
      <c r="G354" s="14" t="e">
        <f t="shared" ca="1" si="81"/>
        <v>#N/A</v>
      </c>
      <c r="H354" s="14" t="e">
        <f t="shared" ca="1" si="82"/>
        <v>#N/A</v>
      </c>
      <c r="I354" s="5" t="e">
        <f t="shared" ca="1" si="83"/>
        <v>#N/A</v>
      </c>
      <c r="J354" s="5" t="e">
        <f t="shared" ca="1" si="80"/>
        <v>#N/A</v>
      </c>
      <c r="K354" s="5" t="e">
        <f t="shared" ca="1" si="84"/>
        <v>#N/A</v>
      </c>
      <c r="L354" s="5" t="e">
        <f t="shared" ca="1" si="85"/>
        <v>#N/A</v>
      </c>
      <c r="M354" s="5" t="e">
        <f t="shared" ca="1" si="86"/>
        <v>#N/A</v>
      </c>
      <c r="N354" s="5" t="e">
        <f t="shared" ca="1" si="87"/>
        <v>#N/A</v>
      </c>
      <c r="O354" s="5" t="e">
        <f t="shared" ca="1" si="88"/>
        <v>#N/A</v>
      </c>
      <c r="P354" s="5" t="e">
        <f ca="1">VLOOKUP(G354,'Group code'!$Z$9:$AC$13,3,FALSE)</f>
        <v>#N/A</v>
      </c>
      <c r="Q354" s="5" t="e">
        <f t="shared" ca="1" si="89"/>
        <v>#N/A</v>
      </c>
      <c r="R354" s="5" t="e">
        <f ca="1">IF(G354=0,INDEX(cards[object_id],MATCH($C354,cards[object_id order],0)),"")</f>
        <v>#N/A</v>
      </c>
      <c r="S354" s="5" t="e">
        <f ca="1">IF(G354=1,INDEX(cards[[name]:[control]],MATCH($C354,cards[object_id order],0),'Group code'!J354),"")</f>
        <v>#N/A</v>
      </c>
      <c r="T354" s="5" t="e">
        <f ca="1">IF(G354=3,INDEX(cards[[1]:[25]],MATCH($C354,cards[object_id order],0),'Group code'!I354),"")</f>
        <v>#N/A</v>
      </c>
      <c r="U354" s="5" t="e">
        <f ca="1">VLOOKUP(G354,'Group code'!$Z$9:$AC$13,4,FALSE)</f>
        <v>#N/A</v>
      </c>
      <c r="V354" s="5" t="e">
        <f ca="1">IF(J354="","",VLOOKUP(J354,'Group code'!$Z$15:$AC$18,4,FALSE))</f>
        <v>#N/A</v>
      </c>
      <c r="W354" s="23" t="str">
        <f t="shared" ca="1" si="90"/>
        <v/>
      </c>
      <c r="X354" s="5" t="str">
        <f t="shared" ca="1" si="77"/>
        <v/>
      </c>
    </row>
    <row r="355" spans="2:24" x14ac:dyDescent="0.25">
      <c r="B355" s="5">
        <f t="shared" si="78"/>
        <v>349</v>
      </c>
      <c r="C355" s="5" t="e">
        <f t="shared" ca="1" si="91"/>
        <v>#N/A</v>
      </c>
      <c r="D355" s="5" t="e">
        <f ca="1">INDEX(cards[Attribute Index],MATCH('Group code'!C355,cards[object_id order],0))</f>
        <v>#N/A</v>
      </c>
      <c r="E355" s="5" t="e">
        <f t="shared" ca="1" si="79"/>
        <v>#N/A</v>
      </c>
      <c r="F355" s="14" t="e">
        <f ca="1">INDEX(cards[Entities count],MATCH('Group code'!C355,cards[object_id order],0))</f>
        <v>#N/A</v>
      </c>
      <c r="G355" s="14" t="e">
        <f t="shared" ca="1" si="81"/>
        <v>#N/A</v>
      </c>
      <c r="H355" s="14" t="e">
        <f t="shared" ca="1" si="82"/>
        <v>#N/A</v>
      </c>
      <c r="I355" s="5" t="e">
        <f t="shared" ca="1" si="83"/>
        <v>#N/A</v>
      </c>
      <c r="J355" s="5" t="e">
        <f t="shared" ca="1" si="80"/>
        <v>#N/A</v>
      </c>
      <c r="K355" s="5" t="e">
        <f t="shared" ca="1" si="84"/>
        <v>#N/A</v>
      </c>
      <c r="L355" s="5" t="e">
        <f t="shared" ca="1" si="85"/>
        <v>#N/A</v>
      </c>
      <c r="M355" s="5" t="e">
        <f t="shared" ca="1" si="86"/>
        <v>#N/A</v>
      </c>
      <c r="N355" s="5" t="e">
        <f t="shared" ca="1" si="87"/>
        <v>#N/A</v>
      </c>
      <c r="O355" s="5" t="e">
        <f t="shared" ca="1" si="88"/>
        <v>#N/A</v>
      </c>
      <c r="P355" s="5" t="e">
        <f ca="1">VLOOKUP(G355,'Group code'!$Z$9:$AC$13,3,FALSE)</f>
        <v>#N/A</v>
      </c>
      <c r="Q355" s="5" t="e">
        <f t="shared" ca="1" si="89"/>
        <v>#N/A</v>
      </c>
      <c r="R355" s="5" t="e">
        <f ca="1">IF(G355=0,INDEX(cards[object_id],MATCH($C355,cards[object_id order],0)),"")</f>
        <v>#N/A</v>
      </c>
      <c r="S355" s="5" t="e">
        <f ca="1">IF(G355=1,INDEX(cards[[name]:[control]],MATCH($C355,cards[object_id order],0),'Group code'!J355),"")</f>
        <v>#N/A</v>
      </c>
      <c r="T355" s="5" t="e">
        <f ca="1">IF(G355=3,INDEX(cards[[1]:[25]],MATCH($C355,cards[object_id order],0),'Group code'!I355),"")</f>
        <v>#N/A</v>
      </c>
      <c r="U355" s="5" t="e">
        <f ca="1">VLOOKUP(G355,'Group code'!$Z$9:$AC$13,4,FALSE)</f>
        <v>#N/A</v>
      </c>
      <c r="V355" s="5" t="e">
        <f ca="1">IF(J355="","",VLOOKUP(J355,'Group code'!$Z$15:$AC$18,4,FALSE))</f>
        <v>#N/A</v>
      </c>
      <c r="W355" s="23" t="str">
        <f t="shared" ca="1" si="90"/>
        <v/>
      </c>
      <c r="X355" s="5" t="str">
        <f t="shared" ca="1" si="77"/>
        <v/>
      </c>
    </row>
    <row r="356" spans="2:24" x14ac:dyDescent="0.25">
      <c r="B356" s="5">
        <f t="shared" si="78"/>
        <v>350</v>
      </c>
      <c r="C356" s="5" t="e">
        <f t="shared" ca="1" si="91"/>
        <v>#N/A</v>
      </c>
      <c r="D356" s="5" t="e">
        <f ca="1">INDEX(cards[Attribute Index],MATCH('Group code'!C356,cards[object_id order],0))</f>
        <v>#N/A</v>
      </c>
      <c r="E356" s="5" t="e">
        <f t="shared" ca="1" si="79"/>
        <v>#N/A</v>
      </c>
      <c r="F356" s="14" t="e">
        <f ca="1">INDEX(cards[Entities count],MATCH('Group code'!C356,cards[object_id order],0))</f>
        <v>#N/A</v>
      </c>
      <c r="G356" s="14" t="e">
        <f t="shared" ca="1" si="81"/>
        <v>#N/A</v>
      </c>
      <c r="H356" s="14" t="e">
        <f t="shared" ca="1" si="82"/>
        <v>#N/A</v>
      </c>
      <c r="I356" s="5" t="e">
        <f t="shared" ca="1" si="83"/>
        <v>#N/A</v>
      </c>
      <c r="J356" s="5" t="e">
        <f t="shared" ca="1" si="80"/>
        <v>#N/A</v>
      </c>
      <c r="K356" s="5" t="e">
        <f t="shared" ca="1" si="84"/>
        <v>#N/A</v>
      </c>
      <c r="L356" s="5" t="e">
        <f t="shared" ca="1" si="85"/>
        <v>#N/A</v>
      </c>
      <c r="M356" s="5" t="e">
        <f t="shared" ca="1" si="86"/>
        <v>#N/A</v>
      </c>
      <c r="N356" s="5" t="e">
        <f t="shared" ca="1" si="87"/>
        <v>#N/A</v>
      </c>
      <c r="O356" s="5" t="e">
        <f t="shared" ca="1" si="88"/>
        <v>#N/A</v>
      </c>
      <c r="P356" s="5" t="e">
        <f ca="1">VLOOKUP(G356,'Group code'!$Z$9:$AC$13,3,FALSE)</f>
        <v>#N/A</v>
      </c>
      <c r="Q356" s="5" t="e">
        <f t="shared" ca="1" si="89"/>
        <v>#N/A</v>
      </c>
      <c r="R356" s="5" t="e">
        <f ca="1">IF(G356=0,INDEX(cards[object_id],MATCH($C356,cards[object_id order],0)),"")</f>
        <v>#N/A</v>
      </c>
      <c r="S356" s="5" t="e">
        <f ca="1">IF(G356=1,INDEX(cards[[name]:[control]],MATCH($C356,cards[object_id order],0),'Group code'!J356),"")</f>
        <v>#N/A</v>
      </c>
      <c r="T356" s="5" t="e">
        <f ca="1">IF(G356=3,INDEX(cards[[1]:[25]],MATCH($C356,cards[object_id order],0),'Group code'!I356),"")</f>
        <v>#N/A</v>
      </c>
      <c r="U356" s="5" t="e">
        <f ca="1">VLOOKUP(G356,'Group code'!$Z$9:$AC$13,4,FALSE)</f>
        <v>#N/A</v>
      </c>
      <c r="V356" s="5" t="e">
        <f ca="1">IF(J356="","",VLOOKUP(J356,'Group code'!$Z$15:$AC$18,4,FALSE))</f>
        <v>#N/A</v>
      </c>
      <c r="W356" s="23" t="str">
        <f t="shared" ca="1" si="90"/>
        <v/>
      </c>
      <c r="X356" s="5" t="str">
        <f t="shared" ca="1" si="77"/>
        <v/>
      </c>
    </row>
    <row r="357" spans="2:24" x14ac:dyDescent="0.25">
      <c r="B357" s="5">
        <f t="shared" si="78"/>
        <v>351</v>
      </c>
      <c r="C357" s="5" t="e">
        <f t="shared" ca="1" si="91"/>
        <v>#N/A</v>
      </c>
      <c r="D357" s="5" t="e">
        <f ca="1">INDEX(cards[Attribute Index],MATCH('Group code'!C357,cards[object_id order],0))</f>
        <v>#N/A</v>
      </c>
      <c r="E357" s="5" t="e">
        <f t="shared" ca="1" si="79"/>
        <v>#N/A</v>
      </c>
      <c r="F357" s="14" t="e">
        <f ca="1">INDEX(cards[Entities count],MATCH('Group code'!C357,cards[object_id order],0))</f>
        <v>#N/A</v>
      </c>
      <c r="G357" s="14" t="e">
        <f t="shared" ca="1" si="81"/>
        <v>#N/A</v>
      </c>
      <c r="H357" s="14" t="e">
        <f t="shared" ca="1" si="82"/>
        <v>#N/A</v>
      </c>
      <c r="I357" s="5" t="e">
        <f t="shared" ca="1" si="83"/>
        <v>#N/A</v>
      </c>
      <c r="J357" s="5" t="e">
        <f t="shared" ca="1" si="80"/>
        <v>#N/A</v>
      </c>
      <c r="K357" s="5" t="e">
        <f t="shared" ca="1" si="84"/>
        <v>#N/A</v>
      </c>
      <c r="L357" s="5" t="e">
        <f t="shared" ca="1" si="85"/>
        <v>#N/A</v>
      </c>
      <c r="M357" s="5" t="e">
        <f t="shared" ca="1" si="86"/>
        <v>#N/A</v>
      </c>
      <c r="N357" s="5" t="e">
        <f t="shared" ca="1" si="87"/>
        <v>#N/A</v>
      </c>
      <c r="O357" s="5" t="e">
        <f t="shared" ca="1" si="88"/>
        <v>#N/A</v>
      </c>
      <c r="P357" s="5" t="e">
        <f ca="1">VLOOKUP(G357,'Group code'!$Z$9:$AC$13,3,FALSE)</f>
        <v>#N/A</v>
      </c>
      <c r="Q357" s="5" t="e">
        <f t="shared" ca="1" si="89"/>
        <v>#N/A</v>
      </c>
      <c r="R357" s="5" t="e">
        <f ca="1">IF(G357=0,INDEX(cards[object_id],MATCH($C357,cards[object_id order],0)),"")</f>
        <v>#N/A</v>
      </c>
      <c r="S357" s="5" t="e">
        <f ca="1">IF(G357=1,INDEX(cards[[name]:[control]],MATCH($C357,cards[object_id order],0),'Group code'!J357),"")</f>
        <v>#N/A</v>
      </c>
      <c r="T357" s="5" t="e">
        <f ca="1">IF(G357=3,INDEX(cards[[1]:[25]],MATCH($C357,cards[object_id order],0),'Group code'!I357),"")</f>
        <v>#N/A</v>
      </c>
      <c r="U357" s="5" t="e">
        <f ca="1">VLOOKUP(G357,'Group code'!$Z$9:$AC$13,4,FALSE)</f>
        <v>#N/A</v>
      </c>
      <c r="V357" s="5" t="e">
        <f ca="1">IF(J357="","",VLOOKUP(J357,'Group code'!$Z$15:$AC$18,4,FALSE))</f>
        <v>#N/A</v>
      </c>
      <c r="W357" s="23" t="str">
        <f t="shared" ca="1" si="90"/>
        <v/>
      </c>
      <c r="X357" s="5" t="str">
        <f t="shared" ca="1" si="77"/>
        <v/>
      </c>
    </row>
    <row r="358" spans="2:24" x14ac:dyDescent="0.25">
      <c r="B358" s="5">
        <f t="shared" si="78"/>
        <v>352</v>
      </c>
      <c r="C358" s="5" t="e">
        <f t="shared" ca="1" si="91"/>
        <v>#N/A</v>
      </c>
      <c r="D358" s="5" t="e">
        <f ca="1">INDEX(cards[Attribute Index],MATCH('Group code'!C358,cards[object_id order],0))</f>
        <v>#N/A</v>
      </c>
      <c r="E358" s="5" t="e">
        <f t="shared" ca="1" si="79"/>
        <v>#N/A</v>
      </c>
      <c r="F358" s="14" t="e">
        <f ca="1">INDEX(cards[Entities count],MATCH('Group code'!C358,cards[object_id order],0))</f>
        <v>#N/A</v>
      </c>
      <c r="G358" s="14" t="e">
        <f t="shared" ca="1" si="81"/>
        <v>#N/A</v>
      </c>
      <c r="H358" s="14" t="e">
        <f t="shared" ca="1" si="82"/>
        <v>#N/A</v>
      </c>
      <c r="I358" s="5" t="e">
        <f t="shared" ca="1" si="83"/>
        <v>#N/A</v>
      </c>
      <c r="J358" s="5" t="e">
        <f t="shared" ca="1" si="80"/>
        <v>#N/A</v>
      </c>
      <c r="K358" s="5" t="e">
        <f t="shared" ca="1" si="84"/>
        <v>#N/A</v>
      </c>
      <c r="L358" s="5" t="e">
        <f t="shared" ca="1" si="85"/>
        <v>#N/A</v>
      </c>
      <c r="M358" s="5" t="e">
        <f t="shared" ca="1" si="86"/>
        <v>#N/A</v>
      </c>
      <c r="N358" s="5" t="e">
        <f t="shared" ca="1" si="87"/>
        <v>#N/A</v>
      </c>
      <c r="O358" s="5" t="e">
        <f t="shared" ca="1" si="88"/>
        <v>#N/A</v>
      </c>
      <c r="P358" s="5" t="e">
        <f ca="1">VLOOKUP(G358,'Group code'!$Z$9:$AC$13,3,FALSE)</f>
        <v>#N/A</v>
      </c>
      <c r="Q358" s="5" t="e">
        <f t="shared" ca="1" si="89"/>
        <v>#N/A</v>
      </c>
      <c r="R358" s="5" t="e">
        <f ca="1">IF(G358=0,INDEX(cards[object_id],MATCH($C358,cards[object_id order],0)),"")</f>
        <v>#N/A</v>
      </c>
      <c r="S358" s="5" t="e">
        <f ca="1">IF(G358=1,INDEX(cards[[name]:[control]],MATCH($C358,cards[object_id order],0),'Group code'!J358),"")</f>
        <v>#N/A</v>
      </c>
      <c r="T358" s="5" t="e">
        <f ca="1">IF(G358=3,INDEX(cards[[1]:[25]],MATCH($C358,cards[object_id order],0),'Group code'!I358),"")</f>
        <v>#N/A</v>
      </c>
      <c r="U358" s="5" t="e">
        <f ca="1">VLOOKUP(G358,'Group code'!$Z$9:$AC$13,4,FALSE)</f>
        <v>#N/A</v>
      </c>
      <c r="V358" s="5" t="e">
        <f ca="1">IF(J358="","",VLOOKUP(J358,'Group code'!$Z$15:$AC$18,4,FALSE))</f>
        <v>#N/A</v>
      </c>
      <c r="W358" s="23" t="str">
        <f t="shared" ca="1" si="90"/>
        <v/>
      </c>
      <c r="X358" s="5" t="str">
        <f t="shared" ca="1" si="77"/>
        <v/>
      </c>
    </row>
    <row r="359" spans="2:24" x14ac:dyDescent="0.25">
      <c r="B359" s="5">
        <f t="shared" si="78"/>
        <v>353</v>
      </c>
      <c r="C359" s="5" t="e">
        <f t="shared" ca="1" si="91"/>
        <v>#N/A</v>
      </c>
      <c r="D359" s="5" t="e">
        <f ca="1">INDEX(cards[Attribute Index],MATCH('Group code'!C359,cards[object_id order],0))</f>
        <v>#N/A</v>
      </c>
      <c r="E359" s="5" t="e">
        <f t="shared" ca="1" si="79"/>
        <v>#N/A</v>
      </c>
      <c r="F359" s="14" t="e">
        <f ca="1">INDEX(cards[Entities count],MATCH('Group code'!C359,cards[object_id order],0))</f>
        <v>#N/A</v>
      </c>
      <c r="G359" s="14" t="e">
        <f t="shared" ca="1" si="81"/>
        <v>#N/A</v>
      </c>
      <c r="H359" s="14" t="e">
        <f t="shared" ca="1" si="82"/>
        <v>#N/A</v>
      </c>
      <c r="I359" s="5" t="e">
        <f t="shared" ca="1" si="83"/>
        <v>#N/A</v>
      </c>
      <c r="J359" s="5" t="e">
        <f t="shared" ca="1" si="80"/>
        <v>#N/A</v>
      </c>
      <c r="K359" s="5" t="e">
        <f t="shared" ca="1" si="84"/>
        <v>#N/A</v>
      </c>
      <c r="L359" s="5" t="e">
        <f t="shared" ca="1" si="85"/>
        <v>#N/A</v>
      </c>
      <c r="M359" s="5" t="e">
        <f t="shared" ca="1" si="86"/>
        <v>#N/A</v>
      </c>
      <c r="N359" s="5" t="e">
        <f t="shared" ca="1" si="87"/>
        <v>#N/A</v>
      </c>
      <c r="O359" s="5" t="e">
        <f t="shared" ca="1" si="88"/>
        <v>#N/A</v>
      </c>
      <c r="P359" s="5" t="e">
        <f ca="1">VLOOKUP(G359,'Group code'!$Z$9:$AC$13,3,FALSE)</f>
        <v>#N/A</v>
      </c>
      <c r="Q359" s="5" t="e">
        <f t="shared" ca="1" si="89"/>
        <v>#N/A</v>
      </c>
      <c r="R359" s="5" t="e">
        <f ca="1">IF(G359=0,INDEX(cards[object_id],MATCH($C359,cards[object_id order],0)),"")</f>
        <v>#N/A</v>
      </c>
      <c r="S359" s="5" t="e">
        <f ca="1">IF(G359=1,INDEX(cards[[name]:[control]],MATCH($C359,cards[object_id order],0),'Group code'!J359),"")</f>
        <v>#N/A</v>
      </c>
      <c r="T359" s="5" t="e">
        <f ca="1">IF(G359=3,INDEX(cards[[1]:[25]],MATCH($C359,cards[object_id order],0),'Group code'!I359),"")</f>
        <v>#N/A</v>
      </c>
      <c r="U359" s="5" t="e">
        <f ca="1">VLOOKUP(G359,'Group code'!$Z$9:$AC$13,4,FALSE)</f>
        <v>#N/A</v>
      </c>
      <c r="V359" s="5" t="e">
        <f ca="1">IF(J359="","",VLOOKUP(J359,'Group code'!$Z$15:$AC$18,4,FALSE))</f>
        <v>#N/A</v>
      </c>
      <c r="W359" s="23" t="str">
        <f t="shared" ca="1" si="90"/>
        <v/>
      </c>
      <c r="X359" s="5" t="str">
        <f t="shared" ca="1" si="77"/>
        <v/>
      </c>
    </row>
    <row r="360" spans="2:24" x14ac:dyDescent="0.25">
      <c r="B360" s="5">
        <f t="shared" si="78"/>
        <v>354</v>
      </c>
      <c r="C360" s="5" t="e">
        <f t="shared" ca="1" si="91"/>
        <v>#N/A</v>
      </c>
      <c r="D360" s="5" t="e">
        <f ca="1">INDEX(cards[Attribute Index],MATCH('Group code'!C360,cards[object_id order],0))</f>
        <v>#N/A</v>
      </c>
      <c r="E360" s="5" t="e">
        <f t="shared" ca="1" si="79"/>
        <v>#N/A</v>
      </c>
      <c r="F360" s="14" t="e">
        <f ca="1">INDEX(cards[Entities count],MATCH('Group code'!C360,cards[object_id order],0))</f>
        <v>#N/A</v>
      </c>
      <c r="G360" s="14" t="e">
        <f t="shared" ca="1" si="81"/>
        <v>#N/A</v>
      </c>
      <c r="H360" s="14" t="e">
        <f t="shared" ca="1" si="82"/>
        <v>#N/A</v>
      </c>
      <c r="I360" s="5" t="e">
        <f t="shared" ca="1" si="83"/>
        <v>#N/A</v>
      </c>
      <c r="J360" s="5" t="e">
        <f t="shared" ca="1" si="80"/>
        <v>#N/A</v>
      </c>
      <c r="K360" s="5" t="e">
        <f t="shared" ca="1" si="84"/>
        <v>#N/A</v>
      </c>
      <c r="L360" s="5" t="e">
        <f t="shared" ca="1" si="85"/>
        <v>#N/A</v>
      </c>
      <c r="M360" s="5" t="e">
        <f t="shared" ca="1" si="86"/>
        <v>#N/A</v>
      </c>
      <c r="N360" s="5" t="e">
        <f t="shared" ca="1" si="87"/>
        <v>#N/A</v>
      </c>
      <c r="O360" s="5" t="e">
        <f t="shared" ca="1" si="88"/>
        <v>#N/A</v>
      </c>
      <c r="P360" s="5" t="e">
        <f ca="1">VLOOKUP(G360,'Group code'!$Z$9:$AC$13,3,FALSE)</f>
        <v>#N/A</v>
      </c>
      <c r="Q360" s="5" t="e">
        <f t="shared" ca="1" si="89"/>
        <v>#N/A</v>
      </c>
      <c r="R360" s="5" t="e">
        <f ca="1">IF(G360=0,INDEX(cards[object_id],MATCH($C360,cards[object_id order],0)),"")</f>
        <v>#N/A</v>
      </c>
      <c r="S360" s="5" t="e">
        <f ca="1">IF(G360=1,INDEX(cards[[name]:[control]],MATCH($C360,cards[object_id order],0),'Group code'!J360),"")</f>
        <v>#N/A</v>
      </c>
      <c r="T360" s="5" t="e">
        <f ca="1">IF(G360=3,INDEX(cards[[1]:[25]],MATCH($C360,cards[object_id order],0),'Group code'!I360),"")</f>
        <v>#N/A</v>
      </c>
      <c r="U360" s="5" t="e">
        <f ca="1">VLOOKUP(G360,'Group code'!$Z$9:$AC$13,4,FALSE)</f>
        <v>#N/A</v>
      </c>
      <c r="V360" s="5" t="e">
        <f ca="1">IF(J360="","",VLOOKUP(J360,'Group code'!$Z$15:$AC$18,4,FALSE))</f>
        <v>#N/A</v>
      </c>
      <c r="W360" s="23" t="str">
        <f t="shared" ca="1" si="90"/>
        <v/>
      </c>
      <c r="X360" s="5" t="str">
        <f t="shared" ca="1" si="77"/>
        <v/>
      </c>
    </row>
    <row r="361" spans="2:24" x14ac:dyDescent="0.25">
      <c r="B361" s="5">
        <f t="shared" si="78"/>
        <v>355</v>
      </c>
      <c r="C361" s="5" t="e">
        <f t="shared" ca="1" si="91"/>
        <v>#N/A</v>
      </c>
      <c r="D361" s="5" t="e">
        <f ca="1">INDEX(cards[Attribute Index],MATCH('Group code'!C361,cards[object_id order],0))</f>
        <v>#N/A</v>
      </c>
      <c r="E361" s="5" t="e">
        <f t="shared" ca="1" si="79"/>
        <v>#N/A</v>
      </c>
      <c r="F361" s="14" t="e">
        <f ca="1">INDEX(cards[Entities count],MATCH('Group code'!C361,cards[object_id order],0))</f>
        <v>#N/A</v>
      </c>
      <c r="G361" s="14" t="e">
        <f t="shared" ca="1" si="81"/>
        <v>#N/A</v>
      </c>
      <c r="H361" s="14" t="e">
        <f t="shared" ca="1" si="82"/>
        <v>#N/A</v>
      </c>
      <c r="I361" s="5" t="e">
        <f t="shared" ca="1" si="83"/>
        <v>#N/A</v>
      </c>
      <c r="J361" s="5" t="e">
        <f t="shared" ca="1" si="80"/>
        <v>#N/A</v>
      </c>
      <c r="K361" s="5" t="e">
        <f t="shared" ca="1" si="84"/>
        <v>#N/A</v>
      </c>
      <c r="L361" s="5" t="e">
        <f t="shared" ca="1" si="85"/>
        <v>#N/A</v>
      </c>
      <c r="M361" s="5" t="e">
        <f t="shared" ca="1" si="86"/>
        <v>#N/A</v>
      </c>
      <c r="N361" s="5" t="e">
        <f t="shared" ca="1" si="87"/>
        <v>#N/A</v>
      </c>
      <c r="O361" s="5" t="e">
        <f t="shared" ca="1" si="88"/>
        <v>#N/A</v>
      </c>
      <c r="P361" s="5" t="e">
        <f ca="1">VLOOKUP(G361,'Group code'!$Z$9:$AC$13,3,FALSE)</f>
        <v>#N/A</v>
      </c>
      <c r="Q361" s="5" t="e">
        <f t="shared" ca="1" si="89"/>
        <v>#N/A</v>
      </c>
      <c r="R361" s="5" t="e">
        <f ca="1">IF(G361=0,INDEX(cards[object_id],MATCH($C361,cards[object_id order],0)),"")</f>
        <v>#N/A</v>
      </c>
      <c r="S361" s="5" t="e">
        <f ca="1">IF(G361=1,INDEX(cards[[name]:[control]],MATCH($C361,cards[object_id order],0),'Group code'!J361),"")</f>
        <v>#N/A</v>
      </c>
      <c r="T361" s="5" t="e">
        <f ca="1">IF(G361=3,INDEX(cards[[1]:[25]],MATCH($C361,cards[object_id order],0),'Group code'!I361),"")</f>
        <v>#N/A</v>
      </c>
      <c r="U361" s="5" t="e">
        <f ca="1">VLOOKUP(G361,'Group code'!$Z$9:$AC$13,4,FALSE)</f>
        <v>#N/A</v>
      </c>
      <c r="V361" s="5" t="e">
        <f ca="1">IF(J361="","",VLOOKUP(J361,'Group code'!$Z$15:$AC$18,4,FALSE))</f>
        <v>#N/A</v>
      </c>
      <c r="W361" s="23" t="str">
        <f t="shared" ca="1" si="90"/>
        <v/>
      </c>
      <c r="X361" s="5" t="str">
        <f t="shared" ca="1" si="77"/>
        <v/>
      </c>
    </row>
    <row r="362" spans="2:24" x14ac:dyDescent="0.25">
      <c r="B362" s="5">
        <f t="shared" si="78"/>
        <v>356</v>
      </c>
      <c r="C362" s="5" t="e">
        <f t="shared" ca="1" si="91"/>
        <v>#N/A</v>
      </c>
      <c r="D362" s="5" t="e">
        <f ca="1">INDEX(cards[Attribute Index],MATCH('Group code'!C362,cards[object_id order],0))</f>
        <v>#N/A</v>
      </c>
      <c r="E362" s="5" t="e">
        <f t="shared" ca="1" si="79"/>
        <v>#N/A</v>
      </c>
      <c r="F362" s="14" t="e">
        <f ca="1">INDEX(cards[Entities count],MATCH('Group code'!C362,cards[object_id order],0))</f>
        <v>#N/A</v>
      </c>
      <c r="G362" s="14" t="e">
        <f t="shared" ca="1" si="81"/>
        <v>#N/A</v>
      </c>
      <c r="H362" s="14" t="e">
        <f t="shared" ca="1" si="82"/>
        <v>#N/A</v>
      </c>
      <c r="I362" s="5" t="e">
        <f t="shared" ca="1" si="83"/>
        <v>#N/A</v>
      </c>
      <c r="J362" s="5" t="e">
        <f t="shared" ca="1" si="80"/>
        <v>#N/A</v>
      </c>
      <c r="K362" s="5" t="e">
        <f t="shared" ca="1" si="84"/>
        <v>#N/A</v>
      </c>
      <c r="L362" s="5" t="e">
        <f t="shared" ca="1" si="85"/>
        <v>#N/A</v>
      </c>
      <c r="M362" s="5" t="e">
        <f t="shared" ca="1" si="86"/>
        <v>#N/A</v>
      </c>
      <c r="N362" s="5" t="e">
        <f t="shared" ca="1" si="87"/>
        <v>#N/A</v>
      </c>
      <c r="O362" s="5" t="e">
        <f t="shared" ca="1" si="88"/>
        <v>#N/A</v>
      </c>
      <c r="P362" s="5" t="e">
        <f ca="1">VLOOKUP(G362,'Group code'!$Z$9:$AC$13,3,FALSE)</f>
        <v>#N/A</v>
      </c>
      <c r="Q362" s="5" t="e">
        <f t="shared" ca="1" si="89"/>
        <v>#N/A</v>
      </c>
      <c r="R362" s="5" t="e">
        <f ca="1">IF(G362=0,INDEX(cards[object_id],MATCH($C362,cards[object_id order],0)),"")</f>
        <v>#N/A</v>
      </c>
      <c r="S362" s="5" t="e">
        <f ca="1">IF(G362=1,INDEX(cards[[name]:[control]],MATCH($C362,cards[object_id order],0),'Group code'!J362),"")</f>
        <v>#N/A</v>
      </c>
      <c r="T362" s="5" t="e">
        <f ca="1">IF(G362=3,INDEX(cards[[1]:[25]],MATCH($C362,cards[object_id order],0),'Group code'!I362),"")</f>
        <v>#N/A</v>
      </c>
      <c r="U362" s="5" t="e">
        <f ca="1">VLOOKUP(G362,'Group code'!$Z$9:$AC$13,4,FALSE)</f>
        <v>#N/A</v>
      </c>
      <c r="V362" s="5" t="e">
        <f ca="1">IF(J362="","",VLOOKUP(J362,'Group code'!$Z$15:$AC$18,4,FALSE))</f>
        <v>#N/A</v>
      </c>
      <c r="W362" s="23" t="str">
        <f t="shared" ca="1" si="90"/>
        <v/>
      </c>
      <c r="X362" s="5" t="str">
        <f t="shared" ca="1" si="77"/>
        <v/>
      </c>
    </row>
    <row r="363" spans="2:24" x14ac:dyDescent="0.25">
      <c r="B363" s="5">
        <f t="shared" si="78"/>
        <v>357</v>
      </c>
      <c r="C363" s="5" t="e">
        <f t="shared" ca="1" si="91"/>
        <v>#N/A</v>
      </c>
      <c r="D363" s="5" t="e">
        <f ca="1">INDEX(cards[Attribute Index],MATCH('Group code'!C363,cards[object_id order],0))</f>
        <v>#N/A</v>
      </c>
      <c r="E363" s="5" t="e">
        <f t="shared" ca="1" si="79"/>
        <v>#N/A</v>
      </c>
      <c r="F363" s="14" t="e">
        <f ca="1">INDEX(cards[Entities count],MATCH('Group code'!C363,cards[object_id order],0))</f>
        <v>#N/A</v>
      </c>
      <c r="G363" s="14" t="e">
        <f t="shared" ca="1" si="81"/>
        <v>#N/A</v>
      </c>
      <c r="H363" s="14" t="e">
        <f t="shared" ca="1" si="82"/>
        <v>#N/A</v>
      </c>
      <c r="I363" s="5" t="e">
        <f t="shared" ca="1" si="83"/>
        <v>#N/A</v>
      </c>
      <c r="J363" s="5" t="e">
        <f t="shared" ca="1" si="80"/>
        <v>#N/A</v>
      </c>
      <c r="K363" s="5" t="e">
        <f t="shared" ca="1" si="84"/>
        <v>#N/A</v>
      </c>
      <c r="L363" s="5" t="e">
        <f t="shared" ca="1" si="85"/>
        <v>#N/A</v>
      </c>
      <c r="M363" s="5" t="e">
        <f t="shared" ca="1" si="86"/>
        <v>#N/A</v>
      </c>
      <c r="N363" s="5" t="e">
        <f t="shared" ca="1" si="87"/>
        <v>#N/A</v>
      </c>
      <c r="O363" s="5" t="e">
        <f t="shared" ca="1" si="88"/>
        <v>#N/A</v>
      </c>
      <c r="P363" s="5" t="e">
        <f ca="1">VLOOKUP(G363,'Group code'!$Z$9:$AC$13,3,FALSE)</f>
        <v>#N/A</v>
      </c>
      <c r="Q363" s="5" t="e">
        <f t="shared" ca="1" si="89"/>
        <v>#N/A</v>
      </c>
      <c r="R363" s="5" t="e">
        <f ca="1">IF(G363=0,INDEX(cards[object_id],MATCH($C363,cards[object_id order],0)),"")</f>
        <v>#N/A</v>
      </c>
      <c r="S363" s="5" t="e">
        <f ca="1">IF(G363=1,INDEX(cards[[name]:[control]],MATCH($C363,cards[object_id order],0),'Group code'!J363),"")</f>
        <v>#N/A</v>
      </c>
      <c r="T363" s="5" t="e">
        <f ca="1">IF(G363=3,INDEX(cards[[1]:[25]],MATCH($C363,cards[object_id order],0),'Group code'!I363),"")</f>
        <v>#N/A</v>
      </c>
      <c r="U363" s="5" t="e">
        <f ca="1">VLOOKUP(G363,'Group code'!$Z$9:$AC$13,4,FALSE)</f>
        <v>#N/A</v>
      </c>
      <c r="V363" s="5" t="e">
        <f ca="1">IF(J363="","",VLOOKUP(J363,'Group code'!$Z$15:$AC$18,4,FALSE))</f>
        <v>#N/A</v>
      </c>
      <c r="W363" s="23" t="str">
        <f t="shared" ca="1" si="90"/>
        <v/>
      </c>
      <c r="X363" s="5" t="str">
        <f t="shared" ca="1" si="77"/>
        <v/>
      </c>
    </row>
    <row r="364" spans="2:24" x14ac:dyDescent="0.25">
      <c r="B364" s="5">
        <f t="shared" si="78"/>
        <v>358</v>
      </c>
      <c r="C364" s="5" t="e">
        <f t="shared" ca="1" si="91"/>
        <v>#N/A</v>
      </c>
      <c r="D364" s="5" t="e">
        <f ca="1">INDEX(cards[Attribute Index],MATCH('Group code'!C364,cards[object_id order],0))</f>
        <v>#N/A</v>
      </c>
      <c r="E364" s="5" t="e">
        <f t="shared" ca="1" si="79"/>
        <v>#N/A</v>
      </c>
      <c r="F364" s="14" t="e">
        <f ca="1">INDEX(cards[Entities count],MATCH('Group code'!C364,cards[object_id order],0))</f>
        <v>#N/A</v>
      </c>
      <c r="G364" s="14" t="e">
        <f t="shared" ca="1" si="81"/>
        <v>#N/A</v>
      </c>
      <c r="H364" s="14" t="e">
        <f t="shared" ca="1" si="82"/>
        <v>#N/A</v>
      </c>
      <c r="I364" s="5" t="e">
        <f t="shared" ca="1" si="83"/>
        <v>#N/A</v>
      </c>
      <c r="J364" s="5" t="e">
        <f t="shared" ca="1" si="80"/>
        <v>#N/A</v>
      </c>
      <c r="K364" s="5" t="e">
        <f t="shared" ca="1" si="84"/>
        <v>#N/A</v>
      </c>
      <c r="L364" s="5" t="e">
        <f t="shared" ca="1" si="85"/>
        <v>#N/A</v>
      </c>
      <c r="M364" s="5" t="e">
        <f t="shared" ca="1" si="86"/>
        <v>#N/A</v>
      </c>
      <c r="N364" s="5" t="e">
        <f t="shared" ca="1" si="87"/>
        <v>#N/A</v>
      </c>
      <c r="O364" s="5" t="e">
        <f t="shared" ca="1" si="88"/>
        <v>#N/A</v>
      </c>
      <c r="P364" s="5" t="e">
        <f ca="1">VLOOKUP(G364,'Group code'!$Z$9:$AC$13,3,FALSE)</f>
        <v>#N/A</v>
      </c>
      <c r="Q364" s="5" t="e">
        <f t="shared" ca="1" si="89"/>
        <v>#N/A</v>
      </c>
      <c r="R364" s="5" t="e">
        <f ca="1">IF(G364=0,INDEX(cards[object_id],MATCH($C364,cards[object_id order],0)),"")</f>
        <v>#N/A</v>
      </c>
      <c r="S364" s="5" t="e">
        <f ca="1">IF(G364=1,INDEX(cards[[name]:[control]],MATCH($C364,cards[object_id order],0),'Group code'!J364),"")</f>
        <v>#N/A</v>
      </c>
      <c r="T364" s="5" t="e">
        <f ca="1">IF(G364=3,INDEX(cards[[1]:[25]],MATCH($C364,cards[object_id order],0),'Group code'!I364),"")</f>
        <v>#N/A</v>
      </c>
      <c r="U364" s="5" t="e">
        <f ca="1">VLOOKUP(G364,'Group code'!$Z$9:$AC$13,4,FALSE)</f>
        <v>#N/A</v>
      </c>
      <c r="V364" s="5" t="e">
        <f ca="1">IF(J364="","",VLOOKUP(J364,'Group code'!$Z$15:$AC$18,4,FALSE))</f>
        <v>#N/A</v>
      </c>
      <c r="W364" s="23" t="str">
        <f t="shared" ca="1" si="90"/>
        <v/>
      </c>
      <c r="X364" s="5" t="str">
        <f t="shared" ca="1" si="77"/>
        <v/>
      </c>
    </row>
    <row r="365" spans="2:24" x14ac:dyDescent="0.25">
      <c r="B365" s="5">
        <f t="shared" si="78"/>
        <v>359</v>
      </c>
      <c r="C365" s="5" t="e">
        <f t="shared" ca="1" si="91"/>
        <v>#N/A</v>
      </c>
      <c r="D365" s="5" t="e">
        <f ca="1">INDEX(cards[Attribute Index],MATCH('Group code'!C365,cards[object_id order],0))</f>
        <v>#N/A</v>
      </c>
      <c r="E365" s="5" t="e">
        <f t="shared" ca="1" si="79"/>
        <v>#N/A</v>
      </c>
      <c r="F365" s="14" t="e">
        <f ca="1">INDEX(cards[Entities count],MATCH('Group code'!C365,cards[object_id order],0))</f>
        <v>#N/A</v>
      </c>
      <c r="G365" s="14" t="e">
        <f t="shared" ca="1" si="81"/>
        <v>#N/A</v>
      </c>
      <c r="H365" s="14" t="e">
        <f t="shared" ca="1" si="82"/>
        <v>#N/A</v>
      </c>
      <c r="I365" s="5" t="e">
        <f t="shared" ca="1" si="83"/>
        <v>#N/A</v>
      </c>
      <c r="J365" s="5" t="e">
        <f t="shared" ca="1" si="80"/>
        <v>#N/A</v>
      </c>
      <c r="K365" s="5" t="e">
        <f t="shared" ca="1" si="84"/>
        <v>#N/A</v>
      </c>
      <c r="L365" s="5" t="e">
        <f t="shared" ca="1" si="85"/>
        <v>#N/A</v>
      </c>
      <c r="M365" s="5" t="e">
        <f t="shared" ca="1" si="86"/>
        <v>#N/A</v>
      </c>
      <c r="N365" s="5" t="e">
        <f t="shared" ca="1" si="87"/>
        <v>#N/A</v>
      </c>
      <c r="O365" s="5" t="e">
        <f t="shared" ca="1" si="88"/>
        <v>#N/A</v>
      </c>
      <c r="P365" s="5" t="e">
        <f ca="1">VLOOKUP(G365,'Group code'!$Z$9:$AC$13,3,FALSE)</f>
        <v>#N/A</v>
      </c>
      <c r="Q365" s="5" t="e">
        <f t="shared" ca="1" si="89"/>
        <v>#N/A</v>
      </c>
      <c r="R365" s="5" t="e">
        <f ca="1">IF(G365=0,INDEX(cards[object_id],MATCH($C365,cards[object_id order],0)),"")</f>
        <v>#N/A</v>
      </c>
      <c r="S365" s="5" t="e">
        <f ca="1">IF(G365=1,INDEX(cards[[name]:[control]],MATCH($C365,cards[object_id order],0),'Group code'!J365),"")</f>
        <v>#N/A</v>
      </c>
      <c r="T365" s="5" t="e">
        <f ca="1">IF(G365=3,INDEX(cards[[1]:[25]],MATCH($C365,cards[object_id order],0),'Group code'!I365),"")</f>
        <v>#N/A</v>
      </c>
      <c r="U365" s="5" t="e">
        <f ca="1">VLOOKUP(G365,'Group code'!$Z$9:$AC$13,4,FALSE)</f>
        <v>#N/A</v>
      </c>
      <c r="V365" s="5" t="e">
        <f ca="1">IF(J365="","",VLOOKUP(J365,'Group code'!$Z$15:$AC$18,4,FALSE))</f>
        <v>#N/A</v>
      </c>
      <c r="W365" s="23" t="str">
        <f t="shared" ca="1" si="90"/>
        <v/>
      </c>
      <c r="X365" s="5" t="str">
        <f t="shared" ca="1" si="77"/>
        <v/>
      </c>
    </row>
    <row r="366" spans="2:24" x14ac:dyDescent="0.25">
      <c r="B366" s="5">
        <f t="shared" si="78"/>
        <v>360</v>
      </c>
      <c r="C366" s="5" t="e">
        <f t="shared" ca="1" si="91"/>
        <v>#N/A</v>
      </c>
      <c r="D366" s="5" t="e">
        <f ca="1">INDEX(cards[Attribute Index],MATCH('Group code'!C366,cards[object_id order],0))</f>
        <v>#N/A</v>
      </c>
      <c r="E366" s="5" t="e">
        <f t="shared" ca="1" si="79"/>
        <v>#N/A</v>
      </c>
      <c r="F366" s="14" t="e">
        <f ca="1">INDEX(cards[Entities count],MATCH('Group code'!C366,cards[object_id order],0))</f>
        <v>#N/A</v>
      </c>
      <c r="G366" s="14" t="e">
        <f t="shared" ca="1" si="81"/>
        <v>#N/A</v>
      </c>
      <c r="H366" s="14" t="e">
        <f t="shared" ca="1" si="82"/>
        <v>#N/A</v>
      </c>
      <c r="I366" s="5" t="e">
        <f t="shared" ca="1" si="83"/>
        <v>#N/A</v>
      </c>
      <c r="J366" s="5" t="e">
        <f t="shared" ca="1" si="80"/>
        <v>#N/A</v>
      </c>
      <c r="K366" s="5" t="e">
        <f t="shared" ca="1" si="84"/>
        <v>#N/A</v>
      </c>
      <c r="L366" s="5" t="e">
        <f t="shared" ca="1" si="85"/>
        <v>#N/A</v>
      </c>
      <c r="M366" s="5" t="e">
        <f t="shared" ca="1" si="86"/>
        <v>#N/A</v>
      </c>
      <c r="N366" s="5" t="e">
        <f t="shared" ca="1" si="87"/>
        <v>#N/A</v>
      </c>
      <c r="O366" s="5" t="e">
        <f t="shared" ca="1" si="88"/>
        <v>#N/A</v>
      </c>
      <c r="P366" s="5" t="e">
        <f ca="1">VLOOKUP(G366,'Group code'!$Z$9:$AC$13,3,FALSE)</f>
        <v>#N/A</v>
      </c>
      <c r="Q366" s="5" t="e">
        <f t="shared" ca="1" si="89"/>
        <v>#N/A</v>
      </c>
      <c r="R366" s="5" t="e">
        <f ca="1">IF(G366=0,INDEX(cards[object_id],MATCH($C366,cards[object_id order],0)),"")</f>
        <v>#N/A</v>
      </c>
      <c r="S366" s="5" t="e">
        <f ca="1">IF(G366=1,INDEX(cards[[name]:[control]],MATCH($C366,cards[object_id order],0),'Group code'!J366),"")</f>
        <v>#N/A</v>
      </c>
      <c r="T366" s="5" t="e">
        <f ca="1">IF(G366=3,INDEX(cards[[1]:[25]],MATCH($C366,cards[object_id order],0),'Group code'!I366),"")</f>
        <v>#N/A</v>
      </c>
      <c r="U366" s="5" t="e">
        <f ca="1">VLOOKUP(G366,'Group code'!$Z$9:$AC$13,4,FALSE)</f>
        <v>#N/A</v>
      </c>
      <c r="V366" s="5" t="e">
        <f ca="1">IF(J366="","",VLOOKUP(J366,'Group code'!$Z$15:$AC$18,4,FALSE))</f>
        <v>#N/A</v>
      </c>
      <c r="W366" s="23" t="str">
        <f t="shared" ca="1" si="90"/>
        <v/>
      </c>
      <c r="X366" s="5" t="str">
        <f t="shared" ca="1" si="77"/>
        <v/>
      </c>
    </row>
    <row r="367" spans="2:24" x14ac:dyDescent="0.25">
      <c r="B367" s="5">
        <f t="shared" si="78"/>
        <v>361</v>
      </c>
      <c r="C367" s="5" t="e">
        <f t="shared" ca="1" si="91"/>
        <v>#N/A</v>
      </c>
      <c r="D367" s="5" t="e">
        <f ca="1">INDEX(cards[Attribute Index],MATCH('Group code'!C367,cards[object_id order],0))</f>
        <v>#N/A</v>
      </c>
      <c r="E367" s="5" t="e">
        <f t="shared" ca="1" si="79"/>
        <v>#N/A</v>
      </c>
      <c r="F367" s="14" t="e">
        <f ca="1">INDEX(cards[Entities count],MATCH('Group code'!C367,cards[object_id order],0))</f>
        <v>#N/A</v>
      </c>
      <c r="G367" s="14" t="e">
        <f t="shared" ca="1" si="81"/>
        <v>#N/A</v>
      </c>
      <c r="H367" s="14" t="e">
        <f t="shared" ca="1" si="82"/>
        <v>#N/A</v>
      </c>
      <c r="I367" s="5" t="e">
        <f t="shared" ca="1" si="83"/>
        <v>#N/A</v>
      </c>
      <c r="J367" s="5" t="e">
        <f t="shared" ca="1" si="80"/>
        <v>#N/A</v>
      </c>
      <c r="K367" s="5" t="e">
        <f t="shared" ca="1" si="84"/>
        <v>#N/A</v>
      </c>
      <c r="L367" s="5" t="e">
        <f t="shared" ca="1" si="85"/>
        <v>#N/A</v>
      </c>
      <c r="M367" s="5" t="e">
        <f t="shared" ca="1" si="86"/>
        <v>#N/A</v>
      </c>
      <c r="N367" s="5" t="e">
        <f t="shared" ca="1" si="87"/>
        <v>#N/A</v>
      </c>
      <c r="O367" s="5" t="e">
        <f t="shared" ca="1" si="88"/>
        <v>#N/A</v>
      </c>
      <c r="P367" s="5" t="e">
        <f ca="1">VLOOKUP(G367,'Group code'!$Z$9:$AC$13,3,FALSE)</f>
        <v>#N/A</v>
      </c>
      <c r="Q367" s="5" t="e">
        <f t="shared" ca="1" si="89"/>
        <v>#N/A</v>
      </c>
      <c r="R367" s="5" t="e">
        <f ca="1">IF(G367=0,INDEX(cards[object_id],MATCH($C367,cards[object_id order],0)),"")</f>
        <v>#N/A</v>
      </c>
      <c r="S367" s="5" t="e">
        <f ca="1">IF(G367=1,INDEX(cards[[name]:[control]],MATCH($C367,cards[object_id order],0),'Group code'!J367),"")</f>
        <v>#N/A</v>
      </c>
      <c r="T367" s="5" t="e">
        <f ca="1">IF(G367=3,INDEX(cards[[1]:[25]],MATCH($C367,cards[object_id order],0),'Group code'!I367),"")</f>
        <v>#N/A</v>
      </c>
      <c r="U367" s="5" t="e">
        <f ca="1">VLOOKUP(G367,'Group code'!$Z$9:$AC$13,4,FALSE)</f>
        <v>#N/A</v>
      </c>
      <c r="V367" s="5" t="e">
        <f ca="1">IF(J367="","",VLOOKUP(J367,'Group code'!$Z$15:$AC$18,4,FALSE))</f>
        <v>#N/A</v>
      </c>
      <c r="W367" s="23" t="str">
        <f t="shared" ca="1" si="90"/>
        <v/>
      </c>
      <c r="X367" s="5" t="str">
        <f t="shared" ca="1" si="77"/>
        <v/>
      </c>
    </row>
    <row r="368" spans="2:24" x14ac:dyDescent="0.25">
      <c r="B368" s="5">
        <f t="shared" si="78"/>
        <v>362</v>
      </c>
      <c r="C368" s="5" t="e">
        <f t="shared" ca="1" si="91"/>
        <v>#N/A</v>
      </c>
      <c r="D368" s="5" t="e">
        <f ca="1">INDEX(cards[Attribute Index],MATCH('Group code'!C368,cards[object_id order],0))</f>
        <v>#N/A</v>
      </c>
      <c r="E368" s="5" t="e">
        <f t="shared" ca="1" si="79"/>
        <v>#N/A</v>
      </c>
      <c r="F368" s="14" t="e">
        <f ca="1">INDEX(cards[Entities count],MATCH('Group code'!C368,cards[object_id order],0))</f>
        <v>#N/A</v>
      </c>
      <c r="G368" s="14" t="e">
        <f t="shared" ca="1" si="81"/>
        <v>#N/A</v>
      </c>
      <c r="H368" s="14" t="e">
        <f t="shared" ca="1" si="82"/>
        <v>#N/A</v>
      </c>
      <c r="I368" s="5" t="e">
        <f t="shared" ca="1" si="83"/>
        <v>#N/A</v>
      </c>
      <c r="J368" s="5" t="e">
        <f t="shared" ca="1" si="80"/>
        <v>#N/A</v>
      </c>
      <c r="K368" s="5" t="e">
        <f t="shared" ca="1" si="84"/>
        <v>#N/A</v>
      </c>
      <c r="L368" s="5" t="e">
        <f t="shared" ca="1" si="85"/>
        <v>#N/A</v>
      </c>
      <c r="M368" s="5" t="e">
        <f t="shared" ca="1" si="86"/>
        <v>#N/A</v>
      </c>
      <c r="N368" s="5" t="e">
        <f t="shared" ca="1" si="87"/>
        <v>#N/A</v>
      </c>
      <c r="O368" s="5" t="e">
        <f t="shared" ca="1" si="88"/>
        <v>#N/A</v>
      </c>
      <c r="P368" s="5" t="e">
        <f ca="1">VLOOKUP(G368,'Group code'!$Z$9:$AC$13,3,FALSE)</f>
        <v>#N/A</v>
      </c>
      <c r="Q368" s="5" t="e">
        <f t="shared" ca="1" si="89"/>
        <v>#N/A</v>
      </c>
      <c r="R368" s="5" t="e">
        <f ca="1">IF(G368=0,INDEX(cards[object_id],MATCH($C368,cards[object_id order],0)),"")</f>
        <v>#N/A</v>
      </c>
      <c r="S368" s="5" t="e">
        <f ca="1">IF(G368=1,INDEX(cards[[name]:[control]],MATCH($C368,cards[object_id order],0),'Group code'!J368),"")</f>
        <v>#N/A</v>
      </c>
      <c r="T368" s="5" t="e">
        <f ca="1">IF(G368=3,INDEX(cards[[1]:[25]],MATCH($C368,cards[object_id order],0),'Group code'!I368),"")</f>
        <v>#N/A</v>
      </c>
      <c r="U368" s="5" t="e">
        <f ca="1">VLOOKUP(G368,'Group code'!$Z$9:$AC$13,4,FALSE)</f>
        <v>#N/A</v>
      </c>
      <c r="V368" s="5" t="e">
        <f ca="1">IF(J368="","",VLOOKUP(J368,'Group code'!$Z$15:$AC$18,4,FALSE))</f>
        <v>#N/A</v>
      </c>
      <c r="W368" s="23" t="str">
        <f t="shared" ca="1" si="90"/>
        <v/>
      </c>
      <c r="X368" s="5" t="str">
        <f t="shared" ca="1" si="77"/>
        <v/>
      </c>
    </row>
    <row r="369" spans="2:24" x14ac:dyDescent="0.25">
      <c r="B369" s="5">
        <f t="shared" si="78"/>
        <v>363</v>
      </c>
      <c r="C369" s="5" t="e">
        <f t="shared" ca="1" si="91"/>
        <v>#N/A</v>
      </c>
      <c r="D369" s="5" t="e">
        <f ca="1">INDEX(cards[Attribute Index],MATCH('Group code'!C369,cards[object_id order],0))</f>
        <v>#N/A</v>
      </c>
      <c r="E369" s="5" t="e">
        <f t="shared" ca="1" si="79"/>
        <v>#N/A</v>
      </c>
      <c r="F369" s="14" t="e">
        <f ca="1">INDEX(cards[Entities count],MATCH('Group code'!C369,cards[object_id order],0))</f>
        <v>#N/A</v>
      </c>
      <c r="G369" s="14" t="e">
        <f t="shared" ca="1" si="81"/>
        <v>#N/A</v>
      </c>
      <c r="H369" s="14" t="e">
        <f t="shared" ca="1" si="82"/>
        <v>#N/A</v>
      </c>
      <c r="I369" s="5" t="e">
        <f t="shared" ca="1" si="83"/>
        <v>#N/A</v>
      </c>
      <c r="J369" s="5" t="e">
        <f t="shared" ca="1" si="80"/>
        <v>#N/A</v>
      </c>
      <c r="K369" s="5" t="e">
        <f t="shared" ca="1" si="84"/>
        <v>#N/A</v>
      </c>
      <c r="L369" s="5" t="e">
        <f t="shared" ca="1" si="85"/>
        <v>#N/A</v>
      </c>
      <c r="M369" s="5" t="e">
        <f t="shared" ca="1" si="86"/>
        <v>#N/A</v>
      </c>
      <c r="N369" s="5" t="e">
        <f t="shared" ca="1" si="87"/>
        <v>#N/A</v>
      </c>
      <c r="O369" s="5" t="e">
        <f t="shared" ca="1" si="88"/>
        <v>#N/A</v>
      </c>
      <c r="P369" s="5" t="e">
        <f ca="1">VLOOKUP(G369,'Group code'!$Z$9:$AC$13,3,FALSE)</f>
        <v>#N/A</v>
      </c>
      <c r="Q369" s="5" t="e">
        <f t="shared" ca="1" si="89"/>
        <v>#N/A</v>
      </c>
      <c r="R369" s="5" t="e">
        <f ca="1">IF(G369=0,INDEX(cards[object_id],MATCH($C369,cards[object_id order],0)),"")</f>
        <v>#N/A</v>
      </c>
      <c r="S369" s="5" t="e">
        <f ca="1">IF(G369=1,INDEX(cards[[name]:[control]],MATCH($C369,cards[object_id order],0),'Group code'!J369),"")</f>
        <v>#N/A</v>
      </c>
      <c r="T369" s="5" t="e">
        <f ca="1">IF(G369=3,INDEX(cards[[1]:[25]],MATCH($C369,cards[object_id order],0),'Group code'!I369),"")</f>
        <v>#N/A</v>
      </c>
      <c r="U369" s="5" t="e">
        <f ca="1">VLOOKUP(G369,'Group code'!$Z$9:$AC$13,4,FALSE)</f>
        <v>#N/A</v>
      </c>
      <c r="V369" s="5" t="e">
        <f ca="1">IF(J369="","",VLOOKUP(J369,'Group code'!$Z$15:$AC$18,4,FALSE))</f>
        <v>#N/A</v>
      </c>
      <c r="W369" s="23" t="str">
        <f t="shared" ca="1" si="90"/>
        <v/>
      </c>
      <c r="X369" s="5" t="str">
        <f t="shared" ca="1" si="77"/>
        <v/>
      </c>
    </row>
    <row r="370" spans="2:24" x14ac:dyDescent="0.25">
      <c r="B370" s="5">
        <f t="shared" si="78"/>
        <v>364</v>
      </c>
      <c r="C370" s="5" t="e">
        <f t="shared" ca="1" si="91"/>
        <v>#N/A</v>
      </c>
      <c r="D370" s="5" t="e">
        <f ca="1">INDEX(cards[Attribute Index],MATCH('Group code'!C370,cards[object_id order],0))</f>
        <v>#N/A</v>
      </c>
      <c r="E370" s="5" t="e">
        <f t="shared" ca="1" si="79"/>
        <v>#N/A</v>
      </c>
      <c r="F370" s="14" t="e">
        <f ca="1">INDEX(cards[Entities count],MATCH('Group code'!C370,cards[object_id order],0))</f>
        <v>#N/A</v>
      </c>
      <c r="G370" s="14" t="e">
        <f t="shared" ca="1" si="81"/>
        <v>#N/A</v>
      </c>
      <c r="H370" s="14" t="e">
        <f t="shared" ca="1" si="82"/>
        <v>#N/A</v>
      </c>
      <c r="I370" s="5" t="e">
        <f t="shared" ca="1" si="83"/>
        <v>#N/A</v>
      </c>
      <c r="J370" s="5" t="e">
        <f t="shared" ca="1" si="80"/>
        <v>#N/A</v>
      </c>
      <c r="K370" s="5" t="e">
        <f t="shared" ca="1" si="84"/>
        <v>#N/A</v>
      </c>
      <c r="L370" s="5" t="e">
        <f t="shared" ca="1" si="85"/>
        <v>#N/A</v>
      </c>
      <c r="M370" s="5" t="e">
        <f t="shared" ca="1" si="86"/>
        <v>#N/A</v>
      </c>
      <c r="N370" s="5" t="e">
        <f t="shared" ca="1" si="87"/>
        <v>#N/A</v>
      </c>
      <c r="O370" s="5" t="e">
        <f t="shared" ca="1" si="88"/>
        <v>#N/A</v>
      </c>
      <c r="P370" s="5" t="e">
        <f ca="1">VLOOKUP(G370,'Group code'!$Z$9:$AC$13,3,FALSE)</f>
        <v>#N/A</v>
      </c>
      <c r="Q370" s="5" t="e">
        <f t="shared" ca="1" si="89"/>
        <v>#N/A</v>
      </c>
      <c r="R370" s="5" t="e">
        <f ca="1">IF(G370=0,INDEX(cards[object_id],MATCH($C370,cards[object_id order],0)),"")</f>
        <v>#N/A</v>
      </c>
      <c r="S370" s="5" t="e">
        <f ca="1">IF(G370=1,INDEX(cards[[name]:[control]],MATCH($C370,cards[object_id order],0),'Group code'!J370),"")</f>
        <v>#N/A</v>
      </c>
      <c r="T370" s="5" t="e">
        <f ca="1">IF(G370=3,INDEX(cards[[1]:[25]],MATCH($C370,cards[object_id order],0),'Group code'!I370),"")</f>
        <v>#N/A</v>
      </c>
      <c r="U370" s="5" t="e">
        <f ca="1">VLOOKUP(G370,'Group code'!$Z$9:$AC$13,4,FALSE)</f>
        <v>#N/A</v>
      </c>
      <c r="V370" s="5" t="e">
        <f ca="1">IF(J370="","",VLOOKUP(J370,'Group code'!$Z$15:$AC$18,4,FALSE))</f>
        <v>#N/A</v>
      </c>
      <c r="W370" s="23" t="str">
        <f t="shared" ca="1" si="90"/>
        <v/>
      </c>
      <c r="X370" s="5" t="str">
        <f t="shared" ca="1" si="77"/>
        <v/>
      </c>
    </row>
    <row r="371" spans="2:24" x14ac:dyDescent="0.25">
      <c r="B371" s="5">
        <f t="shared" si="78"/>
        <v>365</v>
      </c>
      <c r="C371" s="5" t="e">
        <f t="shared" ca="1" si="91"/>
        <v>#N/A</v>
      </c>
      <c r="D371" s="5" t="e">
        <f ca="1">INDEX(cards[Attribute Index],MATCH('Group code'!C371,cards[object_id order],0))</f>
        <v>#N/A</v>
      </c>
      <c r="E371" s="5" t="e">
        <f t="shared" ca="1" si="79"/>
        <v>#N/A</v>
      </c>
      <c r="F371" s="14" t="e">
        <f ca="1">INDEX(cards[Entities count],MATCH('Group code'!C371,cards[object_id order],0))</f>
        <v>#N/A</v>
      </c>
      <c r="G371" s="14" t="e">
        <f t="shared" ca="1" si="81"/>
        <v>#N/A</v>
      </c>
      <c r="H371" s="14" t="e">
        <f t="shared" ca="1" si="82"/>
        <v>#N/A</v>
      </c>
      <c r="I371" s="5" t="e">
        <f t="shared" ca="1" si="83"/>
        <v>#N/A</v>
      </c>
      <c r="J371" s="5" t="e">
        <f t="shared" ca="1" si="80"/>
        <v>#N/A</v>
      </c>
      <c r="K371" s="5" t="e">
        <f t="shared" ca="1" si="84"/>
        <v>#N/A</v>
      </c>
      <c r="L371" s="5" t="e">
        <f t="shared" ca="1" si="85"/>
        <v>#N/A</v>
      </c>
      <c r="M371" s="5" t="e">
        <f t="shared" ca="1" si="86"/>
        <v>#N/A</v>
      </c>
      <c r="N371" s="5" t="e">
        <f t="shared" ca="1" si="87"/>
        <v>#N/A</v>
      </c>
      <c r="O371" s="5" t="e">
        <f t="shared" ca="1" si="88"/>
        <v>#N/A</v>
      </c>
      <c r="P371" s="5" t="e">
        <f ca="1">VLOOKUP(G371,'Group code'!$Z$9:$AC$13,3,FALSE)</f>
        <v>#N/A</v>
      </c>
      <c r="Q371" s="5" t="e">
        <f t="shared" ca="1" si="89"/>
        <v>#N/A</v>
      </c>
      <c r="R371" s="5" t="e">
        <f ca="1">IF(G371=0,INDEX(cards[object_id],MATCH($C371,cards[object_id order],0)),"")</f>
        <v>#N/A</v>
      </c>
      <c r="S371" s="5" t="e">
        <f ca="1">IF(G371=1,INDEX(cards[[name]:[control]],MATCH($C371,cards[object_id order],0),'Group code'!J371),"")</f>
        <v>#N/A</v>
      </c>
      <c r="T371" s="5" t="e">
        <f ca="1">IF(G371=3,INDEX(cards[[1]:[25]],MATCH($C371,cards[object_id order],0),'Group code'!I371),"")</f>
        <v>#N/A</v>
      </c>
      <c r="U371" s="5" t="e">
        <f ca="1">VLOOKUP(G371,'Group code'!$Z$9:$AC$13,4,FALSE)</f>
        <v>#N/A</v>
      </c>
      <c r="V371" s="5" t="e">
        <f ca="1">IF(J371="","",VLOOKUP(J371,'Group code'!$Z$15:$AC$18,4,FALSE))</f>
        <v>#N/A</v>
      </c>
      <c r="W371" s="23" t="str">
        <f t="shared" ca="1" si="90"/>
        <v/>
      </c>
      <c r="X371" s="5" t="str">
        <f t="shared" ca="1" si="77"/>
        <v/>
      </c>
    </row>
    <row r="372" spans="2:24" x14ac:dyDescent="0.25">
      <c r="B372" s="5">
        <f t="shared" si="78"/>
        <v>366</v>
      </c>
      <c r="C372" s="5" t="e">
        <f t="shared" ca="1" si="91"/>
        <v>#N/A</v>
      </c>
      <c r="D372" s="5" t="e">
        <f ca="1">INDEX(cards[Attribute Index],MATCH('Group code'!C372,cards[object_id order],0))</f>
        <v>#N/A</v>
      </c>
      <c r="E372" s="5" t="e">
        <f t="shared" ca="1" si="79"/>
        <v>#N/A</v>
      </c>
      <c r="F372" s="14" t="e">
        <f ca="1">INDEX(cards[Entities count],MATCH('Group code'!C372,cards[object_id order],0))</f>
        <v>#N/A</v>
      </c>
      <c r="G372" s="14" t="e">
        <f t="shared" ca="1" si="81"/>
        <v>#N/A</v>
      </c>
      <c r="H372" s="14" t="e">
        <f t="shared" ca="1" si="82"/>
        <v>#N/A</v>
      </c>
      <c r="I372" s="5" t="e">
        <f t="shared" ca="1" si="83"/>
        <v>#N/A</v>
      </c>
      <c r="J372" s="5" t="e">
        <f t="shared" ca="1" si="80"/>
        <v>#N/A</v>
      </c>
      <c r="K372" s="5" t="e">
        <f t="shared" ca="1" si="84"/>
        <v>#N/A</v>
      </c>
      <c r="L372" s="5" t="e">
        <f t="shared" ca="1" si="85"/>
        <v>#N/A</v>
      </c>
      <c r="M372" s="5" t="e">
        <f t="shared" ca="1" si="86"/>
        <v>#N/A</v>
      </c>
      <c r="N372" s="5" t="e">
        <f t="shared" ca="1" si="87"/>
        <v>#N/A</v>
      </c>
      <c r="O372" s="5" t="e">
        <f t="shared" ca="1" si="88"/>
        <v>#N/A</v>
      </c>
      <c r="P372" s="5" t="e">
        <f ca="1">VLOOKUP(G372,'Group code'!$Z$9:$AC$13,3,FALSE)</f>
        <v>#N/A</v>
      </c>
      <c r="Q372" s="5" t="e">
        <f t="shared" ca="1" si="89"/>
        <v>#N/A</v>
      </c>
      <c r="R372" s="5" t="e">
        <f ca="1">IF(G372=0,INDEX(cards[object_id],MATCH($C372,cards[object_id order],0)),"")</f>
        <v>#N/A</v>
      </c>
      <c r="S372" s="5" t="e">
        <f ca="1">IF(G372=1,INDEX(cards[[name]:[control]],MATCH($C372,cards[object_id order],0),'Group code'!J372),"")</f>
        <v>#N/A</v>
      </c>
      <c r="T372" s="5" t="e">
        <f ca="1">IF(G372=3,INDEX(cards[[1]:[25]],MATCH($C372,cards[object_id order],0),'Group code'!I372),"")</f>
        <v>#N/A</v>
      </c>
      <c r="U372" s="5" t="e">
        <f ca="1">VLOOKUP(G372,'Group code'!$Z$9:$AC$13,4,FALSE)</f>
        <v>#N/A</v>
      </c>
      <c r="V372" s="5" t="e">
        <f ca="1">IF(J372="","",VLOOKUP(J372,'Group code'!$Z$15:$AC$18,4,FALSE))</f>
        <v>#N/A</v>
      </c>
      <c r="W372" s="23" t="str">
        <f t="shared" ca="1" si="90"/>
        <v/>
      </c>
      <c r="X372" s="5" t="str">
        <f t="shared" ca="1" si="77"/>
        <v/>
      </c>
    </row>
    <row r="373" spans="2:24" x14ac:dyDescent="0.25">
      <c r="B373" s="5">
        <f t="shared" si="78"/>
        <v>367</v>
      </c>
      <c r="C373" s="5" t="e">
        <f t="shared" ca="1" si="91"/>
        <v>#N/A</v>
      </c>
      <c r="D373" s="5" t="e">
        <f ca="1">INDEX(cards[Attribute Index],MATCH('Group code'!C373,cards[object_id order],0))</f>
        <v>#N/A</v>
      </c>
      <c r="E373" s="5" t="e">
        <f t="shared" ca="1" si="79"/>
        <v>#N/A</v>
      </c>
      <c r="F373" s="14" t="e">
        <f ca="1">INDEX(cards[Entities count],MATCH('Group code'!C373,cards[object_id order],0))</f>
        <v>#N/A</v>
      </c>
      <c r="G373" s="14" t="e">
        <f t="shared" ca="1" si="81"/>
        <v>#N/A</v>
      </c>
      <c r="H373" s="14" t="e">
        <f t="shared" ca="1" si="82"/>
        <v>#N/A</v>
      </c>
      <c r="I373" s="5" t="e">
        <f t="shared" ca="1" si="83"/>
        <v>#N/A</v>
      </c>
      <c r="J373" s="5" t="e">
        <f t="shared" ca="1" si="80"/>
        <v>#N/A</v>
      </c>
      <c r="K373" s="5" t="e">
        <f t="shared" ca="1" si="84"/>
        <v>#N/A</v>
      </c>
      <c r="L373" s="5" t="e">
        <f t="shared" ca="1" si="85"/>
        <v>#N/A</v>
      </c>
      <c r="M373" s="5" t="e">
        <f t="shared" ca="1" si="86"/>
        <v>#N/A</v>
      </c>
      <c r="N373" s="5" t="e">
        <f t="shared" ca="1" si="87"/>
        <v>#N/A</v>
      </c>
      <c r="O373" s="5" t="e">
        <f t="shared" ca="1" si="88"/>
        <v>#N/A</v>
      </c>
      <c r="P373" s="5" t="e">
        <f ca="1">VLOOKUP(G373,'Group code'!$Z$9:$AC$13,3,FALSE)</f>
        <v>#N/A</v>
      </c>
      <c r="Q373" s="5" t="e">
        <f t="shared" ca="1" si="89"/>
        <v>#N/A</v>
      </c>
      <c r="R373" s="5" t="e">
        <f ca="1">IF(G373=0,INDEX(cards[object_id],MATCH($C373,cards[object_id order],0)),"")</f>
        <v>#N/A</v>
      </c>
      <c r="S373" s="5" t="e">
        <f ca="1">IF(G373=1,INDEX(cards[[name]:[control]],MATCH($C373,cards[object_id order],0),'Group code'!J373),"")</f>
        <v>#N/A</v>
      </c>
      <c r="T373" s="5" t="e">
        <f ca="1">IF(G373=3,INDEX(cards[[1]:[25]],MATCH($C373,cards[object_id order],0),'Group code'!I373),"")</f>
        <v>#N/A</v>
      </c>
      <c r="U373" s="5" t="e">
        <f ca="1">VLOOKUP(G373,'Group code'!$Z$9:$AC$13,4,FALSE)</f>
        <v>#N/A</v>
      </c>
      <c r="V373" s="5" t="e">
        <f ca="1">IF(J373="","",VLOOKUP(J373,'Group code'!$Z$15:$AC$18,4,FALSE))</f>
        <v>#N/A</v>
      </c>
      <c r="W373" s="23" t="str">
        <f t="shared" ca="1" si="90"/>
        <v/>
      </c>
      <c r="X373" s="5" t="str">
        <f t="shared" ca="1" si="77"/>
        <v/>
      </c>
    </row>
    <row r="374" spans="2:24" x14ac:dyDescent="0.25">
      <c r="B374" s="5">
        <f t="shared" si="78"/>
        <v>368</v>
      </c>
      <c r="C374" s="5" t="e">
        <f t="shared" ca="1" si="91"/>
        <v>#N/A</v>
      </c>
      <c r="D374" s="5" t="e">
        <f ca="1">INDEX(cards[Attribute Index],MATCH('Group code'!C374,cards[object_id order],0))</f>
        <v>#N/A</v>
      </c>
      <c r="E374" s="5" t="e">
        <f t="shared" ca="1" si="79"/>
        <v>#N/A</v>
      </c>
      <c r="F374" s="14" t="e">
        <f ca="1">INDEX(cards[Entities count],MATCH('Group code'!C374,cards[object_id order],0))</f>
        <v>#N/A</v>
      </c>
      <c r="G374" s="14" t="e">
        <f t="shared" ca="1" si="81"/>
        <v>#N/A</v>
      </c>
      <c r="H374" s="14" t="e">
        <f t="shared" ca="1" si="82"/>
        <v>#N/A</v>
      </c>
      <c r="I374" s="5" t="e">
        <f t="shared" ca="1" si="83"/>
        <v>#N/A</v>
      </c>
      <c r="J374" s="5" t="e">
        <f t="shared" ca="1" si="80"/>
        <v>#N/A</v>
      </c>
      <c r="K374" s="5" t="e">
        <f t="shared" ca="1" si="84"/>
        <v>#N/A</v>
      </c>
      <c r="L374" s="5" t="e">
        <f t="shared" ca="1" si="85"/>
        <v>#N/A</v>
      </c>
      <c r="M374" s="5" t="e">
        <f t="shared" ca="1" si="86"/>
        <v>#N/A</v>
      </c>
      <c r="N374" s="5" t="e">
        <f t="shared" ca="1" si="87"/>
        <v>#N/A</v>
      </c>
      <c r="O374" s="5" t="e">
        <f t="shared" ca="1" si="88"/>
        <v>#N/A</v>
      </c>
      <c r="P374" s="5" t="e">
        <f ca="1">VLOOKUP(G374,'Group code'!$Z$9:$AC$13,3,FALSE)</f>
        <v>#N/A</v>
      </c>
      <c r="Q374" s="5" t="e">
        <f t="shared" ca="1" si="89"/>
        <v>#N/A</v>
      </c>
      <c r="R374" s="5" t="e">
        <f ca="1">IF(G374=0,INDEX(cards[object_id],MATCH($C374,cards[object_id order],0)),"")</f>
        <v>#N/A</v>
      </c>
      <c r="S374" s="5" t="e">
        <f ca="1">IF(G374=1,INDEX(cards[[name]:[control]],MATCH($C374,cards[object_id order],0),'Group code'!J374),"")</f>
        <v>#N/A</v>
      </c>
      <c r="T374" s="5" t="e">
        <f ca="1">IF(G374=3,INDEX(cards[[1]:[25]],MATCH($C374,cards[object_id order],0),'Group code'!I374),"")</f>
        <v>#N/A</v>
      </c>
      <c r="U374" s="5" t="e">
        <f ca="1">VLOOKUP(G374,'Group code'!$Z$9:$AC$13,4,FALSE)</f>
        <v>#N/A</v>
      </c>
      <c r="V374" s="5" t="e">
        <f ca="1">IF(J374="","",VLOOKUP(J374,'Group code'!$Z$15:$AC$18,4,FALSE))</f>
        <v>#N/A</v>
      </c>
      <c r="W374" s="23" t="str">
        <f t="shared" ca="1" si="90"/>
        <v/>
      </c>
      <c r="X374" s="5" t="str">
        <f t="shared" ref="X374:X437" ca="1" si="92">IF(AND(NOT(ISNA(F374)),ISNA(F375)),"END","")</f>
        <v/>
      </c>
    </row>
    <row r="375" spans="2:24" x14ac:dyDescent="0.25">
      <c r="B375" s="5">
        <f t="shared" si="78"/>
        <v>369</v>
      </c>
      <c r="C375" s="5" t="e">
        <f t="shared" ca="1" si="91"/>
        <v>#N/A</v>
      </c>
      <c r="D375" s="5" t="e">
        <f ca="1">INDEX(cards[Attribute Index],MATCH('Group code'!C375,cards[object_id order],0))</f>
        <v>#N/A</v>
      </c>
      <c r="E375" s="5" t="e">
        <f t="shared" ca="1" si="79"/>
        <v>#N/A</v>
      </c>
      <c r="F375" s="14" t="e">
        <f ca="1">INDEX(cards[Entities count],MATCH('Group code'!C375,cards[object_id order],0))</f>
        <v>#N/A</v>
      </c>
      <c r="G375" s="14" t="e">
        <f t="shared" ca="1" si="81"/>
        <v>#N/A</v>
      </c>
      <c r="H375" s="14" t="e">
        <f t="shared" ca="1" si="82"/>
        <v>#N/A</v>
      </c>
      <c r="I375" s="5" t="e">
        <f t="shared" ca="1" si="83"/>
        <v>#N/A</v>
      </c>
      <c r="J375" s="5" t="e">
        <f t="shared" ca="1" si="80"/>
        <v>#N/A</v>
      </c>
      <c r="K375" s="5" t="e">
        <f t="shared" ca="1" si="84"/>
        <v>#N/A</v>
      </c>
      <c r="L375" s="5" t="e">
        <f t="shared" ca="1" si="85"/>
        <v>#N/A</v>
      </c>
      <c r="M375" s="5" t="e">
        <f t="shared" ca="1" si="86"/>
        <v>#N/A</v>
      </c>
      <c r="N375" s="5" t="e">
        <f t="shared" ca="1" si="87"/>
        <v>#N/A</v>
      </c>
      <c r="O375" s="5" t="e">
        <f t="shared" ca="1" si="88"/>
        <v>#N/A</v>
      </c>
      <c r="P375" s="5" t="e">
        <f ca="1">VLOOKUP(G375,'Group code'!$Z$9:$AC$13,3,FALSE)</f>
        <v>#N/A</v>
      </c>
      <c r="Q375" s="5" t="e">
        <f t="shared" ca="1" si="89"/>
        <v>#N/A</v>
      </c>
      <c r="R375" s="5" t="e">
        <f ca="1">IF(G375=0,INDEX(cards[object_id],MATCH($C375,cards[object_id order],0)),"")</f>
        <v>#N/A</v>
      </c>
      <c r="S375" s="5" t="e">
        <f ca="1">IF(G375=1,INDEX(cards[[name]:[control]],MATCH($C375,cards[object_id order],0),'Group code'!J375),"")</f>
        <v>#N/A</v>
      </c>
      <c r="T375" s="5" t="e">
        <f ca="1">IF(G375=3,INDEX(cards[[1]:[25]],MATCH($C375,cards[object_id order],0),'Group code'!I375),"")</f>
        <v>#N/A</v>
      </c>
      <c r="U375" s="5" t="e">
        <f ca="1">VLOOKUP(G375,'Group code'!$Z$9:$AC$13,4,FALSE)</f>
        <v>#N/A</v>
      </c>
      <c r="V375" s="5" t="e">
        <f ca="1">IF(J375="","",VLOOKUP(J375,'Group code'!$Z$15:$AC$18,4,FALSE))</f>
        <v>#N/A</v>
      </c>
      <c r="W375" s="23" t="str">
        <f t="shared" ca="1" si="90"/>
        <v/>
      </c>
      <c r="X375" s="5" t="str">
        <f t="shared" ca="1" si="92"/>
        <v/>
      </c>
    </row>
    <row r="376" spans="2:24" x14ac:dyDescent="0.25">
      <c r="B376" s="5">
        <f t="shared" si="78"/>
        <v>370</v>
      </c>
      <c r="C376" s="5" t="e">
        <f t="shared" ca="1" si="91"/>
        <v>#N/A</v>
      </c>
      <c r="D376" s="5" t="e">
        <f ca="1">INDEX(cards[Attribute Index],MATCH('Group code'!C376,cards[object_id order],0))</f>
        <v>#N/A</v>
      </c>
      <c r="E376" s="5" t="e">
        <f t="shared" ca="1" si="79"/>
        <v>#N/A</v>
      </c>
      <c r="F376" s="14" t="e">
        <f ca="1">INDEX(cards[Entities count],MATCH('Group code'!C376,cards[object_id order],0))</f>
        <v>#N/A</v>
      </c>
      <c r="G376" s="14" t="e">
        <f t="shared" ca="1" si="81"/>
        <v>#N/A</v>
      </c>
      <c r="H376" s="14" t="e">
        <f t="shared" ca="1" si="82"/>
        <v>#N/A</v>
      </c>
      <c r="I376" s="5" t="e">
        <f t="shared" ca="1" si="83"/>
        <v>#N/A</v>
      </c>
      <c r="J376" s="5" t="e">
        <f t="shared" ca="1" si="80"/>
        <v>#N/A</v>
      </c>
      <c r="K376" s="5" t="e">
        <f t="shared" ca="1" si="84"/>
        <v>#N/A</v>
      </c>
      <c r="L376" s="5" t="e">
        <f t="shared" ca="1" si="85"/>
        <v>#N/A</v>
      </c>
      <c r="M376" s="5" t="e">
        <f t="shared" ca="1" si="86"/>
        <v>#N/A</v>
      </c>
      <c r="N376" s="5" t="e">
        <f t="shared" ca="1" si="87"/>
        <v>#N/A</v>
      </c>
      <c r="O376" s="5" t="e">
        <f t="shared" ca="1" si="88"/>
        <v>#N/A</v>
      </c>
      <c r="P376" s="5" t="e">
        <f ca="1">VLOOKUP(G376,'Group code'!$Z$9:$AC$13,3,FALSE)</f>
        <v>#N/A</v>
      </c>
      <c r="Q376" s="5" t="e">
        <f t="shared" ca="1" si="89"/>
        <v>#N/A</v>
      </c>
      <c r="R376" s="5" t="e">
        <f ca="1">IF(G376=0,INDEX(cards[object_id],MATCH($C376,cards[object_id order],0)),"")</f>
        <v>#N/A</v>
      </c>
      <c r="S376" s="5" t="e">
        <f ca="1">IF(G376=1,INDEX(cards[[name]:[control]],MATCH($C376,cards[object_id order],0),'Group code'!J376),"")</f>
        <v>#N/A</v>
      </c>
      <c r="T376" s="5" t="e">
        <f ca="1">IF(G376=3,INDEX(cards[[1]:[25]],MATCH($C376,cards[object_id order],0),'Group code'!I376),"")</f>
        <v>#N/A</v>
      </c>
      <c r="U376" s="5" t="e">
        <f ca="1">VLOOKUP(G376,'Group code'!$Z$9:$AC$13,4,FALSE)</f>
        <v>#N/A</v>
      </c>
      <c r="V376" s="5" t="e">
        <f ca="1">IF(J376="","",VLOOKUP(J376,'Group code'!$Z$15:$AC$18,4,FALSE))</f>
        <v>#N/A</v>
      </c>
      <c r="W376" s="23" t="str">
        <f t="shared" ca="1" si="90"/>
        <v/>
      </c>
      <c r="X376" s="5" t="str">
        <f t="shared" ca="1" si="92"/>
        <v/>
      </c>
    </row>
    <row r="377" spans="2:24" x14ac:dyDescent="0.25">
      <c r="B377" s="5">
        <f t="shared" si="78"/>
        <v>371</v>
      </c>
      <c r="C377" s="5" t="e">
        <f t="shared" ca="1" si="91"/>
        <v>#N/A</v>
      </c>
      <c r="D377" s="5" t="e">
        <f ca="1">INDEX(cards[Attribute Index],MATCH('Group code'!C377,cards[object_id order],0))</f>
        <v>#N/A</v>
      </c>
      <c r="E377" s="5" t="e">
        <f t="shared" ca="1" si="79"/>
        <v>#N/A</v>
      </c>
      <c r="F377" s="14" t="e">
        <f ca="1">INDEX(cards[Entities count],MATCH('Group code'!C377,cards[object_id order],0))</f>
        <v>#N/A</v>
      </c>
      <c r="G377" s="14" t="e">
        <f t="shared" ca="1" si="81"/>
        <v>#N/A</v>
      </c>
      <c r="H377" s="14" t="e">
        <f t="shared" ca="1" si="82"/>
        <v>#N/A</v>
      </c>
      <c r="I377" s="5" t="e">
        <f t="shared" ca="1" si="83"/>
        <v>#N/A</v>
      </c>
      <c r="J377" s="5" t="e">
        <f t="shared" ca="1" si="80"/>
        <v>#N/A</v>
      </c>
      <c r="K377" s="5" t="e">
        <f t="shared" ca="1" si="84"/>
        <v>#N/A</v>
      </c>
      <c r="L377" s="5" t="e">
        <f t="shared" ca="1" si="85"/>
        <v>#N/A</v>
      </c>
      <c r="M377" s="5" t="e">
        <f t="shared" ca="1" si="86"/>
        <v>#N/A</v>
      </c>
      <c r="N377" s="5" t="e">
        <f t="shared" ca="1" si="87"/>
        <v>#N/A</v>
      </c>
      <c r="O377" s="5" t="e">
        <f t="shared" ca="1" si="88"/>
        <v>#N/A</v>
      </c>
      <c r="P377" s="5" t="e">
        <f ca="1">VLOOKUP(G377,'Group code'!$Z$9:$AC$13,3,FALSE)</f>
        <v>#N/A</v>
      </c>
      <c r="Q377" s="5" t="e">
        <f t="shared" ca="1" si="89"/>
        <v>#N/A</v>
      </c>
      <c r="R377" s="5" t="e">
        <f ca="1">IF(G377=0,INDEX(cards[object_id],MATCH($C377,cards[object_id order],0)),"")</f>
        <v>#N/A</v>
      </c>
      <c r="S377" s="5" t="e">
        <f ca="1">IF(G377=1,INDEX(cards[[name]:[control]],MATCH($C377,cards[object_id order],0),'Group code'!J377),"")</f>
        <v>#N/A</v>
      </c>
      <c r="T377" s="5" t="e">
        <f ca="1">IF(G377=3,INDEX(cards[[1]:[25]],MATCH($C377,cards[object_id order],0),'Group code'!I377),"")</f>
        <v>#N/A</v>
      </c>
      <c r="U377" s="5" t="e">
        <f ca="1">VLOOKUP(G377,'Group code'!$Z$9:$AC$13,4,FALSE)</f>
        <v>#N/A</v>
      </c>
      <c r="V377" s="5" t="e">
        <f ca="1">IF(J377="","",VLOOKUP(J377,'Group code'!$Z$15:$AC$18,4,FALSE))</f>
        <v>#N/A</v>
      </c>
      <c r="W377" s="23" t="str">
        <f t="shared" ca="1" si="90"/>
        <v/>
      </c>
      <c r="X377" s="5" t="str">
        <f t="shared" ca="1" si="92"/>
        <v/>
      </c>
    </row>
    <row r="378" spans="2:24" x14ac:dyDescent="0.25">
      <c r="B378" s="5">
        <f t="shared" si="78"/>
        <v>372</v>
      </c>
      <c r="C378" s="5" t="e">
        <f t="shared" ca="1" si="91"/>
        <v>#N/A</v>
      </c>
      <c r="D378" s="5" t="e">
        <f ca="1">INDEX(cards[Attribute Index],MATCH('Group code'!C378,cards[object_id order],0))</f>
        <v>#N/A</v>
      </c>
      <c r="E378" s="5" t="e">
        <f t="shared" ca="1" si="79"/>
        <v>#N/A</v>
      </c>
      <c r="F378" s="14" t="e">
        <f ca="1">INDEX(cards[Entities count],MATCH('Group code'!C378,cards[object_id order],0))</f>
        <v>#N/A</v>
      </c>
      <c r="G378" s="14" t="e">
        <f t="shared" ca="1" si="81"/>
        <v>#N/A</v>
      </c>
      <c r="H378" s="14" t="e">
        <f t="shared" ca="1" si="82"/>
        <v>#N/A</v>
      </c>
      <c r="I378" s="5" t="e">
        <f t="shared" ca="1" si="83"/>
        <v>#N/A</v>
      </c>
      <c r="J378" s="5" t="e">
        <f t="shared" ca="1" si="80"/>
        <v>#N/A</v>
      </c>
      <c r="K378" s="5" t="e">
        <f t="shared" ca="1" si="84"/>
        <v>#N/A</v>
      </c>
      <c r="L378" s="5" t="e">
        <f t="shared" ca="1" si="85"/>
        <v>#N/A</v>
      </c>
      <c r="M378" s="5" t="e">
        <f t="shared" ca="1" si="86"/>
        <v>#N/A</v>
      </c>
      <c r="N378" s="5" t="e">
        <f t="shared" ca="1" si="87"/>
        <v>#N/A</v>
      </c>
      <c r="O378" s="5" t="e">
        <f t="shared" ca="1" si="88"/>
        <v>#N/A</v>
      </c>
      <c r="P378" s="5" t="e">
        <f ca="1">VLOOKUP(G378,'Group code'!$Z$9:$AC$13,3,FALSE)</f>
        <v>#N/A</v>
      </c>
      <c r="Q378" s="5" t="e">
        <f t="shared" ca="1" si="89"/>
        <v>#N/A</v>
      </c>
      <c r="R378" s="5" t="e">
        <f ca="1">IF(G378=0,INDEX(cards[object_id],MATCH($C378,cards[object_id order],0)),"")</f>
        <v>#N/A</v>
      </c>
      <c r="S378" s="5" t="e">
        <f ca="1">IF(G378=1,INDEX(cards[[name]:[control]],MATCH($C378,cards[object_id order],0),'Group code'!J378),"")</f>
        <v>#N/A</v>
      </c>
      <c r="T378" s="5" t="e">
        <f ca="1">IF(G378=3,INDEX(cards[[1]:[25]],MATCH($C378,cards[object_id order],0),'Group code'!I378),"")</f>
        <v>#N/A</v>
      </c>
      <c r="U378" s="5" t="e">
        <f ca="1">VLOOKUP(G378,'Group code'!$Z$9:$AC$13,4,FALSE)</f>
        <v>#N/A</v>
      </c>
      <c r="V378" s="5" t="e">
        <f ca="1">IF(J378="","",VLOOKUP(J378,'Group code'!$Z$15:$AC$18,4,FALSE))</f>
        <v>#N/A</v>
      </c>
      <c r="W378" s="23" t="str">
        <f t="shared" ca="1" si="90"/>
        <v/>
      </c>
      <c r="X378" s="5" t="str">
        <f t="shared" ca="1" si="92"/>
        <v/>
      </c>
    </row>
    <row r="379" spans="2:24" x14ac:dyDescent="0.25">
      <c r="B379" s="5">
        <f t="shared" si="78"/>
        <v>373</v>
      </c>
      <c r="C379" s="5" t="e">
        <f t="shared" ca="1" si="91"/>
        <v>#N/A</v>
      </c>
      <c r="D379" s="5" t="e">
        <f ca="1">INDEX(cards[Attribute Index],MATCH('Group code'!C379,cards[object_id order],0))</f>
        <v>#N/A</v>
      </c>
      <c r="E379" s="5" t="e">
        <f t="shared" ca="1" si="79"/>
        <v>#N/A</v>
      </c>
      <c r="F379" s="14" t="e">
        <f ca="1">INDEX(cards[Entities count],MATCH('Group code'!C379,cards[object_id order],0))</f>
        <v>#N/A</v>
      </c>
      <c r="G379" s="14" t="e">
        <f t="shared" ca="1" si="81"/>
        <v>#N/A</v>
      </c>
      <c r="H379" s="14" t="e">
        <f t="shared" ca="1" si="82"/>
        <v>#N/A</v>
      </c>
      <c r="I379" s="5" t="e">
        <f t="shared" ca="1" si="83"/>
        <v>#N/A</v>
      </c>
      <c r="J379" s="5" t="e">
        <f t="shared" ca="1" si="80"/>
        <v>#N/A</v>
      </c>
      <c r="K379" s="5" t="e">
        <f t="shared" ca="1" si="84"/>
        <v>#N/A</v>
      </c>
      <c r="L379" s="5" t="e">
        <f t="shared" ca="1" si="85"/>
        <v>#N/A</v>
      </c>
      <c r="M379" s="5" t="e">
        <f t="shared" ca="1" si="86"/>
        <v>#N/A</v>
      </c>
      <c r="N379" s="5" t="e">
        <f t="shared" ca="1" si="87"/>
        <v>#N/A</v>
      </c>
      <c r="O379" s="5" t="e">
        <f t="shared" ca="1" si="88"/>
        <v>#N/A</v>
      </c>
      <c r="P379" s="5" t="e">
        <f ca="1">VLOOKUP(G379,'Group code'!$Z$9:$AC$13,3,FALSE)</f>
        <v>#N/A</v>
      </c>
      <c r="Q379" s="5" t="e">
        <f t="shared" ca="1" si="89"/>
        <v>#N/A</v>
      </c>
      <c r="R379" s="5" t="e">
        <f ca="1">IF(G379=0,INDEX(cards[object_id],MATCH($C379,cards[object_id order],0)),"")</f>
        <v>#N/A</v>
      </c>
      <c r="S379" s="5" t="e">
        <f ca="1">IF(G379=1,INDEX(cards[[name]:[control]],MATCH($C379,cards[object_id order],0),'Group code'!J379),"")</f>
        <v>#N/A</v>
      </c>
      <c r="T379" s="5" t="e">
        <f ca="1">IF(G379=3,INDEX(cards[[1]:[25]],MATCH($C379,cards[object_id order],0),'Group code'!I379),"")</f>
        <v>#N/A</v>
      </c>
      <c r="U379" s="5" t="e">
        <f ca="1">VLOOKUP(G379,'Group code'!$Z$9:$AC$13,4,FALSE)</f>
        <v>#N/A</v>
      </c>
      <c r="V379" s="5" t="e">
        <f ca="1">IF(J379="","",VLOOKUP(J379,'Group code'!$Z$15:$AC$18,4,FALSE))</f>
        <v>#N/A</v>
      </c>
      <c r="W379" s="23" t="str">
        <f t="shared" ca="1" si="90"/>
        <v/>
      </c>
      <c r="X379" s="5" t="str">
        <f t="shared" ca="1" si="92"/>
        <v/>
      </c>
    </row>
    <row r="380" spans="2:24" x14ac:dyDescent="0.25">
      <c r="B380" s="5">
        <f t="shared" si="78"/>
        <v>374</v>
      </c>
      <c r="C380" s="5" t="e">
        <f t="shared" ca="1" si="91"/>
        <v>#N/A</v>
      </c>
      <c r="D380" s="5" t="e">
        <f ca="1">INDEX(cards[Attribute Index],MATCH('Group code'!C380,cards[object_id order],0))</f>
        <v>#N/A</v>
      </c>
      <c r="E380" s="5" t="e">
        <f t="shared" ca="1" si="79"/>
        <v>#N/A</v>
      </c>
      <c r="F380" s="14" t="e">
        <f ca="1">INDEX(cards[Entities count],MATCH('Group code'!C380,cards[object_id order],0))</f>
        <v>#N/A</v>
      </c>
      <c r="G380" s="14" t="e">
        <f t="shared" ca="1" si="81"/>
        <v>#N/A</v>
      </c>
      <c r="H380" s="14" t="e">
        <f t="shared" ca="1" si="82"/>
        <v>#N/A</v>
      </c>
      <c r="I380" s="5" t="e">
        <f t="shared" ca="1" si="83"/>
        <v>#N/A</v>
      </c>
      <c r="J380" s="5" t="e">
        <f t="shared" ca="1" si="80"/>
        <v>#N/A</v>
      </c>
      <c r="K380" s="5" t="e">
        <f t="shared" ca="1" si="84"/>
        <v>#N/A</v>
      </c>
      <c r="L380" s="5" t="e">
        <f t="shared" ca="1" si="85"/>
        <v>#N/A</v>
      </c>
      <c r="M380" s="5" t="e">
        <f t="shared" ca="1" si="86"/>
        <v>#N/A</v>
      </c>
      <c r="N380" s="5" t="e">
        <f t="shared" ca="1" si="87"/>
        <v>#N/A</v>
      </c>
      <c r="O380" s="5" t="e">
        <f t="shared" ca="1" si="88"/>
        <v>#N/A</v>
      </c>
      <c r="P380" s="5" t="e">
        <f ca="1">VLOOKUP(G380,'Group code'!$Z$9:$AC$13,3,FALSE)</f>
        <v>#N/A</v>
      </c>
      <c r="Q380" s="5" t="e">
        <f t="shared" ca="1" si="89"/>
        <v>#N/A</v>
      </c>
      <c r="R380" s="5" t="e">
        <f ca="1">IF(G380=0,INDEX(cards[object_id],MATCH($C380,cards[object_id order],0)),"")</f>
        <v>#N/A</v>
      </c>
      <c r="S380" s="5" t="e">
        <f ca="1">IF(G380=1,INDEX(cards[[name]:[control]],MATCH($C380,cards[object_id order],0),'Group code'!J380),"")</f>
        <v>#N/A</v>
      </c>
      <c r="T380" s="5" t="e">
        <f ca="1">IF(G380=3,INDEX(cards[[1]:[25]],MATCH($C380,cards[object_id order],0),'Group code'!I380),"")</f>
        <v>#N/A</v>
      </c>
      <c r="U380" s="5" t="e">
        <f ca="1">VLOOKUP(G380,'Group code'!$Z$9:$AC$13,4,FALSE)</f>
        <v>#N/A</v>
      </c>
      <c r="V380" s="5" t="e">
        <f ca="1">IF(J380="","",VLOOKUP(J380,'Group code'!$Z$15:$AC$18,4,FALSE))</f>
        <v>#N/A</v>
      </c>
      <c r="W380" s="23" t="str">
        <f t="shared" ca="1" si="90"/>
        <v/>
      </c>
      <c r="X380" s="5" t="str">
        <f t="shared" ca="1" si="92"/>
        <v/>
      </c>
    </row>
    <row r="381" spans="2:24" x14ac:dyDescent="0.25">
      <c r="B381" s="5">
        <f t="shared" si="78"/>
        <v>375</v>
      </c>
      <c r="C381" s="5" t="e">
        <f t="shared" ca="1" si="91"/>
        <v>#N/A</v>
      </c>
      <c r="D381" s="5" t="e">
        <f ca="1">INDEX(cards[Attribute Index],MATCH('Group code'!C381,cards[object_id order],0))</f>
        <v>#N/A</v>
      </c>
      <c r="E381" s="5" t="e">
        <f t="shared" ca="1" si="79"/>
        <v>#N/A</v>
      </c>
      <c r="F381" s="14" t="e">
        <f ca="1">INDEX(cards[Entities count],MATCH('Group code'!C381,cards[object_id order],0))</f>
        <v>#N/A</v>
      </c>
      <c r="G381" s="14" t="e">
        <f t="shared" ca="1" si="81"/>
        <v>#N/A</v>
      </c>
      <c r="H381" s="14" t="e">
        <f t="shared" ca="1" si="82"/>
        <v>#N/A</v>
      </c>
      <c r="I381" s="5" t="e">
        <f t="shared" ca="1" si="83"/>
        <v>#N/A</v>
      </c>
      <c r="J381" s="5" t="e">
        <f t="shared" ca="1" si="80"/>
        <v>#N/A</v>
      </c>
      <c r="K381" s="5" t="e">
        <f t="shared" ca="1" si="84"/>
        <v>#N/A</v>
      </c>
      <c r="L381" s="5" t="e">
        <f t="shared" ca="1" si="85"/>
        <v>#N/A</v>
      </c>
      <c r="M381" s="5" t="e">
        <f t="shared" ca="1" si="86"/>
        <v>#N/A</v>
      </c>
      <c r="N381" s="5" t="e">
        <f t="shared" ca="1" si="87"/>
        <v>#N/A</v>
      </c>
      <c r="O381" s="5" t="e">
        <f t="shared" ca="1" si="88"/>
        <v>#N/A</v>
      </c>
      <c r="P381" s="5" t="e">
        <f ca="1">VLOOKUP(G381,'Group code'!$Z$9:$AC$13,3,FALSE)</f>
        <v>#N/A</v>
      </c>
      <c r="Q381" s="5" t="e">
        <f t="shared" ca="1" si="89"/>
        <v>#N/A</v>
      </c>
      <c r="R381" s="5" t="e">
        <f ca="1">IF(G381=0,INDEX(cards[object_id],MATCH($C381,cards[object_id order],0)),"")</f>
        <v>#N/A</v>
      </c>
      <c r="S381" s="5" t="e">
        <f ca="1">IF(G381=1,INDEX(cards[[name]:[control]],MATCH($C381,cards[object_id order],0),'Group code'!J381),"")</f>
        <v>#N/A</v>
      </c>
      <c r="T381" s="5" t="e">
        <f ca="1">IF(G381=3,INDEX(cards[[1]:[25]],MATCH($C381,cards[object_id order],0),'Group code'!I381),"")</f>
        <v>#N/A</v>
      </c>
      <c r="U381" s="5" t="e">
        <f ca="1">VLOOKUP(G381,'Group code'!$Z$9:$AC$13,4,FALSE)</f>
        <v>#N/A</v>
      </c>
      <c r="V381" s="5" t="e">
        <f ca="1">IF(J381="","",VLOOKUP(J381,'Group code'!$Z$15:$AC$18,4,FALSE))</f>
        <v>#N/A</v>
      </c>
      <c r="W381" s="23" t="str">
        <f t="shared" ca="1" si="90"/>
        <v/>
      </c>
      <c r="X381" s="5" t="str">
        <f t="shared" ca="1" si="92"/>
        <v/>
      </c>
    </row>
    <row r="382" spans="2:24" x14ac:dyDescent="0.25">
      <c r="B382" s="5">
        <f t="shared" si="78"/>
        <v>376</v>
      </c>
      <c r="C382" s="5" t="e">
        <f t="shared" ca="1" si="91"/>
        <v>#N/A</v>
      </c>
      <c r="D382" s="5" t="e">
        <f ca="1">INDEX(cards[Attribute Index],MATCH('Group code'!C382,cards[object_id order],0))</f>
        <v>#N/A</v>
      </c>
      <c r="E382" s="5" t="e">
        <f t="shared" ca="1" si="79"/>
        <v>#N/A</v>
      </c>
      <c r="F382" s="14" t="e">
        <f ca="1">INDEX(cards[Entities count],MATCH('Group code'!C382,cards[object_id order],0))</f>
        <v>#N/A</v>
      </c>
      <c r="G382" s="14" t="e">
        <f t="shared" ca="1" si="81"/>
        <v>#N/A</v>
      </c>
      <c r="H382" s="14" t="e">
        <f t="shared" ca="1" si="82"/>
        <v>#N/A</v>
      </c>
      <c r="I382" s="5" t="e">
        <f t="shared" ca="1" si="83"/>
        <v>#N/A</v>
      </c>
      <c r="J382" s="5" t="e">
        <f t="shared" ca="1" si="80"/>
        <v>#N/A</v>
      </c>
      <c r="K382" s="5" t="e">
        <f t="shared" ca="1" si="84"/>
        <v>#N/A</v>
      </c>
      <c r="L382" s="5" t="e">
        <f t="shared" ca="1" si="85"/>
        <v>#N/A</v>
      </c>
      <c r="M382" s="5" t="e">
        <f t="shared" ca="1" si="86"/>
        <v>#N/A</v>
      </c>
      <c r="N382" s="5" t="e">
        <f t="shared" ca="1" si="87"/>
        <v>#N/A</v>
      </c>
      <c r="O382" s="5" t="e">
        <f t="shared" ca="1" si="88"/>
        <v>#N/A</v>
      </c>
      <c r="P382" s="5" t="e">
        <f ca="1">VLOOKUP(G382,'Group code'!$Z$9:$AC$13,3,FALSE)</f>
        <v>#N/A</v>
      </c>
      <c r="Q382" s="5" t="e">
        <f t="shared" ca="1" si="89"/>
        <v>#N/A</v>
      </c>
      <c r="R382" s="5" t="e">
        <f ca="1">IF(G382=0,INDEX(cards[object_id],MATCH($C382,cards[object_id order],0)),"")</f>
        <v>#N/A</v>
      </c>
      <c r="S382" s="5" t="e">
        <f ca="1">IF(G382=1,INDEX(cards[[name]:[control]],MATCH($C382,cards[object_id order],0),'Group code'!J382),"")</f>
        <v>#N/A</v>
      </c>
      <c r="T382" s="5" t="e">
        <f ca="1">IF(G382=3,INDEX(cards[[1]:[25]],MATCH($C382,cards[object_id order],0),'Group code'!I382),"")</f>
        <v>#N/A</v>
      </c>
      <c r="U382" s="5" t="e">
        <f ca="1">VLOOKUP(G382,'Group code'!$Z$9:$AC$13,4,FALSE)</f>
        <v>#N/A</v>
      </c>
      <c r="V382" s="5" t="e">
        <f ca="1">IF(J382="","",VLOOKUP(J382,'Group code'!$Z$15:$AC$18,4,FALSE))</f>
        <v>#N/A</v>
      </c>
      <c r="W382" s="23" t="str">
        <f t="shared" ca="1" si="90"/>
        <v/>
      </c>
      <c r="X382" s="5" t="str">
        <f t="shared" ca="1" si="92"/>
        <v/>
      </c>
    </row>
    <row r="383" spans="2:24" x14ac:dyDescent="0.25">
      <c r="B383" s="5">
        <f t="shared" si="78"/>
        <v>377</v>
      </c>
      <c r="C383" s="5" t="e">
        <f t="shared" ca="1" si="91"/>
        <v>#N/A</v>
      </c>
      <c r="D383" s="5" t="e">
        <f ca="1">INDEX(cards[Attribute Index],MATCH('Group code'!C383,cards[object_id order],0))</f>
        <v>#N/A</v>
      </c>
      <c r="E383" s="5" t="e">
        <f t="shared" ca="1" si="79"/>
        <v>#N/A</v>
      </c>
      <c r="F383" s="14" t="e">
        <f ca="1">INDEX(cards[Entities count],MATCH('Group code'!C383,cards[object_id order],0))</f>
        <v>#N/A</v>
      </c>
      <c r="G383" s="14" t="e">
        <f t="shared" ca="1" si="81"/>
        <v>#N/A</v>
      </c>
      <c r="H383" s="14" t="e">
        <f t="shared" ca="1" si="82"/>
        <v>#N/A</v>
      </c>
      <c r="I383" s="5" t="e">
        <f t="shared" ca="1" si="83"/>
        <v>#N/A</v>
      </c>
      <c r="J383" s="5" t="e">
        <f t="shared" ca="1" si="80"/>
        <v>#N/A</v>
      </c>
      <c r="K383" s="5" t="e">
        <f t="shared" ca="1" si="84"/>
        <v>#N/A</v>
      </c>
      <c r="L383" s="5" t="e">
        <f t="shared" ca="1" si="85"/>
        <v>#N/A</v>
      </c>
      <c r="M383" s="5" t="e">
        <f t="shared" ca="1" si="86"/>
        <v>#N/A</v>
      </c>
      <c r="N383" s="5" t="e">
        <f t="shared" ca="1" si="87"/>
        <v>#N/A</v>
      </c>
      <c r="O383" s="5" t="e">
        <f t="shared" ca="1" si="88"/>
        <v>#N/A</v>
      </c>
      <c r="P383" s="5" t="e">
        <f ca="1">VLOOKUP(G383,'Group code'!$Z$9:$AC$13,3,FALSE)</f>
        <v>#N/A</v>
      </c>
      <c r="Q383" s="5" t="e">
        <f t="shared" ca="1" si="89"/>
        <v>#N/A</v>
      </c>
      <c r="R383" s="5" t="e">
        <f ca="1">IF(G383=0,INDEX(cards[object_id],MATCH($C383,cards[object_id order],0)),"")</f>
        <v>#N/A</v>
      </c>
      <c r="S383" s="5" t="e">
        <f ca="1">IF(G383=1,INDEX(cards[[name]:[control]],MATCH($C383,cards[object_id order],0),'Group code'!J383),"")</f>
        <v>#N/A</v>
      </c>
      <c r="T383" s="5" t="e">
        <f ca="1">IF(G383=3,INDEX(cards[[1]:[25]],MATCH($C383,cards[object_id order],0),'Group code'!I383),"")</f>
        <v>#N/A</v>
      </c>
      <c r="U383" s="5" t="e">
        <f ca="1">VLOOKUP(G383,'Group code'!$Z$9:$AC$13,4,FALSE)</f>
        <v>#N/A</v>
      </c>
      <c r="V383" s="5" t="e">
        <f ca="1">IF(J383="","",VLOOKUP(J383,'Group code'!$Z$15:$AC$18,4,FALSE))</f>
        <v>#N/A</v>
      </c>
      <c r="W383" s="23" t="str">
        <f t="shared" ca="1" si="90"/>
        <v/>
      </c>
      <c r="X383" s="5" t="str">
        <f t="shared" ca="1" si="92"/>
        <v/>
      </c>
    </row>
    <row r="384" spans="2:24" x14ac:dyDescent="0.25">
      <c r="B384" s="5">
        <f t="shared" si="78"/>
        <v>378</v>
      </c>
      <c r="C384" s="5" t="e">
        <f t="shared" ca="1" si="91"/>
        <v>#N/A</v>
      </c>
      <c r="D384" s="5" t="e">
        <f ca="1">INDEX(cards[Attribute Index],MATCH('Group code'!C384,cards[object_id order],0))</f>
        <v>#N/A</v>
      </c>
      <c r="E384" s="5" t="e">
        <f t="shared" ca="1" si="79"/>
        <v>#N/A</v>
      </c>
      <c r="F384" s="14" t="e">
        <f ca="1">INDEX(cards[Entities count],MATCH('Group code'!C384,cards[object_id order],0))</f>
        <v>#N/A</v>
      </c>
      <c r="G384" s="14" t="e">
        <f t="shared" ca="1" si="81"/>
        <v>#N/A</v>
      </c>
      <c r="H384" s="14" t="e">
        <f t="shared" ca="1" si="82"/>
        <v>#N/A</v>
      </c>
      <c r="I384" s="5" t="e">
        <f t="shared" ca="1" si="83"/>
        <v>#N/A</v>
      </c>
      <c r="J384" s="5" t="e">
        <f t="shared" ca="1" si="80"/>
        <v>#N/A</v>
      </c>
      <c r="K384" s="5" t="e">
        <f t="shared" ca="1" si="84"/>
        <v>#N/A</v>
      </c>
      <c r="L384" s="5" t="e">
        <f t="shared" ca="1" si="85"/>
        <v>#N/A</v>
      </c>
      <c r="M384" s="5" t="e">
        <f t="shared" ca="1" si="86"/>
        <v>#N/A</v>
      </c>
      <c r="N384" s="5" t="e">
        <f t="shared" ca="1" si="87"/>
        <v>#N/A</v>
      </c>
      <c r="O384" s="5" t="e">
        <f t="shared" ca="1" si="88"/>
        <v>#N/A</v>
      </c>
      <c r="P384" s="5" t="e">
        <f ca="1">VLOOKUP(G384,'Group code'!$Z$9:$AC$13,3,FALSE)</f>
        <v>#N/A</v>
      </c>
      <c r="Q384" s="5" t="e">
        <f t="shared" ca="1" si="89"/>
        <v>#N/A</v>
      </c>
      <c r="R384" s="5" t="e">
        <f ca="1">IF(G384=0,INDEX(cards[object_id],MATCH($C384,cards[object_id order],0)),"")</f>
        <v>#N/A</v>
      </c>
      <c r="S384" s="5" t="e">
        <f ca="1">IF(G384=1,INDEX(cards[[name]:[control]],MATCH($C384,cards[object_id order],0),'Group code'!J384),"")</f>
        <v>#N/A</v>
      </c>
      <c r="T384" s="5" t="e">
        <f ca="1">IF(G384=3,INDEX(cards[[1]:[25]],MATCH($C384,cards[object_id order],0),'Group code'!I384),"")</f>
        <v>#N/A</v>
      </c>
      <c r="U384" s="5" t="e">
        <f ca="1">VLOOKUP(G384,'Group code'!$Z$9:$AC$13,4,FALSE)</f>
        <v>#N/A</v>
      </c>
      <c r="V384" s="5" t="e">
        <f ca="1">IF(J384="","",VLOOKUP(J384,'Group code'!$Z$15:$AC$18,4,FALSE))</f>
        <v>#N/A</v>
      </c>
      <c r="W384" s="23" t="str">
        <f t="shared" ca="1" si="90"/>
        <v/>
      </c>
      <c r="X384" s="5" t="str">
        <f t="shared" ca="1" si="92"/>
        <v/>
      </c>
    </row>
    <row r="385" spans="2:24" x14ac:dyDescent="0.25">
      <c r="B385" s="5">
        <f t="shared" si="78"/>
        <v>379</v>
      </c>
      <c r="C385" s="5" t="e">
        <f t="shared" ca="1" si="91"/>
        <v>#N/A</v>
      </c>
      <c r="D385" s="5" t="e">
        <f ca="1">INDEX(cards[Attribute Index],MATCH('Group code'!C385,cards[object_id order],0))</f>
        <v>#N/A</v>
      </c>
      <c r="E385" s="5" t="e">
        <f t="shared" ca="1" si="79"/>
        <v>#N/A</v>
      </c>
      <c r="F385" s="14" t="e">
        <f ca="1">INDEX(cards[Entities count],MATCH('Group code'!C385,cards[object_id order],0))</f>
        <v>#N/A</v>
      </c>
      <c r="G385" s="14" t="e">
        <f t="shared" ca="1" si="81"/>
        <v>#N/A</v>
      </c>
      <c r="H385" s="14" t="e">
        <f t="shared" ca="1" si="82"/>
        <v>#N/A</v>
      </c>
      <c r="I385" s="5" t="e">
        <f t="shared" ca="1" si="83"/>
        <v>#N/A</v>
      </c>
      <c r="J385" s="5" t="e">
        <f t="shared" ca="1" si="80"/>
        <v>#N/A</v>
      </c>
      <c r="K385" s="5" t="e">
        <f t="shared" ca="1" si="84"/>
        <v>#N/A</v>
      </c>
      <c r="L385" s="5" t="e">
        <f t="shared" ca="1" si="85"/>
        <v>#N/A</v>
      </c>
      <c r="M385" s="5" t="e">
        <f t="shared" ca="1" si="86"/>
        <v>#N/A</v>
      </c>
      <c r="N385" s="5" t="e">
        <f t="shared" ca="1" si="87"/>
        <v>#N/A</v>
      </c>
      <c r="O385" s="5" t="e">
        <f t="shared" ca="1" si="88"/>
        <v>#N/A</v>
      </c>
      <c r="P385" s="5" t="e">
        <f ca="1">VLOOKUP(G385,'Group code'!$Z$9:$AC$13,3,FALSE)</f>
        <v>#N/A</v>
      </c>
      <c r="Q385" s="5" t="e">
        <f t="shared" ca="1" si="89"/>
        <v>#N/A</v>
      </c>
      <c r="R385" s="5" t="e">
        <f ca="1">IF(G385=0,INDEX(cards[object_id],MATCH($C385,cards[object_id order],0)),"")</f>
        <v>#N/A</v>
      </c>
      <c r="S385" s="5" t="e">
        <f ca="1">IF(G385=1,INDEX(cards[[name]:[control]],MATCH($C385,cards[object_id order],0),'Group code'!J385),"")</f>
        <v>#N/A</v>
      </c>
      <c r="T385" s="5" t="e">
        <f ca="1">IF(G385=3,INDEX(cards[[1]:[25]],MATCH($C385,cards[object_id order],0),'Group code'!I385),"")</f>
        <v>#N/A</v>
      </c>
      <c r="U385" s="5" t="e">
        <f ca="1">VLOOKUP(G385,'Group code'!$Z$9:$AC$13,4,FALSE)</f>
        <v>#N/A</v>
      </c>
      <c r="V385" s="5" t="e">
        <f ca="1">IF(J385="","",VLOOKUP(J385,'Group code'!$Z$15:$AC$18,4,FALSE))</f>
        <v>#N/A</v>
      </c>
      <c r="W385" s="23" t="str">
        <f t="shared" ca="1" si="90"/>
        <v/>
      </c>
      <c r="X385" s="5" t="str">
        <f t="shared" ca="1" si="92"/>
        <v/>
      </c>
    </row>
    <row r="386" spans="2:24" x14ac:dyDescent="0.25">
      <c r="B386" s="5">
        <f t="shared" si="78"/>
        <v>380</v>
      </c>
      <c r="C386" s="5" t="e">
        <f t="shared" ca="1" si="91"/>
        <v>#N/A</v>
      </c>
      <c r="D386" s="5" t="e">
        <f ca="1">INDEX(cards[Attribute Index],MATCH('Group code'!C386,cards[object_id order],0))</f>
        <v>#N/A</v>
      </c>
      <c r="E386" s="5" t="e">
        <f t="shared" ca="1" si="79"/>
        <v>#N/A</v>
      </c>
      <c r="F386" s="14" t="e">
        <f ca="1">INDEX(cards[Entities count],MATCH('Group code'!C386,cards[object_id order],0))</f>
        <v>#N/A</v>
      </c>
      <c r="G386" s="14" t="e">
        <f t="shared" ca="1" si="81"/>
        <v>#N/A</v>
      </c>
      <c r="H386" s="14" t="e">
        <f t="shared" ca="1" si="82"/>
        <v>#N/A</v>
      </c>
      <c r="I386" s="5" t="e">
        <f t="shared" ca="1" si="83"/>
        <v>#N/A</v>
      </c>
      <c r="J386" s="5" t="e">
        <f t="shared" ca="1" si="80"/>
        <v>#N/A</v>
      </c>
      <c r="K386" s="5" t="e">
        <f t="shared" ca="1" si="84"/>
        <v>#N/A</v>
      </c>
      <c r="L386" s="5" t="e">
        <f t="shared" ca="1" si="85"/>
        <v>#N/A</v>
      </c>
      <c r="M386" s="5" t="e">
        <f t="shared" ca="1" si="86"/>
        <v>#N/A</v>
      </c>
      <c r="N386" s="5" t="e">
        <f t="shared" ca="1" si="87"/>
        <v>#N/A</v>
      </c>
      <c r="O386" s="5" t="e">
        <f t="shared" ca="1" si="88"/>
        <v>#N/A</v>
      </c>
      <c r="P386" s="5" t="e">
        <f ca="1">VLOOKUP(G386,'Group code'!$Z$9:$AC$13,3,FALSE)</f>
        <v>#N/A</v>
      </c>
      <c r="Q386" s="5" t="e">
        <f t="shared" ca="1" si="89"/>
        <v>#N/A</v>
      </c>
      <c r="R386" s="5" t="e">
        <f ca="1">IF(G386=0,INDEX(cards[object_id],MATCH($C386,cards[object_id order],0)),"")</f>
        <v>#N/A</v>
      </c>
      <c r="S386" s="5" t="e">
        <f ca="1">IF(G386=1,INDEX(cards[[name]:[control]],MATCH($C386,cards[object_id order],0),'Group code'!J386),"")</f>
        <v>#N/A</v>
      </c>
      <c r="T386" s="5" t="e">
        <f ca="1">IF(G386=3,INDEX(cards[[1]:[25]],MATCH($C386,cards[object_id order],0),'Group code'!I386),"")</f>
        <v>#N/A</v>
      </c>
      <c r="U386" s="5" t="e">
        <f ca="1">VLOOKUP(G386,'Group code'!$Z$9:$AC$13,4,FALSE)</f>
        <v>#N/A</v>
      </c>
      <c r="V386" s="5" t="e">
        <f ca="1">IF(J386="","",VLOOKUP(J386,'Group code'!$Z$15:$AC$18,4,FALSE))</f>
        <v>#N/A</v>
      </c>
      <c r="W386" s="23" t="str">
        <f t="shared" ca="1" si="90"/>
        <v/>
      </c>
      <c r="X386" s="5" t="str">
        <f t="shared" ca="1" si="92"/>
        <v/>
      </c>
    </row>
    <row r="387" spans="2:24" x14ac:dyDescent="0.25">
      <c r="B387" s="5">
        <f t="shared" si="78"/>
        <v>381</v>
      </c>
      <c r="C387" s="5" t="e">
        <f t="shared" ca="1" si="91"/>
        <v>#N/A</v>
      </c>
      <c r="D387" s="5" t="e">
        <f ca="1">INDEX(cards[Attribute Index],MATCH('Group code'!C387,cards[object_id order],0))</f>
        <v>#N/A</v>
      </c>
      <c r="E387" s="5" t="e">
        <f t="shared" ca="1" si="79"/>
        <v>#N/A</v>
      </c>
      <c r="F387" s="14" t="e">
        <f ca="1">INDEX(cards[Entities count],MATCH('Group code'!C387,cards[object_id order],0))</f>
        <v>#N/A</v>
      </c>
      <c r="G387" s="14" t="e">
        <f t="shared" ca="1" si="81"/>
        <v>#N/A</v>
      </c>
      <c r="H387" s="14" t="e">
        <f t="shared" ca="1" si="82"/>
        <v>#N/A</v>
      </c>
      <c r="I387" s="5" t="e">
        <f t="shared" ca="1" si="83"/>
        <v>#N/A</v>
      </c>
      <c r="J387" s="5" t="e">
        <f t="shared" ca="1" si="80"/>
        <v>#N/A</v>
      </c>
      <c r="K387" s="5" t="e">
        <f t="shared" ca="1" si="84"/>
        <v>#N/A</v>
      </c>
      <c r="L387" s="5" t="e">
        <f t="shared" ca="1" si="85"/>
        <v>#N/A</v>
      </c>
      <c r="M387" s="5" t="e">
        <f t="shared" ca="1" si="86"/>
        <v>#N/A</v>
      </c>
      <c r="N387" s="5" t="e">
        <f t="shared" ca="1" si="87"/>
        <v>#N/A</v>
      </c>
      <c r="O387" s="5" t="e">
        <f t="shared" ca="1" si="88"/>
        <v>#N/A</v>
      </c>
      <c r="P387" s="5" t="e">
        <f ca="1">VLOOKUP(G387,'Group code'!$Z$9:$AC$13,3,FALSE)</f>
        <v>#N/A</v>
      </c>
      <c r="Q387" s="5" t="e">
        <f t="shared" ca="1" si="89"/>
        <v>#N/A</v>
      </c>
      <c r="R387" s="5" t="e">
        <f ca="1">IF(G387=0,INDEX(cards[object_id],MATCH($C387,cards[object_id order],0)),"")</f>
        <v>#N/A</v>
      </c>
      <c r="S387" s="5" t="e">
        <f ca="1">IF(G387=1,INDEX(cards[[name]:[control]],MATCH($C387,cards[object_id order],0),'Group code'!J387),"")</f>
        <v>#N/A</v>
      </c>
      <c r="T387" s="5" t="e">
        <f ca="1">IF(G387=3,INDEX(cards[[1]:[25]],MATCH($C387,cards[object_id order],0),'Group code'!I387),"")</f>
        <v>#N/A</v>
      </c>
      <c r="U387" s="5" t="e">
        <f ca="1">VLOOKUP(G387,'Group code'!$Z$9:$AC$13,4,FALSE)</f>
        <v>#N/A</v>
      </c>
      <c r="V387" s="5" t="e">
        <f ca="1">IF(J387="","",VLOOKUP(J387,'Group code'!$Z$15:$AC$18,4,FALSE))</f>
        <v>#N/A</v>
      </c>
      <c r="W387" s="23" t="str">
        <f t="shared" ca="1" si="90"/>
        <v/>
      </c>
      <c r="X387" s="5" t="str">
        <f t="shared" ca="1" si="92"/>
        <v/>
      </c>
    </row>
    <row r="388" spans="2:24" x14ac:dyDescent="0.25">
      <c r="B388" s="5">
        <f t="shared" si="78"/>
        <v>382</v>
      </c>
      <c r="C388" s="5" t="e">
        <f t="shared" ca="1" si="91"/>
        <v>#N/A</v>
      </c>
      <c r="D388" s="5" t="e">
        <f ca="1">INDEX(cards[Attribute Index],MATCH('Group code'!C388,cards[object_id order],0))</f>
        <v>#N/A</v>
      </c>
      <c r="E388" s="5" t="e">
        <f t="shared" ca="1" si="79"/>
        <v>#N/A</v>
      </c>
      <c r="F388" s="14" t="e">
        <f ca="1">INDEX(cards[Entities count],MATCH('Group code'!C388,cards[object_id order],0))</f>
        <v>#N/A</v>
      </c>
      <c r="G388" s="14" t="e">
        <f t="shared" ca="1" si="81"/>
        <v>#N/A</v>
      </c>
      <c r="H388" s="14" t="e">
        <f t="shared" ca="1" si="82"/>
        <v>#N/A</v>
      </c>
      <c r="I388" s="5" t="e">
        <f t="shared" ca="1" si="83"/>
        <v>#N/A</v>
      </c>
      <c r="J388" s="5" t="e">
        <f t="shared" ca="1" si="80"/>
        <v>#N/A</v>
      </c>
      <c r="K388" s="5" t="e">
        <f t="shared" ca="1" si="84"/>
        <v>#N/A</v>
      </c>
      <c r="L388" s="5" t="e">
        <f t="shared" ca="1" si="85"/>
        <v>#N/A</v>
      </c>
      <c r="M388" s="5" t="e">
        <f t="shared" ca="1" si="86"/>
        <v>#N/A</v>
      </c>
      <c r="N388" s="5" t="e">
        <f t="shared" ca="1" si="87"/>
        <v>#N/A</v>
      </c>
      <c r="O388" s="5" t="e">
        <f t="shared" ca="1" si="88"/>
        <v>#N/A</v>
      </c>
      <c r="P388" s="5" t="e">
        <f ca="1">VLOOKUP(G388,'Group code'!$Z$9:$AC$13,3,FALSE)</f>
        <v>#N/A</v>
      </c>
      <c r="Q388" s="5" t="e">
        <f t="shared" ca="1" si="89"/>
        <v>#N/A</v>
      </c>
      <c r="R388" s="5" t="e">
        <f ca="1">IF(G388=0,INDEX(cards[object_id],MATCH($C388,cards[object_id order],0)),"")</f>
        <v>#N/A</v>
      </c>
      <c r="S388" s="5" t="e">
        <f ca="1">IF(G388=1,INDEX(cards[[name]:[control]],MATCH($C388,cards[object_id order],0),'Group code'!J388),"")</f>
        <v>#N/A</v>
      </c>
      <c r="T388" s="5" t="e">
        <f ca="1">IF(G388=3,INDEX(cards[[1]:[25]],MATCH($C388,cards[object_id order],0),'Group code'!I388),"")</f>
        <v>#N/A</v>
      </c>
      <c r="U388" s="5" t="e">
        <f ca="1">VLOOKUP(G388,'Group code'!$Z$9:$AC$13,4,FALSE)</f>
        <v>#N/A</v>
      </c>
      <c r="V388" s="5" t="e">
        <f ca="1">IF(J388="","",VLOOKUP(J388,'Group code'!$Z$15:$AC$18,4,FALSE))</f>
        <v>#N/A</v>
      </c>
      <c r="W388" s="23" t="str">
        <f t="shared" ca="1" si="90"/>
        <v/>
      </c>
      <c r="X388" s="5" t="str">
        <f t="shared" ca="1" si="92"/>
        <v/>
      </c>
    </row>
    <row r="389" spans="2:24" x14ac:dyDescent="0.25">
      <c r="B389" s="5">
        <f t="shared" si="78"/>
        <v>383</v>
      </c>
      <c r="C389" s="5" t="e">
        <f t="shared" ca="1" si="91"/>
        <v>#N/A</v>
      </c>
      <c r="D389" s="5" t="e">
        <f ca="1">INDEX(cards[Attribute Index],MATCH('Group code'!C389,cards[object_id order],0))</f>
        <v>#N/A</v>
      </c>
      <c r="E389" s="5" t="e">
        <f t="shared" ca="1" si="79"/>
        <v>#N/A</v>
      </c>
      <c r="F389" s="14" t="e">
        <f ca="1">INDEX(cards[Entities count],MATCH('Group code'!C389,cards[object_id order],0))</f>
        <v>#N/A</v>
      </c>
      <c r="G389" s="14" t="e">
        <f t="shared" ca="1" si="81"/>
        <v>#N/A</v>
      </c>
      <c r="H389" s="14" t="e">
        <f t="shared" ca="1" si="82"/>
        <v>#N/A</v>
      </c>
      <c r="I389" s="5" t="e">
        <f t="shared" ca="1" si="83"/>
        <v>#N/A</v>
      </c>
      <c r="J389" s="5" t="e">
        <f t="shared" ca="1" si="80"/>
        <v>#N/A</v>
      </c>
      <c r="K389" s="5" t="e">
        <f t="shared" ca="1" si="84"/>
        <v>#N/A</v>
      </c>
      <c r="L389" s="5" t="e">
        <f t="shared" ca="1" si="85"/>
        <v>#N/A</v>
      </c>
      <c r="M389" s="5" t="e">
        <f t="shared" ca="1" si="86"/>
        <v>#N/A</v>
      </c>
      <c r="N389" s="5" t="e">
        <f t="shared" ca="1" si="87"/>
        <v>#N/A</v>
      </c>
      <c r="O389" s="5" t="e">
        <f t="shared" ca="1" si="88"/>
        <v>#N/A</v>
      </c>
      <c r="P389" s="5" t="e">
        <f ca="1">VLOOKUP(G389,'Group code'!$Z$9:$AC$13,3,FALSE)</f>
        <v>#N/A</v>
      </c>
      <c r="Q389" s="5" t="e">
        <f t="shared" ca="1" si="89"/>
        <v>#N/A</v>
      </c>
      <c r="R389" s="5" t="e">
        <f ca="1">IF(G389=0,INDEX(cards[object_id],MATCH($C389,cards[object_id order],0)),"")</f>
        <v>#N/A</v>
      </c>
      <c r="S389" s="5" t="e">
        <f ca="1">IF(G389=1,INDEX(cards[[name]:[control]],MATCH($C389,cards[object_id order],0),'Group code'!J389),"")</f>
        <v>#N/A</v>
      </c>
      <c r="T389" s="5" t="e">
        <f ca="1">IF(G389=3,INDEX(cards[[1]:[25]],MATCH($C389,cards[object_id order],0),'Group code'!I389),"")</f>
        <v>#N/A</v>
      </c>
      <c r="U389" s="5" t="e">
        <f ca="1">VLOOKUP(G389,'Group code'!$Z$9:$AC$13,4,FALSE)</f>
        <v>#N/A</v>
      </c>
      <c r="V389" s="5" t="e">
        <f ca="1">IF(J389="","",VLOOKUP(J389,'Group code'!$Z$15:$AC$18,4,FALSE))</f>
        <v>#N/A</v>
      </c>
      <c r="W389" s="23" t="str">
        <f t="shared" ca="1" si="90"/>
        <v/>
      </c>
      <c r="X389" s="5" t="str">
        <f t="shared" ca="1" si="92"/>
        <v/>
      </c>
    </row>
    <row r="390" spans="2:24" x14ac:dyDescent="0.25">
      <c r="B390" s="5">
        <f t="shared" si="78"/>
        <v>384</v>
      </c>
      <c r="C390" s="5" t="e">
        <f t="shared" ca="1" si="91"/>
        <v>#N/A</v>
      </c>
      <c r="D390" s="5" t="e">
        <f ca="1">INDEX(cards[Attribute Index],MATCH('Group code'!C390,cards[object_id order],0))</f>
        <v>#N/A</v>
      </c>
      <c r="E390" s="5" t="e">
        <f t="shared" ca="1" si="79"/>
        <v>#N/A</v>
      </c>
      <c r="F390" s="14" t="e">
        <f ca="1">INDEX(cards[Entities count],MATCH('Group code'!C390,cards[object_id order],0))</f>
        <v>#N/A</v>
      </c>
      <c r="G390" s="14" t="e">
        <f t="shared" ca="1" si="81"/>
        <v>#N/A</v>
      </c>
      <c r="H390" s="14" t="e">
        <f t="shared" ca="1" si="82"/>
        <v>#N/A</v>
      </c>
      <c r="I390" s="5" t="e">
        <f t="shared" ca="1" si="83"/>
        <v>#N/A</v>
      </c>
      <c r="J390" s="5" t="e">
        <f t="shared" ca="1" si="80"/>
        <v>#N/A</v>
      </c>
      <c r="K390" s="5" t="e">
        <f t="shared" ca="1" si="84"/>
        <v>#N/A</v>
      </c>
      <c r="L390" s="5" t="e">
        <f t="shared" ca="1" si="85"/>
        <v>#N/A</v>
      </c>
      <c r="M390" s="5" t="e">
        <f t="shared" ca="1" si="86"/>
        <v>#N/A</v>
      </c>
      <c r="N390" s="5" t="e">
        <f t="shared" ca="1" si="87"/>
        <v>#N/A</v>
      </c>
      <c r="O390" s="5" t="e">
        <f t="shared" ca="1" si="88"/>
        <v>#N/A</v>
      </c>
      <c r="P390" s="5" t="e">
        <f ca="1">VLOOKUP(G390,'Group code'!$Z$9:$AC$13,3,FALSE)</f>
        <v>#N/A</v>
      </c>
      <c r="Q390" s="5" t="e">
        <f t="shared" ca="1" si="89"/>
        <v>#N/A</v>
      </c>
      <c r="R390" s="5" t="e">
        <f ca="1">IF(G390=0,INDEX(cards[object_id],MATCH($C390,cards[object_id order],0)),"")</f>
        <v>#N/A</v>
      </c>
      <c r="S390" s="5" t="e">
        <f ca="1">IF(G390=1,INDEX(cards[[name]:[control]],MATCH($C390,cards[object_id order],0),'Group code'!J390),"")</f>
        <v>#N/A</v>
      </c>
      <c r="T390" s="5" t="e">
        <f ca="1">IF(G390=3,INDEX(cards[[1]:[25]],MATCH($C390,cards[object_id order],0),'Group code'!I390),"")</f>
        <v>#N/A</v>
      </c>
      <c r="U390" s="5" t="e">
        <f ca="1">VLOOKUP(G390,'Group code'!$Z$9:$AC$13,4,FALSE)</f>
        <v>#N/A</v>
      </c>
      <c r="V390" s="5" t="e">
        <f ca="1">IF(J390="","",VLOOKUP(J390,'Group code'!$Z$15:$AC$18,4,FALSE))</f>
        <v>#N/A</v>
      </c>
      <c r="W390" s="23" t="str">
        <f t="shared" ca="1" si="90"/>
        <v/>
      </c>
      <c r="X390" s="5" t="str">
        <f t="shared" ca="1" si="92"/>
        <v/>
      </c>
    </row>
    <row r="391" spans="2:24" x14ac:dyDescent="0.25">
      <c r="B391" s="5">
        <f t="shared" si="78"/>
        <v>385</v>
      </c>
      <c r="C391" s="5" t="e">
        <f t="shared" ca="1" si="91"/>
        <v>#N/A</v>
      </c>
      <c r="D391" s="5" t="e">
        <f ca="1">INDEX(cards[Attribute Index],MATCH('Group code'!C391,cards[object_id order],0))</f>
        <v>#N/A</v>
      </c>
      <c r="E391" s="5" t="e">
        <f t="shared" ca="1" si="79"/>
        <v>#N/A</v>
      </c>
      <c r="F391" s="14" t="e">
        <f ca="1">INDEX(cards[Entities count],MATCH('Group code'!C391,cards[object_id order],0))</f>
        <v>#N/A</v>
      </c>
      <c r="G391" s="14" t="e">
        <f t="shared" ca="1" si="81"/>
        <v>#N/A</v>
      </c>
      <c r="H391" s="14" t="e">
        <f t="shared" ca="1" si="82"/>
        <v>#N/A</v>
      </c>
      <c r="I391" s="5" t="e">
        <f t="shared" ca="1" si="83"/>
        <v>#N/A</v>
      </c>
      <c r="J391" s="5" t="e">
        <f t="shared" ca="1" si="80"/>
        <v>#N/A</v>
      </c>
      <c r="K391" s="5" t="e">
        <f t="shared" ca="1" si="84"/>
        <v>#N/A</v>
      </c>
      <c r="L391" s="5" t="e">
        <f t="shared" ca="1" si="85"/>
        <v>#N/A</v>
      </c>
      <c r="M391" s="5" t="e">
        <f t="shared" ca="1" si="86"/>
        <v>#N/A</v>
      </c>
      <c r="N391" s="5" t="e">
        <f t="shared" ca="1" si="87"/>
        <v>#N/A</v>
      </c>
      <c r="O391" s="5" t="e">
        <f t="shared" ca="1" si="88"/>
        <v>#N/A</v>
      </c>
      <c r="P391" s="5" t="e">
        <f ca="1">VLOOKUP(G391,'Group code'!$Z$9:$AC$13,3,FALSE)</f>
        <v>#N/A</v>
      </c>
      <c r="Q391" s="5" t="e">
        <f t="shared" ca="1" si="89"/>
        <v>#N/A</v>
      </c>
      <c r="R391" s="5" t="e">
        <f ca="1">IF(G391=0,INDEX(cards[object_id],MATCH($C391,cards[object_id order],0)),"")</f>
        <v>#N/A</v>
      </c>
      <c r="S391" s="5" t="e">
        <f ca="1">IF(G391=1,INDEX(cards[[name]:[control]],MATCH($C391,cards[object_id order],0),'Group code'!J391),"")</f>
        <v>#N/A</v>
      </c>
      <c r="T391" s="5" t="e">
        <f ca="1">IF(G391=3,INDEX(cards[[1]:[25]],MATCH($C391,cards[object_id order],0),'Group code'!I391),"")</f>
        <v>#N/A</v>
      </c>
      <c r="U391" s="5" t="e">
        <f ca="1">VLOOKUP(G391,'Group code'!$Z$9:$AC$13,4,FALSE)</f>
        <v>#N/A</v>
      </c>
      <c r="V391" s="5" t="e">
        <f ca="1">IF(J391="","",VLOOKUP(J391,'Group code'!$Z$15:$AC$18,4,FALSE))</f>
        <v>#N/A</v>
      </c>
      <c r="W391" s="23" t="str">
        <f t="shared" ca="1" si="90"/>
        <v/>
      </c>
      <c r="X391" s="5" t="str">
        <f t="shared" ca="1" si="92"/>
        <v/>
      </c>
    </row>
    <row r="392" spans="2:24" x14ac:dyDescent="0.25">
      <c r="B392" s="5">
        <f t="shared" si="78"/>
        <v>386</v>
      </c>
      <c r="C392" s="5" t="e">
        <f t="shared" ca="1" si="91"/>
        <v>#N/A</v>
      </c>
      <c r="D392" s="5" t="e">
        <f ca="1">INDEX(cards[Attribute Index],MATCH('Group code'!C392,cards[object_id order],0))</f>
        <v>#N/A</v>
      </c>
      <c r="E392" s="5" t="e">
        <f t="shared" ca="1" si="79"/>
        <v>#N/A</v>
      </c>
      <c r="F392" s="14" t="e">
        <f ca="1">INDEX(cards[Entities count],MATCH('Group code'!C392,cards[object_id order],0))</f>
        <v>#N/A</v>
      </c>
      <c r="G392" s="14" t="e">
        <f t="shared" ca="1" si="81"/>
        <v>#N/A</v>
      </c>
      <c r="H392" s="14" t="e">
        <f t="shared" ca="1" si="82"/>
        <v>#N/A</v>
      </c>
      <c r="I392" s="5" t="e">
        <f t="shared" ca="1" si="83"/>
        <v>#N/A</v>
      </c>
      <c r="J392" s="5" t="e">
        <f t="shared" ca="1" si="80"/>
        <v>#N/A</v>
      </c>
      <c r="K392" s="5" t="e">
        <f t="shared" ca="1" si="84"/>
        <v>#N/A</v>
      </c>
      <c r="L392" s="5" t="e">
        <f t="shared" ca="1" si="85"/>
        <v>#N/A</v>
      </c>
      <c r="M392" s="5" t="e">
        <f t="shared" ca="1" si="86"/>
        <v>#N/A</v>
      </c>
      <c r="N392" s="5" t="e">
        <f t="shared" ca="1" si="87"/>
        <v>#N/A</v>
      </c>
      <c r="O392" s="5" t="e">
        <f t="shared" ca="1" si="88"/>
        <v>#N/A</v>
      </c>
      <c r="P392" s="5" t="e">
        <f ca="1">VLOOKUP(G392,'Group code'!$Z$9:$AC$13,3,FALSE)</f>
        <v>#N/A</v>
      </c>
      <c r="Q392" s="5" t="e">
        <f t="shared" ca="1" si="89"/>
        <v>#N/A</v>
      </c>
      <c r="R392" s="5" t="e">
        <f ca="1">IF(G392=0,INDEX(cards[object_id],MATCH($C392,cards[object_id order],0)),"")</f>
        <v>#N/A</v>
      </c>
      <c r="S392" s="5" t="e">
        <f ca="1">IF(G392=1,INDEX(cards[[name]:[control]],MATCH($C392,cards[object_id order],0),'Group code'!J392),"")</f>
        <v>#N/A</v>
      </c>
      <c r="T392" s="5" t="e">
        <f ca="1">IF(G392=3,INDEX(cards[[1]:[25]],MATCH($C392,cards[object_id order],0),'Group code'!I392),"")</f>
        <v>#N/A</v>
      </c>
      <c r="U392" s="5" t="e">
        <f ca="1">VLOOKUP(G392,'Group code'!$Z$9:$AC$13,4,FALSE)</f>
        <v>#N/A</v>
      </c>
      <c r="V392" s="5" t="e">
        <f ca="1">IF(J392="","",VLOOKUP(J392,'Group code'!$Z$15:$AC$18,4,FALSE))</f>
        <v>#N/A</v>
      </c>
      <c r="W392" s="23" t="str">
        <f t="shared" ca="1" si="90"/>
        <v/>
      </c>
      <c r="X392" s="5" t="str">
        <f t="shared" ca="1" si="92"/>
        <v/>
      </c>
    </row>
    <row r="393" spans="2:24" x14ac:dyDescent="0.25">
      <c r="B393" s="5">
        <f t="shared" ref="B393:B456" si="93">B392+1</f>
        <v>387</v>
      </c>
      <c r="C393" s="5" t="e">
        <f t="shared" ca="1" si="91"/>
        <v>#N/A</v>
      </c>
      <c r="D393" s="5" t="e">
        <f ca="1">INDEX(cards[Attribute Index],MATCH('Group code'!C393,cards[object_id order],0))</f>
        <v>#N/A</v>
      </c>
      <c r="E393" s="5" t="e">
        <f t="shared" ref="E393:E456" ca="1" si="94">LEN(D393)</f>
        <v>#N/A</v>
      </c>
      <c r="F393" s="14" t="e">
        <f ca="1">INDEX(cards[Entities count],MATCH('Group code'!C393,cards[object_id order],0))</f>
        <v>#N/A</v>
      </c>
      <c r="G393" s="14" t="e">
        <f t="shared" ca="1" si="81"/>
        <v>#N/A</v>
      </c>
      <c r="H393" s="14" t="e">
        <f t="shared" ca="1" si="82"/>
        <v>#N/A</v>
      </c>
      <c r="I393" s="5" t="e">
        <f t="shared" ca="1" si="83"/>
        <v>#N/A</v>
      </c>
      <c r="J393" s="5" t="e">
        <f t="shared" ref="J393:J456" ca="1" si="95">IF(H393="","",VALUE(MID(D393,H393,1)))</f>
        <v>#N/A</v>
      </c>
      <c r="K393" s="5" t="e">
        <f t="shared" ca="1" si="84"/>
        <v>#N/A</v>
      </c>
      <c r="L393" s="5" t="e">
        <f t="shared" ca="1" si="85"/>
        <v>#N/A</v>
      </c>
      <c r="M393" s="5" t="e">
        <f t="shared" ca="1" si="86"/>
        <v>#N/A</v>
      </c>
      <c r="N393" s="5" t="e">
        <f t="shared" ca="1" si="87"/>
        <v>#N/A</v>
      </c>
      <c r="O393" s="5" t="e">
        <f t="shared" ca="1" si="88"/>
        <v>#N/A</v>
      </c>
      <c r="P393" s="5" t="e">
        <f ca="1">VLOOKUP(G393,'Group code'!$Z$9:$AC$13,3,FALSE)</f>
        <v>#N/A</v>
      </c>
      <c r="Q393" s="5" t="e">
        <f t="shared" ca="1" si="89"/>
        <v>#N/A</v>
      </c>
      <c r="R393" s="5" t="e">
        <f ca="1">IF(G393=0,INDEX(cards[object_id],MATCH($C393,cards[object_id order],0)),"")</f>
        <v>#N/A</v>
      </c>
      <c r="S393" s="5" t="e">
        <f ca="1">IF(G393=1,INDEX(cards[[name]:[control]],MATCH($C393,cards[object_id order],0),'Group code'!J393),"")</f>
        <v>#N/A</v>
      </c>
      <c r="T393" s="5" t="e">
        <f ca="1">IF(G393=3,INDEX(cards[[1]:[25]],MATCH($C393,cards[object_id order],0),'Group code'!I393),"")</f>
        <v>#N/A</v>
      </c>
      <c r="U393" s="5" t="e">
        <f ca="1">VLOOKUP(G393,'Group code'!$Z$9:$AC$13,4,FALSE)</f>
        <v>#N/A</v>
      </c>
      <c r="V393" s="5" t="e">
        <f ca="1">IF(J393="","",VLOOKUP(J393,'Group code'!$Z$15:$AC$18,4,FALSE))</f>
        <v>#N/A</v>
      </c>
      <c r="W393" s="23" t="str">
        <f t="shared" ca="1" si="90"/>
        <v/>
      </c>
      <c r="X393" s="5" t="str">
        <f t="shared" ca="1" si="92"/>
        <v/>
      </c>
    </row>
    <row r="394" spans="2:24" x14ac:dyDescent="0.25">
      <c r="B394" s="5">
        <f t="shared" si="93"/>
        <v>388</v>
      </c>
      <c r="C394" s="5" t="e">
        <f t="shared" ca="1" si="91"/>
        <v>#N/A</v>
      </c>
      <c r="D394" s="5" t="e">
        <f ca="1">INDEX(cards[Attribute Index],MATCH('Group code'!C394,cards[object_id order],0))</f>
        <v>#N/A</v>
      </c>
      <c r="E394" s="5" t="e">
        <f t="shared" ca="1" si="94"/>
        <v>#N/A</v>
      </c>
      <c r="F394" s="14" t="e">
        <f ca="1">INDEX(cards[Entities count],MATCH('Group code'!C394,cards[object_id order],0))</f>
        <v>#N/A</v>
      </c>
      <c r="G394" s="14" t="e">
        <f t="shared" ref="G394:G457" ca="1" si="96">G393+SUM(K393:O393)</f>
        <v>#N/A</v>
      </c>
      <c r="H394" s="14" t="e">
        <f t="shared" ref="H394:H457" ca="1" si="97">IF(AND(G393=0,D393&lt;&gt;""),1,IF(G394=1,H393+1,""))</f>
        <v>#N/A</v>
      </c>
      <c r="I394" s="5" t="e">
        <f t="shared" ref="I394:I457" ca="1" si="98">IF(G393=2,1,IF(G394=3,I393+1,""))</f>
        <v>#N/A</v>
      </c>
      <c r="J394" s="5" t="e">
        <f t="shared" ca="1" si="95"/>
        <v>#N/A</v>
      </c>
      <c r="K394" s="5" t="e">
        <f t="shared" ref="K394:K457" ca="1" si="99">IF(G394=0,
IF(D394&lt;&gt;"",1,2),
"")</f>
        <v>#N/A</v>
      </c>
      <c r="L394" s="5" t="e">
        <f t="shared" ref="L394:L457" ca="1" si="100">IF(G394=1,
IF(E394=H394,1,0),
"")</f>
        <v>#N/A</v>
      </c>
      <c r="M394" s="5" t="e">
        <f t="shared" ref="M394:M457" ca="1" si="101">IF(G394=2,
1,
"")</f>
        <v>#N/A</v>
      </c>
      <c r="N394" s="5" t="e">
        <f t="shared" ref="N394:N457" ca="1" si="102">IF(G394=3,
IF(F394=I394,1,0),
"")</f>
        <v>#N/A</v>
      </c>
      <c r="O394" s="5" t="e">
        <f t="shared" ref="O394:O457" ca="1" si="103">IF(G394=4,
-4,
"")</f>
        <v>#N/A</v>
      </c>
      <c r="P394" s="5" t="e">
        <f ca="1">VLOOKUP(G394,'Group code'!$Z$9:$AC$13,3,FALSE)</f>
        <v>#N/A</v>
      </c>
      <c r="Q394" s="5" t="e">
        <f t="shared" ref="Q394:Q457" ca="1" si="104">IF(J394="","",VLOOKUP(J394,$Z$15:$AC$18,3,FALSE))</f>
        <v>#N/A</v>
      </c>
      <c r="R394" s="5" t="e">
        <f ca="1">IF(G394=0,INDEX(cards[object_id],MATCH($C394,cards[object_id order],0)),"")</f>
        <v>#N/A</v>
      </c>
      <c r="S394" s="5" t="e">
        <f ca="1">IF(G394=1,INDEX(cards[[name]:[control]],MATCH($C394,cards[object_id order],0),'Group code'!J394),"")</f>
        <v>#N/A</v>
      </c>
      <c r="T394" s="5" t="e">
        <f ca="1">IF(G394=3,INDEX(cards[[1]:[25]],MATCH($C394,cards[object_id order],0),'Group code'!I394),"")</f>
        <v>#N/A</v>
      </c>
      <c r="U394" s="5" t="e">
        <f ca="1">VLOOKUP(G394,'Group code'!$Z$9:$AC$13,4,FALSE)</f>
        <v>#N/A</v>
      </c>
      <c r="V394" s="5" t="e">
        <f ca="1">IF(J394="","",VLOOKUP(J394,'Group code'!$Z$15:$AC$18,4,FALSE))</f>
        <v>#N/A</v>
      </c>
      <c r="W394" s="23" t="str">
        <f t="shared" ref="W394:W457" ca="1" si="105">_xlfn.IFNA(  CONCATENATE(P394,Q394,R394,S394,T394,U394,V394),  "")</f>
        <v/>
      </c>
      <c r="X394" s="5" t="str">
        <f t="shared" ca="1" si="92"/>
        <v/>
      </c>
    </row>
    <row r="395" spans="2:24" x14ac:dyDescent="0.25">
      <c r="B395" s="5">
        <f t="shared" si="93"/>
        <v>389</v>
      </c>
      <c r="C395" s="5" t="e">
        <f t="shared" ref="C395:C458" ca="1" si="106">IF(G394=4,C394+1,C394)</f>
        <v>#N/A</v>
      </c>
      <c r="D395" s="5" t="e">
        <f ca="1">INDEX(cards[Attribute Index],MATCH('Group code'!C395,cards[object_id order],0))</f>
        <v>#N/A</v>
      </c>
      <c r="E395" s="5" t="e">
        <f t="shared" ca="1" si="94"/>
        <v>#N/A</v>
      </c>
      <c r="F395" s="14" t="e">
        <f ca="1">INDEX(cards[Entities count],MATCH('Group code'!C395,cards[object_id order],0))</f>
        <v>#N/A</v>
      </c>
      <c r="G395" s="14" t="e">
        <f t="shared" ca="1" si="96"/>
        <v>#N/A</v>
      </c>
      <c r="H395" s="14" t="e">
        <f t="shared" ca="1" si="97"/>
        <v>#N/A</v>
      </c>
      <c r="I395" s="5" t="e">
        <f t="shared" ca="1" si="98"/>
        <v>#N/A</v>
      </c>
      <c r="J395" s="5" t="e">
        <f t="shared" ca="1" si="95"/>
        <v>#N/A</v>
      </c>
      <c r="K395" s="5" t="e">
        <f t="shared" ca="1" si="99"/>
        <v>#N/A</v>
      </c>
      <c r="L395" s="5" t="e">
        <f t="shared" ca="1" si="100"/>
        <v>#N/A</v>
      </c>
      <c r="M395" s="5" t="e">
        <f t="shared" ca="1" si="101"/>
        <v>#N/A</v>
      </c>
      <c r="N395" s="5" t="e">
        <f t="shared" ca="1" si="102"/>
        <v>#N/A</v>
      </c>
      <c r="O395" s="5" t="e">
        <f t="shared" ca="1" si="103"/>
        <v>#N/A</v>
      </c>
      <c r="P395" s="5" t="e">
        <f ca="1">VLOOKUP(G395,'Group code'!$Z$9:$AC$13,3,FALSE)</f>
        <v>#N/A</v>
      </c>
      <c r="Q395" s="5" t="e">
        <f t="shared" ca="1" si="104"/>
        <v>#N/A</v>
      </c>
      <c r="R395" s="5" t="e">
        <f ca="1">IF(G395=0,INDEX(cards[object_id],MATCH($C395,cards[object_id order],0)),"")</f>
        <v>#N/A</v>
      </c>
      <c r="S395" s="5" t="e">
        <f ca="1">IF(G395=1,INDEX(cards[[name]:[control]],MATCH($C395,cards[object_id order],0),'Group code'!J395),"")</f>
        <v>#N/A</v>
      </c>
      <c r="T395" s="5" t="e">
        <f ca="1">IF(G395=3,INDEX(cards[[1]:[25]],MATCH($C395,cards[object_id order],0),'Group code'!I395),"")</f>
        <v>#N/A</v>
      </c>
      <c r="U395" s="5" t="e">
        <f ca="1">VLOOKUP(G395,'Group code'!$Z$9:$AC$13,4,FALSE)</f>
        <v>#N/A</v>
      </c>
      <c r="V395" s="5" t="e">
        <f ca="1">IF(J395="","",VLOOKUP(J395,'Group code'!$Z$15:$AC$18,4,FALSE))</f>
        <v>#N/A</v>
      </c>
      <c r="W395" s="23" t="str">
        <f t="shared" ca="1" si="105"/>
        <v/>
      </c>
      <c r="X395" s="5" t="str">
        <f t="shared" ca="1" si="92"/>
        <v/>
      </c>
    </row>
    <row r="396" spans="2:24" x14ac:dyDescent="0.25">
      <c r="B396" s="5">
        <f t="shared" si="93"/>
        <v>390</v>
      </c>
      <c r="C396" s="5" t="e">
        <f t="shared" ca="1" si="106"/>
        <v>#N/A</v>
      </c>
      <c r="D396" s="5" t="e">
        <f ca="1">INDEX(cards[Attribute Index],MATCH('Group code'!C396,cards[object_id order],0))</f>
        <v>#N/A</v>
      </c>
      <c r="E396" s="5" t="e">
        <f t="shared" ca="1" si="94"/>
        <v>#N/A</v>
      </c>
      <c r="F396" s="14" t="e">
        <f ca="1">INDEX(cards[Entities count],MATCH('Group code'!C396,cards[object_id order],0))</f>
        <v>#N/A</v>
      </c>
      <c r="G396" s="14" t="e">
        <f t="shared" ca="1" si="96"/>
        <v>#N/A</v>
      </c>
      <c r="H396" s="14" t="e">
        <f t="shared" ca="1" si="97"/>
        <v>#N/A</v>
      </c>
      <c r="I396" s="5" t="e">
        <f t="shared" ca="1" si="98"/>
        <v>#N/A</v>
      </c>
      <c r="J396" s="5" t="e">
        <f t="shared" ca="1" si="95"/>
        <v>#N/A</v>
      </c>
      <c r="K396" s="5" t="e">
        <f t="shared" ca="1" si="99"/>
        <v>#N/A</v>
      </c>
      <c r="L396" s="5" t="e">
        <f t="shared" ca="1" si="100"/>
        <v>#N/A</v>
      </c>
      <c r="M396" s="5" t="e">
        <f t="shared" ca="1" si="101"/>
        <v>#N/A</v>
      </c>
      <c r="N396" s="5" t="e">
        <f t="shared" ca="1" si="102"/>
        <v>#N/A</v>
      </c>
      <c r="O396" s="5" t="e">
        <f t="shared" ca="1" si="103"/>
        <v>#N/A</v>
      </c>
      <c r="P396" s="5" t="e">
        <f ca="1">VLOOKUP(G396,'Group code'!$Z$9:$AC$13,3,FALSE)</f>
        <v>#N/A</v>
      </c>
      <c r="Q396" s="5" t="e">
        <f t="shared" ca="1" si="104"/>
        <v>#N/A</v>
      </c>
      <c r="R396" s="5" t="e">
        <f ca="1">IF(G396=0,INDEX(cards[object_id],MATCH($C396,cards[object_id order],0)),"")</f>
        <v>#N/A</v>
      </c>
      <c r="S396" s="5" t="e">
        <f ca="1">IF(G396=1,INDEX(cards[[name]:[control]],MATCH($C396,cards[object_id order],0),'Group code'!J396),"")</f>
        <v>#N/A</v>
      </c>
      <c r="T396" s="5" t="e">
        <f ca="1">IF(G396=3,INDEX(cards[[1]:[25]],MATCH($C396,cards[object_id order],0),'Group code'!I396),"")</f>
        <v>#N/A</v>
      </c>
      <c r="U396" s="5" t="e">
        <f ca="1">VLOOKUP(G396,'Group code'!$Z$9:$AC$13,4,FALSE)</f>
        <v>#N/A</v>
      </c>
      <c r="V396" s="5" t="e">
        <f ca="1">IF(J396="","",VLOOKUP(J396,'Group code'!$Z$15:$AC$18,4,FALSE))</f>
        <v>#N/A</v>
      </c>
      <c r="W396" s="23" t="str">
        <f t="shared" ca="1" si="105"/>
        <v/>
      </c>
      <c r="X396" s="5" t="str">
        <f t="shared" ca="1" si="92"/>
        <v/>
      </c>
    </row>
    <row r="397" spans="2:24" x14ac:dyDescent="0.25">
      <c r="B397" s="5">
        <f t="shared" si="93"/>
        <v>391</v>
      </c>
      <c r="C397" s="5" t="e">
        <f t="shared" ca="1" si="106"/>
        <v>#N/A</v>
      </c>
      <c r="D397" s="5" t="e">
        <f ca="1">INDEX(cards[Attribute Index],MATCH('Group code'!C397,cards[object_id order],0))</f>
        <v>#N/A</v>
      </c>
      <c r="E397" s="5" t="e">
        <f t="shared" ca="1" si="94"/>
        <v>#N/A</v>
      </c>
      <c r="F397" s="14" t="e">
        <f ca="1">INDEX(cards[Entities count],MATCH('Group code'!C397,cards[object_id order],0))</f>
        <v>#N/A</v>
      </c>
      <c r="G397" s="14" t="e">
        <f t="shared" ca="1" si="96"/>
        <v>#N/A</v>
      </c>
      <c r="H397" s="14" t="e">
        <f t="shared" ca="1" si="97"/>
        <v>#N/A</v>
      </c>
      <c r="I397" s="5" t="e">
        <f t="shared" ca="1" si="98"/>
        <v>#N/A</v>
      </c>
      <c r="J397" s="5" t="e">
        <f t="shared" ca="1" si="95"/>
        <v>#N/A</v>
      </c>
      <c r="K397" s="5" t="e">
        <f t="shared" ca="1" si="99"/>
        <v>#N/A</v>
      </c>
      <c r="L397" s="5" t="e">
        <f t="shared" ca="1" si="100"/>
        <v>#N/A</v>
      </c>
      <c r="M397" s="5" t="e">
        <f t="shared" ca="1" si="101"/>
        <v>#N/A</v>
      </c>
      <c r="N397" s="5" t="e">
        <f t="shared" ca="1" si="102"/>
        <v>#N/A</v>
      </c>
      <c r="O397" s="5" t="e">
        <f t="shared" ca="1" si="103"/>
        <v>#N/A</v>
      </c>
      <c r="P397" s="5" t="e">
        <f ca="1">VLOOKUP(G397,'Group code'!$Z$9:$AC$13,3,FALSE)</f>
        <v>#N/A</v>
      </c>
      <c r="Q397" s="5" t="e">
        <f t="shared" ca="1" si="104"/>
        <v>#N/A</v>
      </c>
      <c r="R397" s="5" t="e">
        <f ca="1">IF(G397=0,INDEX(cards[object_id],MATCH($C397,cards[object_id order],0)),"")</f>
        <v>#N/A</v>
      </c>
      <c r="S397" s="5" t="e">
        <f ca="1">IF(G397=1,INDEX(cards[[name]:[control]],MATCH($C397,cards[object_id order],0),'Group code'!J397),"")</f>
        <v>#N/A</v>
      </c>
      <c r="T397" s="5" t="e">
        <f ca="1">IF(G397=3,INDEX(cards[[1]:[25]],MATCH($C397,cards[object_id order],0),'Group code'!I397),"")</f>
        <v>#N/A</v>
      </c>
      <c r="U397" s="5" t="e">
        <f ca="1">VLOOKUP(G397,'Group code'!$Z$9:$AC$13,4,FALSE)</f>
        <v>#N/A</v>
      </c>
      <c r="V397" s="5" t="e">
        <f ca="1">IF(J397="","",VLOOKUP(J397,'Group code'!$Z$15:$AC$18,4,FALSE))</f>
        <v>#N/A</v>
      </c>
      <c r="W397" s="23" t="str">
        <f t="shared" ca="1" si="105"/>
        <v/>
      </c>
      <c r="X397" s="5" t="str">
        <f t="shared" ca="1" si="92"/>
        <v/>
      </c>
    </row>
    <row r="398" spans="2:24" x14ac:dyDescent="0.25">
      <c r="B398" s="5">
        <f t="shared" si="93"/>
        <v>392</v>
      </c>
      <c r="C398" s="5" t="e">
        <f t="shared" ca="1" si="106"/>
        <v>#N/A</v>
      </c>
      <c r="D398" s="5" t="e">
        <f ca="1">INDEX(cards[Attribute Index],MATCH('Group code'!C398,cards[object_id order],0))</f>
        <v>#N/A</v>
      </c>
      <c r="E398" s="5" t="e">
        <f t="shared" ca="1" si="94"/>
        <v>#N/A</v>
      </c>
      <c r="F398" s="14" t="e">
        <f ca="1">INDEX(cards[Entities count],MATCH('Group code'!C398,cards[object_id order],0))</f>
        <v>#N/A</v>
      </c>
      <c r="G398" s="14" t="e">
        <f t="shared" ca="1" si="96"/>
        <v>#N/A</v>
      </c>
      <c r="H398" s="14" t="e">
        <f t="shared" ca="1" si="97"/>
        <v>#N/A</v>
      </c>
      <c r="I398" s="5" t="e">
        <f t="shared" ca="1" si="98"/>
        <v>#N/A</v>
      </c>
      <c r="J398" s="5" t="e">
        <f t="shared" ca="1" si="95"/>
        <v>#N/A</v>
      </c>
      <c r="K398" s="5" t="e">
        <f t="shared" ca="1" si="99"/>
        <v>#N/A</v>
      </c>
      <c r="L398" s="5" t="e">
        <f t="shared" ca="1" si="100"/>
        <v>#N/A</v>
      </c>
      <c r="M398" s="5" t="e">
        <f t="shared" ca="1" si="101"/>
        <v>#N/A</v>
      </c>
      <c r="N398" s="5" t="e">
        <f t="shared" ca="1" si="102"/>
        <v>#N/A</v>
      </c>
      <c r="O398" s="5" t="e">
        <f t="shared" ca="1" si="103"/>
        <v>#N/A</v>
      </c>
      <c r="P398" s="5" t="e">
        <f ca="1">VLOOKUP(G398,'Group code'!$Z$9:$AC$13,3,FALSE)</f>
        <v>#N/A</v>
      </c>
      <c r="Q398" s="5" t="e">
        <f t="shared" ca="1" si="104"/>
        <v>#N/A</v>
      </c>
      <c r="R398" s="5" t="e">
        <f ca="1">IF(G398=0,INDEX(cards[object_id],MATCH($C398,cards[object_id order],0)),"")</f>
        <v>#N/A</v>
      </c>
      <c r="S398" s="5" t="e">
        <f ca="1">IF(G398=1,INDEX(cards[[name]:[control]],MATCH($C398,cards[object_id order],0),'Group code'!J398),"")</f>
        <v>#N/A</v>
      </c>
      <c r="T398" s="5" t="e">
        <f ca="1">IF(G398=3,INDEX(cards[[1]:[25]],MATCH($C398,cards[object_id order],0),'Group code'!I398),"")</f>
        <v>#N/A</v>
      </c>
      <c r="U398" s="5" t="e">
        <f ca="1">VLOOKUP(G398,'Group code'!$Z$9:$AC$13,4,FALSE)</f>
        <v>#N/A</v>
      </c>
      <c r="V398" s="5" t="e">
        <f ca="1">IF(J398="","",VLOOKUP(J398,'Group code'!$Z$15:$AC$18,4,FALSE))</f>
        <v>#N/A</v>
      </c>
      <c r="W398" s="23" t="str">
        <f t="shared" ca="1" si="105"/>
        <v/>
      </c>
      <c r="X398" s="5" t="str">
        <f t="shared" ca="1" si="92"/>
        <v/>
      </c>
    </row>
    <row r="399" spans="2:24" x14ac:dyDescent="0.25">
      <c r="B399" s="5">
        <f t="shared" si="93"/>
        <v>393</v>
      </c>
      <c r="C399" s="5" t="e">
        <f t="shared" ca="1" si="106"/>
        <v>#N/A</v>
      </c>
      <c r="D399" s="5" t="e">
        <f ca="1">INDEX(cards[Attribute Index],MATCH('Group code'!C399,cards[object_id order],0))</f>
        <v>#N/A</v>
      </c>
      <c r="E399" s="5" t="e">
        <f t="shared" ca="1" si="94"/>
        <v>#N/A</v>
      </c>
      <c r="F399" s="14" t="e">
        <f ca="1">INDEX(cards[Entities count],MATCH('Group code'!C399,cards[object_id order],0))</f>
        <v>#N/A</v>
      </c>
      <c r="G399" s="14" t="e">
        <f t="shared" ca="1" si="96"/>
        <v>#N/A</v>
      </c>
      <c r="H399" s="14" t="e">
        <f t="shared" ca="1" si="97"/>
        <v>#N/A</v>
      </c>
      <c r="I399" s="5" t="e">
        <f t="shared" ca="1" si="98"/>
        <v>#N/A</v>
      </c>
      <c r="J399" s="5" t="e">
        <f t="shared" ca="1" si="95"/>
        <v>#N/A</v>
      </c>
      <c r="K399" s="5" t="e">
        <f t="shared" ca="1" si="99"/>
        <v>#N/A</v>
      </c>
      <c r="L399" s="5" t="e">
        <f t="shared" ca="1" si="100"/>
        <v>#N/A</v>
      </c>
      <c r="M399" s="5" t="e">
        <f t="shared" ca="1" si="101"/>
        <v>#N/A</v>
      </c>
      <c r="N399" s="5" t="e">
        <f t="shared" ca="1" si="102"/>
        <v>#N/A</v>
      </c>
      <c r="O399" s="5" t="e">
        <f t="shared" ca="1" si="103"/>
        <v>#N/A</v>
      </c>
      <c r="P399" s="5" t="e">
        <f ca="1">VLOOKUP(G399,'Group code'!$Z$9:$AC$13,3,FALSE)</f>
        <v>#N/A</v>
      </c>
      <c r="Q399" s="5" t="e">
        <f t="shared" ca="1" si="104"/>
        <v>#N/A</v>
      </c>
      <c r="R399" s="5" t="e">
        <f ca="1">IF(G399=0,INDEX(cards[object_id],MATCH($C399,cards[object_id order],0)),"")</f>
        <v>#N/A</v>
      </c>
      <c r="S399" s="5" t="e">
        <f ca="1">IF(G399=1,INDEX(cards[[name]:[control]],MATCH($C399,cards[object_id order],0),'Group code'!J399),"")</f>
        <v>#N/A</v>
      </c>
      <c r="T399" s="5" t="e">
        <f ca="1">IF(G399=3,INDEX(cards[[1]:[25]],MATCH($C399,cards[object_id order],0),'Group code'!I399),"")</f>
        <v>#N/A</v>
      </c>
      <c r="U399" s="5" t="e">
        <f ca="1">VLOOKUP(G399,'Group code'!$Z$9:$AC$13,4,FALSE)</f>
        <v>#N/A</v>
      </c>
      <c r="V399" s="5" t="e">
        <f ca="1">IF(J399="","",VLOOKUP(J399,'Group code'!$Z$15:$AC$18,4,FALSE))</f>
        <v>#N/A</v>
      </c>
      <c r="W399" s="23" t="str">
        <f t="shared" ca="1" si="105"/>
        <v/>
      </c>
      <c r="X399" s="5" t="str">
        <f t="shared" ca="1" si="92"/>
        <v/>
      </c>
    </row>
    <row r="400" spans="2:24" x14ac:dyDescent="0.25">
      <c r="B400" s="5">
        <f t="shared" si="93"/>
        <v>394</v>
      </c>
      <c r="C400" s="5" t="e">
        <f t="shared" ca="1" si="106"/>
        <v>#N/A</v>
      </c>
      <c r="D400" s="5" t="e">
        <f ca="1">INDEX(cards[Attribute Index],MATCH('Group code'!C400,cards[object_id order],0))</f>
        <v>#N/A</v>
      </c>
      <c r="E400" s="5" t="e">
        <f t="shared" ca="1" si="94"/>
        <v>#N/A</v>
      </c>
      <c r="F400" s="14" t="e">
        <f ca="1">INDEX(cards[Entities count],MATCH('Group code'!C400,cards[object_id order],0))</f>
        <v>#N/A</v>
      </c>
      <c r="G400" s="14" t="e">
        <f t="shared" ca="1" si="96"/>
        <v>#N/A</v>
      </c>
      <c r="H400" s="14" t="e">
        <f t="shared" ca="1" si="97"/>
        <v>#N/A</v>
      </c>
      <c r="I400" s="5" t="e">
        <f t="shared" ca="1" si="98"/>
        <v>#N/A</v>
      </c>
      <c r="J400" s="5" t="e">
        <f t="shared" ca="1" si="95"/>
        <v>#N/A</v>
      </c>
      <c r="K400" s="5" t="e">
        <f t="shared" ca="1" si="99"/>
        <v>#N/A</v>
      </c>
      <c r="L400" s="5" t="e">
        <f t="shared" ca="1" si="100"/>
        <v>#N/A</v>
      </c>
      <c r="M400" s="5" t="e">
        <f t="shared" ca="1" si="101"/>
        <v>#N/A</v>
      </c>
      <c r="N400" s="5" t="e">
        <f t="shared" ca="1" si="102"/>
        <v>#N/A</v>
      </c>
      <c r="O400" s="5" t="e">
        <f t="shared" ca="1" si="103"/>
        <v>#N/A</v>
      </c>
      <c r="P400" s="5" t="e">
        <f ca="1">VLOOKUP(G400,'Group code'!$Z$9:$AC$13,3,FALSE)</f>
        <v>#N/A</v>
      </c>
      <c r="Q400" s="5" t="e">
        <f t="shared" ca="1" si="104"/>
        <v>#N/A</v>
      </c>
      <c r="R400" s="5" t="e">
        <f ca="1">IF(G400=0,INDEX(cards[object_id],MATCH($C400,cards[object_id order],0)),"")</f>
        <v>#N/A</v>
      </c>
      <c r="S400" s="5" t="e">
        <f ca="1">IF(G400=1,INDEX(cards[[name]:[control]],MATCH($C400,cards[object_id order],0),'Group code'!J400),"")</f>
        <v>#N/A</v>
      </c>
      <c r="T400" s="5" t="e">
        <f ca="1">IF(G400=3,INDEX(cards[[1]:[25]],MATCH($C400,cards[object_id order],0),'Group code'!I400),"")</f>
        <v>#N/A</v>
      </c>
      <c r="U400" s="5" t="e">
        <f ca="1">VLOOKUP(G400,'Group code'!$Z$9:$AC$13,4,FALSE)</f>
        <v>#N/A</v>
      </c>
      <c r="V400" s="5" t="e">
        <f ca="1">IF(J400="","",VLOOKUP(J400,'Group code'!$Z$15:$AC$18,4,FALSE))</f>
        <v>#N/A</v>
      </c>
      <c r="W400" s="23" t="str">
        <f t="shared" ca="1" si="105"/>
        <v/>
      </c>
      <c r="X400" s="5" t="str">
        <f t="shared" ca="1" si="92"/>
        <v/>
      </c>
    </row>
    <row r="401" spans="2:24" x14ac:dyDescent="0.25">
      <c r="B401" s="5">
        <f t="shared" si="93"/>
        <v>395</v>
      </c>
      <c r="C401" s="5" t="e">
        <f t="shared" ca="1" si="106"/>
        <v>#N/A</v>
      </c>
      <c r="D401" s="5" t="e">
        <f ca="1">INDEX(cards[Attribute Index],MATCH('Group code'!C401,cards[object_id order],0))</f>
        <v>#N/A</v>
      </c>
      <c r="E401" s="5" t="e">
        <f t="shared" ca="1" si="94"/>
        <v>#N/A</v>
      </c>
      <c r="F401" s="14" t="e">
        <f ca="1">INDEX(cards[Entities count],MATCH('Group code'!C401,cards[object_id order],0))</f>
        <v>#N/A</v>
      </c>
      <c r="G401" s="14" t="e">
        <f t="shared" ca="1" si="96"/>
        <v>#N/A</v>
      </c>
      <c r="H401" s="14" t="e">
        <f t="shared" ca="1" si="97"/>
        <v>#N/A</v>
      </c>
      <c r="I401" s="5" t="e">
        <f t="shared" ca="1" si="98"/>
        <v>#N/A</v>
      </c>
      <c r="J401" s="5" t="e">
        <f t="shared" ca="1" si="95"/>
        <v>#N/A</v>
      </c>
      <c r="K401" s="5" t="e">
        <f t="shared" ca="1" si="99"/>
        <v>#N/A</v>
      </c>
      <c r="L401" s="5" t="e">
        <f t="shared" ca="1" si="100"/>
        <v>#N/A</v>
      </c>
      <c r="M401" s="5" t="e">
        <f t="shared" ca="1" si="101"/>
        <v>#N/A</v>
      </c>
      <c r="N401" s="5" t="e">
        <f t="shared" ca="1" si="102"/>
        <v>#N/A</v>
      </c>
      <c r="O401" s="5" t="e">
        <f t="shared" ca="1" si="103"/>
        <v>#N/A</v>
      </c>
      <c r="P401" s="5" t="e">
        <f ca="1">VLOOKUP(G401,'Group code'!$Z$9:$AC$13,3,FALSE)</f>
        <v>#N/A</v>
      </c>
      <c r="Q401" s="5" t="e">
        <f t="shared" ca="1" si="104"/>
        <v>#N/A</v>
      </c>
      <c r="R401" s="5" t="e">
        <f ca="1">IF(G401=0,INDEX(cards[object_id],MATCH($C401,cards[object_id order],0)),"")</f>
        <v>#N/A</v>
      </c>
      <c r="S401" s="5" t="e">
        <f ca="1">IF(G401=1,INDEX(cards[[name]:[control]],MATCH($C401,cards[object_id order],0),'Group code'!J401),"")</f>
        <v>#N/A</v>
      </c>
      <c r="T401" s="5" t="e">
        <f ca="1">IF(G401=3,INDEX(cards[[1]:[25]],MATCH($C401,cards[object_id order],0),'Group code'!I401),"")</f>
        <v>#N/A</v>
      </c>
      <c r="U401" s="5" t="e">
        <f ca="1">VLOOKUP(G401,'Group code'!$Z$9:$AC$13,4,FALSE)</f>
        <v>#N/A</v>
      </c>
      <c r="V401" s="5" t="e">
        <f ca="1">IF(J401="","",VLOOKUP(J401,'Group code'!$Z$15:$AC$18,4,FALSE))</f>
        <v>#N/A</v>
      </c>
      <c r="W401" s="23" t="str">
        <f t="shared" ca="1" si="105"/>
        <v/>
      </c>
      <c r="X401" s="5" t="str">
        <f t="shared" ca="1" si="92"/>
        <v/>
      </c>
    </row>
    <row r="402" spans="2:24" x14ac:dyDescent="0.25">
      <c r="B402" s="5">
        <f t="shared" si="93"/>
        <v>396</v>
      </c>
      <c r="C402" s="5" t="e">
        <f t="shared" ca="1" si="106"/>
        <v>#N/A</v>
      </c>
      <c r="D402" s="5" t="e">
        <f ca="1">INDEX(cards[Attribute Index],MATCH('Group code'!C402,cards[object_id order],0))</f>
        <v>#N/A</v>
      </c>
      <c r="E402" s="5" t="e">
        <f t="shared" ca="1" si="94"/>
        <v>#N/A</v>
      </c>
      <c r="F402" s="14" t="e">
        <f ca="1">INDEX(cards[Entities count],MATCH('Group code'!C402,cards[object_id order],0))</f>
        <v>#N/A</v>
      </c>
      <c r="G402" s="14" t="e">
        <f t="shared" ca="1" si="96"/>
        <v>#N/A</v>
      </c>
      <c r="H402" s="14" t="e">
        <f t="shared" ca="1" si="97"/>
        <v>#N/A</v>
      </c>
      <c r="I402" s="5" t="e">
        <f t="shared" ca="1" si="98"/>
        <v>#N/A</v>
      </c>
      <c r="J402" s="5" t="e">
        <f t="shared" ca="1" si="95"/>
        <v>#N/A</v>
      </c>
      <c r="K402" s="5" t="e">
        <f t="shared" ca="1" si="99"/>
        <v>#N/A</v>
      </c>
      <c r="L402" s="5" t="e">
        <f t="shared" ca="1" si="100"/>
        <v>#N/A</v>
      </c>
      <c r="M402" s="5" t="e">
        <f t="shared" ca="1" si="101"/>
        <v>#N/A</v>
      </c>
      <c r="N402" s="5" t="e">
        <f t="shared" ca="1" si="102"/>
        <v>#N/A</v>
      </c>
      <c r="O402" s="5" t="e">
        <f t="shared" ca="1" si="103"/>
        <v>#N/A</v>
      </c>
      <c r="P402" s="5" t="e">
        <f ca="1">VLOOKUP(G402,'Group code'!$Z$9:$AC$13,3,FALSE)</f>
        <v>#N/A</v>
      </c>
      <c r="Q402" s="5" t="e">
        <f t="shared" ca="1" si="104"/>
        <v>#N/A</v>
      </c>
      <c r="R402" s="5" t="e">
        <f ca="1">IF(G402=0,INDEX(cards[object_id],MATCH($C402,cards[object_id order],0)),"")</f>
        <v>#N/A</v>
      </c>
      <c r="S402" s="5" t="e">
        <f ca="1">IF(G402=1,INDEX(cards[[name]:[control]],MATCH($C402,cards[object_id order],0),'Group code'!J402),"")</f>
        <v>#N/A</v>
      </c>
      <c r="T402" s="5" t="e">
        <f ca="1">IF(G402=3,INDEX(cards[[1]:[25]],MATCH($C402,cards[object_id order],0),'Group code'!I402),"")</f>
        <v>#N/A</v>
      </c>
      <c r="U402" s="5" t="e">
        <f ca="1">VLOOKUP(G402,'Group code'!$Z$9:$AC$13,4,FALSE)</f>
        <v>#N/A</v>
      </c>
      <c r="V402" s="5" t="e">
        <f ca="1">IF(J402="","",VLOOKUP(J402,'Group code'!$Z$15:$AC$18,4,FALSE))</f>
        <v>#N/A</v>
      </c>
      <c r="W402" s="23" t="str">
        <f t="shared" ca="1" si="105"/>
        <v/>
      </c>
      <c r="X402" s="5" t="str">
        <f t="shared" ca="1" si="92"/>
        <v/>
      </c>
    </row>
    <row r="403" spans="2:24" x14ac:dyDescent="0.25">
      <c r="B403" s="5">
        <f t="shared" si="93"/>
        <v>397</v>
      </c>
      <c r="C403" s="5" t="e">
        <f t="shared" ca="1" si="106"/>
        <v>#N/A</v>
      </c>
      <c r="D403" s="5" t="e">
        <f ca="1">INDEX(cards[Attribute Index],MATCH('Group code'!C403,cards[object_id order],0))</f>
        <v>#N/A</v>
      </c>
      <c r="E403" s="5" t="e">
        <f t="shared" ca="1" si="94"/>
        <v>#N/A</v>
      </c>
      <c r="F403" s="14" t="e">
        <f ca="1">INDEX(cards[Entities count],MATCH('Group code'!C403,cards[object_id order],0))</f>
        <v>#N/A</v>
      </c>
      <c r="G403" s="14" t="e">
        <f t="shared" ca="1" si="96"/>
        <v>#N/A</v>
      </c>
      <c r="H403" s="14" t="e">
        <f t="shared" ca="1" si="97"/>
        <v>#N/A</v>
      </c>
      <c r="I403" s="5" t="e">
        <f t="shared" ca="1" si="98"/>
        <v>#N/A</v>
      </c>
      <c r="J403" s="5" t="e">
        <f t="shared" ca="1" si="95"/>
        <v>#N/A</v>
      </c>
      <c r="K403" s="5" t="e">
        <f t="shared" ca="1" si="99"/>
        <v>#N/A</v>
      </c>
      <c r="L403" s="5" t="e">
        <f t="shared" ca="1" si="100"/>
        <v>#N/A</v>
      </c>
      <c r="M403" s="5" t="e">
        <f t="shared" ca="1" si="101"/>
        <v>#N/A</v>
      </c>
      <c r="N403" s="5" t="e">
        <f t="shared" ca="1" si="102"/>
        <v>#N/A</v>
      </c>
      <c r="O403" s="5" t="e">
        <f t="shared" ca="1" si="103"/>
        <v>#N/A</v>
      </c>
      <c r="P403" s="5" t="e">
        <f ca="1">VLOOKUP(G403,'Group code'!$Z$9:$AC$13,3,FALSE)</f>
        <v>#N/A</v>
      </c>
      <c r="Q403" s="5" t="e">
        <f t="shared" ca="1" si="104"/>
        <v>#N/A</v>
      </c>
      <c r="R403" s="5" t="e">
        <f ca="1">IF(G403=0,INDEX(cards[object_id],MATCH($C403,cards[object_id order],0)),"")</f>
        <v>#N/A</v>
      </c>
      <c r="S403" s="5" t="e">
        <f ca="1">IF(G403=1,INDEX(cards[[name]:[control]],MATCH($C403,cards[object_id order],0),'Group code'!J403),"")</f>
        <v>#N/A</v>
      </c>
      <c r="T403" s="5" t="e">
        <f ca="1">IF(G403=3,INDEX(cards[[1]:[25]],MATCH($C403,cards[object_id order],0),'Group code'!I403),"")</f>
        <v>#N/A</v>
      </c>
      <c r="U403" s="5" t="e">
        <f ca="1">VLOOKUP(G403,'Group code'!$Z$9:$AC$13,4,FALSE)</f>
        <v>#N/A</v>
      </c>
      <c r="V403" s="5" t="e">
        <f ca="1">IF(J403="","",VLOOKUP(J403,'Group code'!$Z$15:$AC$18,4,FALSE))</f>
        <v>#N/A</v>
      </c>
      <c r="W403" s="23" t="str">
        <f t="shared" ca="1" si="105"/>
        <v/>
      </c>
      <c r="X403" s="5" t="str">
        <f t="shared" ca="1" si="92"/>
        <v/>
      </c>
    </row>
    <row r="404" spans="2:24" x14ac:dyDescent="0.25">
      <c r="B404" s="5">
        <f t="shared" si="93"/>
        <v>398</v>
      </c>
      <c r="C404" s="5" t="e">
        <f t="shared" ca="1" si="106"/>
        <v>#N/A</v>
      </c>
      <c r="D404" s="5" t="e">
        <f ca="1">INDEX(cards[Attribute Index],MATCH('Group code'!C404,cards[object_id order],0))</f>
        <v>#N/A</v>
      </c>
      <c r="E404" s="5" t="e">
        <f t="shared" ca="1" si="94"/>
        <v>#N/A</v>
      </c>
      <c r="F404" s="14" t="e">
        <f ca="1">INDEX(cards[Entities count],MATCH('Group code'!C404,cards[object_id order],0))</f>
        <v>#N/A</v>
      </c>
      <c r="G404" s="14" t="e">
        <f t="shared" ca="1" si="96"/>
        <v>#N/A</v>
      </c>
      <c r="H404" s="14" t="e">
        <f t="shared" ca="1" si="97"/>
        <v>#N/A</v>
      </c>
      <c r="I404" s="5" t="e">
        <f t="shared" ca="1" si="98"/>
        <v>#N/A</v>
      </c>
      <c r="J404" s="5" t="e">
        <f t="shared" ca="1" si="95"/>
        <v>#N/A</v>
      </c>
      <c r="K404" s="5" t="e">
        <f t="shared" ca="1" si="99"/>
        <v>#N/A</v>
      </c>
      <c r="L404" s="5" t="e">
        <f t="shared" ca="1" si="100"/>
        <v>#N/A</v>
      </c>
      <c r="M404" s="5" t="e">
        <f t="shared" ca="1" si="101"/>
        <v>#N/A</v>
      </c>
      <c r="N404" s="5" t="e">
        <f t="shared" ca="1" si="102"/>
        <v>#N/A</v>
      </c>
      <c r="O404" s="5" t="e">
        <f t="shared" ca="1" si="103"/>
        <v>#N/A</v>
      </c>
      <c r="P404" s="5" t="e">
        <f ca="1">VLOOKUP(G404,'Group code'!$Z$9:$AC$13,3,FALSE)</f>
        <v>#N/A</v>
      </c>
      <c r="Q404" s="5" t="e">
        <f t="shared" ca="1" si="104"/>
        <v>#N/A</v>
      </c>
      <c r="R404" s="5" t="e">
        <f ca="1">IF(G404=0,INDEX(cards[object_id],MATCH($C404,cards[object_id order],0)),"")</f>
        <v>#N/A</v>
      </c>
      <c r="S404" s="5" t="e">
        <f ca="1">IF(G404=1,INDEX(cards[[name]:[control]],MATCH($C404,cards[object_id order],0),'Group code'!J404),"")</f>
        <v>#N/A</v>
      </c>
      <c r="T404" s="5" t="e">
        <f ca="1">IF(G404=3,INDEX(cards[[1]:[25]],MATCH($C404,cards[object_id order],0),'Group code'!I404),"")</f>
        <v>#N/A</v>
      </c>
      <c r="U404" s="5" t="e">
        <f ca="1">VLOOKUP(G404,'Group code'!$Z$9:$AC$13,4,FALSE)</f>
        <v>#N/A</v>
      </c>
      <c r="V404" s="5" t="e">
        <f ca="1">IF(J404="","",VLOOKUP(J404,'Group code'!$Z$15:$AC$18,4,FALSE))</f>
        <v>#N/A</v>
      </c>
      <c r="W404" s="23" t="str">
        <f t="shared" ca="1" si="105"/>
        <v/>
      </c>
      <c r="X404" s="5" t="str">
        <f t="shared" ca="1" si="92"/>
        <v/>
      </c>
    </row>
    <row r="405" spans="2:24" x14ac:dyDescent="0.25">
      <c r="B405" s="5">
        <f t="shared" si="93"/>
        <v>399</v>
      </c>
      <c r="C405" s="5" t="e">
        <f t="shared" ca="1" si="106"/>
        <v>#N/A</v>
      </c>
      <c r="D405" s="5" t="e">
        <f ca="1">INDEX(cards[Attribute Index],MATCH('Group code'!C405,cards[object_id order],0))</f>
        <v>#N/A</v>
      </c>
      <c r="E405" s="5" t="e">
        <f t="shared" ca="1" si="94"/>
        <v>#N/A</v>
      </c>
      <c r="F405" s="14" t="e">
        <f ca="1">INDEX(cards[Entities count],MATCH('Group code'!C405,cards[object_id order],0))</f>
        <v>#N/A</v>
      </c>
      <c r="G405" s="14" t="e">
        <f t="shared" ca="1" si="96"/>
        <v>#N/A</v>
      </c>
      <c r="H405" s="14" t="e">
        <f t="shared" ca="1" si="97"/>
        <v>#N/A</v>
      </c>
      <c r="I405" s="5" t="e">
        <f t="shared" ca="1" si="98"/>
        <v>#N/A</v>
      </c>
      <c r="J405" s="5" t="e">
        <f t="shared" ca="1" si="95"/>
        <v>#N/A</v>
      </c>
      <c r="K405" s="5" t="e">
        <f t="shared" ca="1" si="99"/>
        <v>#N/A</v>
      </c>
      <c r="L405" s="5" t="e">
        <f t="shared" ca="1" si="100"/>
        <v>#N/A</v>
      </c>
      <c r="M405" s="5" t="e">
        <f t="shared" ca="1" si="101"/>
        <v>#N/A</v>
      </c>
      <c r="N405" s="5" t="e">
        <f t="shared" ca="1" si="102"/>
        <v>#N/A</v>
      </c>
      <c r="O405" s="5" t="e">
        <f t="shared" ca="1" si="103"/>
        <v>#N/A</v>
      </c>
      <c r="P405" s="5" t="e">
        <f ca="1">VLOOKUP(G405,'Group code'!$Z$9:$AC$13,3,FALSE)</f>
        <v>#N/A</v>
      </c>
      <c r="Q405" s="5" t="e">
        <f t="shared" ca="1" si="104"/>
        <v>#N/A</v>
      </c>
      <c r="R405" s="5" t="e">
        <f ca="1">IF(G405=0,INDEX(cards[object_id],MATCH($C405,cards[object_id order],0)),"")</f>
        <v>#N/A</v>
      </c>
      <c r="S405" s="5" t="e">
        <f ca="1">IF(G405=1,INDEX(cards[[name]:[control]],MATCH($C405,cards[object_id order],0),'Group code'!J405),"")</f>
        <v>#N/A</v>
      </c>
      <c r="T405" s="5" t="e">
        <f ca="1">IF(G405=3,INDEX(cards[[1]:[25]],MATCH($C405,cards[object_id order],0),'Group code'!I405),"")</f>
        <v>#N/A</v>
      </c>
      <c r="U405" s="5" t="e">
        <f ca="1">VLOOKUP(G405,'Group code'!$Z$9:$AC$13,4,FALSE)</f>
        <v>#N/A</v>
      </c>
      <c r="V405" s="5" t="e">
        <f ca="1">IF(J405="","",VLOOKUP(J405,'Group code'!$Z$15:$AC$18,4,FALSE))</f>
        <v>#N/A</v>
      </c>
      <c r="W405" s="23" t="str">
        <f t="shared" ca="1" si="105"/>
        <v/>
      </c>
      <c r="X405" s="5" t="str">
        <f t="shared" ca="1" si="92"/>
        <v/>
      </c>
    </row>
    <row r="406" spans="2:24" x14ac:dyDescent="0.25">
      <c r="B406" s="5">
        <f t="shared" si="93"/>
        <v>400</v>
      </c>
      <c r="C406" s="5" t="e">
        <f t="shared" ca="1" si="106"/>
        <v>#N/A</v>
      </c>
      <c r="D406" s="5" t="e">
        <f ca="1">INDEX(cards[Attribute Index],MATCH('Group code'!C406,cards[object_id order],0))</f>
        <v>#N/A</v>
      </c>
      <c r="E406" s="5" t="e">
        <f t="shared" ca="1" si="94"/>
        <v>#N/A</v>
      </c>
      <c r="F406" s="14" t="e">
        <f ca="1">INDEX(cards[Entities count],MATCH('Group code'!C406,cards[object_id order],0))</f>
        <v>#N/A</v>
      </c>
      <c r="G406" s="14" t="e">
        <f t="shared" ca="1" si="96"/>
        <v>#N/A</v>
      </c>
      <c r="H406" s="14" t="e">
        <f t="shared" ca="1" si="97"/>
        <v>#N/A</v>
      </c>
      <c r="I406" s="5" t="e">
        <f t="shared" ca="1" si="98"/>
        <v>#N/A</v>
      </c>
      <c r="J406" s="5" t="e">
        <f t="shared" ca="1" si="95"/>
        <v>#N/A</v>
      </c>
      <c r="K406" s="5" t="e">
        <f t="shared" ca="1" si="99"/>
        <v>#N/A</v>
      </c>
      <c r="L406" s="5" t="e">
        <f t="shared" ca="1" si="100"/>
        <v>#N/A</v>
      </c>
      <c r="M406" s="5" t="e">
        <f t="shared" ca="1" si="101"/>
        <v>#N/A</v>
      </c>
      <c r="N406" s="5" t="e">
        <f t="shared" ca="1" si="102"/>
        <v>#N/A</v>
      </c>
      <c r="O406" s="5" t="e">
        <f t="shared" ca="1" si="103"/>
        <v>#N/A</v>
      </c>
      <c r="P406" s="5" t="e">
        <f ca="1">VLOOKUP(G406,'Group code'!$Z$9:$AC$13,3,FALSE)</f>
        <v>#N/A</v>
      </c>
      <c r="Q406" s="5" t="e">
        <f t="shared" ca="1" si="104"/>
        <v>#N/A</v>
      </c>
      <c r="R406" s="5" t="e">
        <f ca="1">IF(G406=0,INDEX(cards[object_id],MATCH($C406,cards[object_id order],0)),"")</f>
        <v>#N/A</v>
      </c>
      <c r="S406" s="5" t="e">
        <f ca="1">IF(G406=1,INDEX(cards[[name]:[control]],MATCH($C406,cards[object_id order],0),'Group code'!J406),"")</f>
        <v>#N/A</v>
      </c>
      <c r="T406" s="5" t="e">
        <f ca="1">IF(G406=3,INDEX(cards[[1]:[25]],MATCH($C406,cards[object_id order],0),'Group code'!I406),"")</f>
        <v>#N/A</v>
      </c>
      <c r="U406" s="5" t="e">
        <f ca="1">VLOOKUP(G406,'Group code'!$Z$9:$AC$13,4,FALSE)</f>
        <v>#N/A</v>
      </c>
      <c r="V406" s="5" t="e">
        <f ca="1">IF(J406="","",VLOOKUP(J406,'Group code'!$Z$15:$AC$18,4,FALSE))</f>
        <v>#N/A</v>
      </c>
      <c r="W406" s="23" t="str">
        <f t="shared" ca="1" si="105"/>
        <v/>
      </c>
      <c r="X406" s="5" t="str">
        <f t="shared" ca="1" si="92"/>
        <v/>
      </c>
    </row>
    <row r="407" spans="2:24" x14ac:dyDescent="0.25">
      <c r="B407" s="5">
        <f t="shared" si="93"/>
        <v>401</v>
      </c>
      <c r="C407" s="5" t="e">
        <f t="shared" ca="1" si="106"/>
        <v>#N/A</v>
      </c>
      <c r="D407" s="5" t="e">
        <f ca="1">INDEX(cards[Attribute Index],MATCH('Group code'!C407,cards[object_id order],0))</f>
        <v>#N/A</v>
      </c>
      <c r="E407" s="5" t="e">
        <f t="shared" ca="1" si="94"/>
        <v>#N/A</v>
      </c>
      <c r="F407" s="14" t="e">
        <f ca="1">INDEX(cards[Entities count],MATCH('Group code'!C407,cards[object_id order],0))</f>
        <v>#N/A</v>
      </c>
      <c r="G407" s="14" t="e">
        <f t="shared" ca="1" si="96"/>
        <v>#N/A</v>
      </c>
      <c r="H407" s="14" t="e">
        <f t="shared" ca="1" si="97"/>
        <v>#N/A</v>
      </c>
      <c r="I407" s="5" t="e">
        <f t="shared" ca="1" si="98"/>
        <v>#N/A</v>
      </c>
      <c r="J407" s="5" t="e">
        <f t="shared" ca="1" si="95"/>
        <v>#N/A</v>
      </c>
      <c r="K407" s="5" t="e">
        <f t="shared" ca="1" si="99"/>
        <v>#N/A</v>
      </c>
      <c r="L407" s="5" t="e">
        <f t="shared" ca="1" si="100"/>
        <v>#N/A</v>
      </c>
      <c r="M407" s="5" t="e">
        <f t="shared" ca="1" si="101"/>
        <v>#N/A</v>
      </c>
      <c r="N407" s="5" t="e">
        <f t="shared" ca="1" si="102"/>
        <v>#N/A</v>
      </c>
      <c r="O407" s="5" t="e">
        <f t="shared" ca="1" si="103"/>
        <v>#N/A</v>
      </c>
      <c r="P407" s="5" t="e">
        <f ca="1">VLOOKUP(G407,'Group code'!$Z$9:$AC$13,3,FALSE)</f>
        <v>#N/A</v>
      </c>
      <c r="Q407" s="5" t="e">
        <f t="shared" ca="1" si="104"/>
        <v>#N/A</v>
      </c>
      <c r="R407" s="5" t="e">
        <f ca="1">IF(G407=0,INDEX(cards[object_id],MATCH($C407,cards[object_id order],0)),"")</f>
        <v>#N/A</v>
      </c>
      <c r="S407" s="5" t="e">
        <f ca="1">IF(G407=1,INDEX(cards[[name]:[control]],MATCH($C407,cards[object_id order],0),'Group code'!J407),"")</f>
        <v>#N/A</v>
      </c>
      <c r="T407" s="5" t="e">
        <f ca="1">IF(G407=3,INDEX(cards[[1]:[25]],MATCH($C407,cards[object_id order],0),'Group code'!I407),"")</f>
        <v>#N/A</v>
      </c>
      <c r="U407" s="5" t="e">
        <f ca="1">VLOOKUP(G407,'Group code'!$Z$9:$AC$13,4,FALSE)</f>
        <v>#N/A</v>
      </c>
      <c r="V407" s="5" t="e">
        <f ca="1">IF(J407="","",VLOOKUP(J407,'Group code'!$Z$15:$AC$18,4,FALSE))</f>
        <v>#N/A</v>
      </c>
      <c r="W407" s="23" t="str">
        <f t="shared" ca="1" si="105"/>
        <v/>
      </c>
      <c r="X407" s="5" t="str">
        <f t="shared" ca="1" si="92"/>
        <v/>
      </c>
    </row>
    <row r="408" spans="2:24" x14ac:dyDescent="0.25">
      <c r="B408" s="5">
        <f t="shared" si="93"/>
        <v>402</v>
      </c>
      <c r="C408" s="5" t="e">
        <f t="shared" ca="1" si="106"/>
        <v>#N/A</v>
      </c>
      <c r="D408" s="5" t="e">
        <f ca="1">INDEX(cards[Attribute Index],MATCH('Group code'!C408,cards[object_id order],0))</f>
        <v>#N/A</v>
      </c>
      <c r="E408" s="5" t="e">
        <f t="shared" ca="1" si="94"/>
        <v>#N/A</v>
      </c>
      <c r="F408" s="14" t="e">
        <f ca="1">INDEX(cards[Entities count],MATCH('Group code'!C408,cards[object_id order],0))</f>
        <v>#N/A</v>
      </c>
      <c r="G408" s="14" t="e">
        <f t="shared" ca="1" si="96"/>
        <v>#N/A</v>
      </c>
      <c r="H408" s="14" t="e">
        <f t="shared" ca="1" si="97"/>
        <v>#N/A</v>
      </c>
      <c r="I408" s="5" t="e">
        <f t="shared" ca="1" si="98"/>
        <v>#N/A</v>
      </c>
      <c r="J408" s="5" t="e">
        <f t="shared" ca="1" si="95"/>
        <v>#N/A</v>
      </c>
      <c r="K408" s="5" t="e">
        <f t="shared" ca="1" si="99"/>
        <v>#N/A</v>
      </c>
      <c r="L408" s="5" t="e">
        <f t="shared" ca="1" si="100"/>
        <v>#N/A</v>
      </c>
      <c r="M408" s="5" t="e">
        <f t="shared" ca="1" si="101"/>
        <v>#N/A</v>
      </c>
      <c r="N408" s="5" t="e">
        <f t="shared" ca="1" si="102"/>
        <v>#N/A</v>
      </c>
      <c r="O408" s="5" t="e">
        <f t="shared" ca="1" si="103"/>
        <v>#N/A</v>
      </c>
      <c r="P408" s="5" t="e">
        <f ca="1">VLOOKUP(G408,'Group code'!$Z$9:$AC$13,3,FALSE)</f>
        <v>#N/A</v>
      </c>
      <c r="Q408" s="5" t="e">
        <f t="shared" ca="1" si="104"/>
        <v>#N/A</v>
      </c>
      <c r="R408" s="5" t="e">
        <f ca="1">IF(G408=0,INDEX(cards[object_id],MATCH($C408,cards[object_id order],0)),"")</f>
        <v>#N/A</v>
      </c>
      <c r="S408" s="5" t="e">
        <f ca="1">IF(G408=1,INDEX(cards[[name]:[control]],MATCH($C408,cards[object_id order],0),'Group code'!J408),"")</f>
        <v>#N/A</v>
      </c>
      <c r="T408" s="5" t="e">
        <f ca="1">IF(G408=3,INDEX(cards[[1]:[25]],MATCH($C408,cards[object_id order],0),'Group code'!I408),"")</f>
        <v>#N/A</v>
      </c>
      <c r="U408" s="5" t="e">
        <f ca="1">VLOOKUP(G408,'Group code'!$Z$9:$AC$13,4,FALSE)</f>
        <v>#N/A</v>
      </c>
      <c r="V408" s="5" t="e">
        <f ca="1">IF(J408="","",VLOOKUP(J408,'Group code'!$Z$15:$AC$18,4,FALSE))</f>
        <v>#N/A</v>
      </c>
      <c r="W408" s="23" t="str">
        <f t="shared" ca="1" si="105"/>
        <v/>
      </c>
      <c r="X408" s="5" t="str">
        <f t="shared" ca="1" si="92"/>
        <v/>
      </c>
    </row>
    <row r="409" spans="2:24" x14ac:dyDescent="0.25">
      <c r="B409" s="5">
        <f t="shared" si="93"/>
        <v>403</v>
      </c>
      <c r="C409" s="5" t="e">
        <f t="shared" ca="1" si="106"/>
        <v>#N/A</v>
      </c>
      <c r="D409" s="5" t="e">
        <f ca="1">INDEX(cards[Attribute Index],MATCH('Group code'!C409,cards[object_id order],0))</f>
        <v>#N/A</v>
      </c>
      <c r="E409" s="5" t="e">
        <f t="shared" ca="1" si="94"/>
        <v>#N/A</v>
      </c>
      <c r="F409" s="14" t="e">
        <f ca="1">INDEX(cards[Entities count],MATCH('Group code'!C409,cards[object_id order],0))</f>
        <v>#N/A</v>
      </c>
      <c r="G409" s="14" t="e">
        <f t="shared" ca="1" si="96"/>
        <v>#N/A</v>
      </c>
      <c r="H409" s="14" t="e">
        <f t="shared" ca="1" si="97"/>
        <v>#N/A</v>
      </c>
      <c r="I409" s="5" t="e">
        <f t="shared" ca="1" si="98"/>
        <v>#N/A</v>
      </c>
      <c r="J409" s="5" t="e">
        <f t="shared" ca="1" si="95"/>
        <v>#N/A</v>
      </c>
      <c r="K409" s="5" t="e">
        <f t="shared" ca="1" si="99"/>
        <v>#N/A</v>
      </c>
      <c r="L409" s="5" t="e">
        <f t="shared" ca="1" si="100"/>
        <v>#N/A</v>
      </c>
      <c r="M409" s="5" t="e">
        <f t="shared" ca="1" si="101"/>
        <v>#N/A</v>
      </c>
      <c r="N409" s="5" t="e">
        <f t="shared" ca="1" si="102"/>
        <v>#N/A</v>
      </c>
      <c r="O409" s="5" t="e">
        <f t="shared" ca="1" si="103"/>
        <v>#N/A</v>
      </c>
      <c r="P409" s="5" t="e">
        <f ca="1">VLOOKUP(G409,'Group code'!$Z$9:$AC$13,3,FALSE)</f>
        <v>#N/A</v>
      </c>
      <c r="Q409" s="5" t="e">
        <f t="shared" ca="1" si="104"/>
        <v>#N/A</v>
      </c>
      <c r="R409" s="5" t="e">
        <f ca="1">IF(G409=0,INDEX(cards[object_id],MATCH($C409,cards[object_id order],0)),"")</f>
        <v>#N/A</v>
      </c>
      <c r="S409" s="5" t="e">
        <f ca="1">IF(G409=1,INDEX(cards[[name]:[control]],MATCH($C409,cards[object_id order],0),'Group code'!J409),"")</f>
        <v>#N/A</v>
      </c>
      <c r="T409" s="5" t="e">
        <f ca="1">IF(G409=3,INDEX(cards[[1]:[25]],MATCH($C409,cards[object_id order],0),'Group code'!I409),"")</f>
        <v>#N/A</v>
      </c>
      <c r="U409" s="5" t="e">
        <f ca="1">VLOOKUP(G409,'Group code'!$Z$9:$AC$13,4,FALSE)</f>
        <v>#N/A</v>
      </c>
      <c r="V409" s="5" t="e">
        <f ca="1">IF(J409="","",VLOOKUP(J409,'Group code'!$Z$15:$AC$18,4,FALSE))</f>
        <v>#N/A</v>
      </c>
      <c r="W409" s="23" t="str">
        <f t="shared" ca="1" si="105"/>
        <v/>
      </c>
      <c r="X409" s="5" t="str">
        <f t="shared" ca="1" si="92"/>
        <v/>
      </c>
    </row>
    <row r="410" spans="2:24" x14ac:dyDescent="0.25">
      <c r="B410" s="5">
        <f t="shared" si="93"/>
        <v>404</v>
      </c>
      <c r="C410" s="5" t="e">
        <f t="shared" ca="1" si="106"/>
        <v>#N/A</v>
      </c>
      <c r="D410" s="5" t="e">
        <f ca="1">INDEX(cards[Attribute Index],MATCH('Group code'!C410,cards[object_id order],0))</f>
        <v>#N/A</v>
      </c>
      <c r="E410" s="5" t="e">
        <f t="shared" ca="1" si="94"/>
        <v>#N/A</v>
      </c>
      <c r="F410" s="14" t="e">
        <f ca="1">INDEX(cards[Entities count],MATCH('Group code'!C410,cards[object_id order],0))</f>
        <v>#N/A</v>
      </c>
      <c r="G410" s="14" t="e">
        <f t="shared" ca="1" si="96"/>
        <v>#N/A</v>
      </c>
      <c r="H410" s="14" t="e">
        <f t="shared" ca="1" si="97"/>
        <v>#N/A</v>
      </c>
      <c r="I410" s="5" t="e">
        <f t="shared" ca="1" si="98"/>
        <v>#N/A</v>
      </c>
      <c r="J410" s="5" t="e">
        <f t="shared" ca="1" si="95"/>
        <v>#N/A</v>
      </c>
      <c r="K410" s="5" t="e">
        <f t="shared" ca="1" si="99"/>
        <v>#N/A</v>
      </c>
      <c r="L410" s="5" t="e">
        <f t="shared" ca="1" si="100"/>
        <v>#N/A</v>
      </c>
      <c r="M410" s="5" t="e">
        <f t="shared" ca="1" si="101"/>
        <v>#N/A</v>
      </c>
      <c r="N410" s="5" t="e">
        <f t="shared" ca="1" si="102"/>
        <v>#N/A</v>
      </c>
      <c r="O410" s="5" t="e">
        <f t="shared" ca="1" si="103"/>
        <v>#N/A</v>
      </c>
      <c r="P410" s="5" t="e">
        <f ca="1">VLOOKUP(G410,'Group code'!$Z$9:$AC$13,3,FALSE)</f>
        <v>#N/A</v>
      </c>
      <c r="Q410" s="5" t="e">
        <f t="shared" ca="1" si="104"/>
        <v>#N/A</v>
      </c>
      <c r="R410" s="5" t="e">
        <f ca="1">IF(G410=0,INDEX(cards[object_id],MATCH($C410,cards[object_id order],0)),"")</f>
        <v>#N/A</v>
      </c>
      <c r="S410" s="5" t="e">
        <f ca="1">IF(G410=1,INDEX(cards[[name]:[control]],MATCH($C410,cards[object_id order],0),'Group code'!J410),"")</f>
        <v>#N/A</v>
      </c>
      <c r="T410" s="5" t="e">
        <f ca="1">IF(G410=3,INDEX(cards[[1]:[25]],MATCH($C410,cards[object_id order],0),'Group code'!I410),"")</f>
        <v>#N/A</v>
      </c>
      <c r="U410" s="5" t="e">
        <f ca="1">VLOOKUP(G410,'Group code'!$Z$9:$AC$13,4,FALSE)</f>
        <v>#N/A</v>
      </c>
      <c r="V410" s="5" t="e">
        <f ca="1">IF(J410="","",VLOOKUP(J410,'Group code'!$Z$15:$AC$18,4,FALSE))</f>
        <v>#N/A</v>
      </c>
      <c r="W410" s="23" t="str">
        <f t="shared" ca="1" si="105"/>
        <v/>
      </c>
      <c r="X410" s="5" t="str">
        <f t="shared" ca="1" si="92"/>
        <v/>
      </c>
    </row>
    <row r="411" spans="2:24" x14ac:dyDescent="0.25">
      <c r="B411" s="5">
        <f t="shared" si="93"/>
        <v>405</v>
      </c>
      <c r="C411" s="5" t="e">
        <f t="shared" ca="1" si="106"/>
        <v>#N/A</v>
      </c>
      <c r="D411" s="5" t="e">
        <f ca="1">INDEX(cards[Attribute Index],MATCH('Group code'!C411,cards[object_id order],0))</f>
        <v>#N/A</v>
      </c>
      <c r="E411" s="5" t="e">
        <f t="shared" ca="1" si="94"/>
        <v>#N/A</v>
      </c>
      <c r="F411" s="14" t="e">
        <f ca="1">INDEX(cards[Entities count],MATCH('Group code'!C411,cards[object_id order],0))</f>
        <v>#N/A</v>
      </c>
      <c r="G411" s="14" t="e">
        <f t="shared" ca="1" si="96"/>
        <v>#N/A</v>
      </c>
      <c r="H411" s="14" t="e">
        <f t="shared" ca="1" si="97"/>
        <v>#N/A</v>
      </c>
      <c r="I411" s="5" t="e">
        <f t="shared" ca="1" si="98"/>
        <v>#N/A</v>
      </c>
      <c r="J411" s="5" t="e">
        <f t="shared" ca="1" si="95"/>
        <v>#N/A</v>
      </c>
      <c r="K411" s="5" t="e">
        <f t="shared" ca="1" si="99"/>
        <v>#N/A</v>
      </c>
      <c r="L411" s="5" t="e">
        <f t="shared" ca="1" si="100"/>
        <v>#N/A</v>
      </c>
      <c r="M411" s="5" t="e">
        <f t="shared" ca="1" si="101"/>
        <v>#N/A</v>
      </c>
      <c r="N411" s="5" t="e">
        <f t="shared" ca="1" si="102"/>
        <v>#N/A</v>
      </c>
      <c r="O411" s="5" t="e">
        <f t="shared" ca="1" si="103"/>
        <v>#N/A</v>
      </c>
      <c r="P411" s="5" t="e">
        <f ca="1">VLOOKUP(G411,'Group code'!$Z$9:$AC$13,3,FALSE)</f>
        <v>#N/A</v>
      </c>
      <c r="Q411" s="5" t="e">
        <f t="shared" ca="1" si="104"/>
        <v>#N/A</v>
      </c>
      <c r="R411" s="5" t="e">
        <f ca="1">IF(G411=0,INDEX(cards[object_id],MATCH($C411,cards[object_id order],0)),"")</f>
        <v>#N/A</v>
      </c>
      <c r="S411" s="5" t="e">
        <f ca="1">IF(G411=1,INDEX(cards[[name]:[control]],MATCH($C411,cards[object_id order],0),'Group code'!J411),"")</f>
        <v>#N/A</v>
      </c>
      <c r="T411" s="5" t="e">
        <f ca="1">IF(G411=3,INDEX(cards[[1]:[25]],MATCH($C411,cards[object_id order],0),'Group code'!I411),"")</f>
        <v>#N/A</v>
      </c>
      <c r="U411" s="5" t="e">
        <f ca="1">VLOOKUP(G411,'Group code'!$Z$9:$AC$13,4,FALSE)</f>
        <v>#N/A</v>
      </c>
      <c r="V411" s="5" t="e">
        <f ca="1">IF(J411="","",VLOOKUP(J411,'Group code'!$Z$15:$AC$18,4,FALSE))</f>
        <v>#N/A</v>
      </c>
      <c r="W411" s="23" t="str">
        <f t="shared" ca="1" si="105"/>
        <v/>
      </c>
      <c r="X411" s="5" t="str">
        <f t="shared" ca="1" si="92"/>
        <v/>
      </c>
    </row>
    <row r="412" spans="2:24" x14ac:dyDescent="0.25">
      <c r="B412" s="5">
        <f t="shared" si="93"/>
        <v>406</v>
      </c>
      <c r="C412" s="5" t="e">
        <f t="shared" ca="1" si="106"/>
        <v>#N/A</v>
      </c>
      <c r="D412" s="5" t="e">
        <f ca="1">INDEX(cards[Attribute Index],MATCH('Group code'!C412,cards[object_id order],0))</f>
        <v>#N/A</v>
      </c>
      <c r="E412" s="5" t="e">
        <f t="shared" ca="1" si="94"/>
        <v>#N/A</v>
      </c>
      <c r="F412" s="14" t="e">
        <f ca="1">INDEX(cards[Entities count],MATCH('Group code'!C412,cards[object_id order],0))</f>
        <v>#N/A</v>
      </c>
      <c r="G412" s="14" t="e">
        <f t="shared" ca="1" si="96"/>
        <v>#N/A</v>
      </c>
      <c r="H412" s="14" t="e">
        <f t="shared" ca="1" si="97"/>
        <v>#N/A</v>
      </c>
      <c r="I412" s="5" t="e">
        <f t="shared" ca="1" si="98"/>
        <v>#N/A</v>
      </c>
      <c r="J412" s="5" t="e">
        <f t="shared" ca="1" si="95"/>
        <v>#N/A</v>
      </c>
      <c r="K412" s="5" t="e">
        <f t="shared" ca="1" si="99"/>
        <v>#N/A</v>
      </c>
      <c r="L412" s="5" t="e">
        <f t="shared" ca="1" si="100"/>
        <v>#N/A</v>
      </c>
      <c r="M412" s="5" t="e">
        <f t="shared" ca="1" si="101"/>
        <v>#N/A</v>
      </c>
      <c r="N412" s="5" t="e">
        <f t="shared" ca="1" si="102"/>
        <v>#N/A</v>
      </c>
      <c r="O412" s="5" t="e">
        <f t="shared" ca="1" si="103"/>
        <v>#N/A</v>
      </c>
      <c r="P412" s="5" t="e">
        <f ca="1">VLOOKUP(G412,'Group code'!$Z$9:$AC$13,3,FALSE)</f>
        <v>#N/A</v>
      </c>
      <c r="Q412" s="5" t="e">
        <f t="shared" ca="1" si="104"/>
        <v>#N/A</v>
      </c>
      <c r="R412" s="5" t="e">
        <f ca="1">IF(G412=0,INDEX(cards[object_id],MATCH($C412,cards[object_id order],0)),"")</f>
        <v>#N/A</v>
      </c>
      <c r="S412" s="5" t="e">
        <f ca="1">IF(G412=1,INDEX(cards[[name]:[control]],MATCH($C412,cards[object_id order],0),'Group code'!J412),"")</f>
        <v>#N/A</v>
      </c>
      <c r="T412" s="5" t="e">
        <f ca="1">IF(G412=3,INDEX(cards[[1]:[25]],MATCH($C412,cards[object_id order],0),'Group code'!I412),"")</f>
        <v>#N/A</v>
      </c>
      <c r="U412" s="5" t="e">
        <f ca="1">VLOOKUP(G412,'Group code'!$Z$9:$AC$13,4,FALSE)</f>
        <v>#N/A</v>
      </c>
      <c r="V412" s="5" t="e">
        <f ca="1">IF(J412="","",VLOOKUP(J412,'Group code'!$Z$15:$AC$18,4,FALSE))</f>
        <v>#N/A</v>
      </c>
      <c r="W412" s="23" t="str">
        <f t="shared" ca="1" si="105"/>
        <v/>
      </c>
      <c r="X412" s="5" t="str">
        <f t="shared" ca="1" si="92"/>
        <v/>
      </c>
    </row>
    <row r="413" spans="2:24" x14ac:dyDescent="0.25">
      <c r="B413" s="5">
        <f t="shared" si="93"/>
        <v>407</v>
      </c>
      <c r="C413" s="5" t="e">
        <f t="shared" ca="1" si="106"/>
        <v>#N/A</v>
      </c>
      <c r="D413" s="5" t="e">
        <f ca="1">INDEX(cards[Attribute Index],MATCH('Group code'!C413,cards[object_id order],0))</f>
        <v>#N/A</v>
      </c>
      <c r="E413" s="5" t="e">
        <f t="shared" ca="1" si="94"/>
        <v>#N/A</v>
      </c>
      <c r="F413" s="14" t="e">
        <f ca="1">INDEX(cards[Entities count],MATCH('Group code'!C413,cards[object_id order],0))</f>
        <v>#N/A</v>
      </c>
      <c r="G413" s="14" t="e">
        <f t="shared" ca="1" si="96"/>
        <v>#N/A</v>
      </c>
      <c r="H413" s="14" t="e">
        <f t="shared" ca="1" si="97"/>
        <v>#N/A</v>
      </c>
      <c r="I413" s="5" t="e">
        <f t="shared" ca="1" si="98"/>
        <v>#N/A</v>
      </c>
      <c r="J413" s="5" t="e">
        <f t="shared" ca="1" si="95"/>
        <v>#N/A</v>
      </c>
      <c r="K413" s="5" t="e">
        <f t="shared" ca="1" si="99"/>
        <v>#N/A</v>
      </c>
      <c r="L413" s="5" t="e">
        <f t="shared" ca="1" si="100"/>
        <v>#N/A</v>
      </c>
      <c r="M413" s="5" t="e">
        <f t="shared" ca="1" si="101"/>
        <v>#N/A</v>
      </c>
      <c r="N413" s="5" t="e">
        <f t="shared" ca="1" si="102"/>
        <v>#N/A</v>
      </c>
      <c r="O413" s="5" t="e">
        <f t="shared" ca="1" si="103"/>
        <v>#N/A</v>
      </c>
      <c r="P413" s="5" t="e">
        <f ca="1">VLOOKUP(G413,'Group code'!$Z$9:$AC$13,3,FALSE)</f>
        <v>#N/A</v>
      </c>
      <c r="Q413" s="5" t="e">
        <f t="shared" ca="1" si="104"/>
        <v>#N/A</v>
      </c>
      <c r="R413" s="5" t="e">
        <f ca="1">IF(G413=0,INDEX(cards[object_id],MATCH($C413,cards[object_id order],0)),"")</f>
        <v>#N/A</v>
      </c>
      <c r="S413" s="5" t="e">
        <f ca="1">IF(G413=1,INDEX(cards[[name]:[control]],MATCH($C413,cards[object_id order],0),'Group code'!J413),"")</f>
        <v>#N/A</v>
      </c>
      <c r="T413" s="5" t="e">
        <f ca="1">IF(G413=3,INDEX(cards[[1]:[25]],MATCH($C413,cards[object_id order],0),'Group code'!I413),"")</f>
        <v>#N/A</v>
      </c>
      <c r="U413" s="5" t="e">
        <f ca="1">VLOOKUP(G413,'Group code'!$Z$9:$AC$13,4,FALSE)</f>
        <v>#N/A</v>
      </c>
      <c r="V413" s="5" t="e">
        <f ca="1">IF(J413="","",VLOOKUP(J413,'Group code'!$Z$15:$AC$18,4,FALSE))</f>
        <v>#N/A</v>
      </c>
      <c r="W413" s="23" t="str">
        <f t="shared" ca="1" si="105"/>
        <v/>
      </c>
      <c r="X413" s="5" t="str">
        <f t="shared" ca="1" si="92"/>
        <v/>
      </c>
    </row>
    <row r="414" spans="2:24" x14ac:dyDescent="0.25">
      <c r="B414" s="5">
        <f t="shared" si="93"/>
        <v>408</v>
      </c>
      <c r="C414" s="5" t="e">
        <f t="shared" ca="1" si="106"/>
        <v>#N/A</v>
      </c>
      <c r="D414" s="5" t="e">
        <f ca="1">INDEX(cards[Attribute Index],MATCH('Group code'!C414,cards[object_id order],0))</f>
        <v>#N/A</v>
      </c>
      <c r="E414" s="5" t="e">
        <f t="shared" ca="1" si="94"/>
        <v>#N/A</v>
      </c>
      <c r="F414" s="14" t="e">
        <f ca="1">INDEX(cards[Entities count],MATCH('Group code'!C414,cards[object_id order],0))</f>
        <v>#N/A</v>
      </c>
      <c r="G414" s="14" t="e">
        <f t="shared" ca="1" si="96"/>
        <v>#N/A</v>
      </c>
      <c r="H414" s="14" t="e">
        <f t="shared" ca="1" si="97"/>
        <v>#N/A</v>
      </c>
      <c r="I414" s="5" t="e">
        <f t="shared" ca="1" si="98"/>
        <v>#N/A</v>
      </c>
      <c r="J414" s="5" t="e">
        <f t="shared" ca="1" si="95"/>
        <v>#N/A</v>
      </c>
      <c r="K414" s="5" t="e">
        <f t="shared" ca="1" si="99"/>
        <v>#N/A</v>
      </c>
      <c r="L414" s="5" t="e">
        <f t="shared" ca="1" si="100"/>
        <v>#N/A</v>
      </c>
      <c r="M414" s="5" t="e">
        <f t="shared" ca="1" si="101"/>
        <v>#N/A</v>
      </c>
      <c r="N414" s="5" t="e">
        <f t="shared" ca="1" si="102"/>
        <v>#N/A</v>
      </c>
      <c r="O414" s="5" t="e">
        <f t="shared" ca="1" si="103"/>
        <v>#N/A</v>
      </c>
      <c r="P414" s="5" t="e">
        <f ca="1">VLOOKUP(G414,'Group code'!$Z$9:$AC$13,3,FALSE)</f>
        <v>#N/A</v>
      </c>
      <c r="Q414" s="5" t="e">
        <f t="shared" ca="1" si="104"/>
        <v>#N/A</v>
      </c>
      <c r="R414" s="5" t="e">
        <f ca="1">IF(G414=0,INDEX(cards[object_id],MATCH($C414,cards[object_id order],0)),"")</f>
        <v>#N/A</v>
      </c>
      <c r="S414" s="5" t="e">
        <f ca="1">IF(G414=1,INDEX(cards[[name]:[control]],MATCH($C414,cards[object_id order],0),'Group code'!J414),"")</f>
        <v>#N/A</v>
      </c>
      <c r="T414" s="5" t="e">
        <f ca="1">IF(G414=3,INDEX(cards[[1]:[25]],MATCH($C414,cards[object_id order],0),'Group code'!I414),"")</f>
        <v>#N/A</v>
      </c>
      <c r="U414" s="5" t="e">
        <f ca="1">VLOOKUP(G414,'Group code'!$Z$9:$AC$13,4,FALSE)</f>
        <v>#N/A</v>
      </c>
      <c r="V414" s="5" t="e">
        <f ca="1">IF(J414="","",VLOOKUP(J414,'Group code'!$Z$15:$AC$18,4,FALSE))</f>
        <v>#N/A</v>
      </c>
      <c r="W414" s="23" t="str">
        <f t="shared" ca="1" si="105"/>
        <v/>
      </c>
      <c r="X414" s="5" t="str">
        <f t="shared" ca="1" si="92"/>
        <v/>
      </c>
    </row>
    <row r="415" spans="2:24" x14ac:dyDescent="0.25">
      <c r="B415" s="5">
        <f t="shared" si="93"/>
        <v>409</v>
      </c>
      <c r="C415" s="5" t="e">
        <f t="shared" ca="1" si="106"/>
        <v>#N/A</v>
      </c>
      <c r="D415" s="5" t="e">
        <f ca="1">INDEX(cards[Attribute Index],MATCH('Group code'!C415,cards[object_id order],0))</f>
        <v>#N/A</v>
      </c>
      <c r="E415" s="5" t="e">
        <f t="shared" ca="1" si="94"/>
        <v>#N/A</v>
      </c>
      <c r="F415" s="14" t="e">
        <f ca="1">INDEX(cards[Entities count],MATCH('Group code'!C415,cards[object_id order],0))</f>
        <v>#N/A</v>
      </c>
      <c r="G415" s="14" t="e">
        <f t="shared" ca="1" si="96"/>
        <v>#N/A</v>
      </c>
      <c r="H415" s="14" t="e">
        <f t="shared" ca="1" si="97"/>
        <v>#N/A</v>
      </c>
      <c r="I415" s="5" t="e">
        <f t="shared" ca="1" si="98"/>
        <v>#N/A</v>
      </c>
      <c r="J415" s="5" t="e">
        <f t="shared" ca="1" si="95"/>
        <v>#N/A</v>
      </c>
      <c r="K415" s="5" t="e">
        <f t="shared" ca="1" si="99"/>
        <v>#N/A</v>
      </c>
      <c r="L415" s="5" t="e">
        <f t="shared" ca="1" si="100"/>
        <v>#N/A</v>
      </c>
      <c r="M415" s="5" t="e">
        <f t="shared" ca="1" si="101"/>
        <v>#N/A</v>
      </c>
      <c r="N415" s="5" t="e">
        <f t="shared" ca="1" si="102"/>
        <v>#N/A</v>
      </c>
      <c r="O415" s="5" t="e">
        <f t="shared" ca="1" si="103"/>
        <v>#N/A</v>
      </c>
      <c r="P415" s="5" t="e">
        <f ca="1">VLOOKUP(G415,'Group code'!$Z$9:$AC$13,3,FALSE)</f>
        <v>#N/A</v>
      </c>
      <c r="Q415" s="5" t="e">
        <f t="shared" ca="1" si="104"/>
        <v>#N/A</v>
      </c>
      <c r="R415" s="5" t="e">
        <f ca="1">IF(G415=0,INDEX(cards[object_id],MATCH($C415,cards[object_id order],0)),"")</f>
        <v>#N/A</v>
      </c>
      <c r="S415" s="5" t="e">
        <f ca="1">IF(G415=1,INDEX(cards[[name]:[control]],MATCH($C415,cards[object_id order],0),'Group code'!J415),"")</f>
        <v>#N/A</v>
      </c>
      <c r="T415" s="5" t="e">
        <f ca="1">IF(G415=3,INDEX(cards[[1]:[25]],MATCH($C415,cards[object_id order],0),'Group code'!I415),"")</f>
        <v>#N/A</v>
      </c>
      <c r="U415" s="5" t="e">
        <f ca="1">VLOOKUP(G415,'Group code'!$Z$9:$AC$13,4,FALSE)</f>
        <v>#N/A</v>
      </c>
      <c r="V415" s="5" t="e">
        <f ca="1">IF(J415="","",VLOOKUP(J415,'Group code'!$Z$15:$AC$18,4,FALSE))</f>
        <v>#N/A</v>
      </c>
      <c r="W415" s="23" t="str">
        <f t="shared" ca="1" si="105"/>
        <v/>
      </c>
      <c r="X415" s="5" t="str">
        <f t="shared" ca="1" si="92"/>
        <v/>
      </c>
    </row>
    <row r="416" spans="2:24" x14ac:dyDescent="0.25">
      <c r="B416" s="5">
        <f t="shared" si="93"/>
        <v>410</v>
      </c>
      <c r="C416" s="5" t="e">
        <f t="shared" ca="1" si="106"/>
        <v>#N/A</v>
      </c>
      <c r="D416" s="5" t="e">
        <f ca="1">INDEX(cards[Attribute Index],MATCH('Group code'!C416,cards[object_id order],0))</f>
        <v>#N/A</v>
      </c>
      <c r="E416" s="5" t="e">
        <f t="shared" ca="1" si="94"/>
        <v>#N/A</v>
      </c>
      <c r="F416" s="14" t="e">
        <f ca="1">INDEX(cards[Entities count],MATCH('Group code'!C416,cards[object_id order],0))</f>
        <v>#N/A</v>
      </c>
      <c r="G416" s="14" t="e">
        <f t="shared" ca="1" si="96"/>
        <v>#N/A</v>
      </c>
      <c r="H416" s="14" t="e">
        <f t="shared" ca="1" si="97"/>
        <v>#N/A</v>
      </c>
      <c r="I416" s="5" t="e">
        <f t="shared" ca="1" si="98"/>
        <v>#N/A</v>
      </c>
      <c r="J416" s="5" t="e">
        <f t="shared" ca="1" si="95"/>
        <v>#N/A</v>
      </c>
      <c r="K416" s="5" t="e">
        <f t="shared" ca="1" si="99"/>
        <v>#N/A</v>
      </c>
      <c r="L416" s="5" t="e">
        <f t="shared" ca="1" si="100"/>
        <v>#N/A</v>
      </c>
      <c r="M416" s="5" t="e">
        <f t="shared" ca="1" si="101"/>
        <v>#N/A</v>
      </c>
      <c r="N416" s="5" t="e">
        <f t="shared" ca="1" si="102"/>
        <v>#N/A</v>
      </c>
      <c r="O416" s="5" t="e">
        <f t="shared" ca="1" si="103"/>
        <v>#N/A</v>
      </c>
      <c r="P416" s="5" t="e">
        <f ca="1">VLOOKUP(G416,'Group code'!$Z$9:$AC$13,3,FALSE)</f>
        <v>#N/A</v>
      </c>
      <c r="Q416" s="5" t="e">
        <f t="shared" ca="1" si="104"/>
        <v>#N/A</v>
      </c>
      <c r="R416" s="5" t="e">
        <f ca="1">IF(G416=0,INDEX(cards[object_id],MATCH($C416,cards[object_id order],0)),"")</f>
        <v>#N/A</v>
      </c>
      <c r="S416" s="5" t="e">
        <f ca="1">IF(G416=1,INDEX(cards[[name]:[control]],MATCH($C416,cards[object_id order],0),'Group code'!J416),"")</f>
        <v>#N/A</v>
      </c>
      <c r="T416" s="5" t="e">
        <f ca="1">IF(G416=3,INDEX(cards[[1]:[25]],MATCH($C416,cards[object_id order],0),'Group code'!I416),"")</f>
        <v>#N/A</v>
      </c>
      <c r="U416" s="5" t="e">
        <f ca="1">VLOOKUP(G416,'Group code'!$Z$9:$AC$13,4,FALSE)</f>
        <v>#N/A</v>
      </c>
      <c r="V416" s="5" t="e">
        <f ca="1">IF(J416="","",VLOOKUP(J416,'Group code'!$Z$15:$AC$18,4,FALSE))</f>
        <v>#N/A</v>
      </c>
      <c r="W416" s="23" t="str">
        <f t="shared" ca="1" si="105"/>
        <v/>
      </c>
      <c r="X416" s="5" t="str">
        <f t="shared" ca="1" si="92"/>
        <v/>
      </c>
    </row>
    <row r="417" spans="2:24" x14ac:dyDescent="0.25">
      <c r="B417" s="5">
        <f t="shared" si="93"/>
        <v>411</v>
      </c>
      <c r="C417" s="5" t="e">
        <f t="shared" ca="1" si="106"/>
        <v>#N/A</v>
      </c>
      <c r="D417" s="5" t="e">
        <f ca="1">INDEX(cards[Attribute Index],MATCH('Group code'!C417,cards[object_id order],0))</f>
        <v>#N/A</v>
      </c>
      <c r="E417" s="5" t="e">
        <f t="shared" ca="1" si="94"/>
        <v>#N/A</v>
      </c>
      <c r="F417" s="14" t="e">
        <f ca="1">INDEX(cards[Entities count],MATCH('Group code'!C417,cards[object_id order],0))</f>
        <v>#N/A</v>
      </c>
      <c r="G417" s="14" t="e">
        <f t="shared" ca="1" si="96"/>
        <v>#N/A</v>
      </c>
      <c r="H417" s="14" t="e">
        <f t="shared" ca="1" si="97"/>
        <v>#N/A</v>
      </c>
      <c r="I417" s="5" t="e">
        <f t="shared" ca="1" si="98"/>
        <v>#N/A</v>
      </c>
      <c r="J417" s="5" t="e">
        <f t="shared" ca="1" si="95"/>
        <v>#N/A</v>
      </c>
      <c r="K417" s="5" t="e">
        <f t="shared" ca="1" si="99"/>
        <v>#N/A</v>
      </c>
      <c r="L417" s="5" t="e">
        <f t="shared" ca="1" si="100"/>
        <v>#N/A</v>
      </c>
      <c r="M417" s="5" t="e">
        <f t="shared" ca="1" si="101"/>
        <v>#N/A</v>
      </c>
      <c r="N417" s="5" t="e">
        <f t="shared" ca="1" si="102"/>
        <v>#N/A</v>
      </c>
      <c r="O417" s="5" t="e">
        <f t="shared" ca="1" si="103"/>
        <v>#N/A</v>
      </c>
      <c r="P417" s="5" t="e">
        <f ca="1">VLOOKUP(G417,'Group code'!$Z$9:$AC$13,3,FALSE)</f>
        <v>#N/A</v>
      </c>
      <c r="Q417" s="5" t="e">
        <f t="shared" ca="1" si="104"/>
        <v>#N/A</v>
      </c>
      <c r="R417" s="5" t="e">
        <f ca="1">IF(G417=0,INDEX(cards[object_id],MATCH($C417,cards[object_id order],0)),"")</f>
        <v>#N/A</v>
      </c>
      <c r="S417" s="5" t="e">
        <f ca="1">IF(G417=1,INDEX(cards[[name]:[control]],MATCH($C417,cards[object_id order],0),'Group code'!J417),"")</f>
        <v>#N/A</v>
      </c>
      <c r="T417" s="5" t="e">
        <f ca="1">IF(G417=3,INDEX(cards[[1]:[25]],MATCH($C417,cards[object_id order],0),'Group code'!I417),"")</f>
        <v>#N/A</v>
      </c>
      <c r="U417" s="5" t="e">
        <f ca="1">VLOOKUP(G417,'Group code'!$Z$9:$AC$13,4,FALSE)</f>
        <v>#N/A</v>
      </c>
      <c r="V417" s="5" t="e">
        <f ca="1">IF(J417="","",VLOOKUP(J417,'Group code'!$Z$15:$AC$18,4,FALSE))</f>
        <v>#N/A</v>
      </c>
      <c r="W417" s="23" t="str">
        <f t="shared" ca="1" si="105"/>
        <v/>
      </c>
      <c r="X417" s="5" t="str">
        <f t="shared" ca="1" si="92"/>
        <v/>
      </c>
    </row>
    <row r="418" spans="2:24" x14ac:dyDescent="0.25">
      <c r="B418" s="5">
        <f t="shared" si="93"/>
        <v>412</v>
      </c>
      <c r="C418" s="5" t="e">
        <f t="shared" ca="1" si="106"/>
        <v>#N/A</v>
      </c>
      <c r="D418" s="5" t="e">
        <f ca="1">INDEX(cards[Attribute Index],MATCH('Group code'!C418,cards[object_id order],0))</f>
        <v>#N/A</v>
      </c>
      <c r="E418" s="5" t="e">
        <f t="shared" ca="1" si="94"/>
        <v>#N/A</v>
      </c>
      <c r="F418" s="14" t="e">
        <f ca="1">INDEX(cards[Entities count],MATCH('Group code'!C418,cards[object_id order],0))</f>
        <v>#N/A</v>
      </c>
      <c r="G418" s="14" t="e">
        <f t="shared" ca="1" si="96"/>
        <v>#N/A</v>
      </c>
      <c r="H418" s="14" t="e">
        <f t="shared" ca="1" si="97"/>
        <v>#N/A</v>
      </c>
      <c r="I418" s="5" t="e">
        <f t="shared" ca="1" si="98"/>
        <v>#N/A</v>
      </c>
      <c r="J418" s="5" t="e">
        <f t="shared" ca="1" si="95"/>
        <v>#N/A</v>
      </c>
      <c r="K418" s="5" t="e">
        <f t="shared" ca="1" si="99"/>
        <v>#N/A</v>
      </c>
      <c r="L418" s="5" t="e">
        <f t="shared" ca="1" si="100"/>
        <v>#N/A</v>
      </c>
      <c r="M418" s="5" t="e">
        <f t="shared" ca="1" si="101"/>
        <v>#N/A</v>
      </c>
      <c r="N418" s="5" t="e">
        <f t="shared" ca="1" si="102"/>
        <v>#N/A</v>
      </c>
      <c r="O418" s="5" t="e">
        <f t="shared" ca="1" si="103"/>
        <v>#N/A</v>
      </c>
      <c r="P418" s="5" t="e">
        <f ca="1">VLOOKUP(G418,'Group code'!$Z$9:$AC$13,3,FALSE)</f>
        <v>#N/A</v>
      </c>
      <c r="Q418" s="5" t="e">
        <f t="shared" ca="1" si="104"/>
        <v>#N/A</v>
      </c>
      <c r="R418" s="5" t="e">
        <f ca="1">IF(G418=0,INDEX(cards[object_id],MATCH($C418,cards[object_id order],0)),"")</f>
        <v>#N/A</v>
      </c>
      <c r="S418" s="5" t="e">
        <f ca="1">IF(G418=1,INDEX(cards[[name]:[control]],MATCH($C418,cards[object_id order],0),'Group code'!J418),"")</f>
        <v>#N/A</v>
      </c>
      <c r="T418" s="5" t="e">
        <f ca="1">IF(G418=3,INDEX(cards[[1]:[25]],MATCH($C418,cards[object_id order],0),'Group code'!I418),"")</f>
        <v>#N/A</v>
      </c>
      <c r="U418" s="5" t="e">
        <f ca="1">VLOOKUP(G418,'Group code'!$Z$9:$AC$13,4,FALSE)</f>
        <v>#N/A</v>
      </c>
      <c r="V418" s="5" t="e">
        <f ca="1">IF(J418="","",VLOOKUP(J418,'Group code'!$Z$15:$AC$18,4,FALSE))</f>
        <v>#N/A</v>
      </c>
      <c r="W418" s="23" t="str">
        <f t="shared" ca="1" si="105"/>
        <v/>
      </c>
      <c r="X418" s="5" t="str">
        <f t="shared" ca="1" si="92"/>
        <v/>
      </c>
    </row>
    <row r="419" spans="2:24" x14ac:dyDescent="0.25">
      <c r="B419" s="5">
        <f t="shared" si="93"/>
        <v>413</v>
      </c>
      <c r="C419" s="5" t="e">
        <f t="shared" ca="1" si="106"/>
        <v>#N/A</v>
      </c>
      <c r="D419" s="5" t="e">
        <f ca="1">INDEX(cards[Attribute Index],MATCH('Group code'!C419,cards[object_id order],0))</f>
        <v>#N/A</v>
      </c>
      <c r="E419" s="5" t="e">
        <f t="shared" ca="1" si="94"/>
        <v>#N/A</v>
      </c>
      <c r="F419" s="14" t="e">
        <f ca="1">INDEX(cards[Entities count],MATCH('Group code'!C419,cards[object_id order],0))</f>
        <v>#N/A</v>
      </c>
      <c r="G419" s="14" t="e">
        <f t="shared" ca="1" si="96"/>
        <v>#N/A</v>
      </c>
      <c r="H419" s="14" t="e">
        <f t="shared" ca="1" si="97"/>
        <v>#N/A</v>
      </c>
      <c r="I419" s="5" t="e">
        <f t="shared" ca="1" si="98"/>
        <v>#N/A</v>
      </c>
      <c r="J419" s="5" t="e">
        <f t="shared" ca="1" si="95"/>
        <v>#N/A</v>
      </c>
      <c r="K419" s="5" t="e">
        <f t="shared" ca="1" si="99"/>
        <v>#N/A</v>
      </c>
      <c r="L419" s="5" t="e">
        <f t="shared" ca="1" si="100"/>
        <v>#N/A</v>
      </c>
      <c r="M419" s="5" t="e">
        <f t="shared" ca="1" si="101"/>
        <v>#N/A</v>
      </c>
      <c r="N419" s="5" t="e">
        <f t="shared" ca="1" si="102"/>
        <v>#N/A</v>
      </c>
      <c r="O419" s="5" t="e">
        <f t="shared" ca="1" si="103"/>
        <v>#N/A</v>
      </c>
      <c r="P419" s="5" t="e">
        <f ca="1">VLOOKUP(G419,'Group code'!$Z$9:$AC$13,3,FALSE)</f>
        <v>#N/A</v>
      </c>
      <c r="Q419" s="5" t="e">
        <f t="shared" ca="1" si="104"/>
        <v>#N/A</v>
      </c>
      <c r="R419" s="5" t="e">
        <f ca="1">IF(G419=0,INDEX(cards[object_id],MATCH($C419,cards[object_id order],0)),"")</f>
        <v>#N/A</v>
      </c>
      <c r="S419" s="5" t="e">
        <f ca="1">IF(G419=1,INDEX(cards[[name]:[control]],MATCH($C419,cards[object_id order],0),'Group code'!J419),"")</f>
        <v>#N/A</v>
      </c>
      <c r="T419" s="5" t="e">
        <f ca="1">IF(G419=3,INDEX(cards[[1]:[25]],MATCH($C419,cards[object_id order],0),'Group code'!I419),"")</f>
        <v>#N/A</v>
      </c>
      <c r="U419" s="5" t="e">
        <f ca="1">VLOOKUP(G419,'Group code'!$Z$9:$AC$13,4,FALSE)</f>
        <v>#N/A</v>
      </c>
      <c r="V419" s="5" t="e">
        <f ca="1">IF(J419="","",VLOOKUP(J419,'Group code'!$Z$15:$AC$18,4,FALSE))</f>
        <v>#N/A</v>
      </c>
      <c r="W419" s="23" t="str">
        <f t="shared" ca="1" si="105"/>
        <v/>
      </c>
      <c r="X419" s="5" t="str">
        <f t="shared" ca="1" si="92"/>
        <v/>
      </c>
    </row>
    <row r="420" spans="2:24" x14ac:dyDescent="0.25">
      <c r="B420" s="5">
        <f t="shared" si="93"/>
        <v>414</v>
      </c>
      <c r="C420" s="5" t="e">
        <f t="shared" ca="1" si="106"/>
        <v>#N/A</v>
      </c>
      <c r="D420" s="5" t="e">
        <f ca="1">INDEX(cards[Attribute Index],MATCH('Group code'!C420,cards[object_id order],0))</f>
        <v>#N/A</v>
      </c>
      <c r="E420" s="5" t="e">
        <f t="shared" ca="1" si="94"/>
        <v>#N/A</v>
      </c>
      <c r="F420" s="14" t="e">
        <f ca="1">INDEX(cards[Entities count],MATCH('Group code'!C420,cards[object_id order],0))</f>
        <v>#N/A</v>
      </c>
      <c r="G420" s="14" t="e">
        <f t="shared" ca="1" si="96"/>
        <v>#N/A</v>
      </c>
      <c r="H420" s="14" t="e">
        <f t="shared" ca="1" si="97"/>
        <v>#N/A</v>
      </c>
      <c r="I420" s="5" t="e">
        <f t="shared" ca="1" si="98"/>
        <v>#N/A</v>
      </c>
      <c r="J420" s="5" t="e">
        <f t="shared" ca="1" si="95"/>
        <v>#N/A</v>
      </c>
      <c r="K420" s="5" t="e">
        <f t="shared" ca="1" si="99"/>
        <v>#N/A</v>
      </c>
      <c r="L420" s="5" t="e">
        <f t="shared" ca="1" si="100"/>
        <v>#N/A</v>
      </c>
      <c r="M420" s="5" t="e">
        <f t="shared" ca="1" si="101"/>
        <v>#N/A</v>
      </c>
      <c r="N420" s="5" t="e">
        <f t="shared" ca="1" si="102"/>
        <v>#N/A</v>
      </c>
      <c r="O420" s="5" t="e">
        <f t="shared" ca="1" si="103"/>
        <v>#N/A</v>
      </c>
      <c r="P420" s="5" t="e">
        <f ca="1">VLOOKUP(G420,'Group code'!$Z$9:$AC$13,3,FALSE)</f>
        <v>#N/A</v>
      </c>
      <c r="Q420" s="5" t="e">
        <f t="shared" ca="1" si="104"/>
        <v>#N/A</v>
      </c>
      <c r="R420" s="5" t="e">
        <f ca="1">IF(G420=0,INDEX(cards[object_id],MATCH($C420,cards[object_id order],0)),"")</f>
        <v>#N/A</v>
      </c>
      <c r="S420" s="5" t="e">
        <f ca="1">IF(G420=1,INDEX(cards[[name]:[control]],MATCH($C420,cards[object_id order],0),'Group code'!J420),"")</f>
        <v>#N/A</v>
      </c>
      <c r="T420" s="5" t="e">
        <f ca="1">IF(G420=3,INDEX(cards[[1]:[25]],MATCH($C420,cards[object_id order],0),'Group code'!I420),"")</f>
        <v>#N/A</v>
      </c>
      <c r="U420" s="5" t="e">
        <f ca="1">VLOOKUP(G420,'Group code'!$Z$9:$AC$13,4,FALSE)</f>
        <v>#N/A</v>
      </c>
      <c r="V420" s="5" t="e">
        <f ca="1">IF(J420="","",VLOOKUP(J420,'Group code'!$Z$15:$AC$18,4,FALSE))</f>
        <v>#N/A</v>
      </c>
      <c r="W420" s="23" t="str">
        <f t="shared" ca="1" si="105"/>
        <v/>
      </c>
      <c r="X420" s="5" t="str">
        <f t="shared" ca="1" si="92"/>
        <v/>
      </c>
    </row>
    <row r="421" spans="2:24" x14ac:dyDescent="0.25">
      <c r="B421" s="5">
        <f t="shared" si="93"/>
        <v>415</v>
      </c>
      <c r="C421" s="5" t="e">
        <f t="shared" ca="1" si="106"/>
        <v>#N/A</v>
      </c>
      <c r="D421" s="5" t="e">
        <f ca="1">INDEX(cards[Attribute Index],MATCH('Group code'!C421,cards[object_id order],0))</f>
        <v>#N/A</v>
      </c>
      <c r="E421" s="5" t="e">
        <f t="shared" ca="1" si="94"/>
        <v>#N/A</v>
      </c>
      <c r="F421" s="14" t="e">
        <f ca="1">INDEX(cards[Entities count],MATCH('Group code'!C421,cards[object_id order],0))</f>
        <v>#N/A</v>
      </c>
      <c r="G421" s="14" t="e">
        <f t="shared" ca="1" si="96"/>
        <v>#N/A</v>
      </c>
      <c r="H421" s="14" t="e">
        <f t="shared" ca="1" si="97"/>
        <v>#N/A</v>
      </c>
      <c r="I421" s="5" t="e">
        <f t="shared" ca="1" si="98"/>
        <v>#N/A</v>
      </c>
      <c r="J421" s="5" t="e">
        <f t="shared" ca="1" si="95"/>
        <v>#N/A</v>
      </c>
      <c r="K421" s="5" t="e">
        <f t="shared" ca="1" si="99"/>
        <v>#N/A</v>
      </c>
      <c r="L421" s="5" t="e">
        <f t="shared" ca="1" si="100"/>
        <v>#N/A</v>
      </c>
      <c r="M421" s="5" t="e">
        <f t="shared" ca="1" si="101"/>
        <v>#N/A</v>
      </c>
      <c r="N421" s="5" t="e">
        <f t="shared" ca="1" si="102"/>
        <v>#N/A</v>
      </c>
      <c r="O421" s="5" t="e">
        <f t="shared" ca="1" si="103"/>
        <v>#N/A</v>
      </c>
      <c r="P421" s="5" t="e">
        <f ca="1">VLOOKUP(G421,'Group code'!$Z$9:$AC$13,3,FALSE)</f>
        <v>#N/A</v>
      </c>
      <c r="Q421" s="5" t="e">
        <f t="shared" ca="1" si="104"/>
        <v>#N/A</v>
      </c>
      <c r="R421" s="5" t="e">
        <f ca="1">IF(G421=0,INDEX(cards[object_id],MATCH($C421,cards[object_id order],0)),"")</f>
        <v>#N/A</v>
      </c>
      <c r="S421" s="5" t="e">
        <f ca="1">IF(G421=1,INDEX(cards[[name]:[control]],MATCH($C421,cards[object_id order],0),'Group code'!J421),"")</f>
        <v>#N/A</v>
      </c>
      <c r="T421" s="5" t="e">
        <f ca="1">IF(G421=3,INDEX(cards[[1]:[25]],MATCH($C421,cards[object_id order],0),'Group code'!I421),"")</f>
        <v>#N/A</v>
      </c>
      <c r="U421" s="5" t="e">
        <f ca="1">VLOOKUP(G421,'Group code'!$Z$9:$AC$13,4,FALSE)</f>
        <v>#N/A</v>
      </c>
      <c r="V421" s="5" t="e">
        <f ca="1">IF(J421="","",VLOOKUP(J421,'Group code'!$Z$15:$AC$18,4,FALSE))</f>
        <v>#N/A</v>
      </c>
      <c r="W421" s="23" t="str">
        <f t="shared" ca="1" si="105"/>
        <v/>
      </c>
      <c r="X421" s="5" t="str">
        <f t="shared" ca="1" si="92"/>
        <v/>
      </c>
    </row>
    <row r="422" spans="2:24" x14ac:dyDescent="0.25">
      <c r="B422" s="5">
        <f t="shared" si="93"/>
        <v>416</v>
      </c>
      <c r="C422" s="5" t="e">
        <f t="shared" ca="1" si="106"/>
        <v>#N/A</v>
      </c>
      <c r="D422" s="5" t="e">
        <f ca="1">INDEX(cards[Attribute Index],MATCH('Group code'!C422,cards[object_id order],0))</f>
        <v>#N/A</v>
      </c>
      <c r="E422" s="5" t="e">
        <f t="shared" ca="1" si="94"/>
        <v>#N/A</v>
      </c>
      <c r="F422" s="14" t="e">
        <f ca="1">INDEX(cards[Entities count],MATCH('Group code'!C422,cards[object_id order],0))</f>
        <v>#N/A</v>
      </c>
      <c r="G422" s="14" t="e">
        <f t="shared" ca="1" si="96"/>
        <v>#N/A</v>
      </c>
      <c r="H422" s="14" t="e">
        <f t="shared" ca="1" si="97"/>
        <v>#N/A</v>
      </c>
      <c r="I422" s="5" t="e">
        <f t="shared" ca="1" si="98"/>
        <v>#N/A</v>
      </c>
      <c r="J422" s="5" t="e">
        <f t="shared" ca="1" si="95"/>
        <v>#N/A</v>
      </c>
      <c r="K422" s="5" t="e">
        <f t="shared" ca="1" si="99"/>
        <v>#N/A</v>
      </c>
      <c r="L422" s="5" t="e">
        <f t="shared" ca="1" si="100"/>
        <v>#N/A</v>
      </c>
      <c r="M422" s="5" t="e">
        <f t="shared" ca="1" si="101"/>
        <v>#N/A</v>
      </c>
      <c r="N422" s="5" t="e">
        <f t="shared" ca="1" si="102"/>
        <v>#N/A</v>
      </c>
      <c r="O422" s="5" t="e">
        <f t="shared" ca="1" si="103"/>
        <v>#N/A</v>
      </c>
      <c r="P422" s="5" t="e">
        <f ca="1">VLOOKUP(G422,'Group code'!$Z$9:$AC$13,3,FALSE)</f>
        <v>#N/A</v>
      </c>
      <c r="Q422" s="5" t="e">
        <f t="shared" ca="1" si="104"/>
        <v>#N/A</v>
      </c>
      <c r="R422" s="5" t="e">
        <f ca="1">IF(G422=0,INDEX(cards[object_id],MATCH($C422,cards[object_id order],0)),"")</f>
        <v>#N/A</v>
      </c>
      <c r="S422" s="5" t="e">
        <f ca="1">IF(G422=1,INDEX(cards[[name]:[control]],MATCH($C422,cards[object_id order],0),'Group code'!J422),"")</f>
        <v>#N/A</v>
      </c>
      <c r="T422" s="5" t="e">
        <f ca="1">IF(G422=3,INDEX(cards[[1]:[25]],MATCH($C422,cards[object_id order],0),'Group code'!I422),"")</f>
        <v>#N/A</v>
      </c>
      <c r="U422" s="5" t="e">
        <f ca="1">VLOOKUP(G422,'Group code'!$Z$9:$AC$13,4,FALSE)</f>
        <v>#N/A</v>
      </c>
      <c r="V422" s="5" t="e">
        <f ca="1">IF(J422="","",VLOOKUP(J422,'Group code'!$Z$15:$AC$18,4,FALSE))</f>
        <v>#N/A</v>
      </c>
      <c r="W422" s="23" t="str">
        <f t="shared" ca="1" si="105"/>
        <v/>
      </c>
      <c r="X422" s="5" t="str">
        <f t="shared" ca="1" si="92"/>
        <v/>
      </c>
    </row>
    <row r="423" spans="2:24" x14ac:dyDescent="0.25">
      <c r="B423" s="5">
        <f t="shared" si="93"/>
        <v>417</v>
      </c>
      <c r="C423" s="5" t="e">
        <f t="shared" ca="1" si="106"/>
        <v>#N/A</v>
      </c>
      <c r="D423" s="5" t="e">
        <f ca="1">INDEX(cards[Attribute Index],MATCH('Group code'!C423,cards[object_id order],0))</f>
        <v>#N/A</v>
      </c>
      <c r="E423" s="5" t="e">
        <f t="shared" ca="1" si="94"/>
        <v>#N/A</v>
      </c>
      <c r="F423" s="14" t="e">
        <f ca="1">INDEX(cards[Entities count],MATCH('Group code'!C423,cards[object_id order],0))</f>
        <v>#N/A</v>
      </c>
      <c r="G423" s="14" t="e">
        <f t="shared" ca="1" si="96"/>
        <v>#N/A</v>
      </c>
      <c r="H423" s="14" t="e">
        <f t="shared" ca="1" si="97"/>
        <v>#N/A</v>
      </c>
      <c r="I423" s="5" t="e">
        <f t="shared" ca="1" si="98"/>
        <v>#N/A</v>
      </c>
      <c r="J423" s="5" t="e">
        <f t="shared" ca="1" si="95"/>
        <v>#N/A</v>
      </c>
      <c r="K423" s="5" t="e">
        <f t="shared" ca="1" si="99"/>
        <v>#N/A</v>
      </c>
      <c r="L423" s="5" t="e">
        <f t="shared" ca="1" si="100"/>
        <v>#N/A</v>
      </c>
      <c r="M423" s="5" t="e">
        <f t="shared" ca="1" si="101"/>
        <v>#N/A</v>
      </c>
      <c r="N423" s="5" t="e">
        <f t="shared" ca="1" si="102"/>
        <v>#N/A</v>
      </c>
      <c r="O423" s="5" t="e">
        <f t="shared" ca="1" si="103"/>
        <v>#N/A</v>
      </c>
      <c r="P423" s="5" t="e">
        <f ca="1">VLOOKUP(G423,'Group code'!$Z$9:$AC$13,3,FALSE)</f>
        <v>#N/A</v>
      </c>
      <c r="Q423" s="5" t="e">
        <f t="shared" ca="1" si="104"/>
        <v>#N/A</v>
      </c>
      <c r="R423" s="5" t="e">
        <f ca="1">IF(G423=0,INDEX(cards[object_id],MATCH($C423,cards[object_id order],0)),"")</f>
        <v>#N/A</v>
      </c>
      <c r="S423" s="5" t="e">
        <f ca="1">IF(G423=1,INDEX(cards[[name]:[control]],MATCH($C423,cards[object_id order],0),'Group code'!J423),"")</f>
        <v>#N/A</v>
      </c>
      <c r="T423" s="5" t="e">
        <f ca="1">IF(G423=3,INDEX(cards[[1]:[25]],MATCH($C423,cards[object_id order],0),'Group code'!I423),"")</f>
        <v>#N/A</v>
      </c>
      <c r="U423" s="5" t="e">
        <f ca="1">VLOOKUP(G423,'Group code'!$Z$9:$AC$13,4,FALSE)</f>
        <v>#N/A</v>
      </c>
      <c r="V423" s="5" t="e">
        <f ca="1">IF(J423="","",VLOOKUP(J423,'Group code'!$Z$15:$AC$18,4,FALSE))</f>
        <v>#N/A</v>
      </c>
      <c r="W423" s="23" t="str">
        <f t="shared" ca="1" si="105"/>
        <v/>
      </c>
      <c r="X423" s="5" t="str">
        <f t="shared" ca="1" si="92"/>
        <v/>
      </c>
    </row>
    <row r="424" spans="2:24" x14ac:dyDescent="0.25">
      <c r="B424" s="5">
        <f t="shared" si="93"/>
        <v>418</v>
      </c>
      <c r="C424" s="5" t="e">
        <f t="shared" ca="1" si="106"/>
        <v>#N/A</v>
      </c>
      <c r="D424" s="5" t="e">
        <f ca="1">INDEX(cards[Attribute Index],MATCH('Group code'!C424,cards[object_id order],0))</f>
        <v>#N/A</v>
      </c>
      <c r="E424" s="5" t="e">
        <f t="shared" ca="1" si="94"/>
        <v>#N/A</v>
      </c>
      <c r="F424" s="14" t="e">
        <f ca="1">INDEX(cards[Entities count],MATCH('Group code'!C424,cards[object_id order],0))</f>
        <v>#N/A</v>
      </c>
      <c r="G424" s="14" t="e">
        <f t="shared" ca="1" si="96"/>
        <v>#N/A</v>
      </c>
      <c r="H424" s="14" t="e">
        <f t="shared" ca="1" si="97"/>
        <v>#N/A</v>
      </c>
      <c r="I424" s="5" t="e">
        <f t="shared" ca="1" si="98"/>
        <v>#N/A</v>
      </c>
      <c r="J424" s="5" t="e">
        <f t="shared" ca="1" si="95"/>
        <v>#N/A</v>
      </c>
      <c r="K424" s="5" t="e">
        <f t="shared" ca="1" si="99"/>
        <v>#N/A</v>
      </c>
      <c r="L424" s="5" t="e">
        <f t="shared" ca="1" si="100"/>
        <v>#N/A</v>
      </c>
      <c r="M424" s="5" t="e">
        <f t="shared" ca="1" si="101"/>
        <v>#N/A</v>
      </c>
      <c r="N424" s="5" t="e">
        <f t="shared" ca="1" si="102"/>
        <v>#N/A</v>
      </c>
      <c r="O424" s="5" t="e">
        <f t="shared" ca="1" si="103"/>
        <v>#N/A</v>
      </c>
      <c r="P424" s="5" t="e">
        <f ca="1">VLOOKUP(G424,'Group code'!$Z$9:$AC$13,3,FALSE)</f>
        <v>#N/A</v>
      </c>
      <c r="Q424" s="5" t="e">
        <f t="shared" ca="1" si="104"/>
        <v>#N/A</v>
      </c>
      <c r="R424" s="5" t="e">
        <f ca="1">IF(G424=0,INDEX(cards[object_id],MATCH($C424,cards[object_id order],0)),"")</f>
        <v>#N/A</v>
      </c>
      <c r="S424" s="5" t="e">
        <f ca="1">IF(G424=1,INDEX(cards[[name]:[control]],MATCH($C424,cards[object_id order],0),'Group code'!J424),"")</f>
        <v>#N/A</v>
      </c>
      <c r="T424" s="5" t="e">
        <f ca="1">IF(G424=3,INDEX(cards[[1]:[25]],MATCH($C424,cards[object_id order],0),'Group code'!I424),"")</f>
        <v>#N/A</v>
      </c>
      <c r="U424" s="5" t="e">
        <f ca="1">VLOOKUP(G424,'Group code'!$Z$9:$AC$13,4,FALSE)</f>
        <v>#N/A</v>
      </c>
      <c r="V424" s="5" t="e">
        <f ca="1">IF(J424="","",VLOOKUP(J424,'Group code'!$Z$15:$AC$18,4,FALSE))</f>
        <v>#N/A</v>
      </c>
      <c r="W424" s="23" t="str">
        <f t="shared" ca="1" si="105"/>
        <v/>
      </c>
      <c r="X424" s="5" t="str">
        <f t="shared" ca="1" si="92"/>
        <v/>
      </c>
    </row>
    <row r="425" spans="2:24" x14ac:dyDescent="0.25">
      <c r="B425" s="5">
        <f t="shared" si="93"/>
        <v>419</v>
      </c>
      <c r="C425" s="5" t="e">
        <f t="shared" ca="1" si="106"/>
        <v>#N/A</v>
      </c>
      <c r="D425" s="5" t="e">
        <f ca="1">INDEX(cards[Attribute Index],MATCH('Group code'!C425,cards[object_id order],0))</f>
        <v>#N/A</v>
      </c>
      <c r="E425" s="5" t="e">
        <f t="shared" ca="1" si="94"/>
        <v>#N/A</v>
      </c>
      <c r="F425" s="14" t="e">
        <f ca="1">INDEX(cards[Entities count],MATCH('Group code'!C425,cards[object_id order],0))</f>
        <v>#N/A</v>
      </c>
      <c r="G425" s="14" t="e">
        <f t="shared" ca="1" si="96"/>
        <v>#N/A</v>
      </c>
      <c r="H425" s="14" t="e">
        <f t="shared" ca="1" si="97"/>
        <v>#N/A</v>
      </c>
      <c r="I425" s="5" t="e">
        <f t="shared" ca="1" si="98"/>
        <v>#N/A</v>
      </c>
      <c r="J425" s="5" t="e">
        <f t="shared" ca="1" si="95"/>
        <v>#N/A</v>
      </c>
      <c r="K425" s="5" t="e">
        <f t="shared" ca="1" si="99"/>
        <v>#N/A</v>
      </c>
      <c r="L425" s="5" t="e">
        <f t="shared" ca="1" si="100"/>
        <v>#N/A</v>
      </c>
      <c r="M425" s="5" t="e">
        <f t="shared" ca="1" si="101"/>
        <v>#N/A</v>
      </c>
      <c r="N425" s="5" t="e">
        <f t="shared" ca="1" si="102"/>
        <v>#N/A</v>
      </c>
      <c r="O425" s="5" t="e">
        <f t="shared" ca="1" si="103"/>
        <v>#N/A</v>
      </c>
      <c r="P425" s="5" t="e">
        <f ca="1">VLOOKUP(G425,'Group code'!$Z$9:$AC$13,3,FALSE)</f>
        <v>#N/A</v>
      </c>
      <c r="Q425" s="5" t="e">
        <f t="shared" ca="1" si="104"/>
        <v>#N/A</v>
      </c>
      <c r="R425" s="5" t="e">
        <f ca="1">IF(G425=0,INDEX(cards[object_id],MATCH($C425,cards[object_id order],0)),"")</f>
        <v>#N/A</v>
      </c>
      <c r="S425" s="5" t="e">
        <f ca="1">IF(G425=1,INDEX(cards[[name]:[control]],MATCH($C425,cards[object_id order],0),'Group code'!J425),"")</f>
        <v>#N/A</v>
      </c>
      <c r="T425" s="5" t="e">
        <f ca="1">IF(G425=3,INDEX(cards[[1]:[25]],MATCH($C425,cards[object_id order],0),'Group code'!I425),"")</f>
        <v>#N/A</v>
      </c>
      <c r="U425" s="5" t="e">
        <f ca="1">VLOOKUP(G425,'Group code'!$Z$9:$AC$13,4,FALSE)</f>
        <v>#N/A</v>
      </c>
      <c r="V425" s="5" t="e">
        <f ca="1">IF(J425="","",VLOOKUP(J425,'Group code'!$Z$15:$AC$18,4,FALSE))</f>
        <v>#N/A</v>
      </c>
      <c r="W425" s="23" t="str">
        <f t="shared" ca="1" si="105"/>
        <v/>
      </c>
      <c r="X425" s="5" t="str">
        <f t="shared" ca="1" si="92"/>
        <v/>
      </c>
    </row>
    <row r="426" spans="2:24" x14ac:dyDescent="0.25">
      <c r="B426" s="5">
        <f t="shared" si="93"/>
        <v>420</v>
      </c>
      <c r="C426" s="5" t="e">
        <f t="shared" ca="1" si="106"/>
        <v>#N/A</v>
      </c>
      <c r="D426" s="5" t="e">
        <f ca="1">INDEX(cards[Attribute Index],MATCH('Group code'!C426,cards[object_id order],0))</f>
        <v>#N/A</v>
      </c>
      <c r="E426" s="5" t="e">
        <f t="shared" ca="1" si="94"/>
        <v>#N/A</v>
      </c>
      <c r="F426" s="14" t="e">
        <f ca="1">INDEX(cards[Entities count],MATCH('Group code'!C426,cards[object_id order],0))</f>
        <v>#N/A</v>
      </c>
      <c r="G426" s="14" t="e">
        <f t="shared" ca="1" si="96"/>
        <v>#N/A</v>
      </c>
      <c r="H426" s="14" t="e">
        <f t="shared" ca="1" si="97"/>
        <v>#N/A</v>
      </c>
      <c r="I426" s="5" t="e">
        <f t="shared" ca="1" si="98"/>
        <v>#N/A</v>
      </c>
      <c r="J426" s="5" t="e">
        <f t="shared" ca="1" si="95"/>
        <v>#N/A</v>
      </c>
      <c r="K426" s="5" t="e">
        <f t="shared" ca="1" si="99"/>
        <v>#N/A</v>
      </c>
      <c r="L426" s="5" t="e">
        <f t="shared" ca="1" si="100"/>
        <v>#N/A</v>
      </c>
      <c r="M426" s="5" t="e">
        <f t="shared" ca="1" si="101"/>
        <v>#N/A</v>
      </c>
      <c r="N426" s="5" t="e">
        <f t="shared" ca="1" si="102"/>
        <v>#N/A</v>
      </c>
      <c r="O426" s="5" t="e">
        <f t="shared" ca="1" si="103"/>
        <v>#N/A</v>
      </c>
      <c r="P426" s="5" t="e">
        <f ca="1">VLOOKUP(G426,'Group code'!$Z$9:$AC$13,3,FALSE)</f>
        <v>#N/A</v>
      </c>
      <c r="Q426" s="5" t="e">
        <f t="shared" ca="1" si="104"/>
        <v>#N/A</v>
      </c>
      <c r="R426" s="5" t="e">
        <f ca="1">IF(G426=0,INDEX(cards[object_id],MATCH($C426,cards[object_id order],0)),"")</f>
        <v>#N/A</v>
      </c>
      <c r="S426" s="5" t="e">
        <f ca="1">IF(G426=1,INDEX(cards[[name]:[control]],MATCH($C426,cards[object_id order],0),'Group code'!J426),"")</f>
        <v>#N/A</v>
      </c>
      <c r="T426" s="5" t="e">
        <f ca="1">IF(G426=3,INDEX(cards[[1]:[25]],MATCH($C426,cards[object_id order],0),'Group code'!I426),"")</f>
        <v>#N/A</v>
      </c>
      <c r="U426" s="5" t="e">
        <f ca="1">VLOOKUP(G426,'Group code'!$Z$9:$AC$13,4,FALSE)</f>
        <v>#N/A</v>
      </c>
      <c r="V426" s="5" t="e">
        <f ca="1">IF(J426="","",VLOOKUP(J426,'Group code'!$Z$15:$AC$18,4,FALSE))</f>
        <v>#N/A</v>
      </c>
      <c r="W426" s="23" t="str">
        <f t="shared" ca="1" si="105"/>
        <v/>
      </c>
      <c r="X426" s="5" t="str">
        <f t="shared" ca="1" si="92"/>
        <v/>
      </c>
    </row>
    <row r="427" spans="2:24" x14ac:dyDescent="0.25">
      <c r="B427" s="5">
        <f t="shared" si="93"/>
        <v>421</v>
      </c>
      <c r="C427" s="5" t="e">
        <f t="shared" ca="1" si="106"/>
        <v>#N/A</v>
      </c>
      <c r="D427" s="5" t="e">
        <f ca="1">INDEX(cards[Attribute Index],MATCH('Group code'!C427,cards[object_id order],0))</f>
        <v>#N/A</v>
      </c>
      <c r="E427" s="5" t="e">
        <f t="shared" ca="1" si="94"/>
        <v>#N/A</v>
      </c>
      <c r="F427" s="14" t="e">
        <f ca="1">INDEX(cards[Entities count],MATCH('Group code'!C427,cards[object_id order],0))</f>
        <v>#N/A</v>
      </c>
      <c r="G427" s="14" t="e">
        <f t="shared" ca="1" si="96"/>
        <v>#N/A</v>
      </c>
      <c r="H427" s="14" t="e">
        <f t="shared" ca="1" si="97"/>
        <v>#N/A</v>
      </c>
      <c r="I427" s="5" t="e">
        <f t="shared" ca="1" si="98"/>
        <v>#N/A</v>
      </c>
      <c r="J427" s="5" t="e">
        <f t="shared" ca="1" si="95"/>
        <v>#N/A</v>
      </c>
      <c r="K427" s="5" t="e">
        <f t="shared" ca="1" si="99"/>
        <v>#N/A</v>
      </c>
      <c r="L427" s="5" t="e">
        <f t="shared" ca="1" si="100"/>
        <v>#N/A</v>
      </c>
      <c r="M427" s="5" t="e">
        <f t="shared" ca="1" si="101"/>
        <v>#N/A</v>
      </c>
      <c r="N427" s="5" t="e">
        <f t="shared" ca="1" si="102"/>
        <v>#N/A</v>
      </c>
      <c r="O427" s="5" t="e">
        <f t="shared" ca="1" si="103"/>
        <v>#N/A</v>
      </c>
      <c r="P427" s="5" t="e">
        <f ca="1">VLOOKUP(G427,'Group code'!$Z$9:$AC$13,3,FALSE)</f>
        <v>#N/A</v>
      </c>
      <c r="Q427" s="5" t="e">
        <f t="shared" ca="1" si="104"/>
        <v>#N/A</v>
      </c>
      <c r="R427" s="5" t="e">
        <f ca="1">IF(G427=0,INDEX(cards[object_id],MATCH($C427,cards[object_id order],0)),"")</f>
        <v>#N/A</v>
      </c>
      <c r="S427" s="5" t="e">
        <f ca="1">IF(G427=1,INDEX(cards[[name]:[control]],MATCH($C427,cards[object_id order],0),'Group code'!J427),"")</f>
        <v>#N/A</v>
      </c>
      <c r="T427" s="5" t="e">
        <f ca="1">IF(G427=3,INDEX(cards[[1]:[25]],MATCH($C427,cards[object_id order],0),'Group code'!I427),"")</f>
        <v>#N/A</v>
      </c>
      <c r="U427" s="5" t="e">
        <f ca="1">VLOOKUP(G427,'Group code'!$Z$9:$AC$13,4,FALSE)</f>
        <v>#N/A</v>
      </c>
      <c r="V427" s="5" t="e">
        <f ca="1">IF(J427="","",VLOOKUP(J427,'Group code'!$Z$15:$AC$18,4,FALSE))</f>
        <v>#N/A</v>
      </c>
      <c r="W427" s="23" t="str">
        <f t="shared" ca="1" si="105"/>
        <v/>
      </c>
      <c r="X427" s="5" t="str">
        <f t="shared" ca="1" si="92"/>
        <v/>
      </c>
    </row>
    <row r="428" spans="2:24" x14ac:dyDescent="0.25">
      <c r="B428" s="5">
        <f t="shared" si="93"/>
        <v>422</v>
      </c>
      <c r="C428" s="5" t="e">
        <f t="shared" ca="1" si="106"/>
        <v>#N/A</v>
      </c>
      <c r="D428" s="5" t="e">
        <f ca="1">INDEX(cards[Attribute Index],MATCH('Group code'!C428,cards[object_id order],0))</f>
        <v>#N/A</v>
      </c>
      <c r="E428" s="5" t="e">
        <f t="shared" ca="1" si="94"/>
        <v>#N/A</v>
      </c>
      <c r="F428" s="14" t="e">
        <f ca="1">INDEX(cards[Entities count],MATCH('Group code'!C428,cards[object_id order],0))</f>
        <v>#N/A</v>
      </c>
      <c r="G428" s="14" t="e">
        <f t="shared" ca="1" si="96"/>
        <v>#N/A</v>
      </c>
      <c r="H428" s="14" t="e">
        <f t="shared" ca="1" si="97"/>
        <v>#N/A</v>
      </c>
      <c r="I428" s="5" t="e">
        <f t="shared" ca="1" si="98"/>
        <v>#N/A</v>
      </c>
      <c r="J428" s="5" t="e">
        <f t="shared" ca="1" si="95"/>
        <v>#N/A</v>
      </c>
      <c r="K428" s="5" t="e">
        <f t="shared" ca="1" si="99"/>
        <v>#N/A</v>
      </c>
      <c r="L428" s="5" t="e">
        <f t="shared" ca="1" si="100"/>
        <v>#N/A</v>
      </c>
      <c r="M428" s="5" t="e">
        <f t="shared" ca="1" si="101"/>
        <v>#N/A</v>
      </c>
      <c r="N428" s="5" t="e">
        <f t="shared" ca="1" si="102"/>
        <v>#N/A</v>
      </c>
      <c r="O428" s="5" t="e">
        <f t="shared" ca="1" si="103"/>
        <v>#N/A</v>
      </c>
      <c r="P428" s="5" t="e">
        <f ca="1">VLOOKUP(G428,'Group code'!$Z$9:$AC$13,3,FALSE)</f>
        <v>#N/A</v>
      </c>
      <c r="Q428" s="5" t="e">
        <f t="shared" ca="1" si="104"/>
        <v>#N/A</v>
      </c>
      <c r="R428" s="5" t="e">
        <f ca="1">IF(G428=0,INDEX(cards[object_id],MATCH($C428,cards[object_id order],0)),"")</f>
        <v>#N/A</v>
      </c>
      <c r="S428" s="5" t="e">
        <f ca="1">IF(G428=1,INDEX(cards[[name]:[control]],MATCH($C428,cards[object_id order],0),'Group code'!J428),"")</f>
        <v>#N/A</v>
      </c>
      <c r="T428" s="5" t="e">
        <f ca="1">IF(G428=3,INDEX(cards[[1]:[25]],MATCH($C428,cards[object_id order],0),'Group code'!I428),"")</f>
        <v>#N/A</v>
      </c>
      <c r="U428" s="5" t="e">
        <f ca="1">VLOOKUP(G428,'Group code'!$Z$9:$AC$13,4,FALSE)</f>
        <v>#N/A</v>
      </c>
      <c r="V428" s="5" t="e">
        <f ca="1">IF(J428="","",VLOOKUP(J428,'Group code'!$Z$15:$AC$18,4,FALSE))</f>
        <v>#N/A</v>
      </c>
      <c r="W428" s="23" t="str">
        <f t="shared" ca="1" si="105"/>
        <v/>
      </c>
      <c r="X428" s="5" t="str">
        <f t="shared" ca="1" si="92"/>
        <v/>
      </c>
    </row>
    <row r="429" spans="2:24" x14ac:dyDescent="0.25">
      <c r="B429" s="5">
        <f t="shared" si="93"/>
        <v>423</v>
      </c>
      <c r="C429" s="5" t="e">
        <f t="shared" ca="1" si="106"/>
        <v>#N/A</v>
      </c>
      <c r="D429" s="5" t="e">
        <f ca="1">INDEX(cards[Attribute Index],MATCH('Group code'!C429,cards[object_id order],0))</f>
        <v>#N/A</v>
      </c>
      <c r="E429" s="5" t="e">
        <f t="shared" ca="1" si="94"/>
        <v>#N/A</v>
      </c>
      <c r="F429" s="14" t="e">
        <f ca="1">INDEX(cards[Entities count],MATCH('Group code'!C429,cards[object_id order],0))</f>
        <v>#N/A</v>
      </c>
      <c r="G429" s="14" t="e">
        <f t="shared" ca="1" si="96"/>
        <v>#N/A</v>
      </c>
      <c r="H429" s="14" t="e">
        <f t="shared" ca="1" si="97"/>
        <v>#N/A</v>
      </c>
      <c r="I429" s="5" t="e">
        <f t="shared" ca="1" si="98"/>
        <v>#N/A</v>
      </c>
      <c r="J429" s="5" t="e">
        <f t="shared" ca="1" si="95"/>
        <v>#N/A</v>
      </c>
      <c r="K429" s="5" t="e">
        <f t="shared" ca="1" si="99"/>
        <v>#N/A</v>
      </c>
      <c r="L429" s="5" t="e">
        <f t="shared" ca="1" si="100"/>
        <v>#N/A</v>
      </c>
      <c r="M429" s="5" t="e">
        <f t="shared" ca="1" si="101"/>
        <v>#N/A</v>
      </c>
      <c r="N429" s="5" t="e">
        <f t="shared" ca="1" si="102"/>
        <v>#N/A</v>
      </c>
      <c r="O429" s="5" t="e">
        <f t="shared" ca="1" si="103"/>
        <v>#N/A</v>
      </c>
      <c r="P429" s="5" t="e">
        <f ca="1">VLOOKUP(G429,'Group code'!$Z$9:$AC$13,3,FALSE)</f>
        <v>#N/A</v>
      </c>
      <c r="Q429" s="5" t="e">
        <f t="shared" ca="1" si="104"/>
        <v>#N/A</v>
      </c>
      <c r="R429" s="5" t="e">
        <f ca="1">IF(G429=0,INDEX(cards[object_id],MATCH($C429,cards[object_id order],0)),"")</f>
        <v>#N/A</v>
      </c>
      <c r="S429" s="5" t="e">
        <f ca="1">IF(G429=1,INDEX(cards[[name]:[control]],MATCH($C429,cards[object_id order],0),'Group code'!J429),"")</f>
        <v>#N/A</v>
      </c>
      <c r="T429" s="5" t="e">
        <f ca="1">IF(G429=3,INDEX(cards[[1]:[25]],MATCH($C429,cards[object_id order],0),'Group code'!I429),"")</f>
        <v>#N/A</v>
      </c>
      <c r="U429" s="5" t="e">
        <f ca="1">VLOOKUP(G429,'Group code'!$Z$9:$AC$13,4,FALSE)</f>
        <v>#N/A</v>
      </c>
      <c r="V429" s="5" t="e">
        <f ca="1">IF(J429="","",VLOOKUP(J429,'Group code'!$Z$15:$AC$18,4,FALSE))</f>
        <v>#N/A</v>
      </c>
      <c r="W429" s="23" t="str">
        <f t="shared" ca="1" si="105"/>
        <v/>
      </c>
      <c r="X429" s="5" t="str">
        <f t="shared" ca="1" si="92"/>
        <v/>
      </c>
    </row>
    <row r="430" spans="2:24" x14ac:dyDescent="0.25">
      <c r="B430" s="5">
        <f t="shared" si="93"/>
        <v>424</v>
      </c>
      <c r="C430" s="5" t="e">
        <f t="shared" ca="1" si="106"/>
        <v>#N/A</v>
      </c>
      <c r="D430" s="5" t="e">
        <f ca="1">INDEX(cards[Attribute Index],MATCH('Group code'!C430,cards[object_id order],0))</f>
        <v>#N/A</v>
      </c>
      <c r="E430" s="5" t="e">
        <f t="shared" ca="1" si="94"/>
        <v>#N/A</v>
      </c>
      <c r="F430" s="14" t="e">
        <f ca="1">INDEX(cards[Entities count],MATCH('Group code'!C430,cards[object_id order],0))</f>
        <v>#N/A</v>
      </c>
      <c r="G430" s="14" t="e">
        <f t="shared" ca="1" si="96"/>
        <v>#N/A</v>
      </c>
      <c r="H430" s="14" t="e">
        <f t="shared" ca="1" si="97"/>
        <v>#N/A</v>
      </c>
      <c r="I430" s="5" t="e">
        <f t="shared" ca="1" si="98"/>
        <v>#N/A</v>
      </c>
      <c r="J430" s="5" t="e">
        <f t="shared" ca="1" si="95"/>
        <v>#N/A</v>
      </c>
      <c r="K430" s="5" t="e">
        <f t="shared" ca="1" si="99"/>
        <v>#N/A</v>
      </c>
      <c r="L430" s="5" t="e">
        <f t="shared" ca="1" si="100"/>
        <v>#N/A</v>
      </c>
      <c r="M430" s="5" t="e">
        <f t="shared" ca="1" si="101"/>
        <v>#N/A</v>
      </c>
      <c r="N430" s="5" t="e">
        <f t="shared" ca="1" si="102"/>
        <v>#N/A</v>
      </c>
      <c r="O430" s="5" t="e">
        <f t="shared" ca="1" si="103"/>
        <v>#N/A</v>
      </c>
      <c r="P430" s="5" t="e">
        <f ca="1">VLOOKUP(G430,'Group code'!$Z$9:$AC$13,3,FALSE)</f>
        <v>#N/A</v>
      </c>
      <c r="Q430" s="5" t="e">
        <f t="shared" ca="1" si="104"/>
        <v>#N/A</v>
      </c>
      <c r="R430" s="5" t="e">
        <f ca="1">IF(G430=0,INDEX(cards[object_id],MATCH($C430,cards[object_id order],0)),"")</f>
        <v>#N/A</v>
      </c>
      <c r="S430" s="5" t="e">
        <f ca="1">IF(G430=1,INDEX(cards[[name]:[control]],MATCH($C430,cards[object_id order],0),'Group code'!J430),"")</f>
        <v>#N/A</v>
      </c>
      <c r="T430" s="5" t="e">
        <f ca="1">IF(G430=3,INDEX(cards[[1]:[25]],MATCH($C430,cards[object_id order],0),'Group code'!I430),"")</f>
        <v>#N/A</v>
      </c>
      <c r="U430" s="5" t="e">
        <f ca="1">VLOOKUP(G430,'Group code'!$Z$9:$AC$13,4,FALSE)</f>
        <v>#N/A</v>
      </c>
      <c r="V430" s="5" t="e">
        <f ca="1">IF(J430="","",VLOOKUP(J430,'Group code'!$Z$15:$AC$18,4,FALSE))</f>
        <v>#N/A</v>
      </c>
      <c r="W430" s="23" t="str">
        <f t="shared" ca="1" si="105"/>
        <v/>
      </c>
      <c r="X430" s="5" t="str">
        <f t="shared" ca="1" si="92"/>
        <v/>
      </c>
    </row>
    <row r="431" spans="2:24" x14ac:dyDescent="0.25">
      <c r="B431" s="5">
        <f t="shared" si="93"/>
        <v>425</v>
      </c>
      <c r="C431" s="5" t="e">
        <f t="shared" ca="1" si="106"/>
        <v>#N/A</v>
      </c>
      <c r="D431" s="5" t="e">
        <f ca="1">INDEX(cards[Attribute Index],MATCH('Group code'!C431,cards[object_id order],0))</f>
        <v>#N/A</v>
      </c>
      <c r="E431" s="5" t="e">
        <f t="shared" ca="1" si="94"/>
        <v>#N/A</v>
      </c>
      <c r="F431" s="14" t="e">
        <f ca="1">INDEX(cards[Entities count],MATCH('Group code'!C431,cards[object_id order],0))</f>
        <v>#N/A</v>
      </c>
      <c r="G431" s="14" t="e">
        <f t="shared" ca="1" si="96"/>
        <v>#N/A</v>
      </c>
      <c r="H431" s="14" t="e">
        <f t="shared" ca="1" si="97"/>
        <v>#N/A</v>
      </c>
      <c r="I431" s="5" t="e">
        <f t="shared" ca="1" si="98"/>
        <v>#N/A</v>
      </c>
      <c r="J431" s="5" t="e">
        <f t="shared" ca="1" si="95"/>
        <v>#N/A</v>
      </c>
      <c r="K431" s="5" t="e">
        <f t="shared" ca="1" si="99"/>
        <v>#N/A</v>
      </c>
      <c r="L431" s="5" t="e">
        <f t="shared" ca="1" si="100"/>
        <v>#N/A</v>
      </c>
      <c r="M431" s="5" t="e">
        <f t="shared" ca="1" si="101"/>
        <v>#N/A</v>
      </c>
      <c r="N431" s="5" t="e">
        <f t="shared" ca="1" si="102"/>
        <v>#N/A</v>
      </c>
      <c r="O431" s="5" t="e">
        <f t="shared" ca="1" si="103"/>
        <v>#N/A</v>
      </c>
      <c r="P431" s="5" t="e">
        <f ca="1">VLOOKUP(G431,'Group code'!$Z$9:$AC$13,3,FALSE)</f>
        <v>#N/A</v>
      </c>
      <c r="Q431" s="5" t="e">
        <f t="shared" ca="1" si="104"/>
        <v>#N/A</v>
      </c>
      <c r="R431" s="5" t="e">
        <f ca="1">IF(G431=0,INDEX(cards[object_id],MATCH($C431,cards[object_id order],0)),"")</f>
        <v>#N/A</v>
      </c>
      <c r="S431" s="5" t="e">
        <f ca="1">IF(G431=1,INDEX(cards[[name]:[control]],MATCH($C431,cards[object_id order],0),'Group code'!J431),"")</f>
        <v>#N/A</v>
      </c>
      <c r="T431" s="5" t="e">
        <f ca="1">IF(G431=3,INDEX(cards[[1]:[25]],MATCH($C431,cards[object_id order],0),'Group code'!I431),"")</f>
        <v>#N/A</v>
      </c>
      <c r="U431" s="5" t="e">
        <f ca="1">VLOOKUP(G431,'Group code'!$Z$9:$AC$13,4,FALSE)</f>
        <v>#N/A</v>
      </c>
      <c r="V431" s="5" t="e">
        <f ca="1">IF(J431="","",VLOOKUP(J431,'Group code'!$Z$15:$AC$18,4,FALSE))</f>
        <v>#N/A</v>
      </c>
      <c r="W431" s="23" t="str">
        <f t="shared" ca="1" si="105"/>
        <v/>
      </c>
      <c r="X431" s="5" t="str">
        <f t="shared" ca="1" si="92"/>
        <v/>
      </c>
    </row>
    <row r="432" spans="2:24" x14ac:dyDescent="0.25">
      <c r="B432" s="5">
        <f t="shared" si="93"/>
        <v>426</v>
      </c>
      <c r="C432" s="5" t="e">
        <f t="shared" ca="1" si="106"/>
        <v>#N/A</v>
      </c>
      <c r="D432" s="5" t="e">
        <f ca="1">INDEX(cards[Attribute Index],MATCH('Group code'!C432,cards[object_id order],0))</f>
        <v>#N/A</v>
      </c>
      <c r="E432" s="5" t="e">
        <f t="shared" ca="1" si="94"/>
        <v>#N/A</v>
      </c>
      <c r="F432" s="14" t="e">
        <f ca="1">INDEX(cards[Entities count],MATCH('Group code'!C432,cards[object_id order],0))</f>
        <v>#N/A</v>
      </c>
      <c r="G432" s="14" t="e">
        <f t="shared" ca="1" si="96"/>
        <v>#N/A</v>
      </c>
      <c r="H432" s="14" t="e">
        <f t="shared" ca="1" si="97"/>
        <v>#N/A</v>
      </c>
      <c r="I432" s="5" t="e">
        <f t="shared" ca="1" si="98"/>
        <v>#N/A</v>
      </c>
      <c r="J432" s="5" t="e">
        <f t="shared" ca="1" si="95"/>
        <v>#N/A</v>
      </c>
      <c r="K432" s="5" t="e">
        <f t="shared" ca="1" si="99"/>
        <v>#N/A</v>
      </c>
      <c r="L432" s="5" t="e">
        <f t="shared" ca="1" si="100"/>
        <v>#N/A</v>
      </c>
      <c r="M432" s="5" t="e">
        <f t="shared" ca="1" si="101"/>
        <v>#N/A</v>
      </c>
      <c r="N432" s="5" t="e">
        <f t="shared" ca="1" si="102"/>
        <v>#N/A</v>
      </c>
      <c r="O432" s="5" t="e">
        <f t="shared" ca="1" si="103"/>
        <v>#N/A</v>
      </c>
      <c r="P432" s="5" t="e">
        <f ca="1">VLOOKUP(G432,'Group code'!$Z$9:$AC$13,3,FALSE)</f>
        <v>#N/A</v>
      </c>
      <c r="Q432" s="5" t="e">
        <f t="shared" ca="1" si="104"/>
        <v>#N/A</v>
      </c>
      <c r="R432" s="5" t="e">
        <f ca="1">IF(G432=0,INDEX(cards[object_id],MATCH($C432,cards[object_id order],0)),"")</f>
        <v>#N/A</v>
      </c>
      <c r="S432" s="5" t="e">
        <f ca="1">IF(G432=1,INDEX(cards[[name]:[control]],MATCH($C432,cards[object_id order],0),'Group code'!J432),"")</f>
        <v>#N/A</v>
      </c>
      <c r="T432" s="5" t="e">
        <f ca="1">IF(G432=3,INDEX(cards[[1]:[25]],MATCH($C432,cards[object_id order],0),'Group code'!I432),"")</f>
        <v>#N/A</v>
      </c>
      <c r="U432" s="5" t="e">
        <f ca="1">VLOOKUP(G432,'Group code'!$Z$9:$AC$13,4,FALSE)</f>
        <v>#N/A</v>
      </c>
      <c r="V432" s="5" t="e">
        <f ca="1">IF(J432="","",VLOOKUP(J432,'Group code'!$Z$15:$AC$18,4,FALSE))</f>
        <v>#N/A</v>
      </c>
      <c r="W432" s="23" t="str">
        <f t="shared" ca="1" si="105"/>
        <v/>
      </c>
      <c r="X432" s="5" t="str">
        <f t="shared" ca="1" si="92"/>
        <v/>
      </c>
    </row>
    <row r="433" spans="2:24" x14ac:dyDescent="0.25">
      <c r="B433" s="5">
        <f t="shared" si="93"/>
        <v>427</v>
      </c>
      <c r="C433" s="5" t="e">
        <f t="shared" ca="1" si="106"/>
        <v>#N/A</v>
      </c>
      <c r="D433" s="5" t="e">
        <f ca="1">INDEX(cards[Attribute Index],MATCH('Group code'!C433,cards[object_id order],0))</f>
        <v>#N/A</v>
      </c>
      <c r="E433" s="5" t="e">
        <f t="shared" ca="1" si="94"/>
        <v>#N/A</v>
      </c>
      <c r="F433" s="14" t="e">
        <f ca="1">INDEX(cards[Entities count],MATCH('Group code'!C433,cards[object_id order],0))</f>
        <v>#N/A</v>
      </c>
      <c r="G433" s="14" t="e">
        <f t="shared" ca="1" si="96"/>
        <v>#N/A</v>
      </c>
      <c r="H433" s="14" t="e">
        <f t="shared" ca="1" si="97"/>
        <v>#N/A</v>
      </c>
      <c r="I433" s="5" t="e">
        <f t="shared" ca="1" si="98"/>
        <v>#N/A</v>
      </c>
      <c r="J433" s="5" t="e">
        <f t="shared" ca="1" si="95"/>
        <v>#N/A</v>
      </c>
      <c r="K433" s="5" t="e">
        <f t="shared" ca="1" si="99"/>
        <v>#N/A</v>
      </c>
      <c r="L433" s="5" t="e">
        <f t="shared" ca="1" si="100"/>
        <v>#N/A</v>
      </c>
      <c r="M433" s="5" t="e">
        <f t="shared" ca="1" si="101"/>
        <v>#N/A</v>
      </c>
      <c r="N433" s="5" t="e">
        <f t="shared" ca="1" si="102"/>
        <v>#N/A</v>
      </c>
      <c r="O433" s="5" t="e">
        <f t="shared" ca="1" si="103"/>
        <v>#N/A</v>
      </c>
      <c r="P433" s="5" t="e">
        <f ca="1">VLOOKUP(G433,'Group code'!$Z$9:$AC$13,3,FALSE)</f>
        <v>#N/A</v>
      </c>
      <c r="Q433" s="5" t="e">
        <f t="shared" ca="1" si="104"/>
        <v>#N/A</v>
      </c>
      <c r="R433" s="5" t="e">
        <f ca="1">IF(G433=0,INDEX(cards[object_id],MATCH($C433,cards[object_id order],0)),"")</f>
        <v>#N/A</v>
      </c>
      <c r="S433" s="5" t="e">
        <f ca="1">IF(G433=1,INDEX(cards[[name]:[control]],MATCH($C433,cards[object_id order],0),'Group code'!J433),"")</f>
        <v>#N/A</v>
      </c>
      <c r="T433" s="5" t="e">
        <f ca="1">IF(G433=3,INDEX(cards[[1]:[25]],MATCH($C433,cards[object_id order],0),'Group code'!I433),"")</f>
        <v>#N/A</v>
      </c>
      <c r="U433" s="5" t="e">
        <f ca="1">VLOOKUP(G433,'Group code'!$Z$9:$AC$13,4,FALSE)</f>
        <v>#N/A</v>
      </c>
      <c r="V433" s="5" t="e">
        <f ca="1">IF(J433="","",VLOOKUP(J433,'Group code'!$Z$15:$AC$18,4,FALSE))</f>
        <v>#N/A</v>
      </c>
      <c r="W433" s="23" t="str">
        <f t="shared" ca="1" si="105"/>
        <v/>
      </c>
      <c r="X433" s="5" t="str">
        <f t="shared" ca="1" si="92"/>
        <v/>
      </c>
    </row>
    <row r="434" spans="2:24" x14ac:dyDescent="0.25">
      <c r="B434" s="5">
        <f t="shared" si="93"/>
        <v>428</v>
      </c>
      <c r="C434" s="5" t="e">
        <f t="shared" ca="1" si="106"/>
        <v>#N/A</v>
      </c>
      <c r="D434" s="5" t="e">
        <f ca="1">INDEX(cards[Attribute Index],MATCH('Group code'!C434,cards[object_id order],0))</f>
        <v>#N/A</v>
      </c>
      <c r="E434" s="5" t="e">
        <f t="shared" ca="1" si="94"/>
        <v>#N/A</v>
      </c>
      <c r="F434" s="14" t="e">
        <f ca="1">INDEX(cards[Entities count],MATCH('Group code'!C434,cards[object_id order],0))</f>
        <v>#N/A</v>
      </c>
      <c r="G434" s="14" t="e">
        <f t="shared" ca="1" si="96"/>
        <v>#N/A</v>
      </c>
      <c r="H434" s="14" t="e">
        <f t="shared" ca="1" si="97"/>
        <v>#N/A</v>
      </c>
      <c r="I434" s="5" t="e">
        <f t="shared" ca="1" si="98"/>
        <v>#N/A</v>
      </c>
      <c r="J434" s="5" t="e">
        <f t="shared" ca="1" si="95"/>
        <v>#N/A</v>
      </c>
      <c r="K434" s="5" t="e">
        <f t="shared" ca="1" si="99"/>
        <v>#N/A</v>
      </c>
      <c r="L434" s="5" t="e">
        <f t="shared" ca="1" si="100"/>
        <v>#N/A</v>
      </c>
      <c r="M434" s="5" t="e">
        <f t="shared" ca="1" si="101"/>
        <v>#N/A</v>
      </c>
      <c r="N434" s="5" t="e">
        <f t="shared" ca="1" si="102"/>
        <v>#N/A</v>
      </c>
      <c r="O434" s="5" t="e">
        <f t="shared" ca="1" si="103"/>
        <v>#N/A</v>
      </c>
      <c r="P434" s="5" t="e">
        <f ca="1">VLOOKUP(G434,'Group code'!$Z$9:$AC$13,3,FALSE)</f>
        <v>#N/A</v>
      </c>
      <c r="Q434" s="5" t="e">
        <f t="shared" ca="1" si="104"/>
        <v>#N/A</v>
      </c>
      <c r="R434" s="5" t="e">
        <f ca="1">IF(G434=0,INDEX(cards[object_id],MATCH($C434,cards[object_id order],0)),"")</f>
        <v>#N/A</v>
      </c>
      <c r="S434" s="5" t="e">
        <f ca="1">IF(G434=1,INDEX(cards[[name]:[control]],MATCH($C434,cards[object_id order],0),'Group code'!J434),"")</f>
        <v>#N/A</v>
      </c>
      <c r="T434" s="5" t="e">
        <f ca="1">IF(G434=3,INDEX(cards[[1]:[25]],MATCH($C434,cards[object_id order],0),'Group code'!I434),"")</f>
        <v>#N/A</v>
      </c>
      <c r="U434" s="5" t="e">
        <f ca="1">VLOOKUP(G434,'Group code'!$Z$9:$AC$13,4,FALSE)</f>
        <v>#N/A</v>
      </c>
      <c r="V434" s="5" t="e">
        <f ca="1">IF(J434="","",VLOOKUP(J434,'Group code'!$Z$15:$AC$18,4,FALSE))</f>
        <v>#N/A</v>
      </c>
      <c r="W434" s="23" t="str">
        <f t="shared" ca="1" si="105"/>
        <v/>
      </c>
      <c r="X434" s="5" t="str">
        <f t="shared" ca="1" si="92"/>
        <v/>
      </c>
    </row>
    <row r="435" spans="2:24" x14ac:dyDescent="0.25">
      <c r="B435" s="5">
        <f t="shared" si="93"/>
        <v>429</v>
      </c>
      <c r="C435" s="5" t="e">
        <f t="shared" ca="1" si="106"/>
        <v>#N/A</v>
      </c>
      <c r="D435" s="5" t="e">
        <f ca="1">INDEX(cards[Attribute Index],MATCH('Group code'!C435,cards[object_id order],0))</f>
        <v>#N/A</v>
      </c>
      <c r="E435" s="5" t="e">
        <f t="shared" ca="1" si="94"/>
        <v>#N/A</v>
      </c>
      <c r="F435" s="14" t="e">
        <f ca="1">INDEX(cards[Entities count],MATCH('Group code'!C435,cards[object_id order],0))</f>
        <v>#N/A</v>
      </c>
      <c r="G435" s="14" t="e">
        <f t="shared" ca="1" si="96"/>
        <v>#N/A</v>
      </c>
      <c r="H435" s="14" t="e">
        <f t="shared" ca="1" si="97"/>
        <v>#N/A</v>
      </c>
      <c r="I435" s="5" t="e">
        <f t="shared" ca="1" si="98"/>
        <v>#N/A</v>
      </c>
      <c r="J435" s="5" t="e">
        <f t="shared" ca="1" si="95"/>
        <v>#N/A</v>
      </c>
      <c r="K435" s="5" t="e">
        <f t="shared" ca="1" si="99"/>
        <v>#N/A</v>
      </c>
      <c r="L435" s="5" t="e">
        <f t="shared" ca="1" si="100"/>
        <v>#N/A</v>
      </c>
      <c r="M435" s="5" t="e">
        <f t="shared" ca="1" si="101"/>
        <v>#N/A</v>
      </c>
      <c r="N435" s="5" t="e">
        <f t="shared" ca="1" si="102"/>
        <v>#N/A</v>
      </c>
      <c r="O435" s="5" t="e">
        <f t="shared" ca="1" si="103"/>
        <v>#N/A</v>
      </c>
      <c r="P435" s="5" t="e">
        <f ca="1">VLOOKUP(G435,'Group code'!$Z$9:$AC$13,3,FALSE)</f>
        <v>#N/A</v>
      </c>
      <c r="Q435" s="5" t="e">
        <f t="shared" ca="1" si="104"/>
        <v>#N/A</v>
      </c>
      <c r="R435" s="5" t="e">
        <f ca="1">IF(G435=0,INDEX(cards[object_id],MATCH($C435,cards[object_id order],0)),"")</f>
        <v>#N/A</v>
      </c>
      <c r="S435" s="5" t="e">
        <f ca="1">IF(G435=1,INDEX(cards[[name]:[control]],MATCH($C435,cards[object_id order],0),'Group code'!J435),"")</f>
        <v>#N/A</v>
      </c>
      <c r="T435" s="5" t="e">
        <f ca="1">IF(G435=3,INDEX(cards[[1]:[25]],MATCH($C435,cards[object_id order],0),'Group code'!I435),"")</f>
        <v>#N/A</v>
      </c>
      <c r="U435" s="5" t="e">
        <f ca="1">VLOOKUP(G435,'Group code'!$Z$9:$AC$13,4,FALSE)</f>
        <v>#N/A</v>
      </c>
      <c r="V435" s="5" t="e">
        <f ca="1">IF(J435="","",VLOOKUP(J435,'Group code'!$Z$15:$AC$18,4,FALSE))</f>
        <v>#N/A</v>
      </c>
      <c r="W435" s="23" t="str">
        <f t="shared" ca="1" si="105"/>
        <v/>
      </c>
      <c r="X435" s="5" t="str">
        <f t="shared" ca="1" si="92"/>
        <v/>
      </c>
    </row>
    <row r="436" spans="2:24" x14ac:dyDescent="0.25">
      <c r="B436" s="5">
        <f t="shared" si="93"/>
        <v>430</v>
      </c>
      <c r="C436" s="5" t="e">
        <f t="shared" ca="1" si="106"/>
        <v>#N/A</v>
      </c>
      <c r="D436" s="5" t="e">
        <f ca="1">INDEX(cards[Attribute Index],MATCH('Group code'!C436,cards[object_id order],0))</f>
        <v>#N/A</v>
      </c>
      <c r="E436" s="5" t="e">
        <f t="shared" ca="1" si="94"/>
        <v>#N/A</v>
      </c>
      <c r="F436" s="14" t="e">
        <f ca="1">INDEX(cards[Entities count],MATCH('Group code'!C436,cards[object_id order],0))</f>
        <v>#N/A</v>
      </c>
      <c r="G436" s="14" t="e">
        <f t="shared" ca="1" si="96"/>
        <v>#N/A</v>
      </c>
      <c r="H436" s="14" t="e">
        <f t="shared" ca="1" si="97"/>
        <v>#N/A</v>
      </c>
      <c r="I436" s="5" t="e">
        <f t="shared" ca="1" si="98"/>
        <v>#N/A</v>
      </c>
      <c r="J436" s="5" t="e">
        <f t="shared" ca="1" si="95"/>
        <v>#N/A</v>
      </c>
      <c r="K436" s="5" t="e">
        <f t="shared" ca="1" si="99"/>
        <v>#N/A</v>
      </c>
      <c r="L436" s="5" t="e">
        <f t="shared" ca="1" si="100"/>
        <v>#N/A</v>
      </c>
      <c r="M436" s="5" t="e">
        <f t="shared" ca="1" si="101"/>
        <v>#N/A</v>
      </c>
      <c r="N436" s="5" t="e">
        <f t="shared" ca="1" si="102"/>
        <v>#N/A</v>
      </c>
      <c r="O436" s="5" t="e">
        <f t="shared" ca="1" si="103"/>
        <v>#N/A</v>
      </c>
      <c r="P436" s="5" t="e">
        <f ca="1">VLOOKUP(G436,'Group code'!$Z$9:$AC$13,3,FALSE)</f>
        <v>#N/A</v>
      </c>
      <c r="Q436" s="5" t="e">
        <f t="shared" ca="1" si="104"/>
        <v>#N/A</v>
      </c>
      <c r="R436" s="5" t="e">
        <f ca="1">IF(G436=0,INDEX(cards[object_id],MATCH($C436,cards[object_id order],0)),"")</f>
        <v>#N/A</v>
      </c>
      <c r="S436" s="5" t="e">
        <f ca="1">IF(G436=1,INDEX(cards[[name]:[control]],MATCH($C436,cards[object_id order],0),'Group code'!J436),"")</f>
        <v>#N/A</v>
      </c>
      <c r="T436" s="5" t="e">
        <f ca="1">IF(G436=3,INDEX(cards[[1]:[25]],MATCH($C436,cards[object_id order],0),'Group code'!I436),"")</f>
        <v>#N/A</v>
      </c>
      <c r="U436" s="5" t="e">
        <f ca="1">VLOOKUP(G436,'Group code'!$Z$9:$AC$13,4,FALSE)</f>
        <v>#N/A</v>
      </c>
      <c r="V436" s="5" t="e">
        <f ca="1">IF(J436="","",VLOOKUP(J436,'Group code'!$Z$15:$AC$18,4,FALSE))</f>
        <v>#N/A</v>
      </c>
      <c r="W436" s="23" t="str">
        <f t="shared" ca="1" si="105"/>
        <v/>
      </c>
      <c r="X436" s="5" t="str">
        <f t="shared" ca="1" si="92"/>
        <v/>
      </c>
    </row>
    <row r="437" spans="2:24" x14ac:dyDescent="0.25">
      <c r="B437" s="5">
        <f t="shared" si="93"/>
        <v>431</v>
      </c>
      <c r="C437" s="5" t="e">
        <f t="shared" ca="1" si="106"/>
        <v>#N/A</v>
      </c>
      <c r="D437" s="5" t="e">
        <f ca="1">INDEX(cards[Attribute Index],MATCH('Group code'!C437,cards[object_id order],0))</f>
        <v>#N/A</v>
      </c>
      <c r="E437" s="5" t="e">
        <f t="shared" ca="1" si="94"/>
        <v>#N/A</v>
      </c>
      <c r="F437" s="14" t="e">
        <f ca="1">INDEX(cards[Entities count],MATCH('Group code'!C437,cards[object_id order],0))</f>
        <v>#N/A</v>
      </c>
      <c r="G437" s="14" t="e">
        <f t="shared" ca="1" si="96"/>
        <v>#N/A</v>
      </c>
      <c r="H437" s="14" t="e">
        <f t="shared" ca="1" si="97"/>
        <v>#N/A</v>
      </c>
      <c r="I437" s="5" t="e">
        <f t="shared" ca="1" si="98"/>
        <v>#N/A</v>
      </c>
      <c r="J437" s="5" t="e">
        <f t="shared" ca="1" si="95"/>
        <v>#N/A</v>
      </c>
      <c r="K437" s="5" t="e">
        <f t="shared" ca="1" si="99"/>
        <v>#N/A</v>
      </c>
      <c r="L437" s="5" t="e">
        <f t="shared" ca="1" si="100"/>
        <v>#N/A</v>
      </c>
      <c r="M437" s="5" t="e">
        <f t="shared" ca="1" si="101"/>
        <v>#N/A</v>
      </c>
      <c r="N437" s="5" t="e">
        <f t="shared" ca="1" si="102"/>
        <v>#N/A</v>
      </c>
      <c r="O437" s="5" t="e">
        <f t="shared" ca="1" si="103"/>
        <v>#N/A</v>
      </c>
      <c r="P437" s="5" t="e">
        <f ca="1">VLOOKUP(G437,'Group code'!$Z$9:$AC$13,3,FALSE)</f>
        <v>#N/A</v>
      </c>
      <c r="Q437" s="5" t="e">
        <f t="shared" ca="1" si="104"/>
        <v>#N/A</v>
      </c>
      <c r="R437" s="5" t="e">
        <f ca="1">IF(G437=0,INDEX(cards[object_id],MATCH($C437,cards[object_id order],0)),"")</f>
        <v>#N/A</v>
      </c>
      <c r="S437" s="5" t="e">
        <f ca="1">IF(G437=1,INDEX(cards[[name]:[control]],MATCH($C437,cards[object_id order],0),'Group code'!J437),"")</f>
        <v>#N/A</v>
      </c>
      <c r="T437" s="5" t="e">
        <f ca="1">IF(G437=3,INDEX(cards[[1]:[25]],MATCH($C437,cards[object_id order],0),'Group code'!I437),"")</f>
        <v>#N/A</v>
      </c>
      <c r="U437" s="5" t="e">
        <f ca="1">VLOOKUP(G437,'Group code'!$Z$9:$AC$13,4,FALSE)</f>
        <v>#N/A</v>
      </c>
      <c r="V437" s="5" t="e">
        <f ca="1">IF(J437="","",VLOOKUP(J437,'Group code'!$Z$15:$AC$18,4,FALSE))</f>
        <v>#N/A</v>
      </c>
      <c r="W437" s="23" t="str">
        <f t="shared" ca="1" si="105"/>
        <v/>
      </c>
      <c r="X437" s="5" t="str">
        <f t="shared" ca="1" si="92"/>
        <v/>
      </c>
    </row>
    <row r="438" spans="2:24" x14ac:dyDescent="0.25">
      <c r="B438" s="5">
        <f t="shared" si="93"/>
        <v>432</v>
      </c>
      <c r="C438" s="5" t="e">
        <f t="shared" ca="1" si="106"/>
        <v>#N/A</v>
      </c>
      <c r="D438" s="5" t="e">
        <f ca="1">INDEX(cards[Attribute Index],MATCH('Group code'!C438,cards[object_id order],0))</f>
        <v>#N/A</v>
      </c>
      <c r="E438" s="5" t="e">
        <f t="shared" ca="1" si="94"/>
        <v>#N/A</v>
      </c>
      <c r="F438" s="14" t="e">
        <f ca="1">INDEX(cards[Entities count],MATCH('Group code'!C438,cards[object_id order],0))</f>
        <v>#N/A</v>
      </c>
      <c r="G438" s="14" t="e">
        <f t="shared" ca="1" si="96"/>
        <v>#N/A</v>
      </c>
      <c r="H438" s="14" t="e">
        <f t="shared" ca="1" si="97"/>
        <v>#N/A</v>
      </c>
      <c r="I438" s="5" t="e">
        <f t="shared" ca="1" si="98"/>
        <v>#N/A</v>
      </c>
      <c r="J438" s="5" t="e">
        <f t="shared" ca="1" si="95"/>
        <v>#N/A</v>
      </c>
      <c r="K438" s="5" t="e">
        <f t="shared" ca="1" si="99"/>
        <v>#N/A</v>
      </c>
      <c r="L438" s="5" t="e">
        <f t="shared" ca="1" si="100"/>
        <v>#N/A</v>
      </c>
      <c r="M438" s="5" t="e">
        <f t="shared" ca="1" si="101"/>
        <v>#N/A</v>
      </c>
      <c r="N438" s="5" t="e">
        <f t="shared" ca="1" si="102"/>
        <v>#N/A</v>
      </c>
      <c r="O438" s="5" t="e">
        <f t="shared" ca="1" si="103"/>
        <v>#N/A</v>
      </c>
      <c r="P438" s="5" t="e">
        <f ca="1">VLOOKUP(G438,'Group code'!$Z$9:$AC$13,3,FALSE)</f>
        <v>#N/A</v>
      </c>
      <c r="Q438" s="5" t="e">
        <f t="shared" ca="1" si="104"/>
        <v>#N/A</v>
      </c>
      <c r="R438" s="5" t="e">
        <f ca="1">IF(G438=0,INDEX(cards[object_id],MATCH($C438,cards[object_id order],0)),"")</f>
        <v>#N/A</v>
      </c>
      <c r="S438" s="5" t="e">
        <f ca="1">IF(G438=1,INDEX(cards[[name]:[control]],MATCH($C438,cards[object_id order],0),'Group code'!J438),"")</f>
        <v>#N/A</v>
      </c>
      <c r="T438" s="5" t="e">
        <f ca="1">IF(G438=3,INDEX(cards[[1]:[25]],MATCH($C438,cards[object_id order],0),'Group code'!I438),"")</f>
        <v>#N/A</v>
      </c>
      <c r="U438" s="5" t="e">
        <f ca="1">VLOOKUP(G438,'Group code'!$Z$9:$AC$13,4,FALSE)</f>
        <v>#N/A</v>
      </c>
      <c r="V438" s="5" t="e">
        <f ca="1">IF(J438="","",VLOOKUP(J438,'Group code'!$Z$15:$AC$18,4,FALSE))</f>
        <v>#N/A</v>
      </c>
      <c r="W438" s="23" t="str">
        <f t="shared" ca="1" si="105"/>
        <v/>
      </c>
      <c r="X438" s="5" t="str">
        <f t="shared" ref="X438:X501" ca="1" si="107">IF(AND(NOT(ISNA(F438)),ISNA(F439)),"END","")</f>
        <v/>
      </c>
    </row>
    <row r="439" spans="2:24" x14ac:dyDescent="0.25">
      <c r="B439" s="5">
        <f t="shared" si="93"/>
        <v>433</v>
      </c>
      <c r="C439" s="5" t="e">
        <f t="shared" ca="1" si="106"/>
        <v>#N/A</v>
      </c>
      <c r="D439" s="5" t="e">
        <f ca="1">INDEX(cards[Attribute Index],MATCH('Group code'!C439,cards[object_id order],0))</f>
        <v>#N/A</v>
      </c>
      <c r="E439" s="5" t="e">
        <f t="shared" ca="1" si="94"/>
        <v>#N/A</v>
      </c>
      <c r="F439" s="14" t="e">
        <f ca="1">INDEX(cards[Entities count],MATCH('Group code'!C439,cards[object_id order],0))</f>
        <v>#N/A</v>
      </c>
      <c r="G439" s="14" t="e">
        <f t="shared" ca="1" si="96"/>
        <v>#N/A</v>
      </c>
      <c r="H439" s="14" t="e">
        <f t="shared" ca="1" si="97"/>
        <v>#N/A</v>
      </c>
      <c r="I439" s="5" t="e">
        <f t="shared" ca="1" si="98"/>
        <v>#N/A</v>
      </c>
      <c r="J439" s="5" t="e">
        <f t="shared" ca="1" si="95"/>
        <v>#N/A</v>
      </c>
      <c r="K439" s="5" t="e">
        <f t="shared" ca="1" si="99"/>
        <v>#N/A</v>
      </c>
      <c r="L439" s="5" t="e">
        <f t="shared" ca="1" si="100"/>
        <v>#N/A</v>
      </c>
      <c r="M439" s="5" t="e">
        <f t="shared" ca="1" si="101"/>
        <v>#N/A</v>
      </c>
      <c r="N439" s="5" t="e">
        <f t="shared" ca="1" si="102"/>
        <v>#N/A</v>
      </c>
      <c r="O439" s="5" t="e">
        <f t="shared" ca="1" si="103"/>
        <v>#N/A</v>
      </c>
      <c r="P439" s="5" t="e">
        <f ca="1">VLOOKUP(G439,'Group code'!$Z$9:$AC$13,3,FALSE)</f>
        <v>#N/A</v>
      </c>
      <c r="Q439" s="5" t="e">
        <f t="shared" ca="1" si="104"/>
        <v>#N/A</v>
      </c>
      <c r="R439" s="5" t="e">
        <f ca="1">IF(G439=0,INDEX(cards[object_id],MATCH($C439,cards[object_id order],0)),"")</f>
        <v>#N/A</v>
      </c>
      <c r="S439" s="5" t="e">
        <f ca="1">IF(G439=1,INDEX(cards[[name]:[control]],MATCH($C439,cards[object_id order],0),'Group code'!J439),"")</f>
        <v>#N/A</v>
      </c>
      <c r="T439" s="5" t="e">
        <f ca="1">IF(G439=3,INDEX(cards[[1]:[25]],MATCH($C439,cards[object_id order],0),'Group code'!I439),"")</f>
        <v>#N/A</v>
      </c>
      <c r="U439" s="5" t="e">
        <f ca="1">VLOOKUP(G439,'Group code'!$Z$9:$AC$13,4,FALSE)</f>
        <v>#N/A</v>
      </c>
      <c r="V439" s="5" t="e">
        <f ca="1">IF(J439="","",VLOOKUP(J439,'Group code'!$Z$15:$AC$18,4,FALSE))</f>
        <v>#N/A</v>
      </c>
      <c r="W439" s="23" t="str">
        <f t="shared" ca="1" si="105"/>
        <v/>
      </c>
      <c r="X439" s="5" t="str">
        <f t="shared" ca="1" si="107"/>
        <v/>
      </c>
    </row>
    <row r="440" spans="2:24" x14ac:dyDescent="0.25">
      <c r="B440" s="5">
        <f t="shared" si="93"/>
        <v>434</v>
      </c>
      <c r="C440" s="5" t="e">
        <f t="shared" ca="1" si="106"/>
        <v>#N/A</v>
      </c>
      <c r="D440" s="5" t="e">
        <f ca="1">INDEX(cards[Attribute Index],MATCH('Group code'!C440,cards[object_id order],0))</f>
        <v>#N/A</v>
      </c>
      <c r="E440" s="5" t="e">
        <f t="shared" ca="1" si="94"/>
        <v>#N/A</v>
      </c>
      <c r="F440" s="14" t="e">
        <f ca="1">INDEX(cards[Entities count],MATCH('Group code'!C440,cards[object_id order],0))</f>
        <v>#N/A</v>
      </c>
      <c r="G440" s="14" t="e">
        <f t="shared" ca="1" si="96"/>
        <v>#N/A</v>
      </c>
      <c r="H440" s="14" t="e">
        <f t="shared" ca="1" si="97"/>
        <v>#N/A</v>
      </c>
      <c r="I440" s="5" t="e">
        <f t="shared" ca="1" si="98"/>
        <v>#N/A</v>
      </c>
      <c r="J440" s="5" t="e">
        <f t="shared" ca="1" si="95"/>
        <v>#N/A</v>
      </c>
      <c r="K440" s="5" t="e">
        <f t="shared" ca="1" si="99"/>
        <v>#N/A</v>
      </c>
      <c r="L440" s="5" t="e">
        <f t="shared" ca="1" si="100"/>
        <v>#N/A</v>
      </c>
      <c r="M440" s="5" t="e">
        <f t="shared" ca="1" si="101"/>
        <v>#N/A</v>
      </c>
      <c r="N440" s="5" t="e">
        <f t="shared" ca="1" si="102"/>
        <v>#N/A</v>
      </c>
      <c r="O440" s="5" t="e">
        <f t="shared" ca="1" si="103"/>
        <v>#N/A</v>
      </c>
      <c r="P440" s="5" t="e">
        <f ca="1">VLOOKUP(G440,'Group code'!$Z$9:$AC$13,3,FALSE)</f>
        <v>#N/A</v>
      </c>
      <c r="Q440" s="5" t="e">
        <f t="shared" ca="1" si="104"/>
        <v>#N/A</v>
      </c>
      <c r="R440" s="5" t="e">
        <f ca="1">IF(G440=0,INDEX(cards[object_id],MATCH($C440,cards[object_id order],0)),"")</f>
        <v>#N/A</v>
      </c>
      <c r="S440" s="5" t="e">
        <f ca="1">IF(G440=1,INDEX(cards[[name]:[control]],MATCH($C440,cards[object_id order],0),'Group code'!J440),"")</f>
        <v>#N/A</v>
      </c>
      <c r="T440" s="5" t="e">
        <f ca="1">IF(G440=3,INDEX(cards[[1]:[25]],MATCH($C440,cards[object_id order],0),'Group code'!I440),"")</f>
        <v>#N/A</v>
      </c>
      <c r="U440" s="5" t="e">
        <f ca="1">VLOOKUP(G440,'Group code'!$Z$9:$AC$13,4,FALSE)</f>
        <v>#N/A</v>
      </c>
      <c r="V440" s="5" t="e">
        <f ca="1">IF(J440="","",VLOOKUP(J440,'Group code'!$Z$15:$AC$18,4,FALSE))</f>
        <v>#N/A</v>
      </c>
      <c r="W440" s="23" t="str">
        <f t="shared" ca="1" si="105"/>
        <v/>
      </c>
      <c r="X440" s="5" t="str">
        <f t="shared" ca="1" si="107"/>
        <v/>
      </c>
    </row>
    <row r="441" spans="2:24" x14ac:dyDescent="0.25">
      <c r="B441" s="5">
        <f t="shared" si="93"/>
        <v>435</v>
      </c>
      <c r="C441" s="5" t="e">
        <f t="shared" ca="1" si="106"/>
        <v>#N/A</v>
      </c>
      <c r="D441" s="5" t="e">
        <f ca="1">INDEX(cards[Attribute Index],MATCH('Group code'!C441,cards[object_id order],0))</f>
        <v>#N/A</v>
      </c>
      <c r="E441" s="5" t="e">
        <f t="shared" ca="1" si="94"/>
        <v>#N/A</v>
      </c>
      <c r="F441" s="14" t="e">
        <f ca="1">INDEX(cards[Entities count],MATCH('Group code'!C441,cards[object_id order],0))</f>
        <v>#N/A</v>
      </c>
      <c r="G441" s="14" t="e">
        <f t="shared" ca="1" si="96"/>
        <v>#N/A</v>
      </c>
      <c r="H441" s="14" t="e">
        <f t="shared" ca="1" si="97"/>
        <v>#N/A</v>
      </c>
      <c r="I441" s="5" t="e">
        <f t="shared" ca="1" si="98"/>
        <v>#N/A</v>
      </c>
      <c r="J441" s="5" t="e">
        <f t="shared" ca="1" si="95"/>
        <v>#N/A</v>
      </c>
      <c r="K441" s="5" t="e">
        <f t="shared" ca="1" si="99"/>
        <v>#N/A</v>
      </c>
      <c r="L441" s="5" t="e">
        <f t="shared" ca="1" si="100"/>
        <v>#N/A</v>
      </c>
      <c r="M441" s="5" t="e">
        <f t="shared" ca="1" si="101"/>
        <v>#N/A</v>
      </c>
      <c r="N441" s="5" t="e">
        <f t="shared" ca="1" si="102"/>
        <v>#N/A</v>
      </c>
      <c r="O441" s="5" t="e">
        <f t="shared" ca="1" si="103"/>
        <v>#N/A</v>
      </c>
      <c r="P441" s="5" t="e">
        <f ca="1">VLOOKUP(G441,'Group code'!$Z$9:$AC$13,3,FALSE)</f>
        <v>#N/A</v>
      </c>
      <c r="Q441" s="5" t="e">
        <f t="shared" ca="1" si="104"/>
        <v>#N/A</v>
      </c>
      <c r="R441" s="5" t="e">
        <f ca="1">IF(G441=0,INDEX(cards[object_id],MATCH($C441,cards[object_id order],0)),"")</f>
        <v>#N/A</v>
      </c>
      <c r="S441" s="5" t="e">
        <f ca="1">IF(G441=1,INDEX(cards[[name]:[control]],MATCH($C441,cards[object_id order],0),'Group code'!J441),"")</f>
        <v>#N/A</v>
      </c>
      <c r="T441" s="5" t="e">
        <f ca="1">IF(G441=3,INDEX(cards[[1]:[25]],MATCH($C441,cards[object_id order],0),'Group code'!I441),"")</f>
        <v>#N/A</v>
      </c>
      <c r="U441" s="5" t="e">
        <f ca="1">VLOOKUP(G441,'Group code'!$Z$9:$AC$13,4,FALSE)</f>
        <v>#N/A</v>
      </c>
      <c r="V441" s="5" t="e">
        <f ca="1">IF(J441="","",VLOOKUP(J441,'Group code'!$Z$15:$AC$18,4,FALSE))</f>
        <v>#N/A</v>
      </c>
      <c r="W441" s="23" t="str">
        <f t="shared" ca="1" si="105"/>
        <v/>
      </c>
      <c r="X441" s="5" t="str">
        <f t="shared" ca="1" si="107"/>
        <v/>
      </c>
    </row>
    <row r="442" spans="2:24" x14ac:dyDescent="0.25">
      <c r="B442" s="5">
        <f t="shared" si="93"/>
        <v>436</v>
      </c>
      <c r="C442" s="5" t="e">
        <f t="shared" ca="1" si="106"/>
        <v>#N/A</v>
      </c>
      <c r="D442" s="5" t="e">
        <f ca="1">INDEX(cards[Attribute Index],MATCH('Group code'!C442,cards[object_id order],0))</f>
        <v>#N/A</v>
      </c>
      <c r="E442" s="5" t="e">
        <f t="shared" ca="1" si="94"/>
        <v>#N/A</v>
      </c>
      <c r="F442" s="14" t="e">
        <f ca="1">INDEX(cards[Entities count],MATCH('Group code'!C442,cards[object_id order],0))</f>
        <v>#N/A</v>
      </c>
      <c r="G442" s="14" t="e">
        <f t="shared" ca="1" si="96"/>
        <v>#N/A</v>
      </c>
      <c r="H442" s="14" t="e">
        <f t="shared" ca="1" si="97"/>
        <v>#N/A</v>
      </c>
      <c r="I442" s="5" t="e">
        <f t="shared" ca="1" si="98"/>
        <v>#N/A</v>
      </c>
      <c r="J442" s="5" t="e">
        <f t="shared" ca="1" si="95"/>
        <v>#N/A</v>
      </c>
      <c r="K442" s="5" t="e">
        <f t="shared" ca="1" si="99"/>
        <v>#N/A</v>
      </c>
      <c r="L442" s="5" t="e">
        <f t="shared" ca="1" si="100"/>
        <v>#N/A</v>
      </c>
      <c r="M442" s="5" t="e">
        <f t="shared" ca="1" si="101"/>
        <v>#N/A</v>
      </c>
      <c r="N442" s="5" t="e">
        <f t="shared" ca="1" si="102"/>
        <v>#N/A</v>
      </c>
      <c r="O442" s="5" t="e">
        <f t="shared" ca="1" si="103"/>
        <v>#N/A</v>
      </c>
      <c r="P442" s="5" t="e">
        <f ca="1">VLOOKUP(G442,'Group code'!$Z$9:$AC$13,3,FALSE)</f>
        <v>#N/A</v>
      </c>
      <c r="Q442" s="5" t="e">
        <f t="shared" ca="1" si="104"/>
        <v>#N/A</v>
      </c>
      <c r="R442" s="5" t="e">
        <f ca="1">IF(G442=0,INDEX(cards[object_id],MATCH($C442,cards[object_id order],0)),"")</f>
        <v>#N/A</v>
      </c>
      <c r="S442" s="5" t="e">
        <f ca="1">IF(G442=1,INDEX(cards[[name]:[control]],MATCH($C442,cards[object_id order],0),'Group code'!J442),"")</f>
        <v>#N/A</v>
      </c>
      <c r="T442" s="5" t="e">
        <f ca="1">IF(G442=3,INDEX(cards[[1]:[25]],MATCH($C442,cards[object_id order],0),'Group code'!I442),"")</f>
        <v>#N/A</v>
      </c>
      <c r="U442" s="5" t="e">
        <f ca="1">VLOOKUP(G442,'Group code'!$Z$9:$AC$13,4,FALSE)</f>
        <v>#N/A</v>
      </c>
      <c r="V442" s="5" t="e">
        <f ca="1">IF(J442="","",VLOOKUP(J442,'Group code'!$Z$15:$AC$18,4,FALSE))</f>
        <v>#N/A</v>
      </c>
      <c r="W442" s="23" t="str">
        <f t="shared" ca="1" si="105"/>
        <v/>
      </c>
      <c r="X442" s="5" t="str">
        <f t="shared" ca="1" si="107"/>
        <v/>
      </c>
    </row>
    <row r="443" spans="2:24" x14ac:dyDescent="0.25">
      <c r="B443" s="5">
        <f t="shared" si="93"/>
        <v>437</v>
      </c>
      <c r="C443" s="5" t="e">
        <f t="shared" ca="1" si="106"/>
        <v>#N/A</v>
      </c>
      <c r="D443" s="5" t="e">
        <f ca="1">INDEX(cards[Attribute Index],MATCH('Group code'!C443,cards[object_id order],0))</f>
        <v>#N/A</v>
      </c>
      <c r="E443" s="5" t="e">
        <f t="shared" ca="1" si="94"/>
        <v>#N/A</v>
      </c>
      <c r="F443" s="14" t="e">
        <f ca="1">INDEX(cards[Entities count],MATCH('Group code'!C443,cards[object_id order],0))</f>
        <v>#N/A</v>
      </c>
      <c r="G443" s="14" t="e">
        <f t="shared" ca="1" si="96"/>
        <v>#N/A</v>
      </c>
      <c r="H443" s="14" t="e">
        <f t="shared" ca="1" si="97"/>
        <v>#N/A</v>
      </c>
      <c r="I443" s="5" t="e">
        <f t="shared" ca="1" si="98"/>
        <v>#N/A</v>
      </c>
      <c r="J443" s="5" t="e">
        <f t="shared" ca="1" si="95"/>
        <v>#N/A</v>
      </c>
      <c r="K443" s="5" t="e">
        <f t="shared" ca="1" si="99"/>
        <v>#N/A</v>
      </c>
      <c r="L443" s="5" t="e">
        <f t="shared" ca="1" si="100"/>
        <v>#N/A</v>
      </c>
      <c r="M443" s="5" t="e">
        <f t="shared" ca="1" si="101"/>
        <v>#N/A</v>
      </c>
      <c r="N443" s="5" t="e">
        <f t="shared" ca="1" si="102"/>
        <v>#N/A</v>
      </c>
      <c r="O443" s="5" t="e">
        <f t="shared" ca="1" si="103"/>
        <v>#N/A</v>
      </c>
      <c r="P443" s="5" t="e">
        <f ca="1">VLOOKUP(G443,'Group code'!$Z$9:$AC$13,3,FALSE)</f>
        <v>#N/A</v>
      </c>
      <c r="Q443" s="5" t="e">
        <f t="shared" ca="1" si="104"/>
        <v>#N/A</v>
      </c>
      <c r="R443" s="5" t="e">
        <f ca="1">IF(G443=0,INDEX(cards[object_id],MATCH($C443,cards[object_id order],0)),"")</f>
        <v>#N/A</v>
      </c>
      <c r="S443" s="5" t="e">
        <f ca="1">IF(G443=1,INDEX(cards[[name]:[control]],MATCH($C443,cards[object_id order],0),'Group code'!J443),"")</f>
        <v>#N/A</v>
      </c>
      <c r="T443" s="5" t="e">
        <f ca="1">IF(G443=3,INDEX(cards[[1]:[25]],MATCH($C443,cards[object_id order],0),'Group code'!I443),"")</f>
        <v>#N/A</v>
      </c>
      <c r="U443" s="5" t="e">
        <f ca="1">VLOOKUP(G443,'Group code'!$Z$9:$AC$13,4,FALSE)</f>
        <v>#N/A</v>
      </c>
      <c r="V443" s="5" t="e">
        <f ca="1">IF(J443="","",VLOOKUP(J443,'Group code'!$Z$15:$AC$18,4,FALSE))</f>
        <v>#N/A</v>
      </c>
      <c r="W443" s="23" t="str">
        <f t="shared" ca="1" si="105"/>
        <v/>
      </c>
      <c r="X443" s="5" t="str">
        <f t="shared" ca="1" si="107"/>
        <v/>
      </c>
    </row>
    <row r="444" spans="2:24" x14ac:dyDescent="0.25">
      <c r="B444" s="5">
        <f t="shared" si="93"/>
        <v>438</v>
      </c>
      <c r="C444" s="5" t="e">
        <f t="shared" ca="1" si="106"/>
        <v>#N/A</v>
      </c>
      <c r="D444" s="5" t="e">
        <f ca="1">INDEX(cards[Attribute Index],MATCH('Group code'!C444,cards[object_id order],0))</f>
        <v>#N/A</v>
      </c>
      <c r="E444" s="5" t="e">
        <f t="shared" ca="1" si="94"/>
        <v>#N/A</v>
      </c>
      <c r="F444" s="14" t="e">
        <f ca="1">INDEX(cards[Entities count],MATCH('Group code'!C444,cards[object_id order],0))</f>
        <v>#N/A</v>
      </c>
      <c r="G444" s="14" t="e">
        <f t="shared" ca="1" si="96"/>
        <v>#N/A</v>
      </c>
      <c r="H444" s="14" t="e">
        <f t="shared" ca="1" si="97"/>
        <v>#N/A</v>
      </c>
      <c r="I444" s="5" t="e">
        <f t="shared" ca="1" si="98"/>
        <v>#N/A</v>
      </c>
      <c r="J444" s="5" t="e">
        <f t="shared" ca="1" si="95"/>
        <v>#N/A</v>
      </c>
      <c r="K444" s="5" t="e">
        <f t="shared" ca="1" si="99"/>
        <v>#N/A</v>
      </c>
      <c r="L444" s="5" t="e">
        <f t="shared" ca="1" si="100"/>
        <v>#N/A</v>
      </c>
      <c r="M444" s="5" t="e">
        <f t="shared" ca="1" si="101"/>
        <v>#N/A</v>
      </c>
      <c r="N444" s="5" t="e">
        <f t="shared" ca="1" si="102"/>
        <v>#N/A</v>
      </c>
      <c r="O444" s="5" t="e">
        <f t="shared" ca="1" si="103"/>
        <v>#N/A</v>
      </c>
      <c r="P444" s="5" t="e">
        <f ca="1">VLOOKUP(G444,'Group code'!$Z$9:$AC$13,3,FALSE)</f>
        <v>#N/A</v>
      </c>
      <c r="Q444" s="5" t="e">
        <f t="shared" ca="1" si="104"/>
        <v>#N/A</v>
      </c>
      <c r="R444" s="5" t="e">
        <f ca="1">IF(G444=0,INDEX(cards[object_id],MATCH($C444,cards[object_id order],0)),"")</f>
        <v>#N/A</v>
      </c>
      <c r="S444" s="5" t="e">
        <f ca="1">IF(G444=1,INDEX(cards[[name]:[control]],MATCH($C444,cards[object_id order],0),'Group code'!J444),"")</f>
        <v>#N/A</v>
      </c>
      <c r="T444" s="5" t="e">
        <f ca="1">IF(G444=3,INDEX(cards[[1]:[25]],MATCH($C444,cards[object_id order],0),'Group code'!I444),"")</f>
        <v>#N/A</v>
      </c>
      <c r="U444" s="5" t="e">
        <f ca="1">VLOOKUP(G444,'Group code'!$Z$9:$AC$13,4,FALSE)</f>
        <v>#N/A</v>
      </c>
      <c r="V444" s="5" t="e">
        <f ca="1">IF(J444="","",VLOOKUP(J444,'Group code'!$Z$15:$AC$18,4,FALSE))</f>
        <v>#N/A</v>
      </c>
      <c r="W444" s="23" t="str">
        <f t="shared" ca="1" si="105"/>
        <v/>
      </c>
      <c r="X444" s="5" t="str">
        <f t="shared" ca="1" si="107"/>
        <v/>
      </c>
    </row>
    <row r="445" spans="2:24" x14ac:dyDescent="0.25">
      <c r="B445" s="5">
        <f t="shared" si="93"/>
        <v>439</v>
      </c>
      <c r="C445" s="5" t="e">
        <f t="shared" ca="1" si="106"/>
        <v>#N/A</v>
      </c>
      <c r="D445" s="5" t="e">
        <f ca="1">INDEX(cards[Attribute Index],MATCH('Group code'!C445,cards[object_id order],0))</f>
        <v>#N/A</v>
      </c>
      <c r="E445" s="5" t="e">
        <f t="shared" ca="1" si="94"/>
        <v>#N/A</v>
      </c>
      <c r="F445" s="14" t="e">
        <f ca="1">INDEX(cards[Entities count],MATCH('Group code'!C445,cards[object_id order],0))</f>
        <v>#N/A</v>
      </c>
      <c r="G445" s="14" t="e">
        <f t="shared" ca="1" si="96"/>
        <v>#N/A</v>
      </c>
      <c r="H445" s="14" t="e">
        <f t="shared" ca="1" si="97"/>
        <v>#N/A</v>
      </c>
      <c r="I445" s="5" t="e">
        <f t="shared" ca="1" si="98"/>
        <v>#N/A</v>
      </c>
      <c r="J445" s="5" t="e">
        <f t="shared" ca="1" si="95"/>
        <v>#N/A</v>
      </c>
      <c r="K445" s="5" t="e">
        <f t="shared" ca="1" si="99"/>
        <v>#N/A</v>
      </c>
      <c r="L445" s="5" t="e">
        <f t="shared" ca="1" si="100"/>
        <v>#N/A</v>
      </c>
      <c r="M445" s="5" t="e">
        <f t="shared" ca="1" si="101"/>
        <v>#N/A</v>
      </c>
      <c r="N445" s="5" t="e">
        <f t="shared" ca="1" si="102"/>
        <v>#N/A</v>
      </c>
      <c r="O445" s="5" t="e">
        <f t="shared" ca="1" si="103"/>
        <v>#N/A</v>
      </c>
      <c r="P445" s="5" t="e">
        <f ca="1">VLOOKUP(G445,'Group code'!$Z$9:$AC$13,3,FALSE)</f>
        <v>#N/A</v>
      </c>
      <c r="Q445" s="5" t="e">
        <f t="shared" ca="1" si="104"/>
        <v>#N/A</v>
      </c>
      <c r="R445" s="5" t="e">
        <f ca="1">IF(G445=0,INDEX(cards[object_id],MATCH($C445,cards[object_id order],0)),"")</f>
        <v>#N/A</v>
      </c>
      <c r="S445" s="5" t="e">
        <f ca="1">IF(G445=1,INDEX(cards[[name]:[control]],MATCH($C445,cards[object_id order],0),'Group code'!J445),"")</f>
        <v>#N/A</v>
      </c>
      <c r="T445" s="5" t="e">
        <f ca="1">IF(G445=3,INDEX(cards[[1]:[25]],MATCH($C445,cards[object_id order],0),'Group code'!I445),"")</f>
        <v>#N/A</v>
      </c>
      <c r="U445" s="5" t="e">
        <f ca="1">VLOOKUP(G445,'Group code'!$Z$9:$AC$13,4,FALSE)</f>
        <v>#N/A</v>
      </c>
      <c r="V445" s="5" t="e">
        <f ca="1">IF(J445="","",VLOOKUP(J445,'Group code'!$Z$15:$AC$18,4,FALSE))</f>
        <v>#N/A</v>
      </c>
      <c r="W445" s="23" t="str">
        <f t="shared" ca="1" si="105"/>
        <v/>
      </c>
      <c r="X445" s="5" t="str">
        <f t="shared" ca="1" si="107"/>
        <v/>
      </c>
    </row>
    <row r="446" spans="2:24" x14ac:dyDescent="0.25">
      <c r="B446" s="5">
        <f t="shared" si="93"/>
        <v>440</v>
      </c>
      <c r="C446" s="5" t="e">
        <f t="shared" ca="1" si="106"/>
        <v>#N/A</v>
      </c>
      <c r="D446" s="5" t="e">
        <f ca="1">INDEX(cards[Attribute Index],MATCH('Group code'!C446,cards[object_id order],0))</f>
        <v>#N/A</v>
      </c>
      <c r="E446" s="5" t="e">
        <f t="shared" ca="1" si="94"/>
        <v>#N/A</v>
      </c>
      <c r="F446" s="14" t="e">
        <f ca="1">INDEX(cards[Entities count],MATCH('Group code'!C446,cards[object_id order],0))</f>
        <v>#N/A</v>
      </c>
      <c r="G446" s="14" t="e">
        <f t="shared" ca="1" si="96"/>
        <v>#N/A</v>
      </c>
      <c r="H446" s="14" t="e">
        <f t="shared" ca="1" si="97"/>
        <v>#N/A</v>
      </c>
      <c r="I446" s="5" t="e">
        <f t="shared" ca="1" si="98"/>
        <v>#N/A</v>
      </c>
      <c r="J446" s="5" t="e">
        <f t="shared" ca="1" si="95"/>
        <v>#N/A</v>
      </c>
      <c r="K446" s="5" t="e">
        <f t="shared" ca="1" si="99"/>
        <v>#N/A</v>
      </c>
      <c r="L446" s="5" t="e">
        <f t="shared" ca="1" si="100"/>
        <v>#N/A</v>
      </c>
      <c r="M446" s="5" t="e">
        <f t="shared" ca="1" si="101"/>
        <v>#N/A</v>
      </c>
      <c r="N446" s="5" t="e">
        <f t="shared" ca="1" si="102"/>
        <v>#N/A</v>
      </c>
      <c r="O446" s="5" t="e">
        <f t="shared" ca="1" si="103"/>
        <v>#N/A</v>
      </c>
      <c r="P446" s="5" t="e">
        <f ca="1">VLOOKUP(G446,'Group code'!$Z$9:$AC$13,3,FALSE)</f>
        <v>#N/A</v>
      </c>
      <c r="Q446" s="5" t="e">
        <f t="shared" ca="1" si="104"/>
        <v>#N/A</v>
      </c>
      <c r="R446" s="5" t="e">
        <f ca="1">IF(G446=0,INDEX(cards[object_id],MATCH($C446,cards[object_id order],0)),"")</f>
        <v>#N/A</v>
      </c>
      <c r="S446" s="5" t="e">
        <f ca="1">IF(G446=1,INDEX(cards[[name]:[control]],MATCH($C446,cards[object_id order],0),'Group code'!J446),"")</f>
        <v>#N/A</v>
      </c>
      <c r="T446" s="5" t="e">
        <f ca="1">IF(G446=3,INDEX(cards[[1]:[25]],MATCH($C446,cards[object_id order],0),'Group code'!I446),"")</f>
        <v>#N/A</v>
      </c>
      <c r="U446" s="5" t="e">
        <f ca="1">VLOOKUP(G446,'Group code'!$Z$9:$AC$13,4,FALSE)</f>
        <v>#N/A</v>
      </c>
      <c r="V446" s="5" t="e">
        <f ca="1">IF(J446="","",VLOOKUP(J446,'Group code'!$Z$15:$AC$18,4,FALSE))</f>
        <v>#N/A</v>
      </c>
      <c r="W446" s="23" t="str">
        <f t="shared" ca="1" si="105"/>
        <v/>
      </c>
      <c r="X446" s="5" t="str">
        <f t="shared" ca="1" si="107"/>
        <v/>
      </c>
    </row>
    <row r="447" spans="2:24" x14ac:dyDescent="0.25">
      <c r="B447" s="5">
        <f t="shared" si="93"/>
        <v>441</v>
      </c>
      <c r="C447" s="5" t="e">
        <f t="shared" ca="1" si="106"/>
        <v>#N/A</v>
      </c>
      <c r="D447" s="5" t="e">
        <f ca="1">INDEX(cards[Attribute Index],MATCH('Group code'!C447,cards[object_id order],0))</f>
        <v>#N/A</v>
      </c>
      <c r="E447" s="5" t="e">
        <f t="shared" ca="1" si="94"/>
        <v>#N/A</v>
      </c>
      <c r="F447" s="14" t="e">
        <f ca="1">INDEX(cards[Entities count],MATCH('Group code'!C447,cards[object_id order],0))</f>
        <v>#N/A</v>
      </c>
      <c r="G447" s="14" t="e">
        <f t="shared" ca="1" si="96"/>
        <v>#N/A</v>
      </c>
      <c r="H447" s="14" t="e">
        <f t="shared" ca="1" si="97"/>
        <v>#N/A</v>
      </c>
      <c r="I447" s="5" t="e">
        <f t="shared" ca="1" si="98"/>
        <v>#N/A</v>
      </c>
      <c r="J447" s="5" t="e">
        <f t="shared" ca="1" si="95"/>
        <v>#N/A</v>
      </c>
      <c r="K447" s="5" t="e">
        <f t="shared" ca="1" si="99"/>
        <v>#N/A</v>
      </c>
      <c r="L447" s="5" t="e">
        <f t="shared" ca="1" si="100"/>
        <v>#N/A</v>
      </c>
      <c r="M447" s="5" t="e">
        <f t="shared" ca="1" si="101"/>
        <v>#N/A</v>
      </c>
      <c r="N447" s="5" t="e">
        <f t="shared" ca="1" si="102"/>
        <v>#N/A</v>
      </c>
      <c r="O447" s="5" t="e">
        <f t="shared" ca="1" si="103"/>
        <v>#N/A</v>
      </c>
      <c r="P447" s="5" t="e">
        <f ca="1">VLOOKUP(G447,'Group code'!$Z$9:$AC$13,3,FALSE)</f>
        <v>#N/A</v>
      </c>
      <c r="Q447" s="5" t="e">
        <f t="shared" ca="1" si="104"/>
        <v>#N/A</v>
      </c>
      <c r="R447" s="5" t="e">
        <f ca="1">IF(G447=0,INDEX(cards[object_id],MATCH($C447,cards[object_id order],0)),"")</f>
        <v>#N/A</v>
      </c>
      <c r="S447" s="5" t="e">
        <f ca="1">IF(G447=1,INDEX(cards[[name]:[control]],MATCH($C447,cards[object_id order],0),'Group code'!J447),"")</f>
        <v>#N/A</v>
      </c>
      <c r="T447" s="5" t="e">
        <f ca="1">IF(G447=3,INDEX(cards[[1]:[25]],MATCH($C447,cards[object_id order],0),'Group code'!I447),"")</f>
        <v>#N/A</v>
      </c>
      <c r="U447" s="5" t="e">
        <f ca="1">VLOOKUP(G447,'Group code'!$Z$9:$AC$13,4,FALSE)</f>
        <v>#N/A</v>
      </c>
      <c r="V447" s="5" t="e">
        <f ca="1">IF(J447="","",VLOOKUP(J447,'Group code'!$Z$15:$AC$18,4,FALSE))</f>
        <v>#N/A</v>
      </c>
      <c r="W447" s="23" t="str">
        <f t="shared" ca="1" si="105"/>
        <v/>
      </c>
      <c r="X447" s="5" t="str">
        <f t="shared" ca="1" si="107"/>
        <v/>
      </c>
    </row>
    <row r="448" spans="2:24" x14ac:dyDescent="0.25">
      <c r="B448" s="5">
        <f t="shared" si="93"/>
        <v>442</v>
      </c>
      <c r="C448" s="5" t="e">
        <f t="shared" ca="1" si="106"/>
        <v>#N/A</v>
      </c>
      <c r="D448" s="5" t="e">
        <f ca="1">INDEX(cards[Attribute Index],MATCH('Group code'!C448,cards[object_id order],0))</f>
        <v>#N/A</v>
      </c>
      <c r="E448" s="5" t="e">
        <f t="shared" ca="1" si="94"/>
        <v>#N/A</v>
      </c>
      <c r="F448" s="14" t="e">
        <f ca="1">INDEX(cards[Entities count],MATCH('Group code'!C448,cards[object_id order],0))</f>
        <v>#N/A</v>
      </c>
      <c r="G448" s="14" t="e">
        <f t="shared" ca="1" si="96"/>
        <v>#N/A</v>
      </c>
      <c r="H448" s="14" t="e">
        <f t="shared" ca="1" si="97"/>
        <v>#N/A</v>
      </c>
      <c r="I448" s="5" t="e">
        <f t="shared" ca="1" si="98"/>
        <v>#N/A</v>
      </c>
      <c r="J448" s="5" t="e">
        <f t="shared" ca="1" si="95"/>
        <v>#N/A</v>
      </c>
      <c r="K448" s="5" t="e">
        <f t="shared" ca="1" si="99"/>
        <v>#N/A</v>
      </c>
      <c r="L448" s="5" t="e">
        <f t="shared" ca="1" si="100"/>
        <v>#N/A</v>
      </c>
      <c r="M448" s="5" t="e">
        <f t="shared" ca="1" si="101"/>
        <v>#N/A</v>
      </c>
      <c r="N448" s="5" t="e">
        <f t="shared" ca="1" si="102"/>
        <v>#N/A</v>
      </c>
      <c r="O448" s="5" t="e">
        <f t="shared" ca="1" si="103"/>
        <v>#N/A</v>
      </c>
      <c r="P448" s="5" t="e">
        <f ca="1">VLOOKUP(G448,'Group code'!$Z$9:$AC$13,3,FALSE)</f>
        <v>#N/A</v>
      </c>
      <c r="Q448" s="5" t="e">
        <f t="shared" ca="1" si="104"/>
        <v>#N/A</v>
      </c>
      <c r="R448" s="5" t="e">
        <f ca="1">IF(G448=0,INDEX(cards[object_id],MATCH($C448,cards[object_id order],0)),"")</f>
        <v>#N/A</v>
      </c>
      <c r="S448" s="5" t="e">
        <f ca="1">IF(G448=1,INDEX(cards[[name]:[control]],MATCH($C448,cards[object_id order],0),'Group code'!J448),"")</f>
        <v>#N/A</v>
      </c>
      <c r="T448" s="5" t="e">
        <f ca="1">IF(G448=3,INDEX(cards[[1]:[25]],MATCH($C448,cards[object_id order],0),'Group code'!I448),"")</f>
        <v>#N/A</v>
      </c>
      <c r="U448" s="5" t="e">
        <f ca="1">VLOOKUP(G448,'Group code'!$Z$9:$AC$13,4,FALSE)</f>
        <v>#N/A</v>
      </c>
      <c r="V448" s="5" t="e">
        <f ca="1">IF(J448="","",VLOOKUP(J448,'Group code'!$Z$15:$AC$18,4,FALSE))</f>
        <v>#N/A</v>
      </c>
      <c r="W448" s="23" t="str">
        <f t="shared" ca="1" si="105"/>
        <v/>
      </c>
      <c r="X448" s="5" t="str">
        <f t="shared" ca="1" si="107"/>
        <v/>
      </c>
    </row>
    <row r="449" spans="2:24" x14ac:dyDescent="0.25">
      <c r="B449" s="5">
        <f t="shared" si="93"/>
        <v>443</v>
      </c>
      <c r="C449" s="5" t="e">
        <f t="shared" ca="1" si="106"/>
        <v>#N/A</v>
      </c>
      <c r="D449" s="5" t="e">
        <f ca="1">INDEX(cards[Attribute Index],MATCH('Group code'!C449,cards[object_id order],0))</f>
        <v>#N/A</v>
      </c>
      <c r="E449" s="5" t="e">
        <f t="shared" ca="1" si="94"/>
        <v>#N/A</v>
      </c>
      <c r="F449" s="14" t="e">
        <f ca="1">INDEX(cards[Entities count],MATCH('Group code'!C449,cards[object_id order],0))</f>
        <v>#N/A</v>
      </c>
      <c r="G449" s="14" t="e">
        <f t="shared" ca="1" si="96"/>
        <v>#N/A</v>
      </c>
      <c r="H449" s="14" t="e">
        <f t="shared" ca="1" si="97"/>
        <v>#N/A</v>
      </c>
      <c r="I449" s="5" t="e">
        <f t="shared" ca="1" si="98"/>
        <v>#N/A</v>
      </c>
      <c r="J449" s="5" t="e">
        <f t="shared" ca="1" si="95"/>
        <v>#N/A</v>
      </c>
      <c r="K449" s="5" t="e">
        <f t="shared" ca="1" si="99"/>
        <v>#N/A</v>
      </c>
      <c r="L449" s="5" t="e">
        <f t="shared" ca="1" si="100"/>
        <v>#N/A</v>
      </c>
      <c r="M449" s="5" t="e">
        <f t="shared" ca="1" si="101"/>
        <v>#N/A</v>
      </c>
      <c r="N449" s="5" t="e">
        <f t="shared" ca="1" si="102"/>
        <v>#N/A</v>
      </c>
      <c r="O449" s="5" t="e">
        <f t="shared" ca="1" si="103"/>
        <v>#N/A</v>
      </c>
      <c r="P449" s="5" t="e">
        <f ca="1">VLOOKUP(G449,'Group code'!$Z$9:$AC$13,3,FALSE)</f>
        <v>#N/A</v>
      </c>
      <c r="Q449" s="5" t="e">
        <f t="shared" ca="1" si="104"/>
        <v>#N/A</v>
      </c>
      <c r="R449" s="5" t="e">
        <f ca="1">IF(G449=0,INDEX(cards[object_id],MATCH($C449,cards[object_id order],0)),"")</f>
        <v>#N/A</v>
      </c>
      <c r="S449" s="5" t="e">
        <f ca="1">IF(G449=1,INDEX(cards[[name]:[control]],MATCH($C449,cards[object_id order],0),'Group code'!J449),"")</f>
        <v>#N/A</v>
      </c>
      <c r="T449" s="5" t="e">
        <f ca="1">IF(G449=3,INDEX(cards[[1]:[25]],MATCH($C449,cards[object_id order],0),'Group code'!I449),"")</f>
        <v>#N/A</v>
      </c>
      <c r="U449" s="5" t="e">
        <f ca="1">VLOOKUP(G449,'Group code'!$Z$9:$AC$13,4,FALSE)</f>
        <v>#N/A</v>
      </c>
      <c r="V449" s="5" t="e">
        <f ca="1">IF(J449="","",VLOOKUP(J449,'Group code'!$Z$15:$AC$18,4,FALSE))</f>
        <v>#N/A</v>
      </c>
      <c r="W449" s="23" t="str">
        <f t="shared" ca="1" si="105"/>
        <v/>
      </c>
      <c r="X449" s="5" t="str">
        <f t="shared" ca="1" si="107"/>
        <v/>
      </c>
    </row>
    <row r="450" spans="2:24" x14ac:dyDescent="0.25">
      <c r="B450" s="5">
        <f t="shared" si="93"/>
        <v>444</v>
      </c>
      <c r="C450" s="5" t="e">
        <f t="shared" ca="1" si="106"/>
        <v>#N/A</v>
      </c>
      <c r="D450" s="5" t="e">
        <f ca="1">INDEX(cards[Attribute Index],MATCH('Group code'!C450,cards[object_id order],0))</f>
        <v>#N/A</v>
      </c>
      <c r="E450" s="5" t="e">
        <f t="shared" ca="1" si="94"/>
        <v>#N/A</v>
      </c>
      <c r="F450" s="14" t="e">
        <f ca="1">INDEX(cards[Entities count],MATCH('Group code'!C450,cards[object_id order],0))</f>
        <v>#N/A</v>
      </c>
      <c r="G450" s="14" t="e">
        <f t="shared" ca="1" si="96"/>
        <v>#N/A</v>
      </c>
      <c r="H450" s="14" t="e">
        <f t="shared" ca="1" si="97"/>
        <v>#N/A</v>
      </c>
      <c r="I450" s="5" t="e">
        <f t="shared" ca="1" si="98"/>
        <v>#N/A</v>
      </c>
      <c r="J450" s="5" t="e">
        <f t="shared" ca="1" si="95"/>
        <v>#N/A</v>
      </c>
      <c r="K450" s="5" t="e">
        <f t="shared" ca="1" si="99"/>
        <v>#N/A</v>
      </c>
      <c r="L450" s="5" t="e">
        <f t="shared" ca="1" si="100"/>
        <v>#N/A</v>
      </c>
      <c r="M450" s="5" t="e">
        <f t="shared" ca="1" si="101"/>
        <v>#N/A</v>
      </c>
      <c r="N450" s="5" t="e">
        <f t="shared" ca="1" si="102"/>
        <v>#N/A</v>
      </c>
      <c r="O450" s="5" t="e">
        <f t="shared" ca="1" si="103"/>
        <v>#N/A</v>
      </c>
      <c r="P450" s="5" t="e">
        <f ca="1">VLOOKUP(G450,'Group code'!$Z$9:$AC$13,3,FALSE)</f>
        <v>#N/A</v>
      </c>
      <c r="Q450" s="5" t="e">
        <f t="shared" ca="1" si="104"/>
        <v>#N/A</v>
      </c>
      <c r="R450" s="5" t="e">
        <f ca="1">IF(G450=0,INDEX(cards[object_id],MATCH($C450,cards[object_id order],0)),"")</f>
        <v>#N/A</v>
      </c>
      <c r="S450" s="5" t="e">
        <f ca="1">IF(G450=1,INDEX(cards[[name]:[control]],MATCH($C450,cards[object_id order],0),'Group code'!J450),"")</f>
        <v>#N/A</v>
      </c>
      <c r="T450" s="5" t="e">
        <f ca="1">IF(G450=3,INDEX(cards[[1]:[25]],MATCH($C450,cards[object_id order],0),'Group code'!I450),"")</f>
        <v>#N/A</v>
      </c>
      <c r="U450" s="5" t="e">
        <f ca="1">VLOOKUP(G450,'Group code'!$Z$9:$AC$13,4,FALSE)</f>
        <v>#N/A</v>
      </c>
      <c r="V450" s="5" t="e">
        <f ca="1">IF(J450="","",VLOOKUP(J450,'Group code'!$Z$15:$AC$18,4,FALSE))</f>
        <v>#N/A</v>
      </c>
      <c r="W450" s="23" t="str">
        <f t="shared" ca="1" si="105"/>
        <v/>
      </c>
      <c r="X450" s="5" t="str">
        <f t="shared" ca="1" si="107"/>
        <v/>
      </c>
    </row>
    <row r="451" spans="2:24" x14ac:dyDescent="0.25">
      <c r="B451" s="5">
        <f t="shared" si="93"/>
        <v>445</v>
      </c>
      <c r="C451" s="5" t="e">
        <f t="shared" ca="1" si="106"/>
        <v>#N/A</v>
      </c>
      <c r="D451" s="5" t="e">
        <f ca="1">INDEX(cards[Attribute Index],MATCH('Group code'!C451,cards[object_id order],0))</f>
        <v>#N/A</v>
      </c>
      <c r="E451" s="5" t="e">
        <f t="shared" ca="1" si="94"/>
        <v>#N/A</v>
      </c>
      <c r="F451" s="14" t="e">
        <f ca="1">INDEX(cards[Entities count],MATCH('Group code'!C451,cards[object_id order],0))</f>
        <v>#N/A</v>
      </c>
      <c r="G451" s="14" t="e">
        <f t="shared" ca="1" si="96"/>
        <v>#N/A</v>
      </c>
      <c r="H451" s="14" t="e">
        <f t="shared" ca="1" si="97"/>
        <v>#N/A</v>
      </c>
      <c r="I451" s="5" t="e">
        <f t="shared" ca="1" si="98"/>
        <v>#N/A</v>
      </c>
      <c r="J451" s="5" t="e">
        <f t="shared" ca="1" si="95"/>
        <v>#N/A</v>
      </c>
      <c r="K451" s="5" t="e">
        <f t="shared" ca="1" si="99"/>
        <v>#N/A</v>
      </c>
      <c r="L451" s="5" t="e">
        <f t="shared" ca="1" si="100"/>
        <v>#N/A</v>
      </c>
      <c r="M451" s="5" t="e">
        <f t="shared" ca="1" si="101"/>
        <v>#N/A</v>
      </c>
      <c r="N451" s="5" t="e">
        <f t="shared" ca="1" si="102"/>
        <v>#N/A</v>
      </c>
      <c r="O451" s="5" t="e">
        <f t="shared" ca="1" si="103"/>
        <v>#N/A</v>
      </c>
      <c r="P451" s="5" t="e">
        <f ca="1">VLOOKUP(G451,'Group code'!$Z$9:$AC$13,3,FALSE)</f>
        <v>#N/A</v>
      </c>
      <c r="Q451" s="5" t="e">
        <f t="shared" ca="1" si="104"/>
        <v>#N/A</v>
      </c>
      <c r="R451" s="5" t="e">
        <f ca="1">IF(G451=0,INDEX(cards[object_id],MATCH($C451,cards[object_id order],0)),"")</f>
        <v>#N/A</v>
      </c>
      <c r="S451" s="5" t="e">
        <f ca="1">IF(G451=1,INDEX(cards[[name]:[control]],MATCH($C451,cards[object_id order],0),'Group code'!J451),"")</f>
        <v>#N/A</v>
      </c>
      <c r="T451" s="5" t="e">
        <f ca="1">IF(G451=3,INDEX(cards[[1]:[25]],MATCH($C451,cards[object_id order],0),'Group code'!I451),"")</f>
        <v>#N/A</v>
      </c>
      <c r="U451" s="5" t="e">
        <f ca="1">VLOOKUP(G451,'Group code'!$Z$9:$AC$13,4,FALSE)</f>
        <v>#N/A</v>
      </c>
      <c r="V451" s="5" t="e">
        <f ca="1">IF(J451="","",VLOOKUP(J451,'Group code'!$Z$15:$AC$18,4,FALSE))</f>
        <v>#N/A</v>
      </c>
      <c r="W451" s="23" t="str">
        <f t="shared" ca="1" si="105"/>
        <v/>
      </c>
      <c r="X451" s="5" t="str">
        <f t="shared" ca="1" si="107"/>
        <v/>
      </c>
    </row>
    <row r="452" spans="2:24" x14ac:dyDescent="0.25">
      <c r="B452" s="5">
        <f t="shared" si="93"/>
        <v>446</v>
      </c>
      <c r="C452" s="5" t="e">
        <f t="shared" ca="1" si="106"/>
        <v>#N/A</v>
      </c>
      <c r="D452" s="5" t="e">
        <f ca="1">INDEX(cards[Attribute Index],MATCH('Group code'!C452,cards[object_id order],0))</f>
        <v>#N/A</v>
      </c>
      <c r="E452" s="5" t="e">
        <f t="shared" ca="1" si="94"/>
        <v>#N/A</v>
      </c>
      <c r="F452" s="14" t="e">
        <f ca="1">INDEX(cards[Entities count],MATCH('Group code'!C452,cards[object_id order],0))</f>
        <v>#N/A</v>
      </c>
      <c r="G452" s="14" t="e">
        <f t="shared" ca="1" si="96"/>
        <v>#N/A</v>
      </c>
      <c r="H452" s="14" t="e">
        <f t="shared" ca="1" si="97"/>
        <v>#N/A</v>
      </c>
      <c r="I452" s="5" t="e">
        <f t="shared" ca="1" si="98"/>
        <v>#N/A</v>
      </c>
      <c r="J452" s="5" t="e">
        <f t="shared" ca="1" si="95"/>
        <v>#N/A</v>
      </c>
      <c r="K452" s="5" t="e">
        <f t="shared" ca="1" si="99"/>
        <v>#N/A</v>
      </c>
      <c r="L452" s="5" t="e">
        <f t="shared" ca="1" si="100"/>
        <v>#N/A</v>
      </c>
      <c r="M452" s="5" t="e">
        <f t="shared" ca="1" si="101"/>
        <v>#N/A</v>
      </c>
      <c r="N452" s="5" t="e">
        <f t="shared" ca="1" si="102"/>
        <v>#N/A</v>
      </c>
      <c r="O452" s="5" t="e">
        <f t="shared" ca="1" si="103"/>
        <v>#N/A</v>
      </c>
      <c r="P452" s="5" t="e">
        <f ca="1">VLOOKUP(G452,'Group code'!$Z$9:$AC$13,3,FALSE)</f>
        <v>#N/A</v>
      </c>
      <c r="Q452" s="5" t="e">
        <f t="shared" ca="1" si="104"/>
        <v>#N/A</v>
      </c>
      <c r="R452" s="5" t="e">
        <f ca="1">IF(G452=0,INDEX(cards[object_id],MATCH($C452,cards[object_id order],0)),"")</f>
        <v>#N/A</v>
      </c>
      <c r="S452" s="5" t="e">
        <f ca="1">IF(G452=1,INDEX(cards[[name]:[control]],MATCH($C452,cards[object_id order],0),'Group code'!J452),"")</f>
        <v>#N/A</v>
      </c>
      <c r="T452" s="5" t="e">
        <f ca="1">IF(G452=3,INDEX(cards[[1]:[25]],MATCH($C452,cards[object_id order],0),'Group code'!I452),"")</f>
        <v>#N/A</v>
      </c>
      <c r="U452" s="5" t="e">
        <f ca="1">VLOOKUP(G452,'Group code'!$Z$9:$AC$13,4,FALSE)</f>
        <v>#N/A</v>
      </c>
      <c r="V452" s="5" t="e">
        <f ca="1">IF(J452="","",VLOOKUP(J452,'Group code'!$Z$15:$AC$18,4,FALSE))</f>
        <v>#N/A</v>
      </c>
      <c r="W452" s="23" t="str">
        <f t="shared" ca="1" si="105"/>
        <v/>
      </c>
      <c r="X452" s="5" t="str">
        <f t="shared" ca="1" si="107"/>
        <v/>
      </c>
    </row>
    <row r="453" spans="2:24" x14ac:dyDescent="0.25">
      <c r="B453" s="5">
        <f t="shared" si="93"/>
        <v>447</v>
      </c>
      <c r="C453" s="5" t="e">
        <f t="shared" ca="1" si="106"/>
        <v>#N/A</v>
      </c>
      <c r="D453" s="5" t="e">
        <f ca="1">INDEX(cards[Attribute Index],MATCH('Group code'!C453,cards[object_id order],0))</f>
        <v>#N/A</v>
      </c>
      <c r="E453" s="5" t="e">
        <f t="shared" ca="1" si="94"/>
        <v>#N/A</v>
      </c>
      <c r="F453" s="14" t="e">
        <f ca="1">INDEX(cards[Entities count],MATCH('Group code'!C453,cards[object_id order],0))</f>
        <v>#N/A</v>
      </c>
      <c r="G453" s="14" t="e">
        <f t="shared" ca="1" si="96"/>
        <v>#N/A</v>
      </c>
      <c r="H453" s="14" t="e">
        <f t="shared" ca="1" si="97"/>
        <v>#N/A</v>
      </c>
      <c r="I453" s="5" t="e">
        <f t="shared" ca="1" si="98"/>
        <v>#N/A</v>
      </c>
      <c r="J453" s="5" t="e">
        <f t="shared" ca="1" si="95"/>
        <v>#N/A</v>
      </c>
      <c r="K453" s="5" t="e">
        <f t="shared" ca="1" si="99"/>
        <v>#N/A</v>
      </c>
      <c r="L453" s="5" t="e">
        <f t="shared" ca="1" si="100"/>
        <v>#N/A</v>
      </c>
      <c r="M453" s="5" t="e">
        <f t="shared" ca="1" si="101"/>
        <v>#N/A</v>
      </c>
      <c r="N453" s="5" t="e">
        <f t="shared" ca="1" si="102"/>
        <v>#N/A</v>
      </c>
      <c r="O453" s="5" t="e">
        <f t="shared" ca="1" si="103"/>
        <v>#N/A</v>
      </c>
      <c r="P453" s="5" t="e">
        <f ca="1">VLOOKUP(G453,'Group code'!$Z$9:$AC$13,3,FALSE)</f>
        <v>#N/A</v>
      </c>
      <c r="Q453" s="5" t="e">
        <f t="shared" ca="1" si="104"/>
        <v>#N/A</v>
      </c>
      <c r="R453" s="5" t="e">
        <f ca="1">IF(G453=0,INDEX(cards[object_id],MATCH($C453,cards[object_id order],0)),"")</f>
        <v>#N/A</v>
      </c>
      <c r="S453" s="5" t="e">
        <f ca="1">IF(G453=1,INDEX(cards[[name]:[control]],MATCH($C453,cards[object_id order],0),'Group code'!J453),"")</f>
        <v>#N/A</v>
      </c>
      <c r="T453" s="5" t="e">
        <f ca="1">IF(G453=3,INDEX(cards[[1]:[25]],MATCH($C453,cards[object_id order],0),'Group code'!I453),"")</f>
        <v>#N/A</v>
      </c>
      <c r="U453" s="5" t="e">
        <f ca="1">VLOOKUP(G453,'Group code'!$Z$9:$AC$13,4,FALSE)</f>
        <v>#N/A</v>
      </c>
      <c r="V453" s="5" t="e">
        <f ca="1">IF(J453="","",VLOOKUP(J453,'Group code'!$Z$15:$AC$18,4,FALSE))</f>
        <v>#N/A</v>
      </c>
      <c r="W453" s="23" t="str">
        <f t="shared" ca="1" si="105"/>
        <v/>
      </c>
      <c r="X453" s="5" t="str">
        <f t="shared" ca="1" si="107"/>
        <v/>
      </c>
    </row>
    <row r="454" spans="2:24" x14ac:dyDescent="0.25">
      <c r="B454" s="5">
        <f t="shared" si="93"/>
        <v>448</v>
      </c>
      <c r="C454" s="5" t="e">
        <f t="shared" ca="1" si="106"/>
        <v>#N/A</v>
      </c>
      <c r="D454" s="5" t="e">
        <f ca="1">INDEX(cards[Attribute Index],MATCH('Group code'!C454,cards[object_id order],0))</f>
        <v>#N/A</v>
      </c>
      <c r="E454" s="5" t="e">
        <f t="shared" ca="1" si="94"/>
        <v>#N/A</v>
      </c>
      <c r="F454" s="14" t="e">
        <f ca="1">INDEX(cards[Entities count],MATCH('Group code'!C454,cards[object_id order],0))</f>
        <v>#N/A</v>
      </c>
      <c r="G454" s="14" t="e">
        <f t="shared" ca="1" si="96"/>
        <v>#N/A</v>
      </c>
      <c r="H454" s="14" t="e">
        <f t="shared" ca="1" si="97"/>
        <v>#N/A</v>
      </c>
      <c r="I454" s="5" t="e">
        <f t="shared" ca="1" si="98"/>
        <v>#N/A</v>
      </c>
      <c r="J454" s="5" t="e">
        <f t="shared" ca="1" si="95"/>
        <v>#N/A</v>
      </c>
      <c r="K454" s="5" t="e">
        <f t="shared" ca="1" si="99"/>
        <v>#N/A</v>
      </c>
      <c r="L454" s="5" t="e">
        <f t="shared" ca="1" si="100"/>
        <v>#N/A</v>
      </c>
      <c r="M454" s="5" t="e">
        <f t="shared" ca="1" si="101"/>
        <v>#N/A</v>
      </c>
      <c r="N454" s="5" t="e">
        <f t="shared" ca="1" si="102"/>
        <v>#N/A</v>
      </c>
      <c r="O454" s="5" t="e">
        <f t="shared" ca="1" si="103"/>
        <v>#N/A</v>
      </c>
      <c r="P454" s="5" t="e">
        <f ca="1">VLOOKUP(G454,'Group code'!$Z$9:$AC$13,3,FALSE)</f>
        <v>#N/A</v>
      </c>
      <c r="Q454" s="5" t="e">
        <f t="shared" ca="1" si="104"/>
        <v>#N/A</v>
      </c>
      <c r="R454" s="5" t="e">
        <f ca="1">IF(G454=0,INDEX(cards[object_id],MATCH($C454,cards[object_id order],0)),"")</f>
        <v>#N/A</v>
      </c>
      <c r="S454" s="5" t="e">
        <f ca="1">IF(G454=1,INDEX(cards[[name]:[control]],MATCH($C454,cards[object_id order],0),'Group code'!J454),"")</f>
        <v>#N/A</v>
      </c>
      <c r="T454" s="5" t="e">
        <f ca="1">IF(G454=3,INDEX(cards[[1]:[25]],MATCH($C454,cards[object_id order],0),'Group code'!I454),"")</f>
        <v>#N/A</v>
      </c>
      <c r="U454" s="5" t="e">
        <f ca="1">VLOOKUP(G454,'Group code'!$Z$9:$AC$13,4,FALSE)</f>
        <v>#N/A</v>
      </c>
      <c r="V454" s="5" t="e">
        <f ca="1">IF(J454="","",VLOOKUP(J454,'Group code'!$Z$15:$AC$18,4,FALSE))</f>
        <v>#N/A</v>
      </c>
      <c r="W454" s="23" t="str">
        <f t="shared" ca="1" si="105"/>
        <v/>
      </c>
      <c r="X454" s="5" t="str">
        <f t="shared" ca="1" si="107"/>
        <v/>
      </c>
    </row>
    <row r="455" spans="2:24" x14ac:dyDescent="0.25">
      <c r="B455" s="5">
        <f t="shared" si="93"/>
        <v>449</v>
      </c>
      <c r="C455" s="5" t="e">
        <f t="shared" ca="1" si="106"/>
        <v>#N/A</v>
      </c>
      <c r="D455" s="5" t="e">
        <f ca="1">INDEX(cards[Attribute Index],MATCH('Group code'!C455,cards[object_id order],0))</f>
        <v>#N/A</v>
      </c>
      <c r="E455" s="5" t="e">
        <f t="shared" ca="1" si="94"/>
        <v>#N/A</v>
      </c>
      <c r="F455" s="14" t="e">
        <f ca="1">INDEX(cards[Entities count],MATCH('Group code'!C455,cards[object_id order],0))</f>
        <v>#N/A</v>
      </c>
      <c r="G455" s="14" t="e">
        <f t="shared" ca="1" si="96"/>
        <v>#N/A</v>
      </c>
      <c r="H455" s="14" t="e">
        <f t="shared" ca="1" si="97"/>
        <v>#N/A</v>
      </c>
      <c r="I455" s="5" t="e">
        <f t="shared" ca="1" si="98"/>
        <v>#N/A</v>
      </c>
      <c r="J455" s="5" t="e">
        <f t="shared" ca="1" si="95"/>
        <v>#N/A</v>
      </c>
      <c r="K455" s="5" t="e">
        <f t="shared" ca="1" si="99"/>
        <v>#N/A</v>
      </c>
      <c r="L455" s="5" t="e">
        <f t="shared" ca="1" si="100"/>
        <v>#N/A</v>
      </c>
      <c r="M455" s="5" t="e">
        <f t="shared" ca="1" si="101"/>
        <v>#N/A</v>
      </c>
      <c r="N455" s="5" t="e">
        <f t="shared" ca="1" si="102"/>
        <v>#N/A</v>
      </c>
      <c r="O455" s="5" t="e">
        <f t="shared" ca="1" si="103"/>
        <v>#N/A</v>
      </c>
      <c r="P455" s="5" t="e">
        <f ca="1">VLOOKUP(G455,'Group code'!$Z$9:$AC$13,3,FALSE)</f>
        <v>#N/A</v>
      </c>
      <c r="Q455" s="5" t="e">
        <f t="shared" ca="1" si="104"/>
        <v>#N/A</v>
      </c>
      <c r="R455" s="5" t="e">
        <f ca="1">IF(G455=0,INDEX(cards[object_id],MATCH($C455,cards[object_id order],0)),"")</f>
        <v>#N/A</v>
      </c>
      <c r="S455" s="5" t="e">
        <f ca="1">IF(G455=1,INDEX(cards[[name]:[control]],MATCH($C455,cards[object_id order],0),'Group code'!J455),"")</f>
        <v>#N/A</v>
      </c>
      <c r="T455" s="5" t="e">
        <f ca="1">IF(G455=3,INDEX(cards[[1]:[25]],MATCH($C455,cards[object_id order],0),'Group code'!I455),"")</f>
        <v>#N/A</v>
      </c>
      <c r="U455" s="5" t="e">
        <f ca="1">VLOOKUP(G455,'Group code'!$Z$9:$AC$13,4,FALSE)</f>
        <v>#N/A</v>
      </c>
      <c r="V455" s="5" t="e">
        <f ca="1">IF(J455="","",VLOOKUP(J455,'Group code'!$Z$15:$AC$18,4,FALSE))</f>
        <v>#N/A</v>
      </c>
      <c r="W455" s="23" t="str">
        <f t="shared" ca="1" si="105"/>
        <v/>
      </c>
      <c r="X455" s="5" t="str">
        <f t="shared" ca="1" si="107"/>
        <v/>
      </c>
    </row>
    <row r="456" spans="2:24" x14ac:dyDescent="0.25">
      <c r="B456" s="5">
        <f t="shared" si="93"/>
        <v>450</v>
      </c>
      <c r="C456" s="5" t="e">
        <f t="shared" ca="1" si="106"/>
        <v>#N/A</v>
      </c>
      <c r="D456" s="5" t="e">
        <f ca="1">INDEX(cards[Attribute Index],MATCH('Group code'!C456,cards[object_id order],0))</f>
        <v>#N/A</v>
      </c>
      <c r="E456" s="5" t="e">
        <f t="shared" ca="1" si="94"/>
        <v>#N/A</v>
      </c>
      <c r="F456" s="14" t="e">
        <f ca="1">INDEX(cards[Entities count],MATCH('Group code'!C456,cards[object_id order],0))</f>
        <v>#N/A</v>
      </c>
      <c r="G456" s="14" t="e">
        <f t="shared" ca="1" si="96"/>
        <v>#N/A</v>
      </c>
      <c r="H456" s="14" t="e">
        <f t="shared" ca="1" si="97"/>
        <v>#N/A</v>
      </c>
      <c r="I456" s="5" t="e">
        <f t="shared" ca="1" si="98"/>
        <v>#N/A</v>
      </c>
      <c r="J456" s="5" t="e">
        <f t="shared" ca="1" si="95"/>
        <v>#N/A</v>
      </c>
      <c r="K456" s="5" t="e">
        <f t="shared" ca="1" si="99"/>
        <v>#N/A</v>
      </c>
      <c r="L456" s="5" t="e">
        <f t="shared" ca="1" si="100"/>
        <v>#N/A</v>
      </c>
      <c r="M456" s="5" t="e">
        <f t="shared" ca="1" si="101"/>
        <v>#N/A</v>
      </c>
      <c r="N456" s="5" t="e">
        <f t="shared" ca="1" si="102"/>
        <v>#N/A</v>
      </c>
      <c r="O456" s="5" t="e">
        <f t="shared" ca="1" si="103"/>
        <v>#N/A</v>
      </c>
      <c r="P456" s="5" t="e">
        <f ca="1">VLOOKUP(G456,'Group code'!$Z$9:$AC$13,3,FALSE)</f>
        <v>#N/A</v>
      </c>
      <c r="Q456" s="5" t="e">
        <f t="shared" ca="1" si="104"/>
        <v>#N/A</v>
      </c>
      <c r="R456" s="5" t="e">
        <f ca="1">IF(G456=0,INDEX(cards[object_id],MATCH($C456,cards[object_id order],0)),"")</f>
        <v>#N/A</v>
      </c>
      <c r="S456" s="5" t="e">
        <f ca="1">IF(G456=1,INDEX(cards[[name]:[control]],MATCH($C456,cards[object_id order],0),'Group code'!J456),"")</f>
        <v>#N/A</v>
      </c>
      <c r="T456" s="5" t="e">
        <f ca="1">IF(G456=3,INDEX(cards[[1]:[25]],MATCH($C456,cards[object_id order],0),'Group code'!I456),"")</f>
        <v>#N/A</v>
      </c>
      <c r="U456" s="5" t="e">
        <f ca="1">VLOOKUP(G456,'Group code'!$Z$9:$AC$13,4,FALSE)</f>
        <v>#N/A</v>
      </c>
      <c r="V456" s="5" t="e">
        <f ca="1">IF(J456="","",VLOOKUP(J456,'Group code'!$Z$15:$AC$18,4,FALSE))</f>
        <v>#N/A</v>
      </c>
      <c r="W456" s="23" t="str">
        <f t="shared" ca="1" si="105"/>
        <v/>
      </c>
      <c r="X456" s="5" t="str">
        <f t="shared" ca="1" si="107"/>
        <v/>
      </c>
    </row>
    <row r="457" spans="2:24" x14ac:dyDescent="0.25">
      <c r="B457" s="5">
        <f t="shared" ref="B457:B506" si="108">B456+1</f>
        <v>451</v>
      </c>
      <c r="C457" s="5" t="e">
        <f t="shared" ca="1" si="106"/>
        <v>#N/A</v>
      </c>
      <c r="D457" s="5" t="e">
        <f ca="1">INDEX(cards[Attribute Index],MATCH('Group code'!C457,cards[object_id order],0))</f>
        <v>#N/A</v>
      </c>
      <c r="E457" s="5" t="e">
        <f t="shared" ref="E457:E506" ca="1" si="109">LEN(D457)</f>
        <v>#N/A</v>
      </c>
      <c r="F457" s="14" t="e">
        <f ca="1">INDEX(cards[Entities count],MATCH('Group code'!C457,cards[object_id order],0))</f>
        <v>#N/A</v>
      </c>
      <c r="G457" s="14" t="e">
        <f t="shared" ca="1" si="96"/>
        <v>#N/A</v>
      </c>
      <c r="H457" s="14" t="e">
        <f t="shared" ca="1" si="97"/>
        <v>#N/A</v>
      </c>
      <c r="I457" s="5" t="e">
        <f t="shared" ca="1" si="98"/>
        <v>#N/A</v>
      </c>
      <c r="J457" s="5" t="e">
        <f t="shared" ref="J457:J506" ca="1" si="110">IF(H457="","",VALUE(MID(D457,H457,1)))</f>
        <v>#N/A</v>
      </c>
      <c r="K457" s="5" t="e">
        <f t="shared" ca="1" si="99"/>
        <v>#N/A</v>
      </c>
      <c r="L457" s="5" t="e">
        <f t="shared" ca="1" si="100"/>
        <v>#N/A</v>
      </c>
      <c r="M457" s="5" t="e">
        <f t="shared" ca="1" si="101"/>
        <v>#N/A</v>
      </c>
      <c r="N457" s="5" t="e">
        <f t="shared" ca="1" si="102"/>
        <v>#N/A</v>
      </c>
      <c r="O457" s="5" t="e">
        <f t="shared" ca="1" si="103"/>
        <v>#N/A</v>
      </c>
      <c r="P457" s="5" t="e">
        <f ca="1">VLOOKUP(G457,'Group code'!$Z$9:$AC$13,3,FALSE)</f>
        <v>#N/A</v>
      </c>
      <c r="Q457" s="5" t="e">
        <f t="shared" ca="1" si="104"/>
        <v>#N/A</v>
      </c>
      <c r="R457" s="5" t="e">
        <f ca="1">IF(G457=0,INDEX(cards[object_id],MATCH($C457,cards[object_id order],0)),"")</f>
        <v>#N/A</v>
      </c>
      <c r="S457" s="5" t="e">
        <f ca="1">IF(G457=1,INDEX(cards[[name]:[control]],MATCH($C457,cards[object_id order],0),'Group code'!J457),"")</f>
        <v>#N/A</v>
      </c>
      <c r="T457" s="5" t="e">
        <f ca="1">IF(G457=3,INDEX(cards[[1]:[25]],MATCH($C457,cards[object_id order],0),'Group code'!I457),"")</f>
        <v>#N/A</v>
      </c>
      <c r="U457" s="5" t="e">
        <f ca="1">VLOOKUP(G457,'Group code'!$Z$9:$AC$13,4,FALSE)</f>
        <v>#N/A</v>
      </c>
      <c r="V457" s="5" t="e">
        <f ca="1">IF(J457="","",VLOOKUP(J457,'Group code'!$Z$15:$AC$18,4,FALSE))</f>
        <v>#N/A</v>
      </c>
      <c r="W457" s="23" t="str">
        <f t="shared" ca="1" si="105"/>
        <v/>
      </c>
      <c r="X457" s="5" t="str">
        <f t="shared" ca="1" si="107"/>
        <v/>
      </c>
    </row>
    <row r="458" spans="2:24" x14ac:dyDescent="0.25">
      <c r="B458" s="5">
        <f t="shared" si="108"/>
        <v>452</v>
      </c>
      <c r="C458" s="5" t="e">
        <f t="shared" ca="1" si="106"/>
        <v>#N/A</v>
      </c>
      <c r="D458" s="5" t="e">
        <f ca="1">INDEX(cards[Attribute Index],MATCH('Group code'!C458,cards[object_id order],0))</f>
        <v>#N/A</v>
      </c>
      <c r="E458" s="5" t="e">
        <f t="shared" ca="1" si="109"/>
        <v>#N/A</v>
      </c>
      <c r="F458" s="14" t="e">
        <f ca="1">INDEX(cards[Entities count],MATCH('Group code'!C458,cards[object_id order],0))</f>
        <v>#N/A</v>
      </c>
      <c r="G458" s="14" t="e">
        <f t="shared" ref="G458:G506" ca="1" si="111">G457+SUM(K457:O457)</f>
        <v>#N/A</v>
      </c>
      <c r="H458" s="14" t="e">
        <f t="shared" ref="H458:H506" ca="1" si="112">IF(AND(G457=0,D457&lt;&gt;""),1,IF(G458=1,H457+1,""))</f>
        <v>#N/A</v>
      </c>
      <c r="I458" s="5" t="e">
        <f t="shared" ref="I458:I506" ca="1" si="113">IF(G457=2,1,IF(G458=3,I457+1,""))</f>
        <v>#N/A</v>
      </c>
      <c r="J458" s="5" t="e">
        <f t="shared" ca="1" si="110"/>
        <v>#N/A</v>
      </c>
      <c r="K458" s="5" t="e">
        <f t="shared" ref="K458:K506" ca="1" si="114">IF(G458=0,
IF(D458&lt;&gt;"",1,2),
"")</f>
        <v>#N/A</v>
      </c>
      <c r="L458" s="5" t="e">
        <f t="shared" ref="L458:L506" ca="1" si="115">IF(G458=1,
IF(E458=H458,1,0),
"")</f>
        <v>#N/A</v>
      </c>
      <c r="M458" s="5" t="e">
        <f t="shared" ref="M458:M506" ca="1" si="116">IF(G458=2,
1,
"")</f>
        <v>#N/A</v>
      </c>
      <c r="N458" s="5" t="e">
        <f t="shared" ref="N458:N506" ca="1" si="117">IF(G458=3,
IF(F458=I458,1,0),
"")</f>
        <v>#N/A</v>
      </c>
      <c r="O458" s="5" t="e">
        <f t="shared" ref="O458:O506" ca="1" si="118">IF(G458=4,
-4,
"")</f>
        <v>#N/A</v>
      </c>
      <c r="P458" s="5" t="e">
        <f ca="1">VLOOKUP(G458,'Group code'!$Z$9:$AC$13,3,FALSE)</f>
        <v>#N/A</v>
      </c>
      <c r="Q458" s="5" t="e">
        <f t="shared" ref="Q458:Q506" ca="1" si="119">IF(J458="","",VLOOKUP(J458,$Z$15:$AC$18,3,FALSE))</f>
        <v>#N/A</v>
      </c>
      <c r="R458" s="5" t="e">
        <f ca="1">IF(G458=0,INDEX(cards[object_id],MATCH($C458,cards[object_id order],0)),"")</f>
        <v>#N/A</v>
      </c>
      <c r="S458" s="5" t="e">
        <f ca="1">IF(G458=1,INDEX(cards[[name]:[control]],MATCH($C458,cards[object_id order],0),'Group code'!J458),"")</f>
        <v>#N/A</v>
      </c>
      <c r="T458" s="5" t="e">
        <f ca="1">IF(G458=3,INDEX(cards[[1]:[25]],MATCH($C458,cards[object_id order],0),'Group code'!I458),"")</f>
        <v>#N/A</v>
      </c>
      <c r="U458" s="5" t="e">
        <f ca="1">VLOOKUP(G458,'Group code'!$Z$9:$AC$13,4,FALSE)</f>
        <v>#N/A</v>
      </c>
      <c r="V458" s="5" t="e">
        <f ca="1">IF(J458="","",VLOOKUP(J458,'Group code'!$Z$15:$AC$18,4,FALSE))</f>
        <v>#N/A</v>
      </c>
      <c r="W458" s="23" t="str">
        <f t="shared" ref="W458:W506" ca="1" si="120">_xlfn.IFNA(  CONCATENATE(P458,Q458,R458,S458,T458,U458,V458),  "")</f>
        <v/>
      </c>
      <c r="X458" s="5" t="str">
        <f t="shared" ca="1" si="107"/>
        <v/>
      </c>
    </row>
    <row r="459" spans="2:24" x14ac:dyDescent="0.25">
      <c r="B459" s="5">
        <f t="shared" si="108"/>
        <v>453</v>
      </c>
      <c r="C459" s="5" t="e">
        <f t="shared" ref="C459:C506" ca="1" si="121">IF(G458=4,C458+1,C458)</f>
        <v>#N/A</v>
      </c>
      <c r="D459" s="5" t="e">
        <f ca="1">INDEX(cards[Attribute Index],MATCH('Group code'!C459,cards[object_id order],0))</f>
        <v>#N/A</v>
      </c>
      <c r="E459" s="5" t="e">
        <f t="shared" ca="1" si="109"/>
        <v>#N/A</v>
      </c>
      <c r="F459" s="14" t="e">
        <f ca="1">INDEX(cards[Entities count],MATCH('Group code'!C459,cards[object_id order],0))</f>
        <v>#N/A</v>
      </c>
      <c r="G459" s="14" t="e">
        <f t="shared" ca="1" si="111"/>
        <v>#N/A</v>
      </c>
      <c r="H459" s="14" t="e">
        <f t="shared" ca="1" si="112"/>
        <v>#N/A</v>
      </c>
      <c r="I459" s="5" t="e">
        <f t="shared" ca="1" si="113"/>
        <v>#N/A</v>
      </c>
      <c r="J459" s="5" t="e">
        <f t="shared" ca="1" si="110"/>
        <v>#N/A</v>
      </c>
      <c r="K459" s="5" t="e">
        <f t="shared" ca="1" si="114"/>
        <v>#N/A</v>
      </c>
      <c r="L459" s="5" t="e">
        <f t="shared" ca="1" si="115"/>
        <v>#N/A</v>
      </c>
      <c r="M459" s="5" t="e">
        <f t="shared" ca="1" si="116"/>
        <v>#N/A</v>
      </c>
      <c r="N459" s="5" t="e">
        <f t="shared" ca="1" si="117"/>
        <v>#N/A</v>
      </c>
      <c r="O459" s="5" t="e">
        <f t="shared" ca="1" si="118"/>
        <v>#N/A</v>
      </c>
      <c r="P459" s="5" t="e">
        <f ca="1">VLOOKUP(G459,'Group code'!$Z$9:$AC$13,3,FALSE)</f>
        <v>#N/A</v>
      </c>
      <c r="Q459" s="5" t="e">
        <f t="shared" ca="1" si="119"/>
        <v>#N/A</v>
      </c>
      <c r="R459" s="5" t="e">
        <f ca="1">IF(G459=0,INDEX(cards[object_id],MATCH($C459,cards[object_id order],0)),"")</f>
        <v>#N/A</v>
      </c>
      <c r="S459" s="5" t="e">
        <f ca="1">IF(G459=1,INDEX(cards[[name]:[control]],MATCH($C459,cards[object_id order],0),'Group code'!J459),"")</f>
        <v>#N/A</v>
      </c>
      <c r="T459" s="5" t="e">
        <f ca="1">IF(G459=3,INDEX(cards[[1]:[25]],MATCH($C459,cards[object_id order],0),'Group code'!I459),"")</f>
        <v>#N/A</v>
      </c>
      <c r="U459" s="5" t="e">
        <f ca="1">VLOOKUP(G459,'Group code'!$Z$9:$AC$13,4,FALSE)</f>
        <v>#N/A</v>
      </c>
      <c r="V459" s="5" t="e">
        <f ca="1">IF(J459="","",VLOOKUP(J459,'Group code'!$Z$15:$AC$18,4,FALSE))</f>
        <v>#N/A</v>
      </c>
      <c r="W459" s="23" t="str">
        <f t="shared" ca="1" si="120"/>
        <v/>
      </c>
      <c r="X459" s="5" t="str">
        <f t="shared" ca="1" si="107"/>
        <v/>
      </c>
    </row>
    <row r="460" spans="2:24" x14ac:dyDescent="0.25">
      <c r="B460" s="5">
        <f t="shared" si="108"/>
        <v>454</v>
      </c>
      <c r="C460" s="5" t="e">
        <f t="shared" ca="1" si="121"/>
        <v>#N/A</v>
      </c>
      <c r="D460" s="5" t="e">
        <f ca="1">INDEX(cards[Attribute Index],MATCH('Group code'!C460,cards[object_id order],0))</f>
        <v>#N/A</v>
      </c>
      <c r="E460" s="5" t="e">
        <f t="shared" ca="1" si="109"/>
        <v>#N/A</v>
      </c>
      <c r="F460" s="14" t="e">
        <f ca="1">INDEX(cards[Entities count],MATCH('Group code'!C460,cards[object_id order],0))</f>
        <v>#N/A</v>
      </c>
      <c r="G460" s="14" t="e">
        <f t="shared" ca="1" si="111"/>
        <v>#N/A</v>
      </c>
      <c r="H460" s="14" t="e">
        <f t="shared" ca="1" si="112"/>
        <v>#N/A</v>
      </c>
      <c r="I460" s="5" t="e">
        <f t="shared" ca="1" si="113"/>
        <v>#N/A</v>
      </c>
      <c r="J460" s="5" t="e">
        <f t="shared" ca="1" si="110"/>
        <v>#N/A</v>
      </c>
      <c r="K460" s="5" t="e">
        <f t="shared" ca="1" si="114"/>
        <v>#N/A</v>
      </c>
      <c r="L460" s="5" t="e">
        <f t="shared" ca="1" si="115"/>
        <v>#N/A</v>
      </c>
      <c r="M460" s="5" t="e">
        <f t="shared" ca="1" si="116"/>
        <v>#N/A</v>
      </c>
      <c r="N460" s="5" t="e">
        <f t="shared" ca="1" si="117"/>
        <v>#N/A</v>
      </c>
      <c r="O460" s="5" t="e">
        <f t="shared" ca="1" si="118"/>
        <v>#N/A</v>
      </c>
      <c r="P460" s="5" t="e">
        <f ca="1">VLOOKUP(G460,'Group code'!$Z$9:$AC$13,3,FALSE)</f>
        <v>#N/A</v>
      </c>
      <c r="Q460" s="5" t="e">
        <f t="shared" ca="1" si="119"/>
        <v>#N/A</v>
      </c>
      <c r="R460" s="5" t="e">
        <f ca="1">IF(G460=0,INDEX(cards[object_id],MATCH($C460,cards[object_id order],0)),"")</f>
        <v>#N/A</v>
      </c>
      <c r="S460" s="5" t="e">
        <f ca="1">IF(G460=1,INDEX(cards[[name]:[control]],MATCH($C460,cards[object_id order],0),'Group code'!J460),"")</f>
        <v>#N/A</v>
      </c>
      <c r="T460" s="5" t="e">
        <f ca="1">IF(G460=3,INDEX(cards[[1]:[25]],MATCH($C460,cards[object_id order],0),'Group code'!I460),"")</f>
        <v>#N/A</v>
      </c>
      <c r="U460" s="5" t="e">
        <f ca="1">VLOOKUP(G460,'Group code'!$Z$9:$AC$13,4,FALSE)</f>
        <v>#N/A</v>
      </c>
      <c r="V460" s="5" t="e">
        <f ca="1">IF(J460="","",VLOOKUP(J460,'Group code'!$Z$15:$AC$18,4,FALSE))</f>
        <v>#N/A</v>
      </c>
      <c r="W460" s="23" t="str">
        <f t="shared" ca="1" si="120"/>
        <v/>
      </c>
      <c r="X460" s="5" t="str">
        <f t="shared" ca="1" si="107"/>
        <v/>
      </c>
    </row>
    <row r="461" spans="2:24" x14ac:dyDescent="0.25">
      <c r="B461" s="5">
        <f t="shared" si="108"/>
        <v>455</v>
      </c>
      <c r="C461" s="5" t="e">
        <f t="shared" ca="1" si="121"/>
        <v>#N/A</v>
      </c>
      <c r="D461" s="5" t="e">
        <f ca="1">INDEX(cards[Attribute Index],MATCH('Group code'!C461,cards[object_id order],0))</f>
        <v>#N/A</v>
      </c>
      <c r="E461" s="5" t="e">
        <f t="shared" ca="1" si="109"/>
        <v>#N/A</v>
      </c>
      <c r="F461" s="14" t="e">
        <f ca="1">INDEX(cards[Entities count],MATCH('Group code'!C461,cards[object_id order],0))</f>
        <v>#N/A</v>
      </c>
      <c r="G461" s="14" t="e">
        <f t="shared" ca="1" si="111"/>
        <v>#N/A</v>
      </c>
      <c r="H461" s="14" t="e">
        <f t="shared" ca="1" si="112"/>
        <v>#N/A</v>
      </c>
      <c r="I461" s="5" t="e">
        <f t="shared" ca="1" si="113"/>
        <v>#N/A</v>
      </c>
      <c r="J461" s="5" t="e">
        <f t="shared" ca="1" si="110"/>
        <v>#N/A</v>
      </c>
      <c r="K461" s="5" t="e">
        <f t="shared" ca="1" si="114"/>
        <v>#N/A</v>
      </c>
      <c r="L461" s="5" t="e">
        <f t="shared" ca="1" si="115"/>
        <v>#N/A</v>
      </c>
      <c r="M461" s="5" t="e">
        <f t="shared" ca="1" si="116"/>
        <v>#N/A</v>
      </c>
      <c r="N461" s="5" t="e">
        <f t="shared" ca="1" si="117"/>
        <v>#N/A</v>
      </c>
      <c r="O461" s="5" t="e">
        <f t="shared" ca="1" si="118"/>
        <v>#N/A</v>
      </c>
      <c r="P461" s="5" t="e">
        <f ca="1">VLOOKUP(G461,'Group code'!$Z$9:$AC$13,3,FALSE)</f>
        <v>#N/A</v>
      </c>
      <c r="Q461" s="5" t="e">
        <f t="shared" ca="1" si="119"/>
        <v>#N/A</v>
      </c>
      <c r="R461" s="5" t="e">
        <f ca="1">IF(G461=0,INDEX(cards[object_id],MATCH($C461,cards[object_id order],0)),"")</f>
        <v>#N/A</v>
      </c>
      <c r="S461" s="5" t="e">
        <f ca="1">IF(G461=1,INDEX(cards[[name]:[control]],MATCH($C461,cards[object_id order],0),'Group code'!J461),"")</f>
        <v>#N/A</v>
      </c>
      <c r="T461" s="5" t="e">
        <f ca="1">IF(G461=3,INDEX(cards[[1]:[25]],MATCH($C461,cards[object_id order],0),'Group code'!I461),"")</f>
        <v>#N/A</v>
      </c>
      <c r="U461" s="5" t="e">
        <f ca="1">VLOOKUP(G461,'Group code'!$Z$9:$AC$13,4,FALSE)</f>
        <v>#N/A</v>
      </c>
      <c r="V461" s="5" t="e">
        <f ca="1">IF(J461="","",VLOOKUP(J461,'Group code'!$Z$15:$AC$18,4,FALSE))</f>
        <v>#N/A</v>
      </c>
      <c r="W461" s="23" t="str">
        <f t="shared" ca="1" si="120"/>
        <v/>
      </c>
      <c r="X461" s="5" t="str">
        <f t="shared" ca="1" si="107"/>
        <v/>
      </c>
    </row>
    <row r="462" spans="2:24" x14ac:dyDescent="0.25">
      <c r="B462" s="5">
        <f t="shared" si="108"/>
        <v>456</v>
      </c>
      <c r="C462" s="5" t="e">
        <f t="shared" ca="1" si="121"/>
        <v>#N/A</v>
      </c>
      <c r="D462" s="5" t="e">
        <f ca="1">INDEX(cards[Attribute Index],MATCH('Group code'!C462,cards[object_id order],0))</f>
        <v>#N/A</v>
      </c>
      <c r="E462" s="5" t="e">
        <f t="shared" ca="1" si="109"/>
        <v>#N/A</v>
      </c>
      <c r="F462" s="14" t="e">
        <f ca="1">INDEX(cards[Entities count],MATCH('Group code'!C462,cards[object_id order],0))</f>
        <v>#N/A</v>
      </c>
      <c r="G462" s="14" t="e">
        <f t="shared" ca="1" si="111"/>
        <v>#N/A</v>
      </c>
      <c r="H462" s="14" t="e">
        <f t="shared" ca="1" si="112"/>
        <v>#N/A</v>
      </c>
      <c r="I462" s="5" t="e">
        <f t="shared" ca="1" si="113"/>
        <v>#N/A</v>
      </c>
      <c r="J462" s="5" t="e">
        <f t="shared" ca="1" si="110"/>
        <v>#N/A</v>
      </c>
      <c r="K462" s="5" t="e">
        <f t="shared" ca="1" si="114"/>
        <v>#N/A</v>
      </c>
      <c r="L462" s="5" t="e">
        <f t="shared" ca="1" si="115"/>
        <v>#N/A</v>
      </c>
      <c r="M462" s="5" t="e">
        <f t="shared" ca="1" si="116"/>
        <v>#N/A</v>
      </c>
      <c r="N462" s="5" t="e">
        <f t="shared" ca="1" si="117"/>
        <v>#N/A</v>
      </c>
      <c r="O462" s="5" t="e">
        <f t="shared" ca="1" si="118"/>
        <v>#N/A</v>
      </c>
      <c r="P462" s="5" t="e">
        <f ca="1">VLOOKUP(G462,'Group code'!$Z$9:$AC$13,3,FALSE)</f>
        <v>#N/A</v>
      </c>
      <c r="Q462" s="5" t="e">
        <f t="shared" ca="1" si="119"/>
        <v>#N/A</v>
      </c>
      <c r="R462" s="5" t="e">
        <f ca="1">IF(G462=0,INDEX(cards[object_id],MATCH($C462,cards[object_id order],0)),"")</f>
        <v>#N/A</v>
      </c>
      <c r="S462" s="5" t="e">
        <f ca="1">IF(G462=1,INDEX(cards[[name]:[control]],MATCH($C462,cards[object_id order],0),'Group code'!J462),"")</f>
        <v>#N/A</v>
      </c>
      <c r="T462" s="5" t="e">
        <f ca="1">IF(G462=3,INDEX(cards[[1]:[25]],MATCH($C462,cards[object_id order],0),'Group code'!I462),"")</f>
        <v>#N/A</v>
      </c>
      <c r="U462" s="5" t="e">
        <f ca="1">VLOOKUP(G462,'Group code'!$Z$9:$AC$13,4,FALSE)</f>
        <v>#N/A</v>
      </c>
      <c r="V462" s="5" t="e">
        <f ca="1">IF(J462="","",VLOOKUP(J462,'Group code'!$Z$15:$AC$18,4,FALSE))</f>
        <v>#N/A</v>
      </c>
      <c r="W462" s="23" t="str">
        <f t="shared" ca="1" si="120"/>
        <v/>
      </c>
      <c r="X462" s="5" t="str">
        <f t="shared" ca="1" si="107"/>
        <v/>
      </c>
    </row>
    <row r="463" spans="2:24" x14ac:dyDescent="0.25">
      <c r="B463" s="5">
        <f t="shared" si="108"/>
        <v>457</v>
      </c>
      <c r="C463" s="5" t="e">
        <f t="shared" ca="1" si="121"/>
        <v>#N/A</v>
      </c>
      <c r="D463" s="5" t="e">
        <f ca="1">INDEX(cards[Attribute Index],MATCH('Group code'!C463,cards[object_id order],0))</f>
        <v>#N/A</v>
      </c>
      <c r="E463" s="5" t="e">
        <f t="shared" ca="1" si="109"/>
        <v>#N/A</v>
      </c>
      <c r="F463" s="14" t="e">
        <f ca="1">INDEX(cards[Entities count],MATCH('Group code'!C463,cards[object_id order],0))</f>
        <v>#N/A</v>
      </c>
      <c r="G463" s="14" t="e">
        <f t="shared" ca="1" si="111"/>
        <v>#N/A</v>
      </c>
      <c r="H463" s="14" t="e">
        <f t="shared" ca="1" si="112"/>
        <v>#N/A</v>
      </c>
      <c r="I463" s="5" t="e">
        <f t="shared" ca="1" si="113"/>
        <v>#N/A</v>
      </c>
      <c r="J463" s="5" t="e">
        <f t="shared" ca="1" si="110"/>
        <v>#N/A</v>
      </c>
      <c r="K463" s="5" t="e">
        <f t="shared" ca="1" si="114"/>
        <v>#N/A</v>
      </c>
      <c r="L463" s="5" t="e">
        <f t="shared" ca="1" si="115"/>
        <v>#N/A</v>
      </c>
      <c r="M463" s="5" t="e">
        <f t="shared" ca="1" si="116"/>
        <v>#N/A</v>
      </c>
      <c r="N463" s="5" t="e">
        <f t="shared" ca="1" si="117"/>
        <v>#N/A</v>
      </c>
      <c r="O463" s="5" t="e">
        <f t="shared" ca="1" si="118"/>
        <v>#N/A</v>
      </c>
      <c r="P463" s="5" t="e">
        <f ca="1">VLOOKUP(G463,'Group code'!$Z$9:$AC$13,3,FALSE)</f>
        <v>#N/A</v>
      </c>
      <c r="Q463" s="5" t="e">
        <f t="shared" ca="1" si="119"/>
        <v>#N/A</v>
      </c>
      <c r="R463" s="5" t="e">
        <f ca="1">IF(G463=0,INDEX(cards[object_id],MATCH($C463,cards[object_id order],0)),"")</f>
        <v>#N/A</v>
      </c>
      <c r="S463" s="5" t="e">
        <f ca="1">IF(G463=1,INDEX(cards[[name]:[control]],MATCH($C463,cards[object_id order],0),'Group code'!J463),"")</f>
        <v>#N/A</v>
      </c>
      <c r="T463" s="5" t="e">
        <f ca="1">IF(G463=3,INDEX(cards[[1]:[25]],MATCH($C463,cards[object_id order],0),'Group code'!I463),"")</f>
        <v>#N/A</v>
      </c>
      <c r="U463" s="5" t="e">
        <f ca="1">VLOOKUP(G463,'Group code'!$Z$9:$AC$13,4,FALSE)</f>
        <v>#N/A</v>
      </c>
      <c r="V463" s="5" t="e">
        <f ca="1">IF(J463="","",VLOOKUP(J463,'Group code'!$Z$15:$AC$18,4,FALSE))</f>
        <v>#N/A</v>
      </c>
      <c r="W463" s="23" t="str">
        <f t="shared" ca="1" si="120"/>
        <v/>
      </c>
      <c r="X463" s="5" t="str">
        <f t="shared" ca="1" si="107"/>
        <v/>
      </c>
    </row>
    <row r="464" spans="2:24" x14ac:dyDescent="0.25">
      <c r="B464" s="5">
        <f t="shared" si="108"/>
        <v>458</v>
      </c>
      <c r="C464" s="5" t="e">
        <f t="shared" ca="1" si="121"/>
        <v>#N/A</v>
      </c>
      <c r="D464" s="5" t="e">
        <f ca="1">INDEX(cards[Attribute Index],MATCH('Group code'!C464,cards[object_id order],0))</f>
        <v>#N/A</v>
      </c>
      <c r="E464" s="5" t="e">
        <f t="shared" ca="1" si="109"/>
        <v>#N/A</v>
      </c>
      <c r="F464" s="14" t="e">
        <f ca="1">INDEX(cards[Entities count],MATCH('Group code'!C464,cards[object_id order],0))</f>
        <v>#N/A</v>
      </c>
      <c r="G464" s="14" t="e">
        <f t="shared" ca="1" si="111"/>
        <v>#N/A</v>
      </c>
      <c r="H464" s="14" t="e">
        <f t="shared" ca="1" si="112"/>
        <v>#N/A</v>
      </c>
      <c r="I464" s="5" t="e">
        <f t="shared" ca="1" si="113"/>
        <v>#N/A</v>
      </c>
      <c r="J464" s="5" t="e">
        <f t="shared" ca="1" si="110"/>
        <v>#N/A</v>
      </c>
      <c r="K464" s="5" t="e">
        <f t="shared" ca="1" si="114"/>
        <v>#N/A</v>
      </c>
      <c r="L464" s="5" t="e">
        <f t="shared" ca="1" si="115"/>
        <v>#N/A</v>
      </c>
      <c r="M464" s="5" t="e">
        <f t="shared" ca="1" si="116"/>
        <v>#N/A</v>
      </c>
      <c r="N464" s="5" t="e">
        <f t="shared" ca="1" si="117"/>
        <v>#N/A</v>
      </c>
      <c r="O464" s="5" t="e">
        <f t="shared" ca="1" si="118"/>
        <v>#N/A</v>
      </c>
      <c r="P464" s="5" t="e">
        <f ca="1">VLOOKUP(G464,'Group code'!$Z$9:$AC$13,3,FALSE)</f>
        <v>#N/A</v>
      </c>
      <c r="Q464" s="5" t="e">
        <f t="shared" ca="1" si="119"/>
        <v>#N/A</v>
      </c>
      <c r="R464" s="5" t="e">
        <f ca="1">IF(G464=0,INDEX(cards[object_id],MATCH($C464,cards[object_id order],0)),"")</f>
        <v>#N/A</v>
      </c>
      <c r="S464" s="5" t="e">
        <f ca="1">IF(G464=1,INDEX(cards[[name]:[control]],MATCH($C464,cards[object_id order],0),'Group code'!J464),"")</f>
        <v>#N/A</v>
      </c>
      <c r="T464" s="5" t="e">
        <f ca="1">IF(G464=3,INDEX(cards[[1]:[25]],MATCH($C464,cards[object_id order],0),'Group code'!I464),"")</f>
        <v>#N/A</v>
      </c>
      <c r="U464" s="5" t="e">
        <f ca="1">VLOOKUP(G464,'Group code'!$Z$9:$AC$13,4,FALSE)</f>
        <v>#N/A</v>
      </c>
      <c r="V464" s="5" t="e">
        <f ca="1">IF(J464="","",VLOOKUP(J464,'Group code'!$Z$15:$AC$18,4,FALSE))</f>
        <v>#N/A</v>
      </c>
      <c r="W464" s="23" t="str">
        <f t="shared" ca="1" si="120"/>
        <v/>
      </c>
      <c r="X464" s="5" t="str">
        <f t="shared" ca="1" si="107"/>
        <v/>
      </c>
    </row>
    <row r="465" spans="2:24" x14ac:dyDescent="0.25">
      <c r="B465" s="5">
        <f t="shared" si="108"/>
        <v>459</v>
      </c>
      <c r="C465" s="5" t="e">
        <f t="shared" ca="1" si="121"/>
        <v>#N/A</v>
      </c>
      <c r="D465" s="5" t="e">
        <f ca="1">INDEX(cards[Attribute Index],MATCH('Group code'!C465,cards[object_id order],0))</f>
        <v>#N/A</v>
      </c>
      <c r="E465" s="5" t="e">
        <f t="shared" ca="1" si="109"/>
        <v>#N/A</v>
      </c>
      <c r="F465" s="14" t="e">
        <f ca="1">INDEX(cards[Entities count],MATCH('Group code'!C465,cards[object_id order],0))</f>
        <v>#N/A</v>
      </c>
      <c r="G465" s="14" t="e">
        <f t="shared" ca="1" si="111"/>
        <v>#N/A</v>
      </c>
      <c r="H465" s="14" t="e">
        <f t="shared" ca="1" si="112"/>
        <v>#N/A</v>
      </c>
      <c r="I465" s="5" t="e">
        <f t="shared" ca="1" si="113"/>
        <v>#N/A</v>
      </c>
      <c r="J465" s="5" t="e">
        <f t="shared" ca="1" si="110"/>
        <v>#N/A</v>
      </c>
      <c r="K465" s="5" t="e">
        <f t="shared" ca="1" si="114"/>
        <v>#N/A</v>
      </c>
      <c r="L465" s="5" t="e">
        <f t="shared" ca="1" si="115"/>
        <v>#N/A</v>
      </c>
      <c r="M465" s="5" t="e">
        <f t="shared" ca="1" si="116"/>
        <v>#N/A</v>
      </c>
      <c r="N465" s="5" t="e">
        <f t="shared" ca="1" si="117"/>
        <v>#N/A</v>
      </c>
      <c r="O465" s="5" t="e">
        <f t="shared" ca="1" si="118"/>
        <v>#N/A</v>
      </c>
      <c r="P465" s="5" t="e">
        <f ca="1">VLOOKUP(G465,'Group code'!$Z$9:$AC$13,3,FALSE)</f>
        <v>#N/A</v>
      </c>
      <c r="Q465" s="5" t="e">
        <f t="shared" ca="1" si="119"/>
        <v>#N/A</v>
      </c>
      <c r="R465" s="5" t="e">
        <f ca="1">IF(G465=0,INDEX(cards[object_id],MATCH($C465,cards[object_id order],0)),"")</f>
        <v>#N/A</v>
      </c>
      <c r="S465" s="5" t="e">
        <f ca="1">IF(G465=1,INDEX(cards[[name]:[control]],MATCH($C465,cards[object_id order],0),'Group code'!J465),"")</f>
        <v>#N/A</v>
      </c>
      <c r="T465" s="5" t="e">
        <f ca="1">IF(G465=3,INDEX(cards[[1]:[25]],MATCH($C465,cards[object_id order],0),'Group code'!I465),"")</f>
        <v>#N/A</v>
      </c>
      <c r="U465" s="5" t="e">
        <f ca="1">VLOOKUP(G465,'Group code'!$Z$9:$AC$13,4,FALSE)</f>
        <v>#N/A</v>
      </c>
      <c r="V465" s="5" t="e">
        <f ca="1">IF(J465="","",VLOOKUP(J465,'Group code'!$Z$15:$AC$18,4,FALSE))</f>
        <v>#N/A</v>
      </c>
      <c r="W465" s="23" t="str">
        <f t="shared" ca="1" si="120"/>
        <v/>
      </c>
      <c r="X465" s="5" t="str">
        <f t="shared" ca="1" si="107"/>
        <v/>
      </c>
    </row>
    <row r="466" spans="2:24" x14ac:dyDescent="0.25">
      <c r="B466" s="5">
        <f t="shared" si="108"/>
        <v>460</v>
      </c>
      <c r="C466" s="5" t="e">
        <f t="shared" ca="1" si="121"/>
        <v>#N/A</v>
      </c>
      <c r="D466" s="5" t="e">
        <f ca="1">INDEX(cards[Attribute Index],MATCH('Group code'!C466,cards[object_id order],0))</f>
        <v>#N/A</v>
      </c>
      <c r="E466" s="5" t="e">
        <f t="shared" ca="1" si="109"/>
        <v>#N/A</v>
      </c>
      <c r="F466" s="14" t="e">
        <f ca="1">INDEX(cards[Entities count],MATCH('Group code'!C466,cards[object_id order],0))</f>
        <v>#N/A</v>
      </c>
      <c r="G466" s="14" t="e">
        <f t="shared" ca="1" si="111"/>
        <v>#N/A</v>
      </c>
      <c r="H466" s="14" t="e">
        <f t="shared" ca="1" si="112"/>
        <v>#N/A</v>
      </c>
      <c r="I466" s="5" t="e">
        <f t="shared" ca="1" si="113"/>
        <v>#N/A</v>
      </c>
      <c r="J466" s="5" t="e">
        <f t="shared" ca="1" si="110"/>
        <v>#N/A</v>
      </c>
      <c r="K466" s="5" t="e">
        <f t="shared" ca="1" si="114"/>
        <v>#N/A</v>
      </c>
      <c r="L466" s="5" t="e">
        <f t="shared" ca="1" si="115"/>
        <v>#N/A</v>
      </c>
      <c r="M466" s="5" t="e">
        <f t="shared" ca="1" si="116"/>
        <v>#N/A</v>
      </c>
      <c r="N466" s="5" t="e">
        <f t="shared" ca="1" si="117"/>
        <v>#N/A</v>
      </c>
      <c r="O466" s="5" t="e">
        <f t="shared" ca="1" si="118"/>
        <v>#N/A</v>
      </c>
      <c r="P466" s="5" t="e">
        <f ca="1">VLOOKUP(G466,'Group code'!$Z$9:$AC$13,3,FALSE)</f>
        <v>#N/A</v>
      </c>
      <c r="Q466" s="5" t="e">
        <f t="shared" ca="1" si="119"/>
        <v>#N/A</v>
      </c>
      <c r="R466" s="5" t="e">
        <f ca="1">IF(G466=0,INDEX(cards[object_id],MATCH($C466,cards[object_id order],0)),"")</f>
        <v>#N/A</v>
      </c>
      <c r="S466" s="5" t="e">
        <f ca="1">IF(G466=1,INDEX(cards[[name]:[control]],MATCH($C466,cards[object_id order],0),'Group code'!J466),"")</f>
        <v>#N/A</v>
      </c>
      <c r="T466" s="5" t="e">
        <f ca="1">IF(G466=3,INDEX(cards[[1]:[25]],MATCH($C466,cards[object_id order],0),'Group code'!I466),"")</f>
        <v>#N/A</v>
      </c>
      <c r="U466" s="5" t="e">
        <f ca="1">VLOOKUP(G466,'Group code'!$Z$9:$AC$13,4,FALSE)</f>
        <v>#N/A</v>
      </c>
      <c r="V466" s="5" t="e">
        <f ca="1">IF(J466="","",VLOOKUP(J466,'Group code'!$Z$15:$AC$18,4,FALSE))</f>
        <v>#N/A</v>
      </c>
      <c r="W466" s="23" t="str">
        <f t="shared" ca="1" si="120"/>
        <v/>
      </c>
      <c r="X466" s="5" t="str">
        <f t="shared" ca="1" si="107"/>
        <v/>
      </c>
    </row>
    <row r="467" spans="2:24" x14ac:dyDescent="0.25">
      <c r="B467" s="5">
        <f t="shared" si="108"/>
        <v>461</v>
      </c>
      <c r="C467" s="5" t="e">
        <f t="shared" ca="1" si="121"/>
        <v>#N/A</v>
      </c>
      <c r="D467" s="5" t="e">
        <f ca="1">INDEX(cards[Attribute Index],MATCH('Group code'!C467,cards[object_id order],0))</f>
        <v>#N/A</v>
      </c>
      <c r="E467" s="5" t="e">
        <f t="shared" ca="1" si="109"/>
        <v>#N/A</v>
      </c>
      <c r="F467" s="14" t="e">
        <f ca="1">INDEX(cards[Entities count],MATCH('Group code'!C467,cards[object_id order],0))</f>
        <v>#N/A</v>
      </c>
      <c r="G467" s="14" t="e">
        <f t="shared" ca="1" si="111"/>
        <v>#N/A</v>
      </c>
      <c r="H467" s="14" t="e">
        <f t="shared" ca="1" si="112"/>
        <v>#N/A</v>
      </c>
      <c r="I467" s="5" t="e">
        <f t="shared" ca="1" si="113"/>
        <v>#N/A</v>
      </c>
      <c r="J467" s="5" t="e">
        <f t="shared" ca="1" si="110"/>
        <v>#N/A</v>
      </c>
      <c r="K467" s="5" t="e">
        <f t="shared" ca="1" si="114"/>
        <v>#N/A</v>
      </c>
      <c r="L467" s="5" t="e">
        <f t="shared" ca="1" si="115"/>
        <v>#N/A</v>
      </c>
      <c r="M467" s="5" t="e">
        <f t="shared" ca="1" si="116"/>
        <v>#N/A</v>
      </c>
      <c r="N467" s="5" t="e">
        <f t="shared" ca="1" si="117"/>
        <v>#N/A</v>
      </c>
      <c r="O467" s="5" t="e">
        <f t="shared" ca="1" si="118"/>
        <v>#N/A</v>
      </c>
      <c r="P467" s="5" t="e">
        <f ca="1">VLOOKUP(G467,'Group code'!$Z$9:$AC$13,3,FALSE)</f>
        <v>#N/A</v>
      </c>
      <c r="Q467" s="5" t="e">
        <f t="shared" ca="1" si="119"/>
        <v>#N/A</v>
      </c>
      <c r="R467" s="5" t="e">
        <f ca="1">IF(G467=0,INDEX(cards[object_id],MATCH($C467,cards[object_id order],0)),"")</f>
        <v>#N/A</v>
      </c>
      <c r="S467" s="5" t="e">
        <f ca="1">IF(G467=1,INDEX(cards[[name]:[control]],MATCH($C467,cards[object_id order],0),'Group code'!J467),"")</f>
        <v>#N/A</v>
      </c>
      <c r="T467" s="5" t="e">
        <f ca="1">IF(G467=3,INDEX(cards[[1]:[25]],MATCH($C467,cards[object_id order],0),'Group code'!I467),"")</f>
        <v>#N/A</v>
      </c>
      <c r="U467" s="5" t="e">
        <f ca="1">VLOOKUP(G467,'Group code'!$Z$9:$AC$13,4,FALSE)</f>
        <v>#N/A</v>
      </c>
      <c r="V467" s="5" t="e">
        <f ca="1">IF(J467="","",VLOOKUP(J467,'Group code'!$Z$15:$AC$18,4,FALSE))</f>
        <v>#N/A</v>
      </c>
      <c r="W467" s="23" t="str">
        <f t="shared" ca="1" si="120"/>
        <v/>
      </c>
      <c r="X467" s="5" t="str">
        <f t="shared" ca="1" si="107"/>
        <v/>
      </c>
    </row>
    <row r="468" spans="2:24" x14ac:dyDescent="0.25">
      <c r="B468" s="5">
        <f t="shared" si="108"/>
        <v>462</v>
      </c>
      <c r="C468" s="5" t="e">
        <f t="shared" ca="1" si="121"/>
        <v>#N/A</v>
      </c>
      <c r="D468" s="5" t="e">
        <f ca="1">INDEX(cards[Attribute Index],MATCH('Group code'!C468,cards[object_id order],0))</f>
        <v>#N/A</v>
      </c>
      <c r="E468" s="5" t="e">
        <f t="shared" ca="1" si="109"/>
        <v>#N/A</v>
      </c>
      <c r="F468" s="14" t="e">
        <f ca="1">INDEX(cards[Entities count],MATCH('Group code'!C468,cards[object_id order],0))</f>
        <v>#N/A</v>
      </c>
      <c r="G468" s="14" t="e">
        <f t="shared" ca="1" si="111"/>
        <v>#N/A</v>
      </c>
      <c r="H468" s="14" t="e">
        <f t="shared" ca="1" si="112"/>
        <v>#N/A</v>
      </c>
      <c r="I468" s="5" t="e">
        <f t="shared" ca="1" si="113"/>
        <v>#N/A</v>
      </c>
      <c r="J468" s="5" t="e">
        <f t="shared" ca="1" si="110"/>
        <v>#N/A</v>
      </c>
      <c r="K468" s="5" t="e">
        <f t="shared" ca="1" si="114"/>
        <v>#N/A</v>
      </c>
      <c r="L468" s="5" t="e">
        <f t="shared" ca="1" si="115"/>
        <v>#N/A</v>
      </c>
      <c r="M468" s="5" t="e">
        <f t="shared" ca="1" si="116"/>
        <v>#N/A</v>
      </c>
      <c r="N468" s="5" t="e">
        <f t="shared" ca="1" si="117"/>
        <v>#N/A</v>
      </c>
      <c r="O468" s="5" t="e">
        <f t="shared" ca="1" si="118"/>
        <v>#N/A</v>
      </c>
      <c r="P468" s="5" t="e">
        <f ca="1">VLOOKUP(G468,'Group code'!$Z$9:$AC$13,3,FALSE)</f>
        <v>#N/A</v>
      </c>
      <c r="Q468" s="5" t="e">
        <f t="shared" ca="1" si="119"/>
        <v>#N/A</v>
      </c>
      <c r="R468" s="5" t="e">
        <f ca="1">IF(G468=0,INDEX(cards[object_id],MATCH($C468,cards[object_id order],0)),"")</f>
        <v>#N/A</v>
      </c>
      <c r="S468" s="5" t="e">
        <f ca="1">IF(G468=1,INDEX(cards[[name]:[control]],MATCH($C468,cards[object_id order],0),'Group code'!J468),"")</f>
        <v>#N/A</v>
      </c>
      <c r="T468" s="5" t="e">
        <f ca="1">IF(G468=3,INDEX(cards[[1]:[25]],MATCH($C468,cards[object_id order],0),'Group code'!I468),"")</f>
        <v>#N/A</v>
      </c>
      <c r="U468" s="5" t="e">
        <f ca="1">VLOOKUP(G468,'Group code'!$Z$9:$AC$13,4,FALSE)</f>
        <v>#N/A</v>
      </c>
      <c r="V468" s="5" t="e">
        <f ca="1">IF(J468="","",VLOOKUP(J468,'Group code'!$Z$15:$AC$18,4,FALSE))</f>
        <v>#N/A</v>
      </c>
      <c r="W468" s="23" t="str">
        <f t="shared" ca="1" si="120"/>
        <v/>
      </c>
      <c r="X468" s="5" t="str">
        <f t="shared" ca="1" si="107"/>
        <v/>
      </c>
    </row>
    <row r="469" spans="2:24" x14ac:dyDescent="0.25">
      <c r="B469" s="5">
        <f t="shared" si="108"/>
        <v>463</v>
      </c>
      <c r="C469" s="5" t="e">
        <f t="shared" ca="1" si="121"/>
        <v>#N/A</v>
      </c>
      <c r="D469" s="5" t="e">
        <f ca="1">INDEX(cards[Attribute Index],MATCH('Group code'!C469,cards[object_id order],0))</f>
        <v>#N/A</v>
      </c>
      <c r="E469" s="5" t="e">
        <f t="shared" ca="1" si="109"/>
        <v>#N/A</v>
      </c>
      <c r="F469" s="14" t="e">
        <f ca="1">INDEX(cards[Entities count],MATCH('Group code'!C469,cards[object_id order],0))</f>
        <v>#N/A</v>
      </c>
      <c r="G469" s="14" t="e">
        <f t="shared" ca="1" si="111"/>
        <v>#N/A</v>
      </c>
      <c r="H469" s="14" t="e">
        <f t="shared" ca="1" si="112"/>
        <v>#N/A</v>
      </c>
      <c r="I469" s="5" t="e">
        <f t="shared" ca="1" si="113"/>
        <v>#N/A</v>
      </c>
      <c r="J469" s="5" t="e">
        <f t="shared" ca="1" si="110"/>
        <v>#N/A</v>
      </c>
      <c r="K469" s="5" t="e">
        <f t="shared" ca="1" si="114"/>
        <v>#N/A</v>
      </c>
      <c r="L469" s="5" t="e">
        <f t="shared" ca="1" si="115"/>
        <v>#N/A</v>
      </c>
      <c r="M469" s="5" t="e">
        <f t="shared" ca="1" si="116"/>
        <v>#N/A</v>
      </c>
      <c r="N469" s="5" t="e">
        <f t="shared" ca="1" si="117"/>
        <v>#N/A</v>
      </c>
      <c r="O469" s="5" t="e">
        <f t="shared" ca="1" si="118"/>
        <v>#N/A</v>
      </c>
      <c r="P469" s="5" t="e">
        <f ca="1">VLOOKUP(G469,'Group code'!$Z$9:$AC$13,3,FALSE)</f>
        <v>#N/A</v>
      </c>
      <c r="Q469" s="5" t="e">
        <f t="shared" ca="1" si="119"/>
        <v>#N/A</v>
      </c>
      <c r="R469" s="5" t="e">
        <f ca="1">IF(G469=0,INDEX(cards[object_id],MATCH($C469,cards[object_id order],0)),"")</f>
        <v>#N/A</v>
      </c>
      <c r="S469" s="5" t="e">
        <f ca="1">IF(G469=1,INDEX(cards[[name]:[control]],MATCH($C469,cards[object_id order],0),'Group code'!J469),"")</f>
        <v>#N/A</v>
      </c>
      <c r="T469" s="5" t="e">
        <f ca="1">IF(G469=3,INDEX(cards[[1]:[25]],MATCH($C469,cards[object_id order],0),'Group code'!I469),"")</f>
        <v>#N/A</v>
      </c>
      <c r="U469" s="5" t="e">
        <f ca="1">VLOOKUP(G469,'Group code'!$Z$9:$AC$13,4,FALSE)</f>
        <v>#N/A</v>
      </c>
      <c r="V469" s="5" t="e">
        <f ca="1">IF(J469="","",VLOOKUP(J469,'Group code'!$Z$15:$AC$18,4,FALSE))</f>
        <v>#N/A</v>
      </c>
      <c r="W469" s="23" t="str">
        <f t="shared" ca="1" si="120"/>
        <v/>
      </c>
      <c r="X469" s="5" t="str">
        <f t="shared" ca="1" si="107"/>
        <v/>
      </c>
    </row>
    <row r="470" spans="2:24" x14ac:dyDescent="0.25">
      <c r="B470" s="5">
        <f t="shared" si="108"/>
        <v>464</v>
      </c>
      <c r="C470" s="5" t="e">
        <f t="shared" ca="1" si="121"/>
        <v>#N/A</v>
      </c>
      <c r="D470" s="5" t="e">
        <f ca="1">INDEX(cards[Attribute Index],MATCH('Group code'!C470,cards[object_id order],0))</f>
        <v>#N/A</v>
      </c>
      <c r="E470" s="5" t="e">
        <f t="shared" ca="1" si="109"/>
        <v>#N/A</v>
      </c>
      <c r="F470" s="14" t="e">
        <f ca="1">INDEX(cards[Entities count],MATCH('Group code'!C470,cards[object_id order],0))</f>
        <v>#N/A</v>
      </c>
      <c r="G470" s="14" t="e">
        <f t="shared" ca="1" si="111"/>
        <v>#N/A</v>
      </c>
      <c r="H470" s="14" t="e">
        <f t="shared" ca="1" si="112"/>
        <v>#N/A</v>
      </c>
      <c r="I470" s="5" t="e">
        <f t="shared" ca="1" si="113"/>
        <v>#N/A</v>
      </c>
      <c r="J470" s="5" t="e">
        <f t="shared" ca="1" si="110"/>
        <v>#N/A</v>
      </c>
      <c r="K470" s="5" t="e">
        <f t="shared" ca="1" si="114"/>
        <v>#N/A</v>
      </c>
      <c r="L470" s="5" t="e">
        <f t="shared" ca="1" si="115"/>
        <v>#N/A</v>
      </c>
      <c r="M470" s="5" t="e">
        <f t="shared" ca="1" si="116"/>
        <v>#N/A</v>
      </c>
      <c r="N470" s="5" t="e">
        <f t="shared" ca="1" si="117"/>
        <v>#N/A</v>
      </c>
      <c r="O470" s="5" t="e">
        <f t="shared" ca="1" si="118"/>
        <v>#N/A</v>
      </c>
      <c r="P470" s="5" t="e">
        <f ca="1">VLOOKUP(G470,'Group code'!$Z$9:$AC$13,3,FALSE)</f>
        <v>#N/A</v>
      </c>
      <c r="Q470" s="5" t="e">
        <f t="shared" ca="1" si="119"/>
        <v>#N/A</v>
      </c>
      <c r="R470" s="5" t="e">
        <f ca="1">IF(G470=0,INDEX(cards[object_id],MATCH($C470,cards[object_id order],0)),"")</f>
        <v>#N/A</v>
      </c>
      <c r="S470" s="5" t="e">
        <f ca="1">IF(G470=1,INDEX(cards[[name]:[control]],MATCH($C470,cards[object_id order],0),'Group code'!J470),"")</f>
        <v>#N/A</v>
      </c>
      <c r="T470" s="5" t="e">
        <f ca="1">IF(G470=3,INDEX(cards[[1]:[25]],MATCH($C470,cards[object_id order],0),'Group code'!I470),"")</f>
        <v>#N/A</v>
      </c>
      <c r="U470" s="5" t="e">
        <f ca="1">VLOOKUP(G470,'Group code'!$Z$9:$AC$13,4,FALSE)</f>
        <v>#N/A</v>
      </c>
      <c r="V470" s="5" t="e">
        <f ca="1">IF(J470="","",VLOOKUP(J470,'Group code'!$Z$15:$AC$18,4,FALSE))</f>
        <v>#N/A</v>
      </c>
      <c r="W470" s="23" t="str">
        <f t="shared" ca="1" si="120"/>
        <v/>
      </c>
      <c r="X470" s="5" t="str">
        <f t="shared" ca="1" si="107"/>
        <v/>
      </c>
    </row>
    <row r="471" spans="2:24" x14ac:dyDescent="0.25">
      <c r="B471" s="5">
        <f t="shared" si="108"/>
        <v>465</v>
      </c>
      <c r="C471" s="5" t="e">
        <f t="shared" ca="1" si="121"/>
        <v>#N/A</v>
      </c>
      <c r="D471" s="5" t="e">
        <f ca="1">INDEX(cards[Attribute Index],MATCH('Group code'!C471,cards[object_id order],0))</f>
        <v>#N/A</v>
      </c>
      <c r="E471" s="5" t="e">
        <f t="shared" ca="1" si="109"/>
        <v>#N/A</v>
      </c>
      <c r="F471" s="14" t="e">
        <f ca="1">INDEX(cards[Entities count],MATCH('Group code'!C471,cards[object_id order],0))</f>
        <v>#N/A</v>
      </c>
      <c r="G471" s="14" t="e">
        <f t="shared" ca="1" si="111"/>
        <v>#N/A</v>
      </c>
      <c r="H471" s="14" t="e">
        <f t="shared" ca="1" si="112"/>
        <v>#N/A</v>
      </c>
      <c r="I471" s="5" t="e">
        <f t="shared" ca="1" si="113"/>
        <v>#N/A</v>
      </c>
      <c r="J471" s="5" t="e">
        <f t="shared" ca="1" si="110"/>
        <v>#N/A</v>
      </c>
      <c r="K471" s="5" t="e">
        <f t="shared" ca="1" si="114"/>
        <v>#N/A</v>
      </c>
      <c r="L471" s="5" t="e">
        <f t="shared" ca="1" si="115"/>
        <v>#N/A</v>
      </c>
      <c r="M471" s="5" t="e">
        <f t="shared" ca="1" si="116"/>
        <v>#N/A</v>
      </c>
      <c r="N471" s="5" t="e">
        <f t="shared" ca="1" si="117"/>
        <v>#N/A</v>
      </c>
      <c r="O471" s="5" t="e">
        <f t="shared" ca="1" si="118"/>
        <v>#N/A</v>
      </c>
      <c r="P471" s="5" t="e">
        <f ca="1">VLOOKUP(G471,'Group code'!$Z$9:$AC$13,3,FALSE)</f>
        <v>#N/A</v>
      </c>
      <c r="Q471" s="5" t="e">
        <f t="shared" ca="1" si="119"/>
        <v>#N/A</v>
      </c>
      <c r="R471" s="5" t="e">
        <f ca="1">IF(G471=0,INDEX(cards[object_id],MATCH($C471,cards[object_id order],0)),"")</f>
        <v>#N/A</v>
      </c>
      <c r="S471" s="5" t="e">
        <f ca="1">IF(G471=1,INDEX(cards[[name]:[control]],MATCH($C471,cards[object_id order],0),'Group code'!J471),"")</f>
        <v>#N/A</v>
      </c>
      <c r="T471" s="5" t="e">
        <f ca="1">IF(G471=3,INDEX(cards[[1]:[25]],MATCH($C471,cards[object_id order],0),'Group code'!I471),"")</f>
        <v>#N/A</v>
      </c>
      <c r="U471" s="5" t="e">
        <f ca="1">VLOOKUP(G471,'Group code'!$Z$9:$AC$13,4,FALSE)</f>
        <v>#N/A</v>
      </c>
      <c r="V471" s="5" t="e">
        <f ca="1">IF(J471="","",VLOOKUP(J471,'Group code'!$Z$15:$AC$18,4,FALSE))</f>
        <v>#N/A</v>
      </c>
      <c r="W471" s="23" t="str">
        <f t="shared" ca="1" si="120"/>
        <v/>
      </c>
      <c r="X471" s="5" t="str">
        <f t="shared" ca="1" si="107"/>
        <v/>
      </c>
    </row>
    <row r="472" spans="2:24" x14ac:dyDescent="0.25">
      <c r="B472" s="5">
        <f t="shared" si="108"/>
        <v>466</v>
      </c>
      <c r="C472" s="5" t="e">
        <f t="shared" ca="1" si="121"/>
        <v>#N/A</v>
      </c>
      <c r="D472" s="5" t="e">
        <f ca="1">INDEX(cards[Attribute Index],MATCH('Group code'!C472,cards[object_id order],0))</f>
        <v>#N/A</v>
      </c>
      <c r="E472" s="5" t="e">
        <f t="shared" ca="1" si="109"/>
        <v>#N/A</v>
      </c>
      <c r="F472" s="14" t="e">
        <f ca="1">INDEX(cards[Entities count],MATCH('Group code'!C472,cards[object_id order],0))</f>
        <v>#N/A</v>
      </c>
      <c r="G472" s="14" t="e">
        <f t="shared" ca="1" si="111"/>
        <v>#N/A</v>
      </c>
      <c r="H472" s="14" t="e">
        <f t="shared" ca="1" si="112"/>
        <v>#N/A</v>
      </c>
      <c r="I472" s="5" t="e">
        <f t="shared" ca="1" si="113"/>
        <v>#N/A</v>
      </c>
      <c r="J472" s="5" t="e">
        <f t="shared" ca="1" si="110"/>
        <v>#N/A</v>
      </c>
      <c r="K472" s="5" t="e">
        <f t="shared" ca="1" si="114"/>
        <v>#N/A</v>
      </c>
      <c r="L472" s="5" t="e">
        <f t="shared" ca="1" si="115"/>
        <v>#N/A</v>
      </c>
      <c r="M472" s="5" t="e">
        <f t="shared" ca="1" si="116"/>
        <v>#N/A</v>
      </c>
      <c r="N472" s="5" t="e">
        <f t="shared" ca="1" si="117"/>
        <v>#N/A</v>
      </c>
      <c r="O472" s="5" t="e">
        <f t="shared" ca="1" si="118"/>
        <v>#N/A</v>
      </c>
      <c r="P472" s="5" t="e">
        <f ca="1">VLOOKUP(G472,'Group code'!$Z$9:$AC$13,3,FALSE)</f>
        <v>#N/A</v>
      </c>
      <c r="Q472" s="5" t="e">
        <f t="shared" ca="1" si="119"/>
        <v>#N/A</v>
      </c>
      <c r="R472" s="5" t="e">
        <f ca="1">IF(G472=0,INDEX(cards[object_id],MATCH($C472,cards[object_id order],0)),"")</f>
        <v>#N/A</v>
      </c>
      <c r="S472" s="5" t="e">
        <f ca="1">IF(G472=1,INDEX(cards[[name]:[control]],MATCH($C472,cards[object_id order],0),'Group code'!J472),"")</f>
        <v>#N/A</v>
      </c>
      <c r="T472" s="5" t="e">
        <f ca="1">IF(G472=3,INDEX(cards[[1]:[25]],MATCH($C472,cards[object_id order],0),'Group code'!I472),"")</f>
        <v>#N/A</v>
      </c>
      <c r="U472" s="5" t="e">
        <f ca="1">VLOOKUP(G472,'Group code'!$Z$9:$AC$13,4,FALSE)</f>
        <v>#N/A</v>
      </c>
      <c r="V472" s="5" t="e">
        <f ca="1">IF(J472="","",VLOOKUP(J472,'Group code'!$Z$15:$AC$18,4,FALSE))</f>
        <v>#N/A</v>
      </c>
      <c r="W472" s="23" t="str">
        <f t="shared" ca="1" si="120"/>
        <v/>
      </c>
      <c r="X472" s="5" t="str">
        <f t="shared" ca="1" si="107"/>
        <v/>
      </c>
    </row>
    <row r="473" spans="2:24" x14ac:dyDescent="0.25">
      <c r="B473" s="5">
        <f t="shared" si="108"/>
        <v>467</v>
      </c>
      <c r="C473" s="5" t="e">
        <f t="shared" ca="1" si="121"/>
        <v>#N/A</v>
      </c>
      <c r="D473" s="5" t="e">
        <f ca="1">INDEX(cards[Attribute Index],MATCH('Group code'!C473,cards[object_id order],0))</f>
        <v>#N/A</v>
      </c>
      <c r="E473" s="5" t="e">
        <f t="shared" ca="1" si="109"/>
        <v>#N/A</v>
      </c>
      <c r="F473" s="14" t="e">
        <f ca="1">INDEX(cards[Entities count],MATCH('Group code'!C473,cards[object_id order],0))</f>
        <v>#N/A</v>
      </c>
      <c r="G473" s="14" t="e">
        <f t="shared" ca="1" si="111"/>
        <v>#N/A</v>
      </c>
      <c r="H473" s="14" t="e">
        <f t="shared" ca="1" si="112"/>
        <v>#N/A</v>
      </c>
      <c r="I473" s="5" t="e">
        <f t="shared" ca="1" si="113"/>
        <v>#N/A</v>
      </c>
      <c r="J473" s="5" t="e">
        <f t="shared" ca="1" si="110"/>
        <v>#N/A</v>
      </c>
      <c r="K473" s="5" t="e">
        <f t="shared" ca="1" si="114"/>
        <v>#N/A</v>
      </c>
      <c r="L473" s="5" t="e">
        <f t="shared" ca="1" si="115"/>
        <v>#N/A</v>
      </c>
      <c r="M473" s="5" t="e">
        <f t="shared" ca="1" si="116"/>
        <v>#N/A</v>
      </c>
      <c r="N473" s="5" t="e">
        <f t="shared" ca="1" si="117"/>
        <v>#N/A</v>
      </c>
      <c r="O473" s="5" t="e">
        <f t="shared" ca="1" si="118"/>
        <v>#N/A</v>
      </c>
      <c r="P473" s="5" t="e">
        <f ca="1">VLOOKUP(G473,'Group code'!$Z$9:$AC$13,3,FALSE)</f>
        <v>#N/A</v>
      </c>
      <c r="Q473" s="5" t="e">
        <f t="shared" ca="1" si="119"/>
        <v>#N/A</v>
      </c>
      <c r="R473" s="5" t="e">
        <f ca="1">IF(G473=0,INDEX(cards[object_id],MATCH($C473,cards[object_id order],0)),"")</f>
        <v>#N/A</v>
      </c>
      <c r="S473" s="5" t="e">
        <f ca="1">IF(G473=1,INDEX(cards[[name]:[control]],MATCH($C473,cards[object_id order],0),'Group code'!J473),"")</f>
        <v>#N/A</v>
      </c>
      <c r="T473" s="5" t="e">
        <f ca="1">IF(G473=3,INDEX(cards[[1]:[25]],MATCH($C473,cards[object_id order],0),'Group code'!I473),"")</f>
        <v>#N/A</v>
      </c>
      <c r="U473" s="5" t="e">
        <f ca="1">VLOOKUP(G473,'Group code'!$Z$9:$AC$13,4,FALSE)</f>
        <v>#N/A</v>
      </c>
      <c r="V473" s="5" t="e">
        <f ca="1">IF(J473="","",VLOOKUP(J473,'Group code'!$Z$15:$AC$18,4,FALSE))</f>
        <v>#N/A</v>
      </c>
      <c r="W473" s="23" t="str">
        <f t="shared" ca="1" si="120"/>
        <v/>
      </c>
      <c r="X473" s="5" t="str">
        <f t="shared" ca="1" si="107"/>
        <v/>
      </c>
    </row>
    <row r="474" spans="2:24" x14ac:dyDescent="0.25">
      <c r="B474" s="5">
        <f t="shared" si="108"/>
        <v>468</v>
      </c>
      <c r="C474" s="5" t="e">
        <f t="shared" ca="1" si="121"/>
        <v>#N/A</v>
      </c>
      <c r="D474" s="5" t="e">
        <f ca="1">INDEX(cards[Attribute Index],MATCH('Group code'!C474,cards[object_id order],0))</f>
        <v>#N/A</v>
      </c>
      <c r="E474" s="5" t="e">
        <f t="shared" ca="1" si="109"/>
        <v>#N/A</v>
      </c>
      <c r="F474" s="14" t="e">
        <f ca="1">INDEX(cards[Entities count],MATCH('Group code'!C474,cards[object_id order],0))</f>
        <v>#N/A</v>
      </c>
      <c r="G474" s="14" t="e">
        <f t="shared" ca="1" si="111"/>
        <v>#N/A</v>
      </c>
      <c r="H474" s="14" t="e">
        <f t="shared" ca="1" si="112"/>
        <v>#N/A</v>
      </c>
      <c r="I474" s="5" t="e">
        <f t="shared" ca="1" si="113"/>
        <v>#N/A</v>
      </c>
      <c r="J474" s="5" t="e">
        <f t="shared" ca="1" si="110"/>
        <v>#N/A</v>
      </c>
      <c r="K474" s="5" t="e">
        <f t="shared" ca="1" si="114"/>
        <v>#N/A</v>
      </c>
      <c r="L474" s="5" t="e">
        <f t="shared" ca="1" si="115"/>
        <v>#N/A</v>
      </c>
      <c r="M474" s="5" t="e">
        <f t="shared" ca="1" si="116"/>
        <v>#N/A</v>
      </c>
      <c r="N474" s="5" t="e">
        <f t="shared" ca="1" si="117"/>
        <v>#N/A</v>
      </c>
      <c r="O474" s="5" t="e">
        <f t="shared" ca="1" si="118"/>
        <v>#N/A</v>
      </c>
      <c r="P474" s="5" t="e">
        <f ca="1">VLOOKUP(G474,'Group code'!$Z$9:$AC$13,3,FALSE)</f>
        <v>#N/A</v>
      </c>
      <c r="Q474" s="5" t="e">
        <f t="shared" ca="1" si="119"/>
        <v>#N/A</v>
      </c>
      <c r="R474" s="5" t="e">
        <f ca="1">IF(G474=0,INDEX(cards[object_id],MATCH($C474,cards[object_id order],0)),"")</f>
        <v>#N/A</v>
      </c>
      <c r="S474" s="5" t="e">
        <f ca="1">IF(G474=1,INDEX(cards[[name]:[control]],MATCH($C474,cards[object_id order],0),'Group code'!J474),"")</f>
        <v>#N/A</v>
      </c>
      <c r="T474" s="5" t="e">
        <f ca="1">IF(G474=3,INDEX(cards[[1]:[25]],MATCH($C474,cards[object_id order],0),'Group code'!I474),"")</f>
        <v>#N/A</v>
      </c>
      <c r="U474" s="5" t="e">
        <f ca="1">VLOOKUP(G474,'Group code'!$Z$9:$AC$13,4,FALSE)</f>
        <v>#N/A</v>
      </c>
      <c r="V474" s="5" t="e">
        <f ca="1">IF(J474="","",VLOOKUP(J474,'Group code'!$Z$15:$AC$18,4,FALSE))</f>
        <v>#N/A</v>
      </c>
      <c r="W474" s="23" t="str">
        <f t="shared" ca="1" si="120"/>
        <v/>
      </c>
      <c r="X474" s="5" t="str">
        <f t="shared" ca="1" si="107"/>
        <v/>
      </c>
    </row>
    <row r="475" spans="2:24" x14ac:dyDescent="0.25">
      <c r="B475" s="5">
        <f t="shared" si="108"/>
        <v>469</v>
      </c>
      <c r="C475" s="5" t="e">
        <f t="shared" ca="1" si="121"/>
        <v>#N/A</v>
      </c>
      <c r="D475" s="5" t="e">
        <f ca="1">INDEX(cards[Attribute Index],MATCH('Group code'!C475,cards[object_id order],0))</f>
        <v>#N/A</v>
      </c>
      <c r="E475" s="5" t="e">
        <f t="shared" ca="1" si="109"/>
        <v>#N/A</v>
      </c>
      <c r="F475" s="14" t="e">
        <f ca="1">INDEX(cards[Entities count],MATCH('Group code'!C475,cards[object_id order],0))</f>
        <v>#N/A</v>
      </c>
      <c r="G475" s="14" t="e">
        <f t="shared" ca="1" si="111"/>
        <v>#N/A</v>
      </c>
      <c r="H475" s="14" t="e">
        <f t="shared" ca="1" si="112"/>
        <v>#N/A</v>
      </c>
      <c r="I475" s="5" t="e">
        <f t="shared" ca="1" si="113"/>
        <v>#N/A</v>
      </c>
      <c r="J475" s="5" t="e">
        <f t="shared" ca="1" si="110"/>
        <v>#N/A</v>
      </c>
      <c r="K475" s="5" t="e">
        <f t="shared" ca="1" si="114"/>
        <v>#N/A</v>
      </c>
      <c r="L475" s="5" t="e">
        <f t="shared" ca="1" si="115"/>
        <v>#N/A</v>
      </c>
      <c r="M475" s="5" t="e">
        <f t="shared" ca="1" si="116"/>
        <v>#N/A</v>
      </c>
      <c r="N475" s="5" t="e">
        <f t="shared" ca="1" si="117"/>
        <v>#N/A</v>
      </c>
      <c r="O475" s="5" t="e">
        <f t="shared" ca="1" si="118"/>
        <v>#N/A</v>
      </c>
      <c r="P475" s="5" t="e">
        <f ca="1">VLOOKUP(G475,'Group code'!$Z$9:$AC$13,3,FALSE)</f>
        <v>#N/A</v>
      </c>
      <c r="Q475" s="5" t="e">
        <f t="shared" ca="1" si="119"/>
        <v>#N/A</v>
      </c>
      <c r="R475" s="5" t="e">
        <f ca="1">IF(G475=0,INDEX(cards[object_id],MATCH($C475,cards[object_id order],0)),"")</f>
        <v>#N/A</v>
      </c>
      <c r="S475" s="5" t="e">
        <f ca="1">IF(G475=1,INDEX(cards[[name]:[control]],MATCH($C475,cards[object_id order],0),'Group code'!J475),"")</f>
        <v>#N/A</v>
      </c>
      <c r="T475" s="5" t="e">
        <f ca="1">IF(G475=3,INDEX(cards[[1]:[25]],MATCH($C475,cards[object_id order],0),'Group code'!I475),"")</f>
        <v>#N/A</v>
      </c>
      <c r="U475" s="5" t="e">
        <f ca="1">VLOOKUP(G475,'Group code'!$Z$9:$AC$13,4,FALSE)</f>
        <v>#N/A</v>
      </c>
      <c r="V475" s="5" t="e">
        <f ca="1">IF(J475="","",VLOOKUP(J475,'Group code'!$Z$15:$AC$18,4,FALSE))</f>
        <v>#N/A</v>
      </c>
      <c r="W475" s="23" t="str">
        <f t="shared" ca="1" si="120"/>
        <v/>
      </c>
      <c r="X475" s="5" t="str">
        <f t="shared" ca="1" si="107"/>
        <v/>
      </c>
    </row>
    <row r="476" spans="2:24" x14ac:dyDescent="0.25">
      <c r="B476" s="5">
        <f t="shared" si="108"/>
        <v>470</v>
      </c>
      <c r="C476" s="5" t="e">
        <f t="shared" ca="1" si="121"/>
        <v>#N/A</v>
      </c>
      <c r="D476" s="5" t="e">
        <f ca="1">INDEX(cards[Attribute Index],MATCH('Group code'!C476,cards[object_id order],0))</f>
        <v>#N/A</v>
      </c>
      <c r="E476" s="5" t="e">
        <f t="shared" ca="1" si="109"/>
        <v>#N/A</v>
      </c>
      <c r="F476" s="14" t="e">
        <f ca="1">INDEX(cards[Entities count],MATCH('Group code'!C476,cards[object_id order],0))</f>
        <v>#N/A</v>
      </c>
      <c r="G476" s="14" t="e">
        <f t="shared" ca="1" si="111"/>
        <v>#N/A</v>
      </c>
      <c r="H476" s="14" t="e">
        <f t="shared" ca="1" si="112"/>
        <v>#N/A</v>
      </c>
      <c r="I476" s="5" t="e">
        <f t="shared" ca="1" si="113"/>
        <v>#N/A</v>
      </c>
      <c r="J476" s="5" t="e">
        <f t="shared" ca="1" si="110"/>
        <v>#N/A</v>
      </c>
      <c r="K476" s="5" t="e">
        <f t="shared" ca="1" si="114"/>
        <v>#N/A</v>
      </c>
      <c r="L476" s="5" t="e">
        <f t="shared" ca="1" si="115"/>
        <v>#N/A</v>
      </c>
      <c r="M476" s="5" t="e">
        <f t="shared" ca="1" si="116"/>
        <v>#N/A</v>
      </c>
      <c r="N476" s="5" t="e">
        <f t="shared" ca="1" si="117"/>
        <v>#N/A</v>
      </c>
      <c r="O476" s="5" t="e">
        <f t="shared" ca="1" si="118"/>
        <v>#N/A</v>
      </c>
      <c r="P476" s="5" t="e">
        <f ca="1">VLOOKUP(G476,'Group code'!$Z$9:$AC$13,3,FALSE)</f>
        <v>#N/A</v>
      </c>
      <c r="Q476" s="5" t="e">
        <f t="shared" ca="1" si="119"/>
        <v>#N/A</v>
      </c>
      <c r="R476" s="5" t="e">
        <f ca="1">IF(G476=0,INDEX(cards[object_id],MATCH($C476,cards[object_id order],0)),"")</f>
        <v>#N/A</v>
      </c>
      <c r="S476" s="5" t="e">
        <f ca="1">IF(G476=1,INDEX(cards[[name]:[control]],MATCH($C476,cards[object_id order],0),'Group code'!J476),"")</f>
        <v>#N/A</v>
      </c>
      <c r="T476" s="5" t="e">
        <f ca="1">IF(G476=3,INDEX(cards[[1]:[25]],MATCH($C476,cards[object_id order],0),'Group code'!I476),"")</f>
        <v>#N/A</v>
      </c>
      <c r="U476" s="5" t="e">
        <f ca="1">VLOOKUP(G476,'Group code'!$Z$9:$AC$13,4,FALSE)</f>
        <v>#N/A</v>
      </c>
      <c r="V476" s="5" t="e">
        <f ca="1">IF(J476="","",VLOOKUP(J476,'Group code'!$Z$15:$AC$18,4,FALSE))</f>
        <v>#N/A</v>
      </c>
      <c r="W476" s="23" t="str">
        <f t="shared" ca="1" si="120"/>
        <v/>
      </c>
      <c r="X476" s="5" t="str">
        <f t="shared" ca="1" si="107"/>
        <v/>
      </c>
    </row>
    <row r="477" spans="2:24" x14ac:dyDescent="0.25">
      <c r="B477" s="5">
        <f t="shared" si="108"/>
        <v>471</v>
      </c>
      <c r="C477" s="5" t="e">
        <f t="shared" ca="1" si="121"/>
        <v>#N/A</v>
      </c>
      <c r="D477" s="5" t="e">
        <f ca="1">INDEX(cards[Attribute Index],MATCH('Group code'!C477,cards[object_id order],0))</f>
        <v>#N/A</v>
      </c>
      <c r="E477" s="5" t="e">
        <f t="shared" ca="1" si="109"/>
        <v>#N/A</v>
      </c>
      <c r="F477" s="14" t="e">
        <f ca="1">INDEX(cards[Entities count],MATCH('Group code'!C477,cards[object_id order],0))</f>
        <v>#N/A</v>
      </c>
      <c r="G477" s="14" t="e">
        <f t="shared" ca="1" si="111"/>
        <v>#N/A</v>
      </c>
      <c r="H477" s="14" t="e">
        <f t="shared" ca="1" si="112"/>
        <v>#N/A</v>
      </c>
      <c r="I477" s="5" t="e">
        <f t="shared" ca="1" si="113"/>
        <v>#N/A</v>
      </c>
      <c r="J477" s="5" t="e">
        <f t="shared" ca="1" si="110"/>
        <v>#N/A</v>
      </c>
      <c r="K477" s="5" t="e">
        <f t="shared" ca="1" si="114"/>
        <v>#N/A</v>
      </c>
      <c r="L477" s="5" t="e">
        <f t="shared" ca="1" si="115"/>
        <v>#N/A</v>
      </c>
      <c r="M477" s="5" t="e">
        <f t="shared" ca="1" si="116"/>
        <v>#N/A</v>
      </c>
      <c r="N477" s="5" t="e">
        <f t="shared" ca="1" si="117"/>
        <v>#N/A</v>
      </c>
      <c r="O477" s="5" t="e">
        <f t="shared" ca="1" si="118"/>
        <v>#N/A</v>
      </c>
      <c r="P477" s="5" t="e">
        <f ca="1">VLOOKUP(G477,'Group code'!$Z$9:$AC$13,3,FALSE)</f>
        <v>#N/A</v>
      </c>
      <c r="Q477" s="5" t="e">
        <f t="shared" ca="1" si="119"/>
        <v>#N/A</v>
      </c>
      <c r="R477" s="5" t="e">
        <f ca="1">IF(G477=0,INDEX(cards[object_id],MATCH($C477,cards[object_id order],0)),"")</f>
        <v>#N/A</v>
      </c>
      <c r="S477" s="5" t="e">
        <f ca="1">IF(G477=1,INDEX(cards[[name]:[control]],MATCH($C477,cards[object_id order],0),'Group code'!J477),"")</f>
        <v>#N/A</v>
      </c>
      <c r="T477" s="5" t="e">
        <f ca="1">IF(G477=3,INDEX(cards[[1]:[25]],MATCH($C477,cards[object_id order],0),'Group code'!I477),"")</f>
        <v>#N/A</v>
      </c>
      <c r="U477" s="5" t="e">
        <f ca="1">VLOOKUP(G477,'Group code'!$Z$9:$AC$13,4,FALSE)</f>
        <v>#N/A</v>
      </c>
      <c r="V477" s="5" t="e">
        <f ca="1">IF(J477="","",VLOOKUP(J477,'Group code'!$Z$15:$AC$18,4,FALSE))</f>
        <v>#N/A</v>
      </c>
      <c r="W477" s="23" t="str">
        <f t="shared" ca="1" si="120"/>
        <v/>
      </c>
      <c r="X477" s="5" t="str">
        <f t="shared" ca="1" si="107"/>
        <v/>
      </c>
    </row>
    <row r="478" spans="2:24" x14ac:dyDescent="0.25">
      <c r="B478" s="5">
        <f t="shared" si="108"/>
        <v>472</v>
      </c>
      <c r="C478" s="5" t="e">
        <f t="shared" ca="1" si="121"/>
        <v>#N/A</v>
      </c>
      <c r="D478" s="5" t="e">
        <f ca="1">INDEX(cards[Attribute Index],MATCH('Group code'!C478,cards[object_id order],0))</f>
        <v>#N/A</v>
      </c>
      <c r="E478" s="5" t="e">
        <f t="shared" ca="1" si="109"/>
        <v>#N/A</v>
      </c>
      <c r="F478" s="14" t="e">
        <f ca="1">INDEX(cards[Entities count],MATCH('Group code'!C478,cards[object_id order],0))</f>
        <v>#N/A</v>
      </c>
      <c r="G478" s="14" t="e">
        <f t="shared" ca="1" si="111"/>
        <v>#N/A</v>
      </c>
      <c r="H478" s="14" t="e">
        <f t="shared" ca="1" si="112"/>
        <v>#N/A</v>
      </c>
      <c r="I478" s="5" t="e">
        <f t="shared" ca="1" si="113"/>
        <v>#N/A</v>
      </c>
      <c r="J478" s="5" t="e">
        <f t="shared" ca="1" si="110"/>
        <v>#N/A</v>
      </c>
      <c r="K478" s="5" t="e">
        <f t="shared" ca="1" si="114"/>
        <v>#N/A</v>
      </c>
      <c r="L478" s="5" t="e">
        <f t="shared" ca="1" si="115"/>
        <v>#N/A</v>
      </c>
      <c r="M478" s="5" t="e">
        <f t="shared" ca="1" si="116"/>
        <v>#N/A</v>
      </c>
      <c r="N478" s="5" t="e">
        <f t="shared" ca="1" si="117"/>
        <v>#N/A</v>
      </c>
      <c r="O478" s="5" t="e">
        <f t="shared" ca="1" si="118"/>
        <v>#N/A</v>
      </c>
      <c r="P478" s="5" t="e">
        <f ca="1">VLOOKUP(G478,'Group code'!$Z$9:$AC$13,3,FALSE)</f>
        <v>#N/A</v>
      </c>
      <c r="Q478" s="5" t="e">
        <f t="shared" ca="1" si="119"/>
        <v>#N/A</v>
      </c>
      <c r="R478" s="5" t="e">
        <f ca="1">IF(G478=0,INDEX(cards[object_id],MATCH($C478,cards[object_id order],0)),"")</f>
        <v>#N/A</v>
      </c>
      <c r="S478" s="5" t="e">
        <f ca="1">IF(G478=1,INDEX(cards[[name]:[control]],MATCH($C478,cards[object_id order],0),'Group code'!J478),"")</f>
        <v>#N/A</v>
      </c>
      <c r="T478" s="5" t="e">
        <f ca="1">IF(G478=3,INDEX(cards[[1]:[25]],MATCH($C478,cards[object_id order],0),'Group code'!I478),"")</f>
        <v>#N/A</v>
      </c>
      <c r="U478" s="5" t="e">
        <f ca="1">VLOOKUP(G478,'Group code'!$Z$9:$AC$13,4,FALSE)</f>
        <v>#N/A</v>
      </c>
      <c r="V478" s="5" t="e">
        <f ca="1">IF(J478="","",VLOOKUP(J478,'Group code'!$Z$15:$AC$18,4,FALSE))</f>
        <v>#N/A</v>
      </c>
      <c r="W478" s="23" t="str">
        <f t="shared" ca="1" si="120"/>
        <v/>
      </c>
      <c r="X478" s="5" t="str">
        <f t="shared" ca="1" si="107"/>
        <v/>
      </c>
    </row>
    <row r="479" spans="2:24" x14ac:dyDescent="0.25">
      <c r="B479" s="5">
        <f t="shared" si="108"/>
        <v>473</v>
      </c>
      <c r="C479" s="5" t="e">
        <f t="shared" ca="1" si="121"/>
        <v>#N/A</v>
      </c>
      <c r="D479" s="5" t="e">
        <f ca="1">INDEX(cards[Attribute Index],MATCH('Group code'!C479,cards[object_id order],0))</f>
        <v>#N/A</v>
      </c>
      <c r="E479" s="5" t="e">
        <f t="shared" ca="1" si="109"/>
        <v>#N/A</v>
      </c>
      <c r="F479" s="14" t="e">
        <f ca="1">INDEX(cards[Entities count],MATCH('Group code'!C479,cards[object_id order],0))</f>
        <v>#N/A</v>
      </c>
      <c r="G479" s="14" t="e">
        <f t="shared" ca="1" si="111"/>
        <v>#N/A</v>
      </c>
      <c r="H479" s="14" t="e">
        <f t="shared" ca="1" si="112"/>
        <v>#N/A</v>
      </c>
      <c r="I479" s="5" t="e">
        <f t="shared" ca="1" si="113"/>
        <v>#N/A</v>
      </c>
      <c r="J479" s="5" t="e">
        <f t="shared" ca="1" si="110"/>
        <v>#N/A</v>
      </c>
      <c r="K479" s="5" t="e">
        <f t="shared" ca="1" si="114"/>
        <v>#N/A</v>
      </c>
      <c r="L479" s="5" t="e">
        <f t="shared" ca="1" si="115"/>
        <v>#N/A</v>
      </c>
      <c r="M479" s="5" t="e">
        <f t="shared" ca="1" si="116"/>
        <v>#N/A</v>
      </c>
      <c r="N479" s="5" t="e">
        <f t="shared" ca="1" si="117"/>
        <v>#N/A</v>
      </c>
      <c r="O479" s="5" t="e">
        <f t="shared" ca="1" si="118"/>
        <v>#N/A</v>
      </c>
      <c r="P479" s="5" t="e">
        <f ca="1">VLOOKUP(G479,'Group code'!$Z$9:$AC$13,3,FALSE)</f>
        <v>#N/A</v>
      </c>
      <c r="Q479" s="5" t="e">
        <f t="shared" ca="1" si="119"/>
        <v>#N/A</v>
      </c>
      <c r="R479" s="5" t="e">
        <f ca="1">IF(G479=0,INDEX(cards[object_id],MATCH($C479,cards[object_id order],0)),"")</f>
        <v>#N/A</v>
      </c>
      <c r="S479" s="5" t="e">
        <f ca="1">IF(G479=1,INDEX(cards[[name]:[control]],MATCH($C479,cards[object_id order],0),'Group code'!J479),"")</f>
        <v>#N/A</v>
      </c>
      <c r="T479" s="5" t="e">
        <f ca="1">IF(G479=3,INDEX(cards[[1]:[25]],MATCH($C479,cards[object_id order],0),'Group code'!I479),"")</f>
        <v>#N/A</v>
      </c>
      <c r="U479" s="5" t="e">
        <f ca="1">VLOOKUP(G479,'Group code'!$Z$9:$AC$13,4,FALSE)</f>
        <v>#N/A</v>
      </c>
      <c r="V479" s="5" t="e">
        <f ca="1">IF(J479="","",VLOOKUP(J479,'Group code'!$Z$15:$AC$18,4,FALSE))</f>
        <v>#N/A</v>
      </c>
      <c r="W479" s="23" t="str">
        <f t="shared" ca="1" si="120"/>
        <v/>
      </c>
      <c r="X479" s="5" t="str">
        <f t="shared" ca="1" si="107"/>
        <v/>
      </c>
    </row>
    <row r="480" spans="2:24" x14ac:dyDescent="0.25">
      <c r="B480" s="5">
        <f t="shared" si="108"/>
        <v>474</v>
      </c>
      <c r="C480" s="5" t="e">
        <f t="shared" ca="1" si="121"/>
        <v>#N/A</v>
      </c>
      <c r="D480" s="5" t="e">
        <f ca="1">INDEX(cards[Attribute Index],MATCH('Group code'!C480,cards[object_id order],0))</f>
        <v>#N/A</v>
      </c>
      <c r="E480" s="5" t="e">
        <f t="shared" ca="1" si="109"/>
        <v>#N/A</v>
      </c>
      <c r="F480" s="14" t="e">
        <f ca="1">INDEX(cards[Entities count],MATCH('Group code'!C480,cards[object_id order],0))</f>
        <v>#N/A</v>
      </c>
      <c r="G480" s="14" t="e">
        <f t="shared" ca="1" si="111"/>
        <v>#N/A</v>
      </c>
      <c r="H480" s="14" t="e">
        <f t="shared" ca="1" si="112"/>
        <v>#N/A</v>
      </c>
      <c r="I480" s="5" t="e">
        <f t="shared" ca="1" si="113"/>
        <v>#N/A</v>
      </c>
      <c r="J480" s="5" t="e">
        <f t="shared" ca="1" si="110"/>
        <v>#N/A</v>
      </c>
      <c r="K480" s="5" t="e">
        <f t="shared" ca="1" si="114"/>
        <v>#N/A</v>
      </c>
      <c r="L480" s="5" t="e">
        <f t="shared" ca="1" si="115"/>
        <v>#N/A</v>
      </c>
      <c r="M480" s="5" t="e">
        <f t="shared" ca="1" si="116"/>
        <v>#N/A</v>
      </c>
      <c r="N480" s="5" t="e">
        <f t="shared" ca="1" si="117"/>
        <v>#N/A</v>
      </c>
      <c r="O480" s="5" t="e">
        <f t="shared" ca="1" si="118"/>
        <v>#N/A</v>
      </c>
      <c r="P480" s="5" t="e">
        <f ca="1">VLOOKUP(G480,'Group code'!$Z$9:$AC$13,3,FALSE)</f>
        <v>#N/A</v>
      </c>
      <c r="Q480" s="5" t="e">
        <f t="shared" ca="1" si="119"/>
        <v>#N/A</v>
      </c>
      <c r="R480" s="5" t="e">
        <f ca="1">IF(G480=0,INDEX(cards[object_id],MATCH($C480,cards[object_id order],0)),"")</f>
        <v>#N/A</v>
      </c>
      <c r="S480" s="5" t="e">
        <f ca="1">IF(G480=1,INDEX(cards[[name]:[control]],MATCH($C480,cards[object_id order],0),'Group code'!J480),"")</f>
        <v>#N/A</v>
      </c>
      <c r="T480" s="5" t="e">
        <f ca="1">IF(G480=3,INDEX(cards[[1]:[25]],MATCH($C480,cards[object_id order],0),'Group code'!I480),"")</f>
        <v>#N/A</v>
      </c>
      <c r="U480" s="5" t="e">
        <f ca="1">VLOOKUP(G480,'Group code'!$Z$9:$AC$13,4,FALSE)</f>
        <v>#N/A</v>
      </c>
      <c r="V480" s="5" t="e">
        <f ca="1">IF(J480="","",VLOOKUP(J480,'Group code'!$Z$15:$AC$18,4,FALSE))</f>
        <v>#N/A</v>
      </c>
      <c r="W480" s="23" t="str">
        <f t="shared" ca="1" si="120"/>
        <v/>
      </c>
      <c r="X480" s="5" t="str">
        <f t="shared" ca="1" si="107"/>
        <v/>
      </c>
    </row>
    <row r="481" spans="2:24" x14ac:dyDescent="0.25">
      <c r="B481" s="5">
        <f t="shared" si="108"/>
        <v>475</v>
      </c>
      <c r="C481" s="5" t="e">
        <f t="shared" ca="1" si="121"/>
        <v>#N/A</v>
      </c>
      <c r="D481" s="5" t="e">
        <f ca="1">INDEX(cards[Attribute Index],MATCH('Group code'!C481,cards[object_id order],0))</f>
        <v>#N/A</v>
      </c>
      <c r="E481" s="5" t="e">
        <f t="shared" ca="1" si="109"/>
        <v>#N/A</v>
      </c>
      <c r="F481" s="14" t="e">
        <f ca="1">INDEX(cards[Entities count],MATCH('Group code'!C481,cards[object_id order],0))</f>
        <v>#N/A</v>
      </c>
      <c r="G481" s="14" t="e">
        <f t="shared" ca="1" si="111"/>
        <v>#N/A</v>
      </c>
      <c r="H481" s="14" t="e">
        <f t="shared" ca="1" si="112"/>
        <v>#N/A</v>
      </c>
      <c r="I481" s="5" t="e">
        <f t="shared" ca="1" si="113"/>
        <v>#N/A</v>
      </c>
      <c r="J481" s="5" t="e">
        <f t="shared" ca="1" si="110"/>
        <v>#N/A</v>
      </c>
      <c r="K481" s="5" t="e">
        <f t="shared" ca="1" si="114"/>
        <v>#N/A</v>
      </c>
      <c r="L481" s="5" t="e">
        <f t="shared" ca="1" si="115"/>
        <v>#N/A</v>
      </c>
      <c r="M481" s="5" t="e">
        <f t="shared" ca="1" si="116"/>
        <v>#N/A</v>
      </c>
      <c r="N481" s="5" t="e">
        <f t="shared" ca="1" si="117"/>
        <v>#N/A</v>
      </c>
      <c r="O481" s="5" t="e">
        <f t="shared" ca="1" si="118"/>
        <v>#N/A</v>
      </c>
      <c r="P481" s="5" t="e">
        <f ca="1">VLOOKUP(G481,'Group code'!$Z$9:$AC$13,3,FALSE)</f>
        <v>#N/A</v>
      </c>
      <c r="Q481" s="5" t="e">
        <f t="shared" ca="1" si="119"/>
        <v>#N/A</v>
      </c>
      <c r="R481" s="5" t="e">
        <f ca="1">IF(G481=0,INDEX(cards[object_id],MATCH($C481,cards[object_id order],0)),"")</f>
        <v>#N/A</v>
      </c>
      <c r="S481" s="5" t="e">
        <f ca="1">IF(G481=1,INDEX(cards[[name]:[control]],MATCH($C481,cards[object_id order],0),'Group code'!J481),"")</f>
        <v>#N/A</v>
      </c>
      <c r="T481" s="5" t="e">
        <f ca="1">IF(G481=3,INDEX(cards[[1]:[25]],MATCH($C481,cards[object_id order],0),'Group code'!I481),"")</f>
        <v>#N/A</v>
      </c>
      <c r="U481" s="5" t="e">
        <f ca="1">VLOOKUP(G481,'Group code'!$Z$9:$AC$13,4,FALSE)</f>
        <v>#N/A</v>
      </c>
      <c r="V481" s="5" t="e">
        <f ca="1">IF(J481="","",VLOOKUP(J481,'Group code'!$Z$15:$AC$18,4,FALSE))</f>
        <v>#N/A</v>
      </c>
      <c r="W481" s="23" t="str">
        <f t="shared" ca="1" si="120"/>
        <v/>
      </c>
      <c r="X481" s="5" t="str">
        <f t="shared" ca="1" si="107"/>
        <v/>
      </c>
    </row>
    <row r="482" spans="2:24" x14ac:dyDescent="0.25">
      <c r="B482" s="5">
        <f t="shared" si="108"/>
        <v>476</v>
      </c>
      <c r="C482" s="5" t="e">
        <f t="shared" ca="1" si="121"/>
        <v>#N/A</v>
      </c>
      <c r="D482" s="5" t="e">
        <f ca="1">INDEX(cards[Attribute Index],MATCH('Group code'!C482,cards[object_id order],0))</f>
        <v>#N/A</v>
      </c>
      <c r="E482" s="5" t="e">
        <f t="shared" ca="1" si="109"/>
        <v>#N/A</v>
      </c>
      <c r="F482" s="14" t="e">
        <f ca="1">INDEX(cards[Entities count],MATCH('Group code'!C482,cards[object_id order],0))</f>
        <v>#N/A</v>
      </c>
      <c r="G482" s="14" t="e">
        <f t="shared" ca="1" si="111"/>
        <v>#N/A</v>
      </c>
      <c r="H482" s="14" t="e">
        <f t="shared" ca="1" si="112"/>
        <v>#N/A</v>
      </c>
      <c r="I482" s="5" t="e">
        <f t="shared" ca="1" si="113"/>
        <v>#N/A</v>
      </c>
      <c r="J482" s="5" t="e">
        <f t="shared" ca="1" si="110"/>
        <v>#N/A</v>
      </c>
      <c r="K482" s="5" t="e">
        <f t="shared" ca="1" si="114"/>
        <v>#N/A</v>
      </c>
      <c r="L482" s="5" t="e">
        <f t="shared" ca="1" si="115"/>
        <v>#N/A</v>
      </c>
      <c r="M482" s="5" t="e">
        <f t="shared" ca="1" si="116"/>
        <v>#N/A</v>
      </c>
      <c r="N482" s="5" t="e">
        <f t="shared" ca="1" si="117"/>
        <v>#N/A</v>
      </c>
      <c r="O482" s="5" t="e">
        <f t="shared" ca="1" si="118"/>
        <v>#N/A</v>
      </c>
      <c r="P482" s="5" t="e">
        <f ca="1">VLOOKUP(G482,'Group code'!$Z$9:$AC$13,3,FALSE)</f>
        <v>#N/A</v>
      </c>
      <c r="Q482" s="5" t="e">
        <f t="shared" ca="1" si="119"/>
        <v>#N/A</v>
      </c>
      <c r="R482" s="5" t="e">
        <f ca="1">IF(G482=0,INDEX(cards[object_id],MATCH($C482,cards[object_id order],0)),"")</f>
        <v>#N/A</v>
      </c>
      <c r="S482" s="5" t="e">
        <f ca="1">IF(G482=1,INDEX(cards[[name]:[control]],MATCH($C482,cards[object_id order],0),'Group code'!J482),"")</f>
        <v>#N/A</v>
      </c>
      <c r="T482" s="5" t="e">
        <f ca="1">IF(G482=3,INDEX(cards[[1]:[25]],MATCH($C482,cards[object_id order],0),'Group code'!I482),"")</f>
        <v>#N/A</v>
      </c>
      <c r="U482" s="5" t="e">
        <f ca="1">VLOOKUP(G482,'Group code'!$Z$9:$AC$13,4,FALSE)</f>
        <v>#N/A</v>
      </c>
      <c r="V482" s="5" t="e">
        <f ca="1">IF(J482="","",VLOOKUP(J482,'Group code'!$Z$15:$AC$18,4,FALSE))</f>
        <v>#N/A</v>
      </c>
      <c r="W482" s="23" t="str">
        <f t="shared" ca="1" si="120"/>
        <v/>
      </c>
      <c r="X482" s="5" t="str">
        <f t="shared" ca="1" si="107"/>
        <v/>
      </c>
    </row>
    <row r="483" spans="2:24" x14ac:dyDescent="0.25">
      <c r="B483" s="5">
        <f t="shared" si="108"/>
        <v>477</v>
      </c>
      <c r="C483" s="5" t="e">
        <f t="shared" ca="1" si="121"/>
        <v>#N/A</v>
      </c>
      <c r="D483" s="5" t="e">
        <f ca="1">INDEX(cards[Attribute Index],MATCH('Group code'!C483,cards[object_id order],0))</f>
        <v>#N/A</v>
      </c>
      <c r="E483" s="5" t="e">
        <f t="shared" ca="1" si="109"/>
        <v>#N/A</v>
      </c>
      <c r="F483" s="14" t="e">
        <f ca="1">INDEX(cards[Entities count],MATCH('Group code'!C483,cards[object_id order],0))</f>
        <v>#N/A</v>
      </c>
      <c r="G483" s="14" t="e">
        <f t="shared" ca="1" si="111"/>
        <v>#N/A</v>
      </c>
      <c r="H483" s="14" t="e">
        <f t="shared" ca="1" si="112"/>
        <v>#N/A</v>
      </c>
      <c r="I483" s="5" t="e">
        <f t="shared" ca="1" si="113"/>
        <v>#N/A</v>
      </c>
      <c r="J483" s="5" t="e">
        <f t="shared" ca="1" si="110"/>
        <v>#N/A</v>
      </c>
      <c r="K483" s="5" t="e">
        <f t="shared" ca="1" si="114"/>
        <v>#N/A</v>
      </c>
      <c r="L483" s="5" t="e">
        <f t="shared" ca="1" si="115"/>
        <v>#N/A</v>
      </c>
      <c r="M483" s="5" t="e">
        <f t="shared" ca="1" si="116"/>
        <v>#N/A</v>
      </c>
      <c r="N483" s="5" t="e">
        <f t="shared" ca="1" si="117"/>
        <v>#N/A</v>
      </c>
      <c r="O483" s="5" t="e">
        <f t="shared" ca="1" si="118"/>
        <v>#N/A</v>
      </c>
      <c r="P483" s="5" t="e">
        <f ca="1">VLOOKUP(G483,'Group code'!$Z$9:$AC$13,3,FALSE)</f>
        <v>#N/A</v>
      </c>
      <c r="Q483" s="5" t="e">
        <f t="shared" ca="1" si="119"/>
        <v>#N/A</v>
      </c>
      <c r="R483" s="5" t="e">
        <f ca="1">IF(G483=0,INDEX(cards[object_id],MATCH($C483,cards[object_id order],0)),"")</f>
        <v>#N/A</v>
      </c>
      <c r="S483" s="5" t="e">
        <f ca="1">IF(G483=1,INDEX(cards[[name]:[control]],MATCH($C483,cards[object_id order],0),'Group code'!J483),"")</f>
        <v>#N/A</v>
      </c>
      <c r="T483" s="5" t="e">
        <f ca="1">IF(G483=3,INDEX(cards[[1]:[25]],MATCH($C483,cards[object_id order],0),'Group code'!I483),"")</f>
        <v>#N/A</v>
      </c>
      <c r="U483" s="5" t="e">
        <f ca="1">VLOOKUP(G483,'Group code'!$Z$9:$AC$13,4,FALSE)</f>
        <v>#N/A</v>
      </c>
      <c r="V483" s="5" t="e">
        <f ca="1">IF(J483="","",VLOOKUP(J483,'Group code'!$Z$15:$AC$18,4,FALSE))</f>
        <v>#N/A</v>
      </c>
      <c r="W483" s="23" t="str">
        <f t="shared" ca="1" si="120"/>
        <v/>
      </c>
      <c r="X483" s="5" t="str">
        <f t="shared" ca="1" si="107"/>
        <v/>
      </c>
    </row>
    <row r="484" spans="2:24" x14ac:dyDescent="0.25">
      <c r="B484" s="5">
        <f t="shared" si="108"/>
        <v>478</v>
      </c>
      <c r="C484" s="5" t="e">
        <f t="shared" ca="1" si="121"/>
        <v>#N/A</v>
      </c>
      <c r="D484" s="5" t="e">
        <f ca="1">INDEX(cards[Attribute Index],MATCH('Group code'!C484,cards[object_id order],0))</f>
        <v>#N/A</v>
      </c>
      <c r="E484" s="5" t="e">
        <f t="shared" ca="1" si="109"/>
        <v>#N/A</v>
      </c>
      <c r="F484" s="14" t="e">
        <f ca="1">INDEX(cards[Entities count],MATCH('Group code'!C484,cards[object_id order],0))</f>
        <v>#N/A</v>
      </c>
      <c r="G484" s="14" t="e">
        <f t="shared" ca="1" si="111"/>
        <v>#N/A</v>
      </c>
      <c r="H484" s="14" t="e">
        <f t="shared" ca="1" si="112"/>
        <v>#N/A</v>
      </c>
      <c r="I484" s="5" t="e">
        <f t="shared" ca="1" si="113"/>
        <v>#N/A</v>
      </c>
      <c r="J484" s="5" t="e">
        <f t="shared" ca="1" si="110"/>
        <v>#N/A</v>
      </c>
      <c r="K484" s="5" t="e">
        <f t="shared" ca="1" si="114"/>
        <v>#N/A</v>
      </c>
      <c r="L484" s="5" t="e">
        <f t="shared" ca="1" si="115"/>
        <v>#N/A</v>
      </c>
      <c r="M484" s="5" t="e">
        <f t="shared" ca="1" si="116"/>
        <v>#N/A</v>
      </c>
      <c r="N484" s="5" t="e">
        <f t="shared" ca="1" si="117"/>
        <v>#N/A</v>
      </c>
      <c r="O484" s="5" t="e">
        <f t="shared" ca="1" si="118"/>
        <v>#N/A</v>
      </c>
      <c r="P484" s="5" t="e">
        <f ca="1">VLOOKUP(G484,'Group code'!$Z$9:$AC$13,3,FALSE)</f>
        <v>#N/A</v>
      </c>
      <c r="Q484" s="5" t="e">
        <f t="shared" ca="1" si="119"/>
        <v>#N/A</v>
      </c>
      <c r="R484" s="5" t="e">
        <f ca="1">IF(G484=0,INDEX(cards[object_id],MATCH($C484,cards[object_id order],0)),"")</f>
        <v>#N/A</v>
      </c>
      <c r="S484" s="5" t="e">
        <f ca="1">IF(G484=1,INDEX(cards[[name]:[control]],MATCH($C484,cards[object_id order],0),'Group code'!J484),"")</f>
        <v>#N/A</v>
      </c>
      <c r="T484" s="5" t="e">
        <f ca="1">IF(G484=3,INDEX(cards[[1]:[25]],MATCH($C484,cards[object_id order],0),'Group code'!I484),"")</f>
        <v>#N/A</v>
      </c>
      <c r="U484" s="5" t="e">
        <f ca="1">VLOOKUP(G484,'Group code'!$Z$9:$AC$13,4,FALSE)</f>
        <v>#N/A</v>
      </c>
      <c r="V484" s="5" t="e">
        <f ca="1">IF(J484="","",VLOOKUP(J484,'Group code'!$Z$15:$AC$18,4,FALSE))</f>
        <v>#N/A</v>
      </c>
      <c r="W484" s="23" t="str">
        <f t="shared" ca="1" si="120"/>
        <v/>
      </c>
      <c r="X484" s="5" t="str">
        <f t="shared" ca="1" si="107"/>
        <v/>
      </c>
    </row>
    <row r="485" spans="2:24" x14ac:dyDescent="0.25">
      <c r="B485" s="5">
        <f t="shared" si="108"/>
        <v>479</v>
      </c>
      <c r="C485" s="5" t="e">
        <f t="shared" ca="1" si="121"/>
        <v>#N/A</v>
      </c>
      <c r="D485" s="5" t="e">
        <f ca="1">INDEX(cards[Attribute Index],MATCH('Group code'!C485,cards[object_id order],0))</f>
        <v>#N/A</v>
      </c>
      <c r="E485" s="5" t="e">
        <f t="shared" ca="1" si="109"/>
        <v>#N/A</v>
      </c>
      <c r="F485" s="14" t="e">
        <f ca="1">INDEX(cards[Entities count],MATCH('Group code'!C485,cards[object_id order],0))</f>
        <v>#N/A</v>
      </c>
      <c r="G485" s="14" t="e">
        <f t="shared" ca="1" si="111"/>
        <v>#N/A</v>
      </c>
      <c r="H485" s="14" t="e">
        <f t="shared" ca="1" si="112"/>
        <v>#N/A</v>
      </c>
      <c r="I485" s="5" t="e">
        <f t="shared" ca="1" si="113"/>
        <v>#N/A</v>
      </c>
      <c r="J485" s="5" t="e">
        <f t="shared" ca="1" si="110"/>
        <v>#N/A</v>
      </c>
      <c r="K485" s="5" t="e">
        <f t="shared" ca="1" si="114"/>
        <v>#N/A</v>
      </c>
      <c r="L485" s="5" t="e">
        <f t="shared" ca="1" si="115"/>
        <v>#N/A</v>
      </c>
      <c r="M485" s="5" t="e">
        <f t="shared" ca="1" si="116"/>
        <v>#N/A</v>
      </c>
      <c r="N485" s="5" t="e">
        <f t="shared" ca="1" si="117"/>
        <v>#N/A</v>
      </c>
      <c r="O485" s="5" t="e">
        <f t="shared" ca="1" si="118"/>
        <v>#N/A</v>
      </c>
      <c r="P485" s="5" t="e">
        <f ca="1">VLOOKUP(G485,'Group code'!$Z$9:$AC$13,3,FALSE)</f>
        <v>#N/A</v>
      </c>
      <c r="Q485" s="5" t="e">
        <f t="shared" ca="1" si="119"/>
        <v>#N/A</v>
      </c>
      <c r="R485" s="5" t="e">
        <f ca="1">IF(G485=0,INDEX(cards[object_id],MATCH($C485,cards[object_id order],0)),"")</f>
        <v>#N/A</v>
      </c>
      <c r="S485" s="5" t="e">
        <f ca="1">IF(G485=1,INDEX(cards[[name]:[control]],MATCH($C485,cards[object_id order],0),'Group code'!J485),"")</f>
        <v>#N/A</v>
      </c>
      <c r="T485" s="5" t="e">
        <f ca="1">IF(G485=3,INDEX(cards[[1]:[25]],MATCH($C485,cards[object_id order],0),'Group code'!I485),"")</f>
        <v>#N/A</v>
      </c>
      <c r="U485" s="5" t="e">
        <f ca="1">VLOOKUP(G485,'Group code'!$Z$9:$AC$13,4,FALSE)</f>
        <v>#N/A</v>
      </c>
      <c r="V485" s="5" t="e">
        <f ca="1">IF(J485="","",VLOOKUP(J485,'Group code'!$Z$15:$AC$18,4,FALSE))</f>
        <v>#N/A</v>
      </c>
      <c r="W485" s="23" t="str">
        <f t="shared" ca="1" si="120"/>
        <v/>
      </c>
      <c r="X485" s="5" t="str">
        <f t="shared" ca="1" si="107"/>
        <v/>
      </c>
    </row>
    <row r="486" spans="2:24" x14ac:dyDescent="0.25">
      <c r="B486" s="5">
        <f t="shared" si="108"/>
        <v>480</v>
      </c>
      <c r="C486" s="5" t="e">
        <f t="shared" ca="1" si="121"/>
        <v>#N/A</v>
      </c>
      <c r="D486" s="5" t="e">
        <f ca="1">INDEX(cards[Attribute Index],MATCH('Group code'!C486,cards[object_id order],0))</f>
        <v>#N/A</v>
      </c>
      <c r="E486" s="5" t="e">
        <f t="shared" ca="1" si="109"/>
        <v>#N/A</v>
      </c>
      <c r="F486" s="14" t="e">
        <f ca="1">INDEX(cards[Entities count],MATCH('Group code'!C486,cards[object_id order],0))</f>
        <v>#N/A</v>
      </c>
      <c r="G486" s="14" t="e">
        <f t="shared" ca="1" si="111"/>
        <v>#N/A</v>
      </c>
      <c r="H486" s="14" t="e">
        <f t="shared" ca="1" si="112"/>
        <v>#N/A</v>
      </c>
      <c r="I486" s="5" t="e">
        <f t="shared" ca="1" si="113"/>
        <v>#N/A</v>
      </c>
      <c r="J486" s="5" t="e">
        <f t="shared" ca="1" si="110"/>
        <v>#N/A</v>
      </c>
      <c r="K486" s="5" t="e">
        <f t="shared" ca="1" si="114"/>
        <v>#N/A</v>
      </c>
      <c r="L486" s="5" t="e">
        <f t="shared" ca="1" si="115"/>
        <v>#N/A</v>
      </c>
      <c r="M486" s="5" t="e">
        <f t="shared" ca="1" si="116"/>
        <v>#N/A</v>
      </c>
      <c r="N486" s="5" t="e">
        <f t="shared" ca="1" si="117"/>
        <v>#N/A</v>
      </c>
      <c r="O486" s="5" t="e">
        <f t="shared" ca="1" si="118"/>
        <v>#N/A</v>
      </c>
      <c r="P486" s="5" t="e">
        <f ca="1">VLOOKUP(G486,'Group code'!$Z$9:$AC$13,3,FALSE)</f>
        <v>#N/A</v>
      </c>
      <c r="Q486" s="5" t="e">
        <f t="shared" ca="1" si="119"/>
        <v>#N/A</v>
      </c>
      <c r="R486" s="5" t="e">
        <f ca="1">IF(G486=0,INDEX(cards[object_id],MATCH($C486,cards[object_id order],0)),"")</f>
        <v>#N/A</v>
      </c>
      <c r="S486" s="5" t="e">
        <f ca="1">IF(G486=1,INDEX(cards[[name]:[control]],MATCH($C486,cards[object_id order],0),'Group code'!J486),"")</f>
        <v>#N/A</v>
      </c>
      <c r="T486" s="5" t="e">
        <f ca="1">IF(G486=3,INDEX(cards[[1]:[25]],MATCH($C486,cards[object_id order],0),'Group code'!I486),"")</f>
        <v>#N/A</v>
      </c>
      <c r="U486" s="5" t="e">
        <f ca="1">VLOOKUP(G486,'Group code'!$Z$9:$AC$13,4,FALSE)</f>
        <v>#N/A</v>
      </c>
      <c r="V486" s="5" t="e">
        <f ca="1">IF(J486="","",VLOOKUP(J486,'Group code'!$Z$15:$AC$18,4,FALSE))</f>
        <v>#N/A</v>
      </c>
      <c r="W486" s="23" t="str">
        <f t="shared" ca="1" si="120"/>
        <v/>
      </c>
      <c r="X486" s="5" t="str">
        <f t="shared" ca="1" si="107"/>
        <v/>
      </c>
    </row>
    <row r="487" spans="2:24" x14ac:dyDescent="0.25">
      <c r="B487" s="5">
        <f t="shared" si="108"/>
        <v>481</v>
      </c>
      <c r="C487" s="5" t="e">
        <f t="shared" ca="1" si="121"/>
        <v>#N/A</v>
      </c>
      <c r="D487" s="5" t="e">
        <f ca="1">INDEX(cards[Attribute Index],MATCH('Group code'!C487,cards[object_id order],0))</f>
        <v>#N/A</v>
      </c>
      <c r="E487" s="5" t="e">
        <f t="shared" ca="1" si="109"/>
        <v>#N/A</v>
      </c>
      <c r="F487" s="14" t="e">
        <f ca="1">INDEX(cards[Entities count],MATCH('Group code'!C487,cards[object_id order],0))</f>
        <v>#N/A</v>
      </c>
      <c r="G487" s="14" t="e">
        <f t="shared" ca="1" si="111"/>
        <v>#N/A</v>
      </c>
      <c r="H487" s="14" t="e">
        <f t="shared" ca="1" si="112"/>
        <v>#N/A</v>
      </c>
      <c r="I487" s="5" t="e">
        <f t="shared" ca="1" si="113"/>
        <v>#N/A</v>
      </c>
      <c r="J487" s="5" t="e">
        <f t="shared" ca="1" si="110"/>
        <v>#N/A</v>
      </c>
      <c r="K487" s="5" t="e">
        <f t="shared" ca="1" si="114"/>
        <v>#N/A</v>
      </c>
      <c r="L487" s="5" t="e">
        <f t="shared" ca="1" si="115"/>
        <v>#N/A</v>
      </c>
      <c r="M487" s="5" t="e">
        <f t="shared" ca="1" si="116"/>
        <v>#N/A</v>
      </c>
      <c r="N487" s="5" t="e">
        <f t="shared" ca="1" si="117"/>
        <v>#N/A</v>
      </c>
      <c r="O487" s="5" t="e">
        <f t="shared" ca="1" si="118"/>
        <v>#N/A</v>
      </c>
      <c r="P487" s="5" t="e">
        <f ca="1">VLOOKUP(G487,'Group code'!$Z$9:$AC$13,3,FALSE)</f>
        <v>#N/A</v>
      </c>
      <c r="Q487" s="5" t="e">
        <f t="shared" ca="1" si="119"/>
        <v>#N/A</v>
      </c>
      <c r="R487" s="5" t="e">
        <f ca="1">IF(G487=0,INDEX(cards[object_id],MATCH($C487,cards[object_id order],0)),"")</f>
        <v>#N/A</v>
      </c>
      <c r="S487" s="5" t="e">
        <f ca="1">IF(G487=1,INDEX(cards[[name]:[control]],MATCH($C487,cards[object_id order],0),'Group code'!J487),"")</f>
        <v>#N/A</v>
      </c>
      <c r="T487" s="5" t="e">
        <f ca="1">IF(G487=3,INDEX(cards[[1]:[25]],MATCH($C487,cards[object_id order],0),'Group code'!I487),"")</f>
        <v>#N/A</v>
      </c>
      <c r="U487" s="5" t="e">
        <f ca="1">VLOOKUP(G487,'Group code'!$Z$9:$AC$13,4,FALSE)</f>
        <v>#N/A</v>
      </c>
      <c r="V487" s="5" t="e">
        <f ca="1">IF(J487="","",VLOOKUP(J487,'Group code'!$Z$15:$AC$18,4,FALSE))</f>
        <v>#N/A</v>
      </c>
      <c r="W487" s="23" t="str">
        <f t="shared" ca="1" si="120"/>
        <v/>
      </c>
      <c r="X487" s="5" t="str">
        <f t="shared" ca="1" si="107"/>
        <v/>
      </c>
    </row>
    <row r="488" spans="2:24" x14ac:dyDescent="0.25">
      <c r="B488" s="5">
        <f t="shared" si="108"/>
        <v>482</v>
      </c>
      <c r="C488" s="5" t="e">
        <f t="shared" ca="1" si="121"/>
        <v>#N/A</v>
      </c>
      <c r="D488" s="5" t="e">
        <f ca="1">INDEX(cards[Attribute Index],MATCH('Group code'!C488,cards[object_id order],0))</f>
        <v>#N/A</v>
      </c>
      <c r="E488" s="5" t="e">
        <f t="shared" ca="1" si="109"/>
        <v>#N/A</v>
      </c>
      <c r="F488" s="14" t="e">
        <f ca="1">INDEX(cards[Entities count],MATCH('Group code'!C488,cards[object_id order],0))</f>
        <v>#N/A</v>
      </c>
      <c r="G488" s="14" t="e">
        <f t="shared" ca="1" si="111"/>
        <v>#N/A</v>
      </c>
      <c r="H488" s="14" t="e">
        <f t="shared" ca="1" si="112"/>
        <v>#N/A</v>
      </c>
      <c r="I488" s="5" t="e">
        <f t="shared" ca="1" si="113"/>
        <v>#N/A</v>
      </c>
      <c r="J488" s="5" t="e">
        <f t="shared" ca="1" si="110"/>
        <v>#N/A</v>
      </c>
      <c r="K488" s="5" t="e">
        <f t="shared" ca="1" si="114"/>
        <v>#N/A</v>
      </c>
      <c r="L488" s="5" t="e">
        <f t="shared" ca="1" si="115"/>
        <v>#N/A</v>
      </c>
      <c r="M488" s="5" t="e">
        <f t="shared" ca="1" si="116"/>
        <v>#N/A</v>
      </c>
      <c r="N488" s="5" t="e">
        <f t="shared" ca="1" si="117"/>
        <v>#N/A</v>
      </c>
      <c r="O488" s="5" t="e">
        <f t="shared" ca="1" si="118"/>
        <v>#N/A</v>
      </c>
      <c r="P488" s="5" t="e">
        <f ca="1">VLOOKUP(G488,'Group code'!$Z$9:$AC$13,3,FALSE)</f>
        <v>#N/A</v>
      </c>
      <c r="Q488" s="5" t="e">
        <f t="shared" ca="1" si="119"/>
        <v>#N/A</v>
      </c>
      <c r="R488" s="5" t="e">
        <f ca="1">IF(G488=0,INDEX(cards[object_id],MATCH($C488,cards[object_id order],0)),"")</f>
        <v>#N/A</v>
      </c>
      <c r="S488" s="5" t="e">
        <f ca="1">IF(G488=1,INDEX(cards[[name]:[control]],MATCH($C488,cards[object_id order],0),'Group code'!J488),"")</f>
        <v>#N/A</v>
      </c>
      <c r="T488" s="5" t="e">
        <f ca="1">IF(G488=3,INDEX(cards[[1]:[25]],MATCH($C488,cards[object_id order],0),'Group code'!I488),"")</f>
        <v>#N/A</v>
      </c>
      <c r="U488" s="5" t="e">
        <f ca="1">VLOOKUP(G488,'Group code'!$Z$9:$AC$13,4,FALSE)</f>
        <v>#N/A</v>
      </c>
      <c r="V488" s="5" t="e">
        <f ca="1">IF(J488="","",VLOOKUP(J488,'Group code'!$Z$15:$AC$18,4,FALSE))</f>
        <v>#N/A</v>
      </c>
      <c r="W488" s="23" t="str">
        <f t="shared" ca="1" si="120"/>
        <v/>
      </c>
      <c r="X488" s="5" t="str">
        <f t="shared" ca="1" si="107"/>
        <v/>
      </c>
    </row>
    <row r="489" spans="2:24" x14ac:dyDescent="0.25">
      <c r="B489" s="5">
        <f t="shared" si="108"/>
        <v>483</v>
      </c>
      <c r="C489" s="5" t="e">
        <f t="shared" ca="1" si="121"/>
        <v>#N/A</v>
      </c>
      <c r="D489" s="5" t="e">
        <f ca="1">INDEX(cards[Attribute Index],MATCH('Group code'!C489,cards[object_id order],0))</f>
        <v>#N/A</v>
      </c>
      <c r="E489" s="5" t="e">
        <f t="shared" ca="1" si="109"/>
        <v>#N/A</v>
      </c>
      <c r="F489" s="14" t="e">
        <f ca="1">INDEX(cards[Entities count],MATCH('Group code'!C489,cards[object_id order],0))</f>
        <v>#N/A</v>
      </c>
      <c r="G489" s="14" t="e">
        <f t="shared" ca="1" si="111"/>
        <v>#N/A</v>
      </c>
      <c r="H489" s="14" t="e">
        <f t="shared" ca="1" si="112"/>
        <v>#N/A</v>
      </c>
      <c r="I489" s="5" t="e">
        <f t="shared" ca="1" si="113"/>
        <v>#N/A</v>
      </c>
      <c r="J489" s="5" t="e">
        <f t="shared" ca="1" si="110"/>
        <v>#N/A</v>
      </c>
      <c r="K489" s="5" t="e">
        <f t="shared" ca="1" si="114"/>
        <v>#N/A</v>
      </c>
      <c r="L489" s="5" t="e">
        <f t="shared" ca="1" si="115"/>
        <v>#N/A</v>
      </c>
      <c r="M489" s="5" t="e">
        <f t="shared" ca="1" si="116"/>
        <v>#N/A</v>
      </c>
      <c r="N489" s="5" t="e">
        <f t="shared" ca="1" si="117"/>
        <v>#N/A</v>
      </c>
      <c r="O489" s="5" t="e">
        <f t="shared" ca="1" si="118"/>
        <v>#N/A</v>
      </c>
      <c r="P489" s="5" t="e">
        <f ca="1">VLOOKUP(G489,'Group code'!$Z$9:$AC$13,3,FALSE)</f>
        <v>#N/A</v>
      </c>
      <c r="Q489" s="5" t="e">
        <f t="shared" ca="1" si="119"/>
        <v>#N/A</v>
      </c>
      <c r="R489" s="5" t="e">
        <f ca="1">IF(G489=0,INDEX(cards[object_id],MATCH($C489,cards[object_id order],0)),"")</f>
        <v>#N/A</v>
      </c>
      <c r="S489" s="5" t="e">
        <f ca="1">IF(G489=1,INDEX(cards[[name]:[control]],MATCH($C489,cards[object_id order],0),'Group code'!J489),"")</f>
        <v>#N/A</v>
      </c>
      <c r="T489" s="5" t="e">
        <f ca="1">IF(G489=3,INDEX(cards[[1]:[25]],MATCH($C489,cards[object_id order],0),'Group code'!I489),"")</f>
        <v>#N/A</v>
      </c>
      <c r="U489" s="5" t="e">
        <f ca="1">VLOOKUP(G489,'Group code'!$Z$9:$AC$13,4,FALSE)</f>
        <v>#N/A</v>
      </c>
      <c r="V489" s="5" t="e">
        <f ca="1">IF(J489="","",VLOOKUP(J489,'Group code'!$Z$15:$AC$18,4,FALSE))</f>
        <v>#N/A</v>
      </c>
      <c r="W489" s="23" t="str">
        <f t="shared" ca="1" si="120"/>
        <v/>
      </c>
      <c r="X489" s="5" t="str">
        <f t="shared" ca="1" si="107"/>
        <v/>
      </c>
    </row>
    <row r="490" spans="2:24" x14ac:dyDescent="0.25">
      <c r="B490" s="5">
        <f t="shared" si="108"/>
        <v>484</v>
      </c>
      <c r="C490" s="5" t="e">
        <f t="shared" ca="1" si="121"/>
        <v>#N/A</v>
      </c>
      <c r="D490" s="5" t="e">
        <f ca="1">INDEX(cards[Attribute Index],MATCH('Group code'!C490,cards[object_id order],0))</f>
        <v>#N/A</v>
      </c>
      <c r="E490" s="5" t="e">
        <f t="shared" ca="1" si="109"/>
        <v>#N/A</v>
      </c>
      <c r="F490" s="14" t="e">
        <f ca="1">INDEX(cards[Entities count],MATCH('Group code'!C490,cards[object_id order],0))</f>
        <v>#N/A</v>
      </c>
      <c r="G490" s="14" t="e">
        <f t="shared" ca="1" si="111"/>
        <v>#N/A</v>
      </c>
      <c r="H490" s="14" t="e">
        <f t="shared" ca="1" si="112"/>
        <v>#N/A</v>
      </c>
      <c r="I490" s="5" t="e">
        <f t="shared" ca="1" si="113"/>
        <v>#N/A</v>
      </c>
      <c r="J490" s="5" t="e">
        <f t="shared" ca="1" si="110"/>
        <v>#N/A</v>
      </c>
      <c r="K490" s="5" t="e">
        <f t="shared" ca="1" si="114"/>
        <v>#N/A</v>
      </c>
      <c r="L490" s="5" t="e">
        <f t="shared" ca="1" si="115"/>
        <v>#N/A</v>
      </c>
      <c r="M490" s="5" t="e">
        <f t="shared" ca="1" si="116"/>
        <v>#N/A</v>
      </c>
      <c r="N490" s="5" t="e">
        <f t="shared" ca="1" si="117"/>
        <v>#N/A</v>
      </c>
      <c r="O490" s="5" t="e">
        <f t="shared" ca="1" si="118"/>
        <v>#N/A</v>
      </c>
      <c r="P490" s="5" t="e">
        <f ca="1">VLOOKUP(G490,'Group code'!$Z$9:$AC$13,3,FALSE)</f>
        <v>#N/A</v>
      </c>
      <c r="Q490" s="5" t="e">
        <f t="shared" ca="1" si="119"/>
        <v>#N/A</v>
      </c>
      <c r="R490" s="5" t="e">
        <f ca="1">IF(G490=0,INDEX(cards[object_id],MATCH($C490,cards[object_id order],0)),"")</f>
        <v>#N/A</v>
      </c>
      <c r="S490" s="5" t="e">
        <f ca="1">IF(G490=1,INDEX(cards[[name]:[control]],MATCH($C490,cards[object_id order],0),'Group code'!J490),"")</f>
        <v>#N/A</v>
      </c>
      <c r="T490" s="5" t="e">
        <f ca="1">IF(G490=3,INDEX(cards[[1]:[25]],MATCH($C490,cards[object_id order],0),'Group code'!I490),"")</f>
        <v>#N/A</v>
      </c>
      <c r="U490" s="5" t="e">
        <f ca="1">VLOOKUP(G490,'Group code'!$Z$9:$AC$13,4,FALSE)</f>
        <v>#N/A</v>
      </c>
      <c r="V490" s="5" t="e">
        <f ca="1">IF(J490="","",VLOOKUP(J490,'Group code'!$Z$15:$AC$18,4,FALSE))</f>
        <v>#N/A</v>
      </c>
      <c r="W490" s="23" t="str">
        <f t="shared" ca="1" si="120"/>
        <v/>
      </c>
      <c r="X490" s="5" t="str">
        <f t="shared" ca="1" si="107"/>
        <v/>
      </c>
    </row>
    <row r="491" spans="2:24" x14ac:dyDescent="0.25">
      <c r="B491" s="5">
        <f t="shared" si="108"/>
        <v>485</v>
      </c>
      <c r="C491" s="5" t="e">
        <f t="shared" ca="1" si="121"/>
        <v>#N/A</v>
      </c>
      <c r="D491" s="5" t="e">
        <f ca="1">INDEX(cards[Attribute Index],MATCH('Group code'!C491,cards[object_id order],0))</f>
        <v>#N/A</v>
      </c>
      <c r="E491" s="5" t="e">
        <f t="shared" ca="1" si="109"/>
        <v>#N/A</v>
      </c>
      <c r="F491" s="14" t="e">
        <f ca="1">INDEX(cards[Entities count],MATCH('Group code'!C491,cards[object_id order],0))</f>
        <v>#N/A</v>
      </c>
      <c r="G491" s="14" t="e">
        <f t="shared" ca="1" si="111"/>
        <v>#N/A</v>
      </c>
      <c r="H491" s="14" t="e">
        <f t="shared" ca="1" si="112"/>
        <v>#N/A</v>
      </c>
      <c r="I491" s="5" t="e">
        <f t="shared" ca="1" si="113"/>
        <v>#N/A</v>
      </c>
      <c r="J491" s="5" t="e">
        <f t="shared" ca="1" si="110"/>
        <v>#N/A</v>
      </c>
      <c r="K491" s="5" t="e">
        <f t="shared" ca="1" si="114"/>
        <v>#N/A</v>
      </c>
      <c r="L491" s="5" t="e">
        <f t="shared" ca="1" si="115"/>
        <v>#N/A</v>
      </c>
      <c r="M491" s="5" t="e">
        <f t="shared" ca="1" si="116"/>
        <v>#N/A</v>
      </c>
      <c r="N491" s="5" t="e">
        <f t="shared" ca="1" si="117"/>
        <v>#N/A</v>
      </c>
      <c r="O491" s="5" t="e">
        <f t="shared" ca="1" si="118"/>
        <v>#N/A</v>
      </c>
      <c r="P491" s="5" t="e">
        <f ca="1">VLOOKUP(G491,'Group code'!$Z$9:$AC$13,3,FALSE)</f>
        <v>#N/A</v>
      </c>
      <c r="Q491" s="5" t="e">
        <f t="shared" ca="1" si="119"/>
        <v>#N/A</v>
      </c>
      <c r="R491" s="5" t="e">
        <f ca="1">IF(G491=0,INDEX(cards[object_id],MATCH($C491,cards[object_id order],0)),"")</f>
        <v>#N/A</v>
      </c>
      <c r="S491" s="5" t="e">
        <f ca="1">IF(G491=1,INDEX(cards[[name]:[control]],MATCH($C491,cards[object_id order],0),'Group code'!J491),"")</f>
        <v>#N/A</v>
      </c>
      <c r="T491" s="5" t="e">
        <f ca="1">IF(G491=3,INDEX(cards[[1]:[25]],MATCH($C491,cards[object_id order],0),'Group code'!I491),"")</f>
        <v>#N/A</v>
      </c>
      <c r="U491" s="5" t="e">
        <f ca="1">VLOOKUP(G491,'Group code'!$Z$9:$AC$13,4,FALSE)</f>
        <v>#N/A</v>
      </c>
      <c r="V491" s="5" t="e">
        <f ca="1">IF(J491="","",VLOOKUP(J491,'Group code'!$Z$15:$AC$18,4,FALSE))</f>
        <v>#N/A</v>
      </c>
      <c r="W491" s="23" t="str">
        <f t="shared" ca="1" si="120"/>
        <v/>
      </c>
      <c r="X491" s="5" t="str">
        <f t="shared" ca="1" si="107"/>
        <v/>
      </c>
    </row>
    <row r="492" spans="2:24" x14ac:dyDescent="0.25">
      <c r="B492" s="5">
        <f t="shared" si="108"/>
        <v>486</v>
      </c>
      <c r="C492" s="5" t="e">
        <f t="shared" ca="1" si="121"/>
        <v>#N/A</v>
      </c>
      <c r="D492" s="5" t="e">
        <f ca="1">INDEX(cards[Attribute Index],MATCH('Group code'!C492,cards[object_id order],0))</f>
        <v>#N/A</v>
      </c>
      <c r="E492" s="5" t="e">
        <f t="shared" ca="1" si="109"/>
        <v>#N/A</v>
      </c>
      <c r="F492" s="14" t="e">
        <f ca="1">INDEX(cards[Entities count],MATCH('Group code'!C492,cards[object_id order],0))</f>
        <v>#N/A</v>
      </c>
      <c r="G492" s="14" t="e">
        <f t="shared" ca="1" si="111"/>
        <v>#N/A</v>
      </c>
      <c r="H492" s="14" t="e">
        <f t="shared" ca="1" si="112"/>
        <v>#N/A</v>
      </c>
      <c r="I492" s="5" t="e">
        <f t="shared" ca="1" si="113"/>
        <v>#N/A</v>
      </c>
      <c r="J492" s="5" t="e">
        <f t="shared" ca="1" si="110"/>
        <v>#N/A</v>
      </c>
      <c r="K492" s="5" t="e">
        <f t="shared" ca="1" si="114"/>
        <v>#N/A</v>
      </c>
      <c r="L492" s="5" t="e">
        <f t="shared" ca="1" si="115"/>
        <v>#N/A</v>
      </c>
      <c r="M492" s="5" t="e">
        <f t="shared" ca="1" si="116"/>
        <v>#N/A</v>
      </c>
      <c r="N492" s="5" t="e">
        <f t="shared" ca="1" si="117"/>
        <v>#N/A</v>
      </c>
      <c r="O492" s="5" t="e">
        <f t="shared" ca="1" si="118"/>
        <v>#N/A</v>
      </c>
      <c r="P492" s="5" t="e">
        <f ca="1">VLOOKUP(G492,'Group code'!$Z$9:$AC$13,3,FALSE)</f>
        <v>#N/A</v>
      </c>
      <c r="Q492" s="5" t="e">
        <f t="shared" ca="1" si="119"/>
        <v>#N/A</v>
      </c>
      <c r="R492" s="5" t="e">
        <f ca="1">IF(G492=0,INDEX(cards[object_id],MATCH($C492,cards[object_id order],0)),"")</f>
        <v>#N/A</v>
      </c>
      <c r="S492" s="5" t="e">
        <f ca="1">IF(G492=1,INDEX(cards[[name]:[control]],MATCH($C492,cards[object_id order],0),'Group code'!J492),"")</f>
        <v>#N/A</v>
      </c>
      <c r="T492" s="5" t="e">
        <f ca="1">IF(G492=3,INDEX(cards[[1]:[25]],MATCH($C492,cards[object_id order],0),'Group code'!I492),"")</f>
        <v>#N/A</v>
      </c>
      <c r="U492" s="5" t="e">
        <f ca="1">VLOOKUP(G492,'Group code'!$Z$9:$AC$13,4,FALSE)</f>
        <v>#N/A</v>
      </c>
      <c r="V492" s="5" t="e">
        <f ca="1">IF(J492="","",VLOOKUP(J492,'Group code'!$Z$15:$AC$18,4,FALSE))</f>
        <v>#N/A</v>
      </c>
      <c r="W492" s="23" t="str">
        <f t="shared" ca="1" si="120"/>
        <v/>
      </c>
      <c r="X492" s="5" t="str">
        <f t="shared" ca="1" si="107"/>
        <v/>
      </c>
    </row>
    <row r="493" spans="2:24" x14ac:dyDescent="0.25">
      <c r="B493" s="5">
        <f t="shared" si="108"/>
        <v>487</v>
      </c>
      <c r="C493" s="5" t="e">
        <f t="shared" ca="1" si="121"/>
        <v>#N/A</v>
      </c>
      <c r="D493" s="5" t="e">
        <f ca="1">INDEX(cards[Attribute Index],MATCH('Group code'!C493,cards[object_id order],0))</f>
        <v>#N/A</v>
      </c>
      <c r="E493" s="5" t="e">
        <f t="shared" ca="1" si="109"/>
        <v>#N/A</v>
      </c>
      <c r="F493" s="14" t="e">
        <f ca="1">INDEX(cards[Entities count],MATCH('Group code'!C493,cards[object_id order],0))</f>
        <v>#N/A</v>
      </c>
      <c r="G493" s="14" t="e">
        <f t="shared" ca="1" si="111"/>
        <v>#N/A</v>
      </c>
      <c r="H493" s="14" t="e">
        <f t="shared" ca="1" si="112"/>
        <v>#N/A</v>
      </c>
      <c r="I493" s="5" t="e">
        <f t="shared" ca="1" si="113"/>
        <v>#N/A</v>
      </c>
      <c r="J493" s="5" t="e">
        <f t="shared" ca="1" si="110"/>
        <v>#N/A</v>
      </c>
      <c r="K493" s="5" t="e">
        <f t="shared" ca="1" si="114"/>
        <v>#N/A</v>
      </c>
      <c r="L493" s="5" t="e">
        <f t="shared" ca="1" si="115"/>
        <v>#N/A</v>
      </c>
      <c r="M493" s="5" t="e">
        <f t="shared" ca="1" si="116"/>
        <v>#N/A</v>
      </c>
      <c r="N493" s="5" t="e">
        <f t="shared" ca="1" si="117"/>
        <v>#N/A</v>
      </c>
      <c r="O493" s="5" t="e">
        <f t="shared" ca="1" si="118"/>
        <v>#N/A</v>
      </c>
      <c r="P493" s="5" t="e">
        <f ca="1">VLOOKUP(G493,'Group code'!$Z$9:$AC$13,3,FALSE)</f>
        <v>#N/A</v>
      </c>
      <c r="Q493" s="5" t="e">
        <f t="shared" ca="1" si="119"/>
        <v>#N/A</v>
      </c>
      <c r="R493" s="5" t="e">
        <f ca="1">IF(G493=0,INDEX(cards[object_id],MATCH($C493,cards[object_id order],0)),"")</f>
        <v>#N/A</v>
      </c>
      <c r="S493" s="5" t="e">
        <f ca="1">IF(G493=1,INDEX(cards[[name]:[control]],MATCH($C493,cards[object_id order],0),'Group code'!J493),"")</f>
        <v>#N/A</v>
      </c>
      <c r="T493" s="5" t="e">
        <f ca="1">IF(G493=3,INDEX(cards[[1]:[25]],MATCH($C493,cards[object_id order],0),'Group code'!I493),"")</f>
        <v>#N/A</v>
      </c>
      <c r="U493" s="5" t="e">
        <f ca="1">VLOOKUP(G493,'Group code'!$Z$9:$AC$13,4,FALSE)</f>
        <v>#N/A</v>
      </c>
      <c r="V493" s="5" t="e">
        <f ca="1">IF(J493="","",VLOOKUP(J493,'Group code'!$Z$15:$AC$18,4,FALSE))</f>
        <v>#N/A</v>
      </c>
      <c r="W493" s="23" t="str">
        <f t="shared" ca="1" si="120"/>
        <v/>
      </c>
      <c r="X493" s="5" t="str">
        <f t="shared" ca="1" si="107"/>
        <v/>
      </c>
    </row>
    <row r="494" spans="2:24" x14ac:dyDescent="0.25">
      <c r="B494" s="5">
        <f t="shared" si="108"/>
        <v>488</v>
      </c>
      <c r="C494" s="5" t="e">
        <f t="shared" ca="1" si="121"/>
        <v>#N/A</v>
      </c>
      <c r="D494" s="5" t="e">
        <f ca="1">INDEX(cards[Attribute Index],MATCH('Group code'!C494,cards[object_id order],0))</f>
        <v>#N/A</v>
      </c>
      <c r="E494" s="5" t="e">
        <f t="shared" ca="1" si="109"/>
        <v>#N/A</v>
      </c>
      <c r="F494" s="14" t="e">
        <f ca="1">INDEX(cards[Entities count],MATCH('Group code'!C494,cards[object_id order],0))</f>
        <v>#N/A</v>
      </c>
      <c r="G494" s="14" t="e">
        <f t="shared" ca="1" si="111"/>
        <v>#N/A</v>
      </c>
      <c r="H494" s="14" t="e">
        <f t="shared" ca="1" si="112"/>
        <v>#N/A</v>
      </c>
      <c r="I494" s="5" t="e">
        <f t="shared" ca="1" si="113"/>
        <v>#N/A</v>
      </c>
      <c r="J494" s="5" t="e">
        <f t="shared" ca="1" si="110"/>
        <v>#N/A</v>
      </c>
      <c r="K494" s="5" t="e">
        <f t="shared" ca="1" si="114"/>
        <v>#N/A</v>
      </c>
      <c r="L494" s="5" t="e">
        <f t="shared" ca="1" si="115"/>
        <v>#N/A</v>
      </c>
      <c r="M494" s="5" t="e">
        <f t="shared" ca="1" si="116"/>
        <v>#N/A</v>
      </c>
      <c r="N494" s="5" t="e">
        <f t="shared" ca="1" si="117"/>
        <v>#N/A</v>
      </c>
      <c r="O494" s="5" t="e">
        <f t="shared" ca="1" si="118"/>
        <v>#N/A</v>
      </c>
      <c r="P494" s="5" t="e">
        <f ca="1">VLOOKUP(G494,'Group code'!$Z$9:$AC$13,3,FALSE)</f>
        <v>#N/A</v>
      </c>
      <c r="Q494" s="5" t="e">
        <f t="shared" ca="1" si="119"/>
        <v>#N/A</v>
      </c>
      <c r="R494" s="5" t="e">
        <f ca="1">IF(G494=0,INDEX(cards[object_id],MATCH($C494,cards[object_id order],0)),"")</f>
        <v>#N/A</v>
      </c>
      <c r="S494" s="5" t="e">
        <f ca="1">IF(G494=1,INDEX(cards[[name]:[control]],MATCH($C494,cards[object_id order],0),'Group code'!J494),"")</f>
        <v>#N/A</v>
      </c>
      <c r="T494" s="5" t="e">
        <f ca="1">IF(G494=3,INDEX(cards[[1]:[25]],MATCH($C494,cards[object_id order],0),'Group code'!I494),"")</f>
        <v>#N/A</v>
      </c>
      <c r="U494" s="5" t="e">
        <f ca="1">VLOOKUP(G494,'Group code'!$Z$9:$AC$13,4,FALSE)</f>
        <v>#N/A</v>
      </c>
      <c r="V494" s="5" t="e">
        <f ca="1">IF(J494="","",VLOOKUP(J494,'Group code'!$Z$15:$AC$18,4,FALSE))</f>
        <v>#N/A</v>
      </c>
      <c r="W494" s="23" t="str">
        <f t="shared" ca="1" si="120"/>
        <v/>
      </c>
      <c r="X494" s="5" t="str">
        <f t="shared" ca="1" si="107"/>
        <v/>
      </c>
    </row>
    <row r="495" spans="2:24" x14ac:dyDescent="0.25">
      <c r="B495" s="5">
        <f t="shared" si="108"/>
        <v>489</v>
      </c>
      <c r="C495" s="5" t="e">
        <f t="shared" ca="1" si="121"/>
        <v>#N/A</v>
      </c>
      <c r="D495" s="5" t="e">
        <f ca="1">INDEX(cards[Attribute Index],MATCH('Group code'!C495,cards[object_id order],0))</f>
        <v>#N/A</v>
      </c>
      <c r="E495" s="5" t="e">
        <f t="shared" ca="1" si="109"/>
        <v>#N/A</v>
      </c>
      <c r="F495" s="14" t="e">
        <f ca="1">INDEX(cards[Entities count],MATCH('Group code'!C495,cards[object_id order],0))</f>
        <v>#N/A</v>
      </c>
      <c r="G495" s="14" t="e">
        <f t="shared" ca="1" si="111"/>
        <v>#N/A</v>
      </c>
      <c r="H495" s="14" t="e">
        <f t="shared" ca="1" si="112"/>
        <v>#N/A</v>
      </c>
      <c r="I495" s="5" t="e">
        <f t="shared" ca="1" si="113"/>
        <v>#N/A</v>
      </c>
      <c r="J495" s="5" t="e">
        <f t="shared" ca="1" si="110"/>
        <v>#N/A</v>
      </c>
      <c r="K495" s="5" t="e">
        <f t="shared" ca="1" si="114"/>
        <v>#N/A</v>
      </c>
      <c r="L495" s="5" t="e">
        <f t="shared" ca="1" si="115"/>
        <v>#N/A</v>
      </c>
      <c r="M495" s="5" t="e">
        <f t="shared" ca="1" si="116"/>
        <v>#N/A</v>
      </c>
      <c r="N495" s="5" t="e">
        <f t="shared" ca="1" si="117"/>
        <v>#N/A</v>
      </c>
      <c r="O495" s="5" t="e">
        <f t="shared" ca="1" si="118"/>
        <v>#N/A</v>
      </c>
      <c r="P495" s="5" t="e">
        <f ca="1">VLOOKUP(G495,'Group code'!$Z$9:$AC$13,3,FALSE)</f>
        <v>#N/A</v>
      </c>
      <c r="Q495" s="5" t="e">
        <f t="shared" ca="1" si="119"/>
        <v>#N/A</v>
      </c>
      <c r="R495" s="5" t="e">
        <f ca="1">IF(G495=0,INDEX(cards[object_id],MATCH($C495,cards[object_id order],0)),"")</f>
        <v>#N/A</v>
      </c>
      <c r="S495" s="5" t="e">
        <f ca="1">IF(G495=1,INDEX(cards[[name]:[control]],MATCH($C495,cards[object_id order],0),'Group code'!J495),"")</f>
        <v>#N/A</v>
      </c>
      <c r="T495" s="5" t="e">
        <f ca="1">IF(G495=3,INDEX(cards[[1]:[25]],MATCH($C495,cards[object_id order],0),'Group code'!I495),"")</f>
        <v>#N/A</v>
      </c>
      <c r="U495" s="5" t="e">
        <f ca="1">VLOOKUP(G495,'Group code'!$Z$9:$AC$13,4,FALSE)</f>
        <v>#N/A</v>
      </c>
      <c r="V495" s="5" t="e">
        <f ca="1">IF(J495="","",VLOOKUP(J495,'Group code'!$Z$15:$AC$18,4,FALSE))</f>
        <v>#N/A</v>
      </c>
      <c r="W495" s="23" t="str">
        <f t="shared" ca="1" si="120"/>
        <v/>
      </c>
      <c r="X495" s="5" t="str">
        <f t="shared" ca="1" si="107"/>
        <v/>
      </c>
    </row>
    <row r="496" spans="2:24" x14ac:dyDescent="0.25">
      <c r="B496" s="5">
        <f t="shared" si="108"/>
        <v>490</v>
      </c>
      <c r="C496" s="5" t="e">
        <f t="shared" ca="1" si="121"/>
        <v>#N/A</v>
      </c>
      <c r="D496" s="5" t="e">
        <f ca="1">INDEX(cards[Attribute Index],MATCH('Group code'!C496,cards[object_id order],0))</f>
        <v>#N/A</v>
      </c>
      <c r="E496" s="5" t="e">
        <f t="shared" ca="1" si="109"/>
        <v>#N/A</v>
      </c>
      <c r="F496" s="14" t="e">
        <f ca="1">INDEX(cards[Entities count],MATCH('Group code'!C496,cards[object_id order],0))</f>
        <v>#N/A</v>
      </c>
      <c r="G496" s="14" t="e">
        <f t="shared" ca="1" si="111"/>
        <v>#N/A</v>
      </c>
      <c r="H496" s="14" t="e">
        <f t="shared" ca="1" si="112"/>
        <v>#N/A</v>
      </c>
      <c r="I496" s="5" t="e">
        <f t="shared" ca="1" si="113"/>
        <v>#N/A</v>
      </c>
      <c r="J496" s="5" t="e">
        <f t="shared" ca="1" si="110"/>
        <v>#N/A</v>
      </c>
      <c r="K496" s="5" t="e">
        <f t="shared" ca="1" si="114"/>
        <v>#N/A</v>
      </c>
      <c r="L496" s="5" t="e">
        <f t="shared" ca="1" si="115"/>
        <v>#N/A</v>
      </c>
      <c r="M496" s="5" t="e">
        <f t="shared" ca="1" si="116"/>
        <v>#N/A</v>
      </c>
      <c r="N496" s="5" t="e">
        <f t="shared" ca="1" si="117"/>
        <v>#N/A</v>
      </c>
      <c r="O496" s="5" t="e">
        <f t="shared" ca="1" si="118"/>
        <v>#N/A</v>
      </c>
      <c r="P496" s="5" t="e">
        <f ca="1">VLOOKUP(G496,'Group code'!$Z$9:$AC$13,3,FALSE)</f>
        <v>#N/A</v>
      </c>
      <c r="Q496" s="5" t="e">
        <f t="shared" ca="1" si="119"/>
        <v>#N/A</v>
      </c>
      <c r="R496" s="5" t="e">
        <f ca="1">IF(G496=0,INDEX(cards[object_id],MATCH($C496,cards[object_id order],0)),"")</f>
        <v>#N/A</v>
      </c>
      <c r="S496" s="5" t="e">
        <f ca="1">IF(G496=1,INDEX(cards[[name]:[control]],MATCH($C496,cards[object_id order],0),'Group code'!J496),"")</f>
        <v>#N/A</v>
      </c>
      <c r="T496" s="5" t="e">
        <f ca="1">IF(G496=3,INDEX(cards[[1]:[25]],MATCH($C496,cards[object_id order],0),'Group code'!I496),"")</f>
        <v>#N/A</v>
      </c>
      <c r="U496" s="5" t="e">
        <f ca="1">VLOOKUP(G496,'Group code'!$Z$9:$AC$13,4,FALSE)</f>
        <v>#N/A</v>
      </c>
      <c r="V496" s="5" t="e">
        <f ca="1">IF(J496="","",VLOOKUP(J496,'Group code'!$Z$15:$AC$18,4,FALSE))</f>
        <v>#N/A</v>
      </c>
      <c r="W496" s="23" t="str">
        <f t="shared" ca="1" si="120"/>
        <v/>
      </c>
      <c r="X496" s="5" t="str">
        <f t="shared" ca="1" si="107"/>
        <v/>
      </c>
    </row>
    <row r="497" spans="2:24" x14ac:dyDescent="0.25">
      <c r="B497" s="5">
        <f t="shared" si="108"/>
        <v>491</v>
      </c>
      <c r="C497" s="5" t="e">
        <f t="shared" ca="1" si="121"/>
        <v>#N/A</v>
      </c>
      <c r="D497" s="5" t="e">
        <f ca="1">INDEX(cards[Attribute Index],MATCH('Group code'!C497,cards[object_id order],0))</f>
        <v>#N/A</v>
      </c>
      <c r="E497" s="5" t="e">
        <f t="shared" ca="1" si="109"/>
        <v>#N/A</v>
      </c>
      <c r="F497" s="14" t="e">
        <f ca="1">INDEX(cards[Entities count],MATCH('Group code'!C497,cards[object_id order],0))</f>
        <v>#N/A</v>
      </c>
      <c r="G497" s="14" t="e">
        <f t="shared" ca="1" si="111"/>
        <v>#N/A</v>
      </c>
      <c r="H497" s="14" t="e">
        <f t="shared" ca="1" si="112"/>
        <v>#N/A</v>
      </c>
      <c r="I497" s="5" t="e">
        <f t="shared" ca="1" si="113"/>
        <v>#N/A</v>
      </c>
      <c r="J497" s="5" t="e">
        <f t="shared" ca="1" si="110"/>
        <v>#N/A</v>
      </c>
      <c r="K497" s="5" t="e">
        <f t="shared" ca="1" si="114"/>
        <v>#N/A</v>
      </c>
      <c r="L497" s="5" t="e">
        <f t="shared" ca="1" si="115"/>
        <v>#N/A</v>
      </c>
      <c r="M497" s="5" t="e">
        <f t="shared" ca="1" si="116"/>
        <v>#N/A</v>
      </c>
      <c r="N497" s="5" t="e">
        <f t="shared" ca="1" si="117"/>
        <v>#N/A</v>
      </c>
      <c r="O497" s="5" t="e">
        <f t="shared" ca="1" si="118"/>
        <v>#N/A</v>
      </c>
      <c r="P497" s="5" t="e">
        <f ca="1">VLOOKUP(G497,'Group code'!$Z$9:$AC$13,3,FALSE)</f>
        <v>#N/A</v>
      </c>
      <c r="Q497" s="5" t="e">
        <f t="shared" ca="1" si="119"/>
        <v>#N/A</v>
      </c>
      <c r="R497" s="5" t="e">
        <f ca="1">IF(G497=0,INDEX(cards[object_id],MATCH($C497,cards[object_id order],0)),"")</f>
        <v>#N/A</v>
      </c>
      <c r="S497" s="5" t="e">
        <f ca="1">IF(G497=1,INDEX(cards[[name]:[control]],MATCH($C497,cards[object_id order],0),'Group code'!J497),"")</f>
        <v>#N/A</v>
      </c>
      <c r="T497" s="5" t="e">
        <f ca="1">IF(G497=3,INDEX(cards[[1]:[25]],MATCH($C497,cards[object_id order],0),'Group code'!I497),"")</f>
        <v>#N/A</v>
      </c>
      <c r="U497" s="5" t="e">
        <f ca="1">VLOOKUP(G497,'Group code'!$Z$9:$AC$13,4,FALSE)</f>
        <v>#N/A</v>
      </c>
      <c r="V497" s="5" t="e">
        <f ca="1">IF(J497="","",VLOOKUP(J497,'Group code'!$Z$15:$AC$18,4,FALSE))</f>
        <v>#N/A</v>
      </c>
      <c r="W497" s="23" t="str">
        <f t="shared" ca="1" si="120"/>
        <v/>
      </c>
      <c r="X497" s="5" t="str">
        <f t="shared" ca="1" si="107"/>
        <v/>
      </c>
    </row>
    <row r="498" spans="2:24" x14ac:dyDescent="0.25">
      <c r="B498" s="5">
        <f t="shared" si="108"/>
        <v>492</v>
      </c>
      <c r="C498" s="5" t="e">
        <f t="shared" ca="1" si="121"/>
        <v>#N/A</v>
      </c>
      <c r="D498" s="5" t="e">
        <f ca="1">INDEX(cards[Attribute Index],MATCH('Group code'!C498,cards[object_id order],0))</f>
        <v>#N/A</v>
      </c>
      <c r="E498" s="5" t="e">
        <f t="shared" ca="1" si="109"/>
        <v>#N/A</v>
      </c>
      <c r="F498" s="14" t="e">
        <f ca="1">INDEX(cards[Entities count],MATCH('Group code'!C498,cards[object_id order],0))</f>
        <v>#N/A</v>
      </c>
      <c r="G498" s="14" t="e">
        <f t="shared" ca="1" si="111"/>
        <v>#N/A</v>
      </c>
      <c r="H498" s="14" t="e">
        <f t="shared" ca="1" si="112"/>
        <v>#N/A</v>
      </c>
      <c r="I498" s="5" t="e">
        <f t="shared" ca="1" si="113"/>
        <v>#N/A</v>
      </c>
      <c r="J498" s="5" t="e">
        <f t="shared" ca="1" si="110"/>
        <v>#N/A</v>
      </c>
      <c r="K498" s="5" t="e">
        <f t="shared" ca="1" si="114"/>
        <v>#N/A</v>
      </c>
      <c r="L498" s="5" t="e">
        <f t="shared" ca="1" si="115"/>
        <v>#N/A</v>
      </c>
      <c r="M498" s="5" t="e">
        <f t="shared" ca="1" si="116"/>
        <v>#N/A</v>
      </c>
      <c r="N498" s="5" t="e">
        <f t="shared" ca="1" si="117"/>
        <v>#N/A</v>
      </c>
      <c r="O498" s="5" t="e">
        <f t="shared" ca="1" si="118"/>
        <v>#N/A</v>
      </c>
      <c r="P498" s="5" t="e">
        <f ca="1">VLOOKUP(G498,'Group code'!$Z$9:$AC$13,3,FALSE)</f>
        <v>#N/A</v>
      </c>
      <c r="Q498" s="5" t="e">
        <f t="shared" ca="1" si="119"/>
        <v>#N/A</v>
      </c>
      <c r="R498" s="5" t="e">
        <f ca="1">IF(G498=0,INDEX(cards[object_id],MATCH($C498,cards[object_id order],0)),"")</f>
        <v>#N/A</v>
      </c>
      <c r="S498" s="5" t="e">
        <f ca="1">IF(G498=1,INDEX(cards[[name]:[control]],MATCH($C498,cards[object_id order],0),'Group code'!J498),"")</f>
        <v>#N/A</v>
      </c>
      <c r="T498" s="5" t="e">
        <f ca="1">IF(G498=3,INDEX(cards[[1]:[25]],MATCH($C498,cards[object_id order],0),'Group code'!I498),"")</f>
        <v>#N/A</v>
      </c>
      <c r="U498" s="5" t="e">
        <f ca="1">VLOOKUP(G498,'Group code'!$Z$9:$AC$13,4,FALSE)</f>
        <v>#N/A</v>
      </c>
      <c r="V498" s="5" t="e">
        <f ca="1">IF(J498="","",VLOOKUP(J498,'Group code'!$Z$15:$AC$18,4,FALSE))</f>
        <v>#N/A</v>
      </c>
      <c r="W498" s="23" t="str">
        <f t="shared" ca="1" si="120"/>
        <v/>
      </c>
      <c r="X498" s="5" t="str">
        <f t="shared" ca="1" si="107"/>
        <v/>
      </c>
    </row>
    <row r="499" spans="2:24" x14ac:dyDescent="0.25">
      <c r="B499" s="5">
        <f t="shared" si="108"/>
        <v>493</v>
      </c>
      <c r="C499" s="5" t="e">
        <f t="shared" ca="1" si="121"/>
        <v>#N/A</v>
      </c>
      <c r="D499" s="5" t="e">
        <f ca="1">INDEX(cards[Attribute Index],MATCH('Group code'!C499,cards[object_id order],0))</f>
        <v>#N/A</v>
      </c>
      <c r="E499" s="5" t="e">
        <f t="shared" ca="1" si="109"/>
        <v>#N/A</v>
      </c>
      <c r="F499" s="14" t="e">
        <f ca="1">INDEX(cards[Entities count],MATCH('Group code'!C499,cards[object_id order],0))</f>
        <v>#N/A</v>
      </c>
      <c r="G499" s="14" t="e">
        <f t="shared" ca="1" si="111"/>
        <v>#N/A</v>
      </c>
      <c r="H499" s="14" t="e">
        <f t="shared" ca="1" si="112"/>
        <v>#N/A</v>
      </c>
      <c r="I499" s="5" t="e">
        <f t="shared" ca="1" si="113"/>
        <v>#N/A</v>
      </c>
      <c r="J499" s="5" t="e">
        <f t="shared" ca="1" si="110"/>
        <v>#N/A</v>
      </c>
      <c r="K499" s="5" t="e">
        <f t="shared" ca="1" si="114"/>
        <v>#N/A</v>
      </c>
      <c r="L499" s="5" t="e">
        <f t="shared" ca="1" si="115"/>
        <v>#N/A</v>
      </c>
      <c r="M499" s="5" t="e">
        <f t="shared" ca="1" si="116"/>
        <v>#N/A</v>
      </c>
      <c r="N499" s="5" t="e">
        <f t="shared" ca="1" si="117"/>
        <v>#N/A</v>
      </c>
      <c r="O499" s="5" t="e">
        <f t="shared" ca="1" si="118"/>
        <v>#N/A</v>
      </c>
      <c r="P499" s="5" t="e">
        <f ca="1">VLOOKUP(G499,'Group code'!$Z$9:$AC$13,3,FALSE)</f>
        <v>#N/A</v>
      </c>
      <c r="Q499" s="5" t="e">
        <f t="shared" ca="1" si="119"/>
        <v>#N/A</v>
      </c>
      <c r="R499" s="5" t="e">
        <f ca="1">IF(G499=0,INDEX(cards[object_id],MATCH($C499,cards[object_id order],0)),"")</f>
        <v>#N/A</v>
      </c>
      <c r="S499" s="5" t="e">
        <f ca="1">IF(G499=1,INDEX(cards[[name]:[control]],MATCH($C499,cards[object_id order],0),'Group code'!J499),"")</f>
        <v>#N/A</v>
      </c>
      <c r="T499" s="5" t="e">
        <f ca="1">IF(G499=3,INDEX(cards[[1]:[25]],MATCH($C499,cards[object_id order],0),'Group code'!I499),"")</f>
        <v>#N/A</v>
      </c>
      <c r="U499" s="5" t="e">
        <f ca="1">VLOOKUP(G499,'Group code'!$Z$9:$AC$13,4,FALSE)</f>
        <v>#N/A</v>
      </c>
      <c r="V499" s="5" t="e">
        <f ca="1">IF(J499="","",VLOOKUP(J499,'Group code'!$Z$15:$AC$18,4,FALSE))</f>
        <v>#N/A</v>
      </c>
      <c r="W499" s="23" t="str">
        <f t="shared" ca="1" si="120"/>
        <v/>
      </c>
      <c r="X499" s="5" t="str">
        <f t="shared" ca="1" si="107"/>
        <v/>
      </c>
    </row>
    <row r="500" spans="2:24" x14ac:dyDescent="0.25">
      <c r="B500" s="5">
        <f t="shared" si="108"/>
        <v>494</v>
      </c>
      <c r="C500" s="5" t="e">
        <f t="shared" ca="1" si="121"/>
        <v>#N/A</v>
      </c>
      <c r="D500" s="5" t="e">
        <f ca="1">INDEX(cards[Attribute Index],MATCH('Group code'!C500,cards[object_id order],0))</f>
        <v>#N/A</v>
      </c>
      <c r="E500" s="5" t="e">
        <f t="shared" ca="1" si="109"/>
        <v>#N/A</v>
      </c>
      <c r="F500" s="14" t="e">
        <f ca="1">INDEX(cards[Entities count],MATCH('Group code'!C500,cards[object_id order],0))</f>
        <v>#N/A</v>
      </c>
      <c r="G500" s="14" t="e">
        <f t="shared" ca="1" si="111"/>
        <v>#N/A</v>
      </c>
      <c r="H500" s="14" t="e">
        <f t="shared" ca="1" si="112"/>
        <v>#N/A</v>
      </c>
      <c r="I500" s="5" t="e">
        <f t="shared" ca="1" si="113"/>
        <v>#N/A</v>
      </c>
      <c r="J500" s="5" t="e">
        <f t="shared" ca="1" si="110"/>
        <v>#N/A</v>
      </c>
      <c r="K500" s="5" t="e">
        <f t="shared" ca="1" si="114"/>
        <v>#N/A</v>
      </c>
      <c r="L500" s="5" t="e">
        <f t="shared" ca="1" si="115"/>
        <v>#N/A</v>
      </c>
      <c r="M500" s="5" t="e">
        <f t="shared" ca="1" si="116"/>
        <v>#N/A</v>
      </c>
      <c r="N500" s="5" t="e">
        <f t="shared" ca="1" si="117"/>
        <v>#N/A</v>
      </c>
      <c r="O500" s="5" t="e">
        <f t="shared" ca="1" si="118"/>
        <v>#N/A</v>
      </c>
      <c r="P500" s="5" t="e">
        <f ca="1">VLOOKUP(G500,'Group code'!$Z$9:$AC$13,3,FALSE)</f>
        <v>#N/A</v>
      </c>
      <c r="Q500" s="5" t="e">
        <f t="shared" ca="1" si="119"/>
        <v>#N/A</v>
      </c>
      <c r="R500" s="5" t="e">
        <f ca="1">IF(G500=0,INDEX(cards[object_id],MATCH($C500,cards[object_id order],0)),"")</f>
        <v>#N/A</v>
      </c>
      <c r="S500" s="5" t="e">
        <f ca="1">IF(G500=1,INDEX(cards[[name]:[control]],MATCH($C500,cards[object_id order],0),'Group code'!J500),"")</f>
        <v>#N/A</v>
      </c>
      <c r="T500" s="5" t="e">
        <f ca="1">IF(G500=3,INDEX(cards[[1]:[25]],MATCH($C500,cards[object_id order],0),'Group code'!I500),"")</f>
        <v>#N/A</v>
      </c>
      <c r="U500" s="5" t="e">
        <f ca="1">VLOOKUP(G500,'Group code'!$Z$9:$AC$13,4,FALSE)</f>
        <v>#N/A</v>
      </c>
      <c r="V500" s="5" t="e">
        <f ca="1">IF(J500="","",VLOOKUP(J500,'Group code'!$Z$15:$AC$18,4,FALSE))</f>
        <v>#N/A</v>
      </c>
      <c r="W500" s="23" t="str">
        <f t="shared" ca="1" si="120"/>
        <v/>
      </c>
      <c r="X500" s="5" t="str">
        <f t="shared" ca="1" si="107"/>
        <v/>
      </c>
    </row>
    <row r="501" spans="2:24" x14ac:dyDescent="0.25">
      <c r="B501" s="5">
        <f t="shared" si="108"/>
        <v>495</v>
      </c>
      <c r="C501" s="5" t="e">
        <f t="shared" ca="1" si="121"/>
        <v>#N/A</v>
      </c>
      <c r="D501" s="5" t="e">
        <f ca="1">INDEX(cards[Attribute Index],MATCH('Group code'!C501,cards[object_id order],0))</f>
        <v>#N/A</v>
      </c>
      <c r="E501" s="5" t="e">
        <f t="shared" ca="1" si="109"/>
        <v>#N/A</v>
      </c>
      <c r="F501" s="14" t="e">
        <f ca="1">INDEX(cards[Entities count],MATCH('Group code'!C501,cards[object_id order],0))</f>
        <v>#N/A</v>
      </c>
      <c r="G501" s="14" t="e">
        <f t="shared" ca="1" si="111"/>
        <v>#N/A</v>
      </c>
      <c r="H501" s="14" t="e">
        <f t="shared" ca="1" si="112"/>
        <v>#N/A</v>
      </c>
      <c r="I501" s="5" t="e">
        <f t="shared" ca="1" si="113"/>
        <v>#N/A</v>
      </c>
      <c r="J501" s="5" t="e">
        <f t="shared" ca="1" si="110"/>
        <v>#N/A</v>
      </c>
      <c r="K501" s="5" t="e">
        <f t="shared" ca="1" si="114"/>
        <v>#N/A</v>
      </c>
      <c r="L501" s="5" t="e">
        <f t="shared" ca="1" si="115"/>
        <v>#N/A</v>
      </c>
      <c r="M501" s="5" t="e">
        <f t="shared" ca="1" si="116"/>
        <v>#N/A</v>
      </c>
      <c r="N501" s="5" t="e">
        <f t="shared" ca="1" si="117"/>
        <v>#N/A</v>
      </c>
      <c r="O501" s="5" t="e">
        <f t="shared" ca="1" si="118"/>
        <v>#N/A</v>
      </c>
      <c r="P501" s="5" t="e">
        <f ca="1">VLOOKUP(G501,'Group code'!$Z$9:$AC$13,3,FALSE)</f>
        <v>#N/A</v>
      </c>
      <c r="Q501" s="5" t="e">
        <f t="shared" ca="1" si="119"/>
        <v>#N/A</v>
      </c>
      <c r="R501" s="5" t="e">
        <f ca="1">IF(G501=0,INDEX(cards[object_id],MATCH($C501,cards[object_id order],0)),"")</f>
        <v>#N/A</v>
      </c>
      <c r="S501" s="5" t="e">
        <f ca="1">IF(G501=1,INDEX(cards[[name]:[control]],MATCH($C501,cards[object_id order],0),'Group code'!J501),"")</f>
        <v>#N/A</v>
      </c>
      <c r="T501" s="5" t="e">
        <f ca="1">IF(G501=3,INDEX(cards[[1]:[25]],MATCH($C501,cards[object_id order],0),'Group code'!I501),"")</f>
        <v>#N/A</v>
      </c>
      <c r="U501" s="5" t="e">
        <f ca="1">VLOOKUP(G501,'Group code'!$Z$9:$AC$13,4,FALSE)</f>
        <v>#N/A</v>
      </c>
      <c r="V501" s="5" t="e">
        <f ca="1">IF(J501="","",VLOOKUP(J501,'Group code'!$Z$15:$AC$18,4,FALSE))</f>
        <v>#N/A</v>
      </c>
      <c r="W501" s="23" t="str">
        <f t="shared" ca="1" si="120"/>
        <v/>
      </c>
      <c r="X501" s="5" t="str">
        <f t="shared" ca="1" si="107"/>
        <v/>
      </c>
    </row>
    <row r="502" spans="2:24" x14ac:dyDescent="0.25">
      <c r="B502" s="5">
        <f t="shared" si="108"/>
        <v>496</v>
      </c>
      <c r="C502" s="5" t="e">
        <f t="shared" ca="1" si="121"/>
        <v>#N/A</v>
      </c>
      <c r="D502" s="5" t="e">
        <f ca="1">INDEX(cards[Attribute Index],MATCH('Group code'!C502,cards[object_id order],0))</f>
        <v>#N/A</v>
      </c>
      <c r="E502" s="5" t="e">
        <f t="shared" ca="1" si="109"/>
        <v>#N/A</v>
      </c>
      <c r="F502" s="14" t="e">
        <f ca="1">INDEX(cards[Entities count],MATCH('Group code'!C502,cards[object_id order],0))</f>
        <v>#N/A</v>
      </c>
      <c r="G502" s="14" t="e">
        <f t="shared" ca="1" si="111"/>
        <v>#N/A</v>
      </c>
      <c r="H502" s="14" t="e">
        <f t="shared" ca="1" si="112"/>
        <v>#N/A</v>
      </c>
      <c r="I502" s="5" t="e">
        <f t="shared" ca="1" si="113"/>
        <v>#N/A</v>
      </c>
      <c r="J502" s="5" t="e">
        <f t="shared" ca="1" si="110"/>
        <v>#N/A</v>
      </c>
      <c r="K502" s="5" t="e">
        <f t="shared" ca="1" si="114"/>
        <v>#N/A</v>
      </c>
      <c r="L502" s="5" t="e">
        <f t="shared" ca="1" si="115"/>
        <v>#N/A</v>
      </c>
      <c r="M502" s="5" t="e">
        <f t="shared" ca="1" si="116"/>
        <v>#N/A</v>
      </c>
      <c r="N502" s="5" t="e">
        <f t="shared" ca="1" si="117"/>
        <v>#N/A</v>
      </c>
      <c r="O502" s="5" t="e">
        <f t="shared" ca="1" si="118"/>
        <v>#N/A</v>
      </c>
      <c r="P502" s="5" t="e">
        <f ca="1">VLOOKUP(G502,'Group code'!$Z$9:$AC$13,3,FALSE)</f>
        <v>#N/A</v>
      </c>
      <c r="Q502" s="5" t="e">
        <f t="shared" ca="1" si="119"/>
        <v>#N/A</v>
      </c>
      <c r="R502" s="5" t="e">
        <f ca="1">IF(G502=0,INDEX(cards[object_id],MATCH($C502,cards[object_id order],0)),"")</f>
        <v>#N/A</v>
      </c>
      <c r="S502" s="5" t="e">
        <f ca="1">IF(G502=1,INDEX(cards[[name]:[control]],MATCH($C502,cards[object_id order],0),'Group code'!J502),"")</f>
        <v>#N/A</v>
      </c>
      <c r="T502" s="5" t="e">
        <f ca="1">IF(G502=3,INDEX(cards[[1]:[25]],MATCH($C502,cards[object_id order],0),'Group code'!I502),"")</f>
        <v>#N/A</v>
      </c>
      <c r="U502" s="5" t="e">
        <f ca="1">VLOOKUP(G502,'Group code'!$Z$9:$AC$13,4,FALSE)</f>
        <v>#N/A</v>
      </c>
      <c r="V502" s="5" t="e">
        <f ca="1">IF(J502="","",VLOOKUP(J502,'Group code'!$Z$15:$AC$18,4,FALSE))</f>
        <v>#N/A</v>
      </c>
      <c r="W502" s="23" t="str">
        <f t="shared" ca="1" si="120"/>
        <v/>
      </c>
      <c r="X502" s="5" t="str">
        <f t="shared" ref="X502:X506" ca="1" si="122">IF(AND(NOT(ISNA(F502)),ISNA(F503)),"END","")</f>
        <v/>
      </c>
    </row>
    <row r="503" spans="2:24" x14ac:dyDescent="0.25">
      <c r="B503" s="5">
        <f t="shared" si="108"/>
        <v>497</v>
      </c>
      <c r="C503" s="5" t="e">
        <f t="shared" ca="1" si="121"/>
        <v>#N/A</v>
      </c>
      <c r="D503" s="5" t="e">
        <f ca="1">INDEX(cards[Attribute Index],MATCH('Group code'!C503,cards[object_id order],0))</f>
        <v>#N/A</v>
      </c>
      <c r="E503" s="5" t="e">
        <f t="shared" ca="1" si="109"/>
        <v>#N/A</v>
      </c>
      <c r="F503" s="14" t="e">
        <f ca="1">INDEX(cards[Entities count],MATCH('Group code'!C503,cards[object_id order],0))</f>
        <v>#N/A</v>
      </c>
      <c r="G503" s="14" t="e">
        <f t="shared" ca="1" si="111"/>
        <v>#N/A</v>
      </c>
      <c r="H503" s="14" t="e">
        <f t="shared" ca="1" si="112"/>
        <v>#N/A</v>
      </c>
      <c r="I503" s="5" t="e">
        <f t="shared" ca="1" si="113"/>
        <v>#N/A</v>
      </c>
      <c r="J503" s="5" t="e">
        <f t="shared" ca="1" si="110"/>
        <v>#N/A</v>
      </c>
      <c r="K503" s="5" t="e">
        <f t="shared" ca="1" si="114"/>
        <v>#N/A</v>
      </c>
      <c r="L503" s="5" t="e">
        <f t="shared" ca="1" si="115"/>
        <v>#N/A</v>
      </c>
      <c r="M503" s="5" t="e">
        <f t="shared" ca="1" si="116"/>
        <v>#N/A</v>
      </c>
      <c r="N503" s="5" t="e">
        <f t="shared" ca="1" si="117"/>
        <v>#N/A</v>
      </c>
      <c r="O503" s="5" t="e">
        <f t="shared" ca="1" si="118"/>
        <v>#N/A</v>
      </c>
      <c r="P503" s="5" t="e">
        <f ca="1">VLOOKUP(G503,'Group code'!$Z$9:$AC$13,3,FALSE)</f>
        <v>#N/A</v>
      </c>
      <c r="Q503" s="5" t="e">
        <f t="shared" ca="1" si="119"/>
        <v>#N/A</v>
      </c>
      <c r="R503" s="5" t="e">
        <f ca="1">IF(G503=0,INDEX(cards[object_id],MATCH($C503,cards[object_id order],0)),"")</f>
        <v>#N/A</v>
      </c>
      <c r="S503" s="5" t="e">
        <f ca="1">IF(G503=1,INDEX(cards[[name]:[control]],MATCH($C503,cards[object_id order],0),'Group code'!J503),"")</f>
        <v>#N/A</v>
      </c>
      <c r="T503" s="5" t="e">
        <f ca="1">IF(G503=3,INDEX(cards[[1]:[25]],MATCH($C503,cards[object_id order],0),'Group code'!I503),"")</f>
        <v>#N/A</v>
      </c>
      <c r="U503" s="5" t="e">
        <f ca="1">VLOOKUP(G503,'Group code'!$Z$9:$AC$13,4,FALSE)</f>
        <v>#N/A</v>
      </c>
      <c r="V503" s="5" t="e">
        <f ca="1">IF(J503="","",VLOOKUP(J503,'Group code'!$Z$15:$AC$18,4,FALSE))</f>
        <v>#N/A</v>
      </c>
      <c r="W503" s="23" t="str">
        <f t="shared" ca="1" si="120"/>
        <v/>
      </c>
      <c r="X503" s="5" t="str">
        <f t="shared" ca="1" si="122"/>
        <v/>
      </c>
    </row>
    <row r="504" spans="2:24" x14ac:dyDescent="0.25">
      <c r="B504" s="5">
        <f t="shared" si="108"/>
        <v>498</v>
      </c>
      <c r="C504" s="5" t="e">
        <f t="shared" ca="1" si="121"/>
        <v>#N/A</v>
      </c>
      <c r="D504" s="5" t="e">
        <f ca="1">INDEX(cards[Attribute Index],MATCH('Group code'!C504,cards[object_id order],0))</f>
        <v>#N/A</v>
      </c>
      <c r="E504" s="5" t="e">
        <f t="shared" ca="1" si="109"/>
        <v>#N/A</v>
      </c>
      <c r="F504" s="14" t="e">
        <f ca="1">INDEX(cards[Entities count],MATCH('Group code'!C504,cards[object_id order],0))</f>
        <v>#N/A</v>
      </c>
      <c r="G504" s="14" t="e">
        <f t="shared" ca="1" si="111"/>
        <v>#N/A</v>
      </c>
      <c r="H504" s="14" t="e">
        <f t="shared" ca="1" si="112"/>
        <v>#N/A</v>
      </c>
      <c r="I504" s="5" t="e">
        <f t="shared" ca="1" si="113"/>
        <v>#N/A</v>
      </c>
      <c r="J504" s="5" t="e">
        <f t="shared" ca="1" si="110"/>
        <v>#N/A</v>
      </c>
      <c r="K504" s="5" t="e">
        <f t="shared" ca="1" si="114"/>
        <v>#N/A</v>
      </c>
      <c r="L504" s="5" t="e">
        <f t="shared" ca="1" si="115"/>
        <v>#N/A</v>
      </c>
      <c r="M504" s="5" t="e">
        <f t="shared" ca="1" si="116"/>
        <v>#N/A</v>
      </c>
      <c r="N504" s="5" t="e">
        <f t="shared" ca="1" si="117"/>
        <v>#N/A</v>
      </c>
      <c r="O504" s="5" t="e">
        <f t="shared" ca="1" si="118"/>
        <v>#N/A</v>
      </c>
      <c r="P504" s="5" t="e">
        <f ca="1">VLOOKUP(G504,'Group code'!$Z$9:$AC$13,3,FALSE)</f>
        <v>#N/A</v>
      </c>
      <c r="Q504" s="5" t="e">
        <f t="shared" ca="1" si="119"/>
        <v>#N/A</v>
      </c>
      <c r="R504" s="5" t="e">
        <f ca="1">IF(G504=0,INDEX(cards[object_id],MATCH($C504,cards[object_id order],0)),"")</f>
        <v>#N/A</v>
      </c>
      <c r="S504" s="5" t="e">
        <f ca="1">IF(G504=1,INDEX(cards[[name]:[control]],MATCH($C504,cards[object_id order],0),'Group code'!J504),"")</f>
        <v>#N/A</v>
      </c>
      <c r="T504" s="5" t="e">
        <f ca="1">IF(G504=3,INDEX(cards[[1]:[25]],MATCH($C504,cards[object_id order],0),'Group code'!I504),"")</f>
        <v>#N/A</v>
      </c>
      <c r="U504" s="5" t="e">
        <f ca="1">VLOOKUP(G504,'Group code'!$Z$9:$AC$13,4,FALSE)</f>
        <v>#N/A</v>
      </c>
      <c r="V504" s="5" t="e">
        <f ca="1">IF(J504="","",VLOOKUP(J504,'Group code'!$Z$15:$AC$18,4,FALSE))</f>
        <v>#N/A</v>
      </c>
      <c r="W504" s="23" t="str">
        <f t="shared" ca="1" si="120"/>
        <v/>
      </c>
      <c r="X504" s="5" t="str">
        <f t="shared" ca="1" si="122"/>
        <v/>
      </c>
    </row>
    <row r="505" spans="2:24" x14ac:dyDescent="0.25">
      <c r="B505" s="5">
        <f t="shared" si="108"/>
        <v>499</v>
      </c>
      <c r="C505" s="5" t="e">
        <f t="shared" ca="1" si="121"/>
        <v>#N/A</v>
      </c>
      <c r="D505" s="5" t="e">
        <f ca="1">INDEX(cards[Attribute Index],MATCH('Group code'!C505,cards[object_id order],0))</f>
        <v>#N/A</v>
      </c>
      <c r="E505" s="5" t="e">
        <f t="shared" ca="1" si="109"/>
        <v>#N/A</v>
      </c>
      <c r="F505" s="14" t="e">
        <f ca="1">INDEX(cards[Entities count],MATCH('Group code'!C505,cards[object_id order],0))</f>
        <v>#N/A</v>
      </c>
      <c r="G505" s="14" t="e">
        <f t="shared" ca="1" si="111"/>
        <v>#N/A</v>
      </c>
      <c r="H505" s="14" t="e">
        <f t="shared" ca="1" si="112"/>
        <v>#N/A</v>
      </c>
      <c r="I505" s="5" t="e">
        <f t="shared" ca="1" si="113"/>
        <v>#N/A</v>
      </c>
      <c r="J505" s="5" t="e">
        <f t="shared" ca="1" si="110"/>
        <v>#N/A</v>
      </c>
      <c r="K505" s="5" t="e">
        <f t="shared" ca="1" si="114"/>
        <v>#N/A</v>
      </c>
      <c r="L505" s="5" t="e">
        <f t="shared" ca="1" si="115"/>
        <v>#N/A</v>
      </c>
      <c r="M505" s="5" t="e">
        <f t="shared" ca="1" si="116"/>
        <v>#N/A</v>
      </c>
      <c r="N505" s="5" t="e">
        <f t="shared" ca="1" si="117"/>
        <v>#N/A</v>
      </c>
      <c r="O505" s="5" t="e">
        <f t="shared" ca="1" si="118"/>
        <v>#N/A</v>
      </c>
      <c r="P505" s="5" t="e">
        <f ca="1">VLOOKUP(G505,'Group code'!$Z$9:$AC$13,3,FALSE)</f>
        <v>#N/A</v>
      </c>
      <c r="Q505" s="5" t="e">
        <f t="shared" ca="1" si="119"/>
        <v>#N/A</v>
      </c>
      <c r="R505" s="5" t="e">
        <f ca="1">IF(G505=0,INDEX(cards[object_id],MATCH($C505,cards[object_id order],0)),"")</f>
        <v>#N/A</v>
      </c>
      <c r="S505" s="5" t="e">
        <f ca="1">IF(G505=1,INDEX(cards[[name]:[control]],MATCH($C505,cards[object_id order],0),'Group code'!J505),"")</f>
        <v>#N/A</v>
      </c>
      <c r="T505" s="5" t="e">
        <f ca="1">IF(G505=3,INDEX(cards[[1]:[25]],MATCH($C505,cards[object_id order],0),'Group code'!I505),"")</f>
        <v>#N/A</v>
      </c>
      <c r="U505" s="5" t="e">
        <f ca="1">VLOOKUP(G505,'Group code'!$Z$9:$AC$13,4,FALSE)</f>
        <v>#N/A</v>
      </c>
      <c r="V505" s="5" t="e">
        <f ca="1">IF(J505="","",VLOOKUP(J505,'Group code'!$Z$15:$AC$18,4,FALSE))</f>
        <v>#N/A</v>
      </c>
      <c r="W505" s="23" t="str">
        <f t="shared" ca="1" si="120"/>
        <v/>
      </c>
      <c r="X505" s="5" t="str">
        <f t="shared" ca="1" si="122"/>
        <v/>
      </c>
    </row>
    <row r="506" spans="2:24" x14ac:dyDescent="0.25">
      <c r="B506" s="5">
        <f t="shared" si="108"/>
        <v>500</v>
      </c>
      <c r="C506" s="5" t="e">
        <f t="shared" ca="1" si="121"/>
        <v>#N/A</v>
      </c>
      <c r="D506" s="5" t="e">
        <f ca="1">INDEX(cards[Attribute Index],MATCH('Group code'!C506,cards[object_id order],0))</f>
        <v>#N/A</v>
      </c>
      <c r="E506" s="5" t="e">
        <f t="shared" ca="1" si="109"/>
        <v>#N/A</v>
      </c>
      <c r="F506" s="14" t="e">
        <f ca="1">INDEX(cards[Entities count],MATCH('Group code'!C506,cards[object_id order],0))</f>
        <v>#N/A</v>
      </c>
      <c r="G506" s="14" t="e">
        <f t="shared" ca="1" si="111"/>
        <v>#N/A</v>
      </c>
      <c r="H506" s="14" t="e">
        <f t="shared" ca="1" si="112"/>
        <v>#N/A</v>
      </c>
      <c r="I506" s="5" t="e">
        <f t="shared" ca="1" si="113"/>
        <v>#N/A</v>
      </c>
      <c r="J506" s="5" t="e">
        <f t="shared" ca="1" si="110"/>
        <v>#N/A</v>
      </c>
      <c r="K506" s="5" t="e">
        <f t="shared" ca="1" si="114"/>
        <v>#N/A</v>
      </c>
      <c r="L506" s="5" t="e">
        <f t="shared" ca="1" si="115"/>
        <v>#N/A</v>
      </c>
      <c r="M506" s="5" t="e">
        <f t="shared" ca="1" si="116"/>
        <v>#N/A</v>
      </c>
      <c r="N506" s="5" t="e">
        <f t="shared" ca="1" si="117"/>
        <v>#N/A</v>
      </c>
      <c r="O506" s="5" t="e">
        <f t="shared" ca="1" si="118"/>
        <v>#N/A</v>
      </c>
      <c r="P506" s="5" t="e">
        <f ca="1">VLOOKUP(G506,'Group code'!$Z$9:$AC$13,3,FALSE)</f>
        <v>#N/A</v>
      </c>
      <c r="Q506" s="5" t="e">
        <f t="shared" ca="1" si="119"/>
        <v>#N/A</v>
      </c>
      <c r="R506" s="5" t="e">
        <f ca="1">IF(G506=0,INDEX(cards[object_id],MATCH($C506,cards[object_id order],0)),"")</f>
        <v>#N/A</v>
      </c>
      <c r="S506" s="5" t="e">
        <f ca="1">IF(G506=1,INDEX(cards[[name]:[control]],MATCH($C506,cards[object_id order],0),'Group code'!J506),"")</f>
        <v>#N/A</v>
      </c>
      <c r="T506" s="5" t="e">
        <f ca="1">IF(G506=3,INDEX(cards[[1]:[25]],MATCH($C506,cards[object_id order],0),'Group code'!I506),"")</f>
        <v>#N/A</v>
      </c>
      <c r="U506" s="5" t="e">
        <f ca="1">VLOOKUP(G506,'Group code'!$Z$9:$AC$13,4,FALSE)</f>
        <v>#N/A</v>
      </c>
      <c r="V506" s="5" t="e">
        <f ca="1">IF(J506="","",VLOOKUP(J506,'Group code'!$Z$15:$AC$18,4,FALSE))</f>
        <v>#N/A</v>
      </c>
      <c r="W506" s="23" t="str">
        <f t="shared" ca="1" si="120"/>
        <v/>
      </c>
      <c r="X506" s="5" t="str">
        <f t="shared" ca="1" si="122"/>
        <v/>
      </c>
    </row>
  </sheetData>
  <conditionalFormatting sqref="W7">
    <cfRule type="expression" dxfId="2" priority="1">
      <formula>NOT(ISNA(S7))</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115" zoomScaleNormal="115"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P252"/>
  <sheetViews>
    <sheetView showGridLines="0" zoomScaleNormal="100" workbookViewId="0"/>
  </sheetViews>
  <sheetFormatPr defaultRowHeight="15" outlineLevelCol="1" x14ac:dyDescent="0.25"/>
  <cols>
    <col min="1" max="1" width="2.42578125" customWidth="1"/>
    <col min="2" max="2" width="69.28515625" bestFit="1" customWidth="1"/>
    <col min="3" max="3" width="8" hidden="1" customWidth="1" outlineLevel="1"/>
    <col min="4" max="4" width="13.7109375" hidden="1" customWidth="1" outlineLevel="1"/>
    <col min="5" max="5" width="19" hidden="1" customWidth="1" outlineLevel="1"/>
    <col min="6" max="6" width="15.85546875" bestFit="1" customWidth="1" collapsed="1"/>
    <col min="7" max="7" width="10.140625" bestFit="1" customWidth="1"/>
    <col min="8" max="8" width="6.7109375" hidden="1" customWidth="1" outlineLevel="1"/>
    <col min="9" max="9" width="21.42578125" hidden="1" customWidth="1" outlineLevel="1"/>
    <col min="10" max="10" width="21.42578125" customWidth="1" collapsed="1"/>
    <col min="11" max="11" width="7.7109375" hidden="1" customWidth="1" outlineLevel="1"/>
    <col min="12" max="13" width="12.28515625" hidden="1" customWidth="1" outlineLevel="1"/>
    <col min="14" max="14" width="27.28515625" bestFit="1" customWidth="1" collapsed="1"/>
    <col min="15" max="15" width="7.7109375" hidden="1" customWidth="1" outlineLevel="1"/>
    <col min="16" max="16" width="66.28515625" bestFit="1" customWidth="1" collapsed="1"/>
    <col min="17" max="25" width="5.5703125" customWidth="1"/>
    <col min="29" max="29" width="4.85546875" customWidth="1"/>
  </cols>
  <sheetData>
    <row r="1" spans="1:16" ht="21" x14ac:dyDescent="0.35">
      <c r="A1" s="1" t="s">
        <v>848</v>
      </c>
    </row>
    <row r="3" spans="1:16" x14ac:dyDescent="0.25">
      <c r="A3" s="12" t="s">
        <v>641</v>
      </c>
    </row>
    <row r="5" spans="1:16" x14ac:dyDescent="0.25">
      <c r="B5" s="37" t="s">
        <v>886</v>
      </c>
      <c r="C5" s="37" t="s">
        <v>598</v>
      </c>
      <c r="D5" s="37"/>
      <c r="E5" s="37"/>
      <c r="F5" s="37" t="s">
        <v>598</v>
      </c>
      <c r="G5" s="37"/>
      <c r="H5" s="37" t="s">
        <v>566</v>
      </c>
      <c r="I5" s="37"/>
      <c r="J5" s="37" t="s">
        <v>887</v>
      </c>
      <c r="K5" s="37" t="s">
        <v>0</v>
      </c>
      <c r="L5" s="37"/>
      <c r="M5" s="37"/>
      <c r="N5" s="37"/>
      <c r="O5" s="37" t="s">
        <v>568</v>
      </c>
      <c r="P5" s="37"/>
    </row>
    <row r="6" spans="1:16" x14ac:dyDescent="0.25">
      <c r="B6" s="2" t="s">
        <v>572</v>
      </c>
      <c r="C6" t="s">
        <v>10</v>
      </c>
      <c r="D6" t="s">
        <v>567</v>
      </c>
      <c r="E6" s="7" t="s">
        <v>876</v>
      </c>
      <c r="F6" s="7" t="s">
        <v>881</v>
      </c>
      <c r="G6" s="7" t="s">
        <v>885</v>
      </c>
      <c r="H6" t="s">
        <v>569</v>
      </c>
      <c r="I6" s="7" t="s">
        <v>883</v>
      </c>
      <c r="J6" s="39" t="s">
        <v>884</v>
      </c>
      <c r="K6" s="18" t="s">
        <v>879</v>
      </c>
      <c r="L6" s="18" t="s">
        <v>570</v>
      </c>
      <c r="M6" s="39" t="s">
        <v>571</v>
      </c>
      <c r="N6" s="40" t="s">
        <v>877</v>
      </c>
      <c r="O6" s="18" t="s">
        <v>880</v>
      </c>
      <c r="P6" s="39" t="s">
        <v>878</v>
      </c>
    </row>
    <row r="7" spans="1:16" x14ac:dyDescent="0.25">
      <c r="B7" s="11" t="s">
        <v>378</v>
      </c>
      <c r="C7">
        <f>IF(ISBLANK(B7),1,0)</f>
        <v>0</v>
      </c>
      <c r="D7">
        <f t="shared" ref="D7:D70" si="0">IF(AND(LEFT(B7,2)="  ",LEFT(B7,3)&lt;&gt;"   "),1,0)</f>
        <v>0</v>
      </c>
      <c r="E7">
        <f>IF(AND(C7=0,LEFT(B7,1)&lt;&gt;" ",LEFT(B7,1)&lt;&gt;"#"),1,0)</f>
        <v>1</v>
      </c>
      <c r="F7">
        <f t="shared" ref="F7:F70" si="1">IFERROR(IF(ISNUMBER(FIND("name:",B7)),1,0),0)</f>
        <v>0</v>
      </c>
      <c r="G7">
        <f t="shared" ref="G7:G70" si="2">IF(  LEFT(B7,6)="    - ",  1,  0)</f>
        <v>0</v>
      </c>
      <c r="H7" t="str">
        <f t="shared" ref="H7:H70" si="3">IF(E7=1,B7,"")</f>
        <v>automation_almclk:</v>
      </c>
      <c r="I7" t="str">
        <f>SUBSTITUTE(H7,":","")</f>
        <v>automation_almclk</v>
      </c>
      <c r="J7" t="str">
        <f ca="1">IF(  Table1[[#This Row],[group single]]&lt;&gt;"",Table1[[#This Row],[group single]],  OFFSET(Table1[[#This Row],[group ]],-1,0))</f>
        <v>automation_almclk</v>
      </c>
      <c r="K7" t="str">
        <f>IF(F7=1,$B7,"")</f>
        <v/>
      </c>
      <c r="L7" t="str">
        <f>IFERROR(MID(K7,  FIND("name:",K7)+6,99),"")</f>
        <v/>
      </c>
      <c r="M7" t="str">
        <f>SUBSTITUTE(L7,"""","")</f>
        <v/>
      </c>
      <c r="N7" t="str">
        <f>IF(M7="",N6,M7)</f>
        <v>friendly name</v>
      </c>
      <c r="O7" t="str">
        <f>IF(G7=1,$B7,"")</f>
        <v/>
      </c>
      <c r="P7" t="str">
        <f>TRIM(SUBSTITUTE(O7,"-",""))</f>
        <v/>
      </c>
    </row>
    <row r="8" spans="1:16" x14ac:dyDescent="0.25">
      <c r="B8" s="11" t="s">
        <v>379</v>
      </c>
      <c r="C8">
        <f t="shared" ref="C8:C71" si="4">IF(ISBLANK(B8),1,0)</f>
        <v>0</v>
      </c>
      <c r="D8">
        <f t="shared" si="0"/>
        <v>1</v>
      </c>
      <c r="E8">
        <f t="shared" ref="E8:E71" si="5">IF(AND(C8=0,LEFT(B8,1)&lt;&gt;" ",LEFT(B8,1)&lt;&gt;"#"),1,0)</f>
        <v>0</v>
      </c>
      <c r="F8">
        <f t="shared" si="1"/>
        <v>1</v>
      </c>
      <c r="G8">
        <f t="shared" si="2"/>
        <v>0</v>
      </c>
      <c r="H8" t="str">
        <f t="shared" si="3"/>
        <v/>
      </c>
      <c r="I8" t="str">
        <f t="shared" ref="I8:I71" si="6">SUBSTITUTE(H8,":","")</f>
        <v/>
      </c>
      <c r="J8" t="str">
        <f ca="1">IF(  Table1[[#This Row],[group single]]&lt;&gt;"",Table1[[#This Row],[group single]],  OFFSET(Table1[[#This Row],[group ]],-1,0))</f>
        <v>automation_almclk</v>
      </c>
      <c r="K8" t="str">
        <f t="shared" ref="K8:K71" si="7">IF(F8=1,$B8,"")</f>
        <v xml:space="preserve">  name: "Automation - Alarm Clock"</v>
      </c>
      <c r="L8" t="str">
        <f t="shared" ref="L8:L71" si="8">IFERROR(MID(K8,  FIND("name:",K8)+6,99),"")</f>
        <v>"Automation - Alarm Clock"</v>
      </c>
      <c r="M8" t="str">
        <f t="shared" ref="M8:M71" si="9">SUBSTITUTE(L8,"""","")</f>
        <v>Automation - Alarm Clock</v>
      </c>
      <c r="N8" t="str">
        <f t="shared" ref="N8:N71" si="10">IF(M8="",N7,M8)</f>
        <v>Automation - Alarm Clock</v>
      </c>
      <c r="O8" t="str">
        <f t="shared" ref="O8:O71" si="11">IF(G8=1,$B8,"")</f>
        <v/>
      </c>
      <c r="P8" t="str">
        <f t="shared" ref="P8:P71" si="12">TRIM(SUBSTITUTE(O8,"-",""))</f>
        <v/>
      </c>
    </row>
    <row r="9" spans="1:16" x14ac:dyDescent="0.25">
      <c r="B9" s="11" t="s">
        <v>12</v>
      </c>
      <c r="C9">
        <f t="shared" si="4"/>
        <v>0</v>
      </c>
      <c r="D9">
        <f t="shared" si="0"/>
        <v>1</v>
      </c>
      <c r="E9">
        <f t="shared" si="5"/>
        <v>0</v>
      </c>
      <c r="F9">
        <f t="shared" si="1"/>
        <v>0</v>
      </c>
      <c r="G9">
        <f t="shared" si="2"/>
        <v>0</v>
      </c>
      <c r="H9" t="str">
        <f t="shared" si="3"/>
        <v/>
      </c>
      <c r="I9" t="str">
        <f t="shared" si="6"/>
        <v/>
      </c>
      <c r="J9" t="str">
        <f ca="1">IF(  Table1[[#This Row],[group single]]&lt;&gt;"",Table1[[#This Row],[group single]],  OFFSET(Table1[[#This Row],[group ]],-1,0))</f>
        <v>automation_almclk</v>
      </c>
      <c r="K9" t="str">
        <f t="shared" si="7"/>
        <v/>
      </c>
      <c r="L9" t="str">
        <f t="shared" si="8"/>
        <v/>
      </c>
      <c r="M9" t="str">
        <f t="shared" si="9"/>
        <v/>
      </c>
      <c r="N9" t="str">
        <f t="shared" si="10"/>
        <v>Automation - Alarm Clock</v>
      </c>
      <c r="O9" t="str">
        <f t="shared" si="11"/>
        <v/>
      </c>
      <c r="P9" t="str">
        <f t="shared" si="12"/>
        <v/>
      </c>
    </row>
    <row r="10" spans="1:16" x14ac:dyDescent="0.25">
      <c r="B10" s="11" t="s">
        <v>380</v>
      </c>
      <c r="C10">
        <f t="shared" si="4"/>
        <v>0</v>
      </c>
      <c r="D10">
        <f t="shared" si="0"/>
        <v>0</v>
      </c>
      <c r="E10">
        <f t="shared" si="5"/>
        <v>0</v>
      </c>
      <c r="F10">
        <f t="shared" si="1"/>
        <v>0</v>
      </c>
      <c r="G10">
        <f t="shared" si="2"/>
        <v>1</v>
      </c>
      <c r="H10" t="str">
        <f t="shared" si="3"/>
        <v/>
      </c>
      <c r="I10" t="str">
        <f t="shared" si="6"/>
        <v/>
      </c>
      <c r="J10" t="str">
        <f ca="1">IF(  Table1[[#This Row],[group single]]&lt;&gt;"",Table1[[#This Row],[group single]],  OFFSET(Table1[[#This Row],[group ]],-1,0))</f>
        <v>automation_almclk</v>
      </c>
      <c r="K10" t="str">
        <f t="shared" si="7"/>
        <v/>
      </c>
      <c r="L10" t="str">
        <f t="shared" si="8"/>
        <v/>
      </c>
      <c r="M10" t="str">
        <f t="shared" si="9"/>
        <v/>
      </c>
      <c r="N10" t="str">
        <f t="shared" si="10"/>
        <v>Automation - Alarm Clock</v>
      </c>
      <c r="O10" t="str">
        <f t="shared" si="11"/>
        <v xml:space="preserve">    - automation.almclk_wake_up_script_triggered_by_alarm_clock</v>
      </c>
      <c r="P10" t="str">
        <f t="shared" si="12"/>
        <v>automation.almclk_wake_up_script_triggered_by_alarm_clock</v>
      </c>
    </row>
    <row r="11" spans="1:16" x14ac:dyDescent="0.25">
      <c r="B11" s="11"/>
      <c r="C11">
        <f t="shared" si="4"/>
        <v>1</v>
      </c>
      <c r="D11">
        <f t="shared" si="0"/>
        <v>0</v>
      </c>
      <c r="E11">
        <f t="shared" si="5"/>
        <v>0</v>
      </c>
      <c r="F11">
        <f t="shared" si="1"/>
        <v>0</v>
      </c>
      <c r="G11">
        <f t="shared" si="2"/>
        <v>0</v>
      </c>
      <c r="H11" t="str">
        <f t="shared" si="3"/>
        <v/>
      </c>
      <c r="I11" t="str">
        <f t="shared" si="6"/>
        <v/>
      </c>
      <c r="J11" t="str">
        <f ca="1">IF(  Table1[[#This Row],[group single]]&lt;&gt;"",Table1[[#This Row],[group single]],  OFFSET(Table1[[#This Row],[group ]],-1,0))</f>
        <v>automation_almclk</v>
      </c>
      <c r="K11" t="str">
        <f t="shared" si="7"/>
        <v/>
      </c>
      <c r="L11" t="str">
        <f t="shared" si="8"/>
        <v/>
      </c>
      <c r="M11" t="str">
        <f t="shared" si="9"/>
        <v/>
      </c>
      <c r="N11" t="str">
        <f t="shared" si="10"/>
        <v>Automation - Alarm Clock</v>
      </c>
      <c r="O11" t="str">
        <f t="shared" si="11"/>
        <v/>
      </c>
      <c r="P11" t="str">
        <f t="shared" si="12"/>
        <v/>
      </c>
    </row>
    <row r="12" spans="1:16" x14ac:dyDescent="0.25">
      <c r="B12" s="11" t="s">
        <v>381</v>
      </c>
      <c r="C12">
        <f t="shared" si="4"/>
        <v>0</v>
      </c>
      <c r="D12">
        <f t="shared" si="0"/>
        <v>0</v>
      </c>
      <c r="E12">
        <f t="shared" si="5"/>
        <v>1</v>
      </c>
      <c r="F12">
        <f t="shared" si="1"/>
        <v>0</v>
      </c>
      <c r="G12">
        <f t="shared" si="2"/>
        <v>0</v>
      </c>
      <c r="H12" t="str">
        <f t="shared" si="3"/>
        <v>automation_ifttt:</v>
      </c>
      <c r="I12" t="str">
        <f t="shared" si="6"/>
        <v>automation_ifttt</v>
      </c>
      <c r="J12" t="str">
        <f ca="1">IF(  Table1[[#This Row],[group single]]&lt;&gt;"",Table1[[#This Row],[group single]],  OFFSET(Table1[[#This Row],[group ]],-1,0))</f>
        <v>automation_ifttt</v>
      </c>
      <c r="K12" t="str">
        <f t="shared" si="7"/>
        <v/>
      </c>
      <c r="L12" t="str">
        <f t="shared" si="8"/>
        <v/>
      </c>
      <c r="M12" t="str">
        <f t="shared" si="9"/>
        <v/>
      </c>
      <c r="N12" t="str">
        <f t="shared" si="10"/>
        <v>Automation - Alarm Clock</v>
      </c>
      <c r="O12" t="str">
        <f t="shared" si="11"/>
        <v/>
      </c>
      <c r="P12" t="str">
        <f t="shared" si="12"/>
        <v/>
      </c>
    </row>
    <row r="13" spans="1:16" x14ac:dyDescent="0.25">
      <c r="B13" s="11" t="s">
        <v>382</v>
      </c>
      <c r="C13">
        <f t="shared" si="4"/>
        <v>0</v>
      </c>
      <c r="D13">
        <f t="shared" si="0"/>
        <v>1</v>
      </c>
      <c r="E13">
        <f t="shared" si="5"/>
        <v>0</v>
      </c>
      <c r="F13">
        <f t="shared" si="1"/>
        <v>1</v>
      </c>
      <c r="G13">
        <f t="shared" si="2"/>
        <v>0</v>
      </c>
      <c r="H13" t="str">
        <f t="shared" si="3"/>
        <v/>
      </c>
      <c r="I13" t="str">
        <f t="shared" si="6"/>
        <v/>
      </c>
      <c r="J13" t="str">
        <f ca="1">IF(  Table1[[#This Row],[group single]]&lt;&gt;"",Table1[[#This Row],[group single]],  OFFSET(Table1[[#This Row],[group ]],-1,0))</f>
        <v>automation_ifttt</v>
      </c>
      <c r="K13" t="str">
        <f t="shared" si="7"/>
        <v xml:space="preserve">  name: "Automation - IFTTT"</v>
      </c>
      <c r="L13" t="str">
        <f t="shared" si="8"/>
        <v>"Automation - IFTTT"</v>
      </c>
      <c r="M13" t="str">
        <f t="shared" si="9"/>
        <v>Automation - IFTTT</v>
      </c>
      <c r="N13" t="str">
        <f t="shared" si="10"/>
        <v>Automation - IFTTT</v>
      </c>
      <c r="O13" t="str">
        <f t="shared" si="11"/>
        <v/>
      </c>
      <c r="P13" t="str">
        <f t="shared" si="12"/>
        <v/>
      </c>
    </row>
    <row r="14" spans="1:16" x14ac:dyDescent="0.25">
      <c r="B14" s="11" t="s">
        <v>12</v>
      </c>
      <c r="C14">
        <f t="shared" si="4"/>
        <v>0</v>
      </c>
      <c r="D14">
        <f t="shared" si="0"/>
        <v>1</v>
      </c>
      <c r="E14">
        <f t="shared" si="5"/>
        <v>0</v>
      </c>
      <c r="F14">
        <f t="shared" si="1"/>
        <v>0</v>
      </c>
      <c r="G14">
        <f t="shared" si="2"/>
        <v>0</v>
      </c>
      <c r="H14" t="str">
        <f t="shared" si="3"/>
        <v/>
      </c>
      <c r="I14" t="str">
        <f t="shared" si="6"/>
        <v/>
      </c>
      <c r="J14" t="str">
        <f ca="1">IF(  Table1[[#This Row],[group single]]&lt;&gt;"",Table1[[#This Row],[group single]],  OFFSET(Table1[[#This Row],[group ]],-1,0))</f>
        <v>automation_ifttt</v>
      </c>
      <c r="K14" t="str">
        <f t="shared" si="7"/>
        <v/>
      </c>
      <c r="L14" t="str">
        <f t="shared" si="8"/>
        <v/>
      </c>
      <c r="M14" t="str">
        <f t="shared" si="9"/>
        <v/>
      </c>
      <c r="N14" t="str">
        <f t="shared" si="10"/>
        <v>Automation - IFTTT</v>
      </c>
      <c r="O14" t="str">
        <f t="shared" si="11"/>
        <v/>
      </c>
      <c r="P14" t="str">
        <f t="shared" si="12"/>
        <v/>
      </c>
    </row>
    <row r="15" spans="1:16" x14ac:dyDescent="0.25">
      <c r="B15" s="11" t="s">
        <v>383</v>
      </c>
      <c r="C15">
        <f t="shared" si="4"/>
        <v>0</v>
      </c>
      <c r="D15">
        <f t="shared" si="0"/>
        <v>0</v>
      </c>
      <c r="E15">
        <f t="shared" si="5"/>
        <v>0</v>
      </c>
      <c r="F15">
        <f t="shared" si="1"/>
        <v>0</v>
      </c>
      <c r="G15">
        <f t="shared" si="2"/>
        <v>1</v>
      </c>
      <c r="H15" t="str">
        <f t="shared" si="3"/>
        <v/>
      </c>
      <c r="I15" t="str">
        <f t="shared" si="6"/>
        <v/>
      </c>
      <c r="J15" t="str">
        <f ca="1">IF(  Table1[[#This Row],[group single]]&lt;&gt;"",Table1[[#This Row],[group single]],  OFFSET(Table1[[#This Row],[group ]],-1,0))</f>
        <v>automation_ifttt</v>
      </c>
      <c r="K15" t="str">
        <f t="shared" si="7"/>
        <v/>
      </c>
      <c r="L15" t="str">
        <f t="shared" si="8"/>
        <v/>
      </c>
      <c r="M15" t="str">
        <f t="shared" si="9"/>
        <v/>
      </c>
      <c r="N15" t="str">
        <f t="shared" si="10"/>
        <v>Automation - IFTTT</v>
      </c>
      <c r="O15" t="str">
        <f t="shared" si="11"/>
        <v xml:space="preserve">    - automation.ifttt_speed_test_record</v>
      </c>
      <c r="P15" t="str">
        <f t="shared" si="12"/>
        <v>automation.ifttt_speed_test_record</v>
      </c>
    </row>
    <row r="16" spans="1:16" x14ac:dyDescent="0.25">
      <c r="B16" s="11"/>
      <c r="C16">
        <f t="shared" si="4"/>
        <v>1</v>
      </c>
      <c r="D16">
        <f t="shared" si="0"/>
        <v>0</v>
      </c>
      <c r="E16">
        <f t="shared" si="5"/>
        <v>0</v>
      </c>
      <c r="F16">
        <f t="shared" si="1"/>
        <v>0</v>
      </c>
      <c r="G16">
        <f t="shared" si="2"/>
        <v>0</v>
      </c>
      <c r="H16" t="str">
        <f t="shared" si="3"/>
        <v/>
      </c>
      <c r="I16" t="str">
        <f t="shared" si="6"/>
        <v/>
      </c>
      <c r="J16" t="str">
        <f ca="1">IF(  Table1[[#This Row],[group single]]&lt;&gt;"",Table1[[#This Row],[group single]],  OFFSET(Table1[[#This Row],[group ]],-1,0))</f>
        <v>automation_ifttt</v>
      </c>
      <c r="K16" t="str">
        <f t="shared" si="7"/>
        <v/>
      </c>
      <c r="L16" t="str">
        <f t="shared" si="8"/>
        <v/>
      </c>
      <c r="M16" t="str">
        <f t="shared" si="9"/>
        <v/>
      </c>
      <c r="N16" t="str">
        <f t="shared" si="10"/>
        <v>Automation - IFTTT</v>
      </c>
      <c r="O16" t="str">
        <f t="shared" si="11"/>
        <v/>
      </c>
      <c r="P16" t="str">
        <f t="shared" si="12"/>
        <v/>
      </c>
    </row>
    <row r="17" spans="2:16" x14ac:dyDescent="0.25">
      <c r="B17" s="11" t="s">
        <v>384</v>
      </c>
      <c r="C17">
        <f t="shared" si="4"/>
        <v>0</v>
      </c>
      <c r="D17">
        <f t="shared" si="0"/>
        <v>0</v>
      </c>
      <c r="E17">
        <f t="shared" si="5"/>
        <v>1</v>
      </c>
      <c r="F17">
        <f t="shared" si="1"/>
        <v>0</v>
      </c>
      <c r="G17">
        <f t="shared" si="2"/>
        <v>0</v>
      </c>
      <c r="H17" t="str">
        <f t="shared" si="3"/>
        <v>automation_locaway:</v>
      </c>
      <c r="I17" t="str">
        <f t="shared" si="6"/>
        <v>automation_locaway</v>
      </c>
      <c r="J17" t="str">
        <f ca="1">IF(  Table1[[#This Row],[group single]]&lt;&gt;"",Table1[[#This Row],[group single]],  OFFSET(Table1[[#This Row],[group ]],-1,0))</f>
        <v>automation_locaway</v>
      </c>
      <c r="K17" t="str">
        <f t="shared" si="7"/>
        <v/>
      </c>
      <c r="L17" t="str">
        <f t="shared" si="8"/>
        <v/>
      </c>
      <c r="M17" t="str">
        <f t="shared" si="9"/>
        <v/>
      </c>
      <c r="N17" t="str">
        <f t="shared" si="10"/>
        <v>Automation - IFTTT</v>
      </c>
      <c r="O17" t="str">
        <f t="shared" si="11"/>
        <v/>
      </c>
      <c r="P17" t="str">
        <f t="shared" si="12"/>
        <v/>
      </c>
    </row>
    <row r="18" spans="2:16" x14ac:dyDescent="0.25">
      <c r="B18" s="11" t="s">
        <v>385</v>
      </c>
      <c r="C18">
        <f t="shared" si="4"/>
        <v>0</v>
      </c>
      <c r="D18">
        <f t="shared" si="0"/>
        <v>1</v>
      </c>
      <c r="E18">
        <f t="shared" si="5"/>
        <v>0</v>
      </c>
      <c r="F18">
        <f t="shared" si="1"/>
        <v>1</v>
      </c>
      <c r="G18">
        <f t="shared" si="2"/>
        <v>0</v>
      </c>
      <c r="H18" t="str">
        <f t="shared" si="3"/>
        <v/>
      </c>
      <c r="I18" t="str">
        <f t="shared" si="6"/>
        <v/>
      </c>
      <c r="J18" t="str">
        <f ca="1">IF(  Table1[[#This Row],[group single]]&lt;&gt;"",Table1[[#This Row],[group single]],  OFFSET(Table1[[#This Row],[group ]],-1,0))</f>
        <v>automation_locaway</v>
      </c>
      <c r="K18" t="str">
        <f t="shared" si="7"/>
        <v xml:space="preserve">  name: "Automation - Away"</v>
      </c>
      <c r="L18" t="str">
        <f t="shared" si="8"/>
        <v>"Automation - Away"</v>
      </c>
      <c r="M18" t="str">
        <f t="shared" si="9"/>
        <v>Automation - Away</v>
      </c>
      <c r="N18" t="str">
        <f t="shared" si="10"/>
        <v>Automation - Away</v>
      </c>
      <c r="O18" t="str">
        <f t="shared" si="11"/>
        <v/>
      </c>
      <c r="P18" t="str">
        <f t="shared" si="12"/>
        <v/>
      </c>
    </row>
    <row r="19" spans="2:16" x14ac:dyDescent="0.25">
      <c r="B19" s="11" t="s">
        <v>12</v>
      </c>
      <c r="C19">
        <f t="shared" si="4"/>
        <v>0</v>
      </c>
      <c r="D19">
        <f t="shared" si="0"/>
        <v>1</v>
      </c>
      <c r="E19">
        <f t="shared" si="5"/>
        <v>0</v>
      </c>
      <c r="F19">
        <f t="shared" si="1"/>
        <v>0</v>
      </c>
      <c r="G19">
        <f t="shared" si="2"/>
        <v>0</v>
      </c>
      <c r="H19" t="str">
        <f t="shared" si="3"/>
        <v/>
      </c>
      <c r="I19" t="str">
        <f t="shared" si="6"/>
        <v/>
      </c>
      <c r="J19" t="str">
        <f ca="1">IF(  Table1[[#This Row],[group single]]&lt;&gt;"",Table1[[#This Row],[group single]],  OFFSET(Table1[[#This Row],[group ]],-1,0))</f>
        <v>automation_locaway</v>
      </c>
      <c r="K19" t="str">
        <f t="shared" si="7"/>
        <v/>
      </c>
      <c r="L19" t="str">
        <f t="shared" si="8"/>
        <v/>
      </c>
      <c r="M19" t="str">
        <f t="shared" si="9"/>
        <v/>
      </c>
      <c r="N19" t="str">
        <f t="shared" si="10"/>
        <v>Automation - Away</v>
      </c>
      <c r="O19" t="str">
        <f t="shared" si="11"/>
        <v/>
      </c>
      <c r="P19" t="str">
        <f t="shared" si="12"/>
        <v/>
      </c>
    </row>
    <row r="20" spans="2:16" x14ac:dyDescent="0.25">
      <c r="B20" s="11" t="s">
        <v>386</v>
      </c>
      <c r="C20">
        <f t="shared" si="4"/>
        <v>0</v>
      </c>
      <c r="D20">
        <f t="shared" si="0"/>
        <v>0</v>
      </c>
      <c r="E20">
        <f t="shared" si="5"/>
        <v>0</v>
      </c>
      <c r="F20">
        <f t="shared" si="1"/>
        <v>0</v>
      </c>
      <c r="G20">
        <f t="shared" si="2"/>
        <v>1</v>
      </c>
      <c r="H20" t="str">
        <f t="shared" si="3"/>
        <v/>
      </c>
      <c r="I20" t="str">
        <f t="shared" si="6"/>
        <v/>
      </c>
      <c r="J20" t="str">
        <f ca="1">IF(  Table1[[#This Row],[group single]]&lt;&gt;"",Table1[[#This Row],[group single]],  OFFSET(Table1[[#This Row],[group ]],-1,0))</f>
        <v>automation_locaway</v>
      </c>
      <c r="K20" t="str">
        <f t="shared" si="7"/>
        <v/>
      </c>
      <c r="L20" t="str">
        <f t="shared" si="8"/>
        <v/>
      </c>
      <c r="M20" t="str">
        <f t="shared" si="9"/>
        <v/>
      </c>
      <c r="N20" t="str">
        <f t="shared" si="10"/>
        <v>Automation - Away</v>
      </c>
      <c r="O20" t="str">
        <f t="shared" si="11"/>
        <v xml:space="preserve">    - automation.locaway_devices_in_bedroom_off_when_at_the_computer</v>
      </c>
      <c r="P20" t="str">
        <f t="shared" si="12"/>
        <v>automation.locaway_devices_in_bedroom_off_when_at_the_computer</v>
      </c>
    </row>
    <row r="21" spans="2:16" x14ac:dyDescent="0.25">
      <c r="B21" s="11" t="s">
        <v>387</v>
      </c>
      <c r="C21">
        <f t="shared" si="4"/>
        <v>0</v>
      </c>
      <c r="D21">
        <f t="shared" si="0"/>
        <v>0</v>
      </c>
      <c r="E21">
        <f t="shared" si="5"/>
        <v>0</v>
      </c>
      <c r="F21">
        <f t="shared" si="1"/>
        <v>0</v>
      </c>
      <c r="G21">
        <f t="shared" si="2"/>
        <v>1</v>
      </c>
      <c r="H21" t="str">
        <f t="shared" si="3"/>
        <v/>
      </c>
      <c r="I21" t="str">
        <f t="shared" si="6"/>
        <v/>
      </c>
      <c r="J21" t="str">
        <f ca="1">IF(  Table1[[#This Row],[group single]]&lt;&gt;"",Table1[[#This Row],[group single]],  OFFSET(Table1[[#This Row],[group ]],-1,0))</f>
        <v>automation_locaway</v>
      </c>
      <c r="K21" t="str">
        <f t="shared" si="7"/>
        <v/>
      </c>
      <c r="L21" t="str">
        <f t="shared" si="8"/>
        <v/>
      </c>
      <c r="M21" t="str">
        <f t="shared" si="9"/>
        <v/>
      </c>
      <c r="N21" t="str">
        <f t="shared" si="10"/>
        <v>Automation - Away</v>
      </c>
      <c r="O21" t="str">
        <f t="shared" si="11"/>
        <v xml:space="preserve">    - automation.locaway_devices_off_when_away</v>
      </c>
      <c r="P21" t="str">
        <f t="shared" si="12"/>
        <v>automation.locaway_devices_off_when_away</v>
      </c>
    </row>
    <row r="22" spans="2:16" x14ac:dyDescent="0.25">
      <c r="B22" s="11" t="s">
        <v>388</v>
      </c>
      <c r="C22">
        <f t="shared" si="4"/>
        <v>0</v>
      </c>
      <c r="D22">
        <f t="shared" si="0"/>
        <v>0</v>
      </c>
      <c r="E22">
        <f t="shared" si="5"/>
        <v>0</v>
      </c>
      <c r="F22">
        <f t="shared" si="1"/>
        <v>0</v>
      </c>
      <c r="G22">
        <f t="shared" si="2"/>
        <v>1</v>
      </c>
      <c r="H22" t="str">
        <f t="shared" si="3"/>
        <v/>
      </c>
      <c r="I22" t="str">
        <f t="shared" si="6"/>
        <v/>
      </c>
      <c r="J22" t="str">
        <f ca="1">IF(  Table1[[#This Row],[group single]]&lt;&gt;"",Table1[[#This Row],[group single]],  OFFSET(Table1[[#This Row],[group ]],-1,0))</f>
        <v>automation_locaway</v>
      </c>
      <c r="K22" t="str">
        <f t="shared" si="7"/>
        <v/>
      </c>
      <c r="L22" t="str">
        <f t="shared" si="8"/>
        <v/>
      </c>
      <c r="M22" t="str">
        <f t="shared" si="9"/>
        <v/>
      </c>
      <c r="N22" t="str">
        <f t="shared" si="10"/>
        <v>Automation - Away</v>
      </c>
      <c r="O22" t="str">
        <f t="shared" si="11"/>
        <v xml:space="preserve">    - automation.locaway_devices_on_desk_off_when_leave_the_computer</v>
      </c>
      <c r="P22" t="str">
        <f t="shared" si="12"/>
        <v>automation.locaway_devices_on_desk_off_when_leave_the_computer</v>
      </c>
    </row>
    <row r="23" spans="2:16" x14ac:dyDescent="0.25">
      <c r="B23" s="11"/>
      <c r="C23">
        <f t="shared" si="4"/>
        <v>1</v>
      </c>
      <c r="D23">
        <f t="shared" si="0"/>
        <v>0</v>
      </c>
      <c r="E23">
        <f t="shared" si="5"/>
        <v>0</v>
      </c>
      <c r="F23">
        <f t="shared" si="1"/>
        <v>0</v>
      </c>
      <c r="G23">
        <f t="shared" si="2"/>
        <v>0</v>
      </c>
      <c r="H23" t="str">
        <f t="shared" si="3"/>
        <v/>
      </c>
      <c r="I23" t="str">
        <f t="shared" si="6"/>
        <v/>
      </c>
      <c r="J23" t="str">
        <f ca="1">IF(  Table1[[#This Row],[group single]]&lt;&gt;"",Table1[[#This Row],[group single]],  OFFSET(Table1[[#This Row],[group ]],-1,0))</f>
        <v>automation_locaway</v>
      </c>
      <c r="K23" t="str">
        <f t="shared" si="7"/>
        <v/>
      </c>
      <c r="L23" t="str">
        <f t="shared" si="8"/>
        <v/>
      </c>
      <c r="M23" t="str">
        <f t="shared" si="9"/>
        <v/>
      </c>
      <c r="N23" t="str">
        <f t="shared" si="10"/>
        <v>Automation - Away</v>
      </c>
      <c r="O23" t="str">
        <f t="shared" si="11"/>
        <v/>
      </c>
      <c r="P23" t="str">
        <f t="shared" si="12"/>
        <v/>
      </c>
    </row>
    <row r="24" spans="2:16" x14ac:dyDescent="0.25">
      <c r="B24" s="11" t="s">
        <v>389</v>
      </c>
      <c r="C24">
        <f t="shared" si="4"/>
        <v>0</v>
      </c>
      <c r="D24">
        <f t="shared" si="0"/>
        <v>0</v>
      </c>
      <c r="E24">
        <f t="shared" si="5"/>
        <v>1</v>
      </c>
      <c r="F24">
        <f t="shared" si="1"/>
        <v>0</v>
      </c>
      <c r="G24">
        <f t="shared" si="2"/>
        <v>0</v>
      </c>
      <c r="H24" t="str">
        <f t="shared" si="3"/>
        <v>automation_not:</v>
      </c>
      <c r="I24" t="str">
        <f t="shared" si="6"/>
        <v>automation_not</v>
      </c>
      <c r="J24" t="str">
        <f ca="1">IF(  Table1[[#This Row],[group single]]&lt;&gt;"",Table1[[#This Row],[group single]],  OFFSET(Table1[[#This Row],[group ]],-1,0))</f>
        <v>automation_not</v>
      </c>
      <c r="K24" t="str">
        <f t="shared" si="7"/>
        <v/>
      </c>
      <c r="L24" t="str">
        <f t="shared" si="8"/>
        <v/>
      </c>
      <c r="M24" t="str">
        <f t="shared" si="9"/>
        <v/>
      </c>
      <c r="N24" t="str">
        <f t="shared" si="10"/>
        <v>Automation - Away</v>
      </c>
      <c r="O24" t="str">
        <f t="shared" si="11"/>
        <v/>
      </c>
      <c r="P24" t="str">
        <f t="shared" si="12"/>
        <v/>
      </c>
    </row>
    <row r="25" spans="2:16" x14ac:dyDescent="0.25">
      <c r="B25" s="11" t="s">
        <v>390</v>
      </c>
      <c r="C25">
        <f t="shared" si="4"/>
        <v>0</v>
      </c>
      <c r="D25">
        <f t="shared" si="0"/>
        <v>1</v>
      </c>
      <c r="E25">
        <f t="shared" si="5"/>
        <v>0</v>
      </c>
      <c r="F25">
        <f t="shared" si="1"/>
        <v>1</v>
      </c>
      <c r="G25">
        <f t="shared" si="2"/>
        <v>0</v>
      </c>
      <c r="H25" t="str">
        <f t="shared" si="3"/>
        <v/>
      </c>
      <c r="I25" t="str">
        <f t="shared" si="6"/>
        <v/>
      </c>
      <c r="J25" t="str">
        <f ca="1">IF(  Table1[[#This Row],[group single]]&lt;&gt;"",Table1[[#This Row],[group single]],  OFFSET(Table1[[#This Row],[group ]],-1,0))</f>
        <v>automation_not</v>
      </c>
      <c r="K25" t="str">
        <f t="shared" si="7"/>
        <v xml:space="preserve">  name: "Automation - Notifications"</v>
      </c>
      <c r="L25" t="str">
        <f t="shared" si="8"/>
        <v>"Automation - Notifications"</v>
      </c>
      <c r="M25" t="str">
        <f t="shared" si="9"/>
        <v>Automation - Notifications</v>
      </c>
      <c r="N25" t="str">
        <f t="shared" si="10"/>
        <v>Automation - Notifications</v>
      </c>
      <c r="O25" t="str">
        <f t="shared" si="11"/>
        <v/>
      </c>
      <c r="P25" t="str">
        <f t="shared" si="12"/>
        <v/>
      </c>
    </row>
    <row r="26" spans="2:16" x14ac:dyDescent="0.25">
      <c r="B26" s="11" t="s">
        <v>12</v>
      </c>
      <c r="C26">
        <f t="shared" si="4"/>
        <v>0</v>
      </c>
      <c r="D26">
        <f t="shared" si="0"/>
        <v>1</v>
      </c>
      <c r="E26">
        <f t="shared" si="5"/>
        <v>0</v>
      </c>
      <c r="F26">
        <f t="shared" si="1"/>
        <v>0</v>
      </c>
      <c r="G26">
        <f t="shared" si="2"/>
        <v>0</v>
      </c>
      <c r="H26" t="str">
        <f t="shared" si="3"/>
        <v/>
      </c>
      <c r="I26" t="str">
        <f t="shared" si="6"/>
        <v/>
      </c>
      <c r="J26" t="str">
        <f ca="1">IF(  Table1[[#This Row],[group single]]&lt;&gt;"",Table1[[#This Row],[group single]],  OFFSET(Table1[[#This Row],[group ]],-1,0))</f>
        <v>automation_not</v>
      </c>
      <c r="K26" t="str">
        <f t="shared" si="7"/>
        <v/>
      </c>
      <c r="L26" t="str">
        <f t="shared" si="8"/>
        <v/>
      </c>
      <c r="M26" t="str">
        <f t="shared" si="9"/>
        <v/>
      </c>
      <c r="N26" t="str">
        <f t="shared" si="10"/>
        <v>Automation - Notifications</v>
      </c>
      <c r="O26" t="str">
        <f t="shared" si="11"/>
        <v/>
      </c>
      <c r="P26" t="str">
        <f t="shared" si="12"/>
        <v/>
      </c>
    </row>
    <row r="27" spans="2:16" x14ac:dyDescent="0.25">
      <c r="B27" s="11" t="s">
        <v>391</v>
      </c>
      <c r="C27">
        <f t="shared" si="4"/>
        <v>0</v>
      </c>
      <c r="D27">
        <f t="shared" si="0"/>
        <v>0</v>
      </c>
      <c r="E27">
        <f t="shared" si="5"/>
        <v>0</v>
      </c>
      <c r="F27">
        <f t="shared" si="1"/>
        <v>0</v>
      </c>
      <c r="G27">
        <f t="shared" si="2"/>
        <v>1</v>
      </c>
      <c r="H27" t="str">
        <f t="shared" si="3"/>
        <v/>
      </c>
      <c r="I27" t="str">
        <f t="shared" si="6"/>
        <v/>
      </c>
      <c r="J27" t="str">
        <f ca="1">IF(  Table1[[#This Row],[group single]]&lt;&gt;"",Table1[[#This Row],[group single]],  OFFSET(Table1[[#This Row],[group ]],-1,0))</f>
        <v>automation_not</v>
      </c>
      <c r="K27" t="str">
        <f t="shared" si="7"/>
        <v/>
      </c>
      <c r="L27" t="str">
        <f t="shared" si="8"/>
        <v/>
      </c>
      <c r="M27" t="str">
        <f t="shared" si="9"/>
        <v/>
      </c>
      <c r="N27" t="str">
        <f t="shared" si="10"/>
        <v>Automation - Notifications</v>
      </c>
      <c r="O27" t="str">
        <f t="shared" si="11"/>
        <v xml:space="preserve">    - automation.not_notification_when_multisensor_battery_is_low</v>
      </c>
      <c r="P27" t="str">
        <f t="shared" si="12"/>
        <v>automation.not_notification_when_multisensor_battery_is_low</v>
      </c>
    </row>
    <row r="28" spans="2:16" x14ac:dyDescent="0.25">
      <c r="B28" s="11" t="s">
        <v>392</v>
      </c>
      <c r="C28">
        <f t="shared" si="4"/>
        <v>0</v>
      </c>
      <c r="D28">
        <f t="shared" si="0"/>
        <v>0</v>
      </c>
      <c r="E28">
        <f t="shared" si="5"/>
        <v>0</v>
      </c>
      <c r="F28">
        <f t="shared" si="1"/>
        <v>0</v>
      </c>
      <c r="G28">
        <f t="shared" si="2"/>
        <v>1</v>
      </c>
      <c r="H28" t="str">
        <f t="shared" si="3"/>
        <v/>
      </c>
      <c r="I28" t="str">
        <f t="shared" si="6"/>
        <v/>
      </c>
      <c r="J28" t="str">
        <f ca="1">IF(  Table1[[#This Row],[group single]]&lt;&gt;"",Table1[[#This Row],[group single]],  OFFSET(Table1[[#This Row],[group ]],-1,0))</f>
        <v>automation_not</v>
      </c>
      <c r="K28" t="str">
        <f t="shared" si="7"/>
        <v/>
      </c>
      <c r="L28" t="str">
        <f t="shared" si="8"/>
        <v/>
      </c>
      <c r="M28" t="str">
        <f t="shared" si="9"/>
        <v/>
      </c>
      <c r="N28" t="str">
        <f t="shared" si="10"/>
        <v>Automation - Notifications</v>
      </c>
      <c r="O28" t="str">
        <f t="shared" si="11"/>
        <v xml:space="preserve">    - automation.not_notification_when_tank_turns_off</v>
      </c>
      <c r="P28" t="str">
        <f t="shared" si="12"/>
        <v>automation.not_notification_when_tank_turns_off</v>
      </c>
    </row>
    <row r="29" spans="2:16" x14ac:dyDescent="0.25">
      <c r="B29" s="11"/>
      <c r="C29">
        <f t="shared" si="4"/>
        <v>1</v>
      </c>
      <c r="D29">
        <f t="shared" si="0"/>
        <v>0</v>
      </c>
      <c r="E29">
        <f t="shared" si="5"/>
        <v>0</v>
      </c>
      <c r="F29">
        <f t="shared" si="1"/>
        <v>0</v>
      </c>
      <c r="G29">
        <f t="shared" si="2"/>
        <v>0</v>
      </c>
      <c r="H29" t="str">
        <f t="shared" si="3"/>
        <v/>
      </c>
      <c r="I29" t="str">
        <f t="shared" si="6"/>
        <v/>
      </c>
      <c r="J29" t="str">
        <f ca="1">IF(  Table1[[#This Row],[group single]]&lt;&gt;"",Table1[[#This Row],[group single]],  OFFSET(Table1[[#This Row],[group ]],-1,0))</f>
        <v>automation_not</v>
      </c>
      <c r="K29" t="str">
        <f t="shared" si="7"/>
        <v/>
      </c>
      <c r="L29" t="str">
        <f t="shared" si="8"/>
        <v/>
      </c>
      <c r="M29" t="str">
        <f t="shared" si="9"/>
        <v/>
      </c>
      <c r="N29" t="str">
        <f t="shared" si="10"/>
        <v>Automation - Notifications</v>
      </c>
      <c r="O29" t="str">
        <f t="shared" si="11"/>
        <v/>
      </c>
      <c r="P29" t="str">
        <f t="shared" si="12"/>
        <v/>
      </c>
    </row>
    <row r="30" spans="2:16" x14ac:dyDescent="0.25">
      <c r="B30" s="11" t="s">
        <v>393</v>
      </c>
      <c r="C30">
        <f t="shared" si="4"/>
        <v>0</v>
      </c>
      <c r="D30">
        <f t="shared" si="0"/>
        <v>0</v>
      </c>
      <c r="E30">
        <f t="shared" si="5"/>
        <v>1</v>
      </c>
      <c r="F30">
        <f t="shared" si="1"/>
        <v>0</v>
      </c>
      <c r="G30">
        <f t="shared" si="2"/>
        <v>0</v>
      </c>
      <c r="H30" t="str">
        <f t="shared" si="3"/>
        <v>automation_rmbd:</v>
      </c>
      <c r="I30" t="str">
        <f t="shared" si="6"/>
        <v>automation_rmbd</v>
      </c>
      <c r="J30" t="str">
        <f ca="1">IF(  Table1[[#This Row],[group single]]&lt;&gt;"",Table1[[#This Row],[group single]],  OFFSET(Table1[[#This Row],[group ]],-1,0))</f>
        <v>automation_rmbd</v>
      </c>
      <c r="K30" t="str">
        <f t="shared" si="7"/>
        <v/>
      </c>
      <c r="L30" t="str">
        <f t="shared" si="8"/>
        <v/>
      </c>
      <c r="M30" t="str">
        <f t="shared" si="9"/>
        <v/>
      </c>
      <c r="N30" t="str">
        <f t="shared" si="10"/>
        <v>Automation - Notifications</v>
      </c>
      <c r="O30" t="str">
        <f t="shared" si="11"/>
        <v/>
      </c>
      <c r="P30" t="str">
        <f t="shared" si="12"/>
        <v/>
      </c>
    </row>
    <row r="31" spans="2:16" x14ac:dyDescent="0.25">
      <c r="B31" s="11" t="s">
        <v>394</v>
      </c>
      <c r="C31">
        <f t="shared" si="4"/>
        <v>0</v>
      </c>
      <c r="D31">
        <f t="shared" si="0"/>
        <v>1</v>
      </c>
      <c r="E31">
        <f t="shared" si="5"/>
        <v>0</v>
      </c>
      <c r="F31">
        <f t="shared" si="1"/>
        <v>1</v>
      </c>
      <c r="G31">
        <f t="shared" si="2"/>
        <v>0</v>
      </c>
      <c r="H31" t="str">
        <f t="shared" si="3"/>
        <v/>
      </c>
      <c r="I31" t="str">
        <f t="shared" si="6"/>
        <v/>
      </c>
      <c r="J31" t="str">
        <f ca="1">IF(  Table1[[#This Row],[group single]]&lt;&gt;"",Table1[[#This Row],[group single]],  OFFSET(Table1[[#This Row],[group ]],-1,0))</f>
        <v>automation_rmbd</v>
      </c>
      <c r="K31" t="str">
        <f t="shared" si="7"/>
        <v xml:space="preserve">  name: "Automation - Bedroom"</v>
      </c>
      <c r="L31" t="str">
        <f t="shared" si="8"/>
        <v>"Automation - Bedroom"</v>
      </c>
      <c r="M31" t="str">
        <f t="shared" si="9"/>
        <v>Automation - Bedroom</v>
      </c>
      <c r="N31" t="str">
        <f t="shared" si="10"/>
        <v>Automation - Bedroom</v>
      </c>
      <c r="O31" t="str">
        <f t="shared" si="11"/>
        <v/>
      </c>
      <c r="P31" t="str">
        <f t="shared" si="12"/>
        <v/>
      </c>
    </row>
    <row r="32" spans="2:16" x14ac:dyDescent="0.25">
      <c r="B32" s="11" t="s">
        <v>12</v>
      </c>
      <c r="C32">
        <f t="shared" si="4"/>
        <v>0</v>
      </c>
      <c r="D32">
        <f t="shared" si="0"/>
        <v>1</v>
      </c>
      <c r="E32">
        <f t="shared" si="5"/>
        <v>0</v>
      </c>
      <c r="F32">
        <f t="shared" si="1"/>
        <v>0</v>
      </c>
      <c r="G32">
        <f t="shared" si="2"/>
        <v>0</v>
      </c>
      <c r="H32" t="str">
        <f t="shared" si="3"/>
        <v/>
      </c>
      <c r="I32" t="str">
        <f t="shared" si="6"/>
        <v/>
      </c>
      <c r="J32" t="str">
        <f ca="1">IF(  Table1[[#This Row],[group single]]&lt;&gt;"",Table1[[#This Row],[group single]],  OFFSET(Table1[[#This Row],[group ]],-1,0))</f>
        <v>automation_rmbd</v>
      </c>
      <c r="K32" t="str">
        <f t="shared" si="7"/>
        <v/>
      </c>
      <c r="L32" t="str">
        <f t="shared" si="8"/>
        <v/>
      </c>
      <c r="M32" t="str">
        <f t="shared" si="9"/>
        <v/>
      </c>
      <c r="N32" t="str">
        <f t="shared" si="10"/>
        <v>Automation - Bedroom</v>
      </c>
      <c r="O32" t="str">
        <f t="shared" si="11"/>
        <v/>
      </c>
      <c r="P32" t="str">
        <f t="shared" si="12"/>
        <v/>
      </c>
    </row>
    <row r="33" spans="2:16" x14ac:dyDescent="0.25">
      <c r="B33" s="11" t="s">
        <v>395</v>
      </c>
      <c r="C33">
        <f t="shared" si="4"/>
        <v>0</v>
      </c>
      <c r="D33">
        <f t="shared" si="0"/>
        <v>0</v>
      </c>
      <c r="E33">
        <f t="shared" si="5"/>
        <v>0</v>
      </c>
      <c r="F33">
        <f t="shared" si="1"/>
        <v>0</v>
      </c>
      <c r="G33">
        <f t="shared" si="2"/>
        <v>1</v>
      </c>
      <c r="H33" t="str">
        <f t="shared" si="3"/>
        <v/>
      </c>
      <c r="I33" t="str">
        <f t="shared" si="6"/>
        <v/>
      </c>
      <c r="J33" t="str">
        <f ca="1">IF(  Table1[[#This Row],[group single]]&lt;&gt;"",Table1[[#This Row],[group single]],  OFFSET(Table1[[#This Row],[group ]],-1,0))</f>
        <v>automation_rmbd</v>
      </c>
      <c r="K33" t="str">
        <f t="shared" si="7"/>
        <v/>
      </c>
      <c r="L33" t="str">
        <f t="shared" si="8"/>
        <v/>
      </c>
      <c r="M33" t="str">
        <f t="shared" si="9"/>
        <v/>
      </c>
      <c r="N33" t="str">
        <f t="shared" si="10"/>
        <v>Automation - Bedroom</v>
      </c>
      <c r="O33" t="str">
        <f t="shared" si="11"/>
        <v xml:space="preserve">    - automation.rmbd_fan_off_at_12_pm</v>
      </c>
      <c r="P33" t="str">
        <f t="shared" si="12"/>
        <v>automation.rmbd_fan_off_at_12_pm</v>
      </c>
    </row>
    <row r="34" spans="2:16" x14ac:dyDescent="0.25">
      <c r="B34" s="11" t="s">
        <v>396</v>
      </c>
      <c r="C34">
        <f t="shared" si="4"/>
        <v>0</v>
      </c>
      <c r="D34">
        <f t="shared" si="0"/>
        <v>0</v>
      </c>
      <c r="E34">
        <f t="shared" si="5"/>
        <v>0</v>
      </c>
      <c r="F34">
        <f t="shared" si="1"/>
        <v>0</v>
      </c>
      <c r="G34">
        <f t="shared" si="2"/>
        <v>1</v>
      </c>
      <c r="H34" t="str">
        <f t="shared" si="3"/>
        <v/>
      </c>
      <c r="I34" t="str">
        <f t="shared" si="6"/>
        <v/>
      </c>
      <c r="J34" t="str">
        <f ca="1">IF(  Table1[[#This Row],[group single]]&lt;&gt;"",Table1[[#This Row],[group single]],  OFFSET(Table1[[#This Row],[group ]],-1,0))</f>
        <v>automation_rmbd</v>
      </c>
      <c r="K34" t="str">
        <f t="shared" si="7"/>
        <v/>
      </c>
      <c r="L34" t="str">
        <f t="shared" si="8"/>
        <v/>
      </c>
      <c r="M34" t="str">
        <f t="shared" si="9"/>
        <v/>
      </c>
      <c r="N34" t="str">
        <f t="shared" si="10"/>
        <v>Automation - Bedroom</v>
      </c>
      <c r="O34" t="str">
        <f t="shared" si="11"/>
        <v xml:space="preserve">    - automation.rmbd_one_bulb_off_at_sunset</v>
      </c>
      <c r="P34" t="str">
        <f t="shared" si="12"/>
        <v>automation.rmbd_one_bulb_off_at_sunset</v>
      </c>
    </row>
    <row r="35" spans="2:16" x14ac:dyDescent="0.25">
      <c r="B35" s="11" t="s">
        <v>397</v>
      </c>
      <c r="C35">
        <f t="shared" si="4"/>
        <v>0</v>
      </c>
      <c r="D35">
        <f t="shared" si="0"/>
        <v>0</v>
      </c>
      <c r="E35">
        <f t="shared" si="5"/>
        <v>0</v>
      </c>
      <c r="F35">
        <f t="shared" si="1"/>
        <v>0</v>
      </c>
      <c r="G35">
        <f t="shared" si="2"/>
        <v>1</v>
      </c>
      <c r="H35" t="str">
        <f t="shared" si="3"/>
        <v/>
      </c>
      <c r="I35" t="str">
        <f t="shared" si="6"/>
        <v/>
      </c>
      <c r="J35" t="str">
        <f ca="1">IF(  Table1[[#This Row],[group single]]&lt;&gt;"",Table1[[#This Row],[group single]],  OFFSET(Table1[[#This Row],[group ]],-1,0))</f>
        <v>automation_rmbd</v>
      </c>
      <c r="K35" t="str">
        <f t="shared" si="7"/>
        <v/>
      </c>
      <c r="L35" t="str">
        <f t="shared" si="8"/>
        <v/>
      </c>
      <c r="M35" t="str">
        <f t="shared" si="9"/>
        <v/>
      </c>
      <c r="N35" t="str">
        <f t="shared" si="10"/>
        <v>Automation - Bedroom</v>
      </c>
      <c r="O35" t="str">
        <f t="shared" si="11"/>
        <v xml:space="preserve">    - automation.rmbd_one_bulb_on_with_switch_at_night</v>
      </c>
      <c r="P35" t="str">
        <f t="shared" si="12"/>
        <v>automation.rmbd_one_bulb_on_with_switch_at_night</v>
      </c>
    </row>
    <row r="36" spans="2:16" x14ac:dyDescent="0.25">
      <c r="B36" s="11"/>
      <c r="C36">
        <f t="shared" si="4"/>
        <v>1</v>
      </c>
      <c r="D36">
        <f t="shared" si="0"/>
        <v>0</v>
      </c>
      <c r="E36">
        <f t="shared" si="5"/>
        <v>0</v>
      </c>
      <c r="F36">
        <f t="shared" si="1"/>
        <v>0</v>
      </c>
      <c r="G36">
        <f t="shared" si="2"/>
        <v>0</v>
      </c>
      <c r="H36" t="str">
        <f t="shared" si="3"/>
        <v/>
      </c>
      <c r="I36" t="str">
        <f t="shared" si="6"/>
        <v/>
      </c>
      <c r="J36" t="str">
        <f ca="1">IF(  Table1[[#This Row],[group single]]&lt;&gt;"",Table1[[#This Row],[group single]],  OFFSET(Table1[[#This Row],[group ]],-1,0))</f>
        <v>automation_rmbd</v>
      </c>
      <c r="K36" t="str">
        <f t="shared" si="7"/>
        <v/>
      </c>
      <c r="L36" t="str">
        <f t="shared" si="8"/>
        <v/>
      </c>
      <c r="M36" t="str">
        <f t="shared" si="9"/>
        <v/>
      </c>
      <c r="N36" t="str">
        <f t="shared" si="10"/>
        <v>Automation - Bedroom</v>
      </c>
      <c r="O36" t="str">
        <f t="shared" si="11"/>
        <v/>
      </c>
      <c r="P36" t="str">
        <f t="shared" si="12"/>
        <v/>
      </c>
    </row>
    <row r="37" spans="2:16" x14ac:dyDescent="0.25">
      <c r="B37" s="11" t="s">
        <v>398</v>
      </c>
      <c r="C37">
        <f t="shared" si="4"/>
        <v>0</v>
      </c>
      <c r="D37">
        <f t="shared" si="0"/>
        <v>0</v>
      </c>
      <c r="E37">
        <f t="shared" si="5"/>
        <v>1</v>
      </c>
      <c r="F37">
        <f t="shared" si="1"/>
        <v>0</v>
      </c>
      <c r="G37">
        <f t="shared" si="2"/>
        <v>0</v>
      </c>
      <c r="H37" t="str">
        <f t="shared" si="3"/>
        <v>automation_rmlv:</v>
      </c>
      <c r="I37" t="str">
        <f t="shared" si="6"/>
        <v>automation_rmlv</v>
      </c>
      <c r="J37" t="str">
        <f ca="1">IF(  Table1[[#This Row],[group single]]&lt;&gt;"",Table1[[#This Row],[group single]],  OFFSET(Table1[[#This Row],[group ]],-1,0))</f>
        <v>automation_rmlv</v>
      </c>
      <c r="K37" t="str">
        <f t="shared" si="7"/>
        <v/>
      </c>
      <c r="L37" t="str">
        <f t="shared" si="8"/>
        <v/>
      </c>
      <c r="M37" t="str">
        <f t="shared" si="9"/>
        <v/>
      </c>
      <c r="N37" t="str">
        <f t="shared" si="10"/>
        <v>Automation - Bedroom</v>
      </c>
      <c r="O37" t="str">
        <f t="shared" si="11"/>
        <v/>
      </c>
      <c r="P37" t="str">
        <f t="shared" si="12"/>
        <v/>
      </c>
    </row>
    <row r="38" spans="2:16" x14ac:dyDescent="0.25">
      <c r="B38" s="11" t="s">
        <v>399</v>
      </c>
      <c r="C38">
        <f t="shared" si="4"/>
        <v>0</v>
      </c>
      <c r="D38">
        <f t="shared" si="0"/>
        <v>1</v>
      </c>
      <c r="E38">
        <f t="shared" si="5"/>
        <v>0</v>
      </c>
      <c r="F38">
        <f t="shared" si="1"/>
        <v>1</v>
      </c>
      <c r="G38">
        <f t="shared" si="2"/>
        <v>0</v>
      </c>
      <c r="H38" t="str">
        <f t="shared" si="3"/>
        <v/>
      </c>
      <c r="I38" t="str">
        <f t="shared" si="6"/>
        <v/>
      </c>
      <c r="J38" t="str">
        <f ca="1">IF(  Table1[[#This Row],[group single]]&lt;&gt;"",Table1[[#This Row],[group single]],  OFFSET(Table1[[#This Row],[group ]],-1,0))</f>
        <v>automation_rmlv</v>
      </c>
      <c r="K38" t="str">
        <f t="shared" si="7"/>
        <v xml:space="preserve">  name: "Automation - Living Room"</v>
      </c>
      <c r="L38" t="str">
        <f t="shared" si="8"/>
        <v>"Automation - Living Room"</v>
      </c>
      <c r="M38" t="str">
        <f t="shared" si="9"/>
        <v>Automation - Living Room</v>
      </c>
      <c r="N38" t="str">
        <f t="shared" si="10"/>
        <v>Automation - Living Room</v>
      </c>
      <c r="O38" t="str">
        <f t="shared" si="11"/>
        <v/>
      </c>
      <c r="P38" t="str">
        <f t="shared" si="12"/>
        <v/>
      </c>
    </row>
    <row r="39" spans="2:16" x14ac:dyDescent="0.25">
      <c r="B39" s="11" t="s">
        <v>12</v>
      </c>
      <c r="C39">
        <f t="shared" si="4"/>
        <v>0</v>
      </c>
      <c r="D39">
        <f t="shared" si="0"/>
        <v>1</v>
      </c>
      <c r="E39">
        <f t="shared" si="5"/>
        <v>0</v>
      </c>
      <c r="F39">
        <f t="shared" si="1"/>
        <v>0</v>
      </c>
      <c r="G39">
        <f t="shared" si="2"/>
        <v>0</v>
      </c>
      <c r="H39" t="str">
        <f t="shared" si="3"/>
        <v/>
      </c>
      <c r="I39" t="str">
        <f t="shared" si="6"/>
        <v/>
      </c>
      <c r="J39" t="str">
        <f ca="1">IF(  Table1[[#This Row],[group single]]&lt;&gt;"",Table1[[#This Row],[group single]],  OFFSET(Table1[[#This Row],[group ]],-1,0))</f>
        <v>automation_rmlv</v>
      </c>
      <c r="K39" t="str">
        <f t="shared" si="7"/>
        <v/>
      </c>
      <c r="L39" t="str">
        <f t="shared" si="8"/>
        <v/>
      </c>
      <c r="M39" t="str">
        <f t="shared" si="9"/>
        <v/>
      </c>
      <c r="N39" t="str">
        <f t="shared" si="10"/>
        <v>Automation - Living Room</v>
      </c>
      <c r="O39" t="str">
        <f t="shared" si="11"/>
        <v/>
      </c>
      <c r="P39" t="str">
        <f t="shared" si="12"/>
        <v/>
      </c>
    </row>
    <row r="40" spans="2:16" x14ac:dyDescent="0.25">
      <c r="B40" s="11" t="s">
        <v>400</v>
      </c>
      <c r="C40">
        <f t="shared" si="4"/>
        <v>0</v>
      </c>
      <c r="D40">
        <f t="shared" si="0"/>
        <v>0</v>
      </c>
      <c r="E40">
        <f t="shared" si="5"/>
        <v>0</v>
      </c>
      <c r="F40">
        <f t="shared" si="1"/>
        <v>0</v>
      </c>
      <c r="G40">
        <f t="shared" si="2"/>
        <v>1</v>
      </c>
      <c r="H40" t="str">
        <f t="shared" si="3"/>
        <v/>
      </c>
      <c r="I40" t="str">
        <f t="shared" si="6"/>
        <v/>
      </c>
      <c r="J40" t="str">
        <f ca="1">IF(  Table1[[#This Row],[group single]]&lt;&gt;"",Table1[[#This Row],[group single]],  OFFSET(Table1[[#This Row],[group ]],-1,0))</f>
        <v>automation_rmlv</v>
      </c>
      <c r="K40" t="str">
        <f t="shared" si="7"/>
        <v/>
      </c>
      <c r="L40" t="str">
        <f t="shared" si="8"/>
        <v/>
      </c>
      <c r="M40" t="str">
        <f t="shared" si="9"/>
        <v/>
      </c>
      <c r="N40" t="str">
        <f t="shared" si="10"/>
        <v>Automation - Living Room</v>
      </c>
      <c r="O40" t="str">
        <f t="shared" si="11"/>
        <v xml:space="preserve">    - automation.rmlv_amp_off_at_3_am</v>
      </c>
      <c r="P40" t="str">
        <f t="shared" si="12"/>
        <v>automation.rmlv_amp_off_at_3_am</v>
      </c>
    </row>
    <row r="41" spans="2:16" x14ac:dyDescent="0.25">
      <c r="B41" s="11" t="s">
        <v>401</v>
      </c>
      <c r="C41">
        <f t="shared" si="4"/>
        <v>0</v>
      </c>
      <c r="D41">
        <f t="shared" si="0"/>
        <v>0</v>
      </c>
      <c r="E41">
        <f t="shared" si="5"/>
        <v>0</v>
      </c>
      <c r="F41">
        <f t="shared" si="1"/>
        <v>0</v>
      </c>
      <c r="G41">
        <f t="shared" si="2"/>
        <v>1</v>
      </c>
      <c r="H41" t="str">
        <f t="shared" si="3"/>
        <v/>
      </c>
      <c r="I41" t="str">
        <f t="shared" si="6"/>
        <v/>
      </c>
      <c r="J41" t="str">
        <f ca="1">IF(  Table1[[#This Row],[group single]]&lt;&gt;"",Table1[[#This Row],[group single]],  OFFSET(Table1[[#This Row],[group ]],-1,0))</f>
        <v>automation_rmlv</v>
      </c>
      <c r="K41" t="str">
        <f t="shared" si="7"/>
        <v/>
      </c>
      <c r="L41" t="str">
        <f t="shared" si="8"/>
        <v/>
      </c>
      <c r="M41" t="str">
        <f t="shared" si="9"/>
        <v/>
      </c>
      <c r="N41" t="str">
        <f t="shared" si="10"/>
        <v>Automation - Living Room</v>
      </c>
      <c r="O41" t="str">
        <f t="shared" si="11"/>
        <v xml:space="preserve">    - automation.rmlv_amp_off_with_humvee</v>
      </c>
      <c r="P41" t="str">
        <f t="shared" si="12"/>
        <v>automation.rmlv_amp_off_with_humvee</v>
      </c>
    </row>
    <row r="42" spans="2:16" x14ac:dyDescent="0.25">
      <c r="B42" s="11"/>
      <c r="C42">
        <f t="shared" si="4"/>
        <v>1</v>
      </c>
      <c r="D42">
        <f t="shared" si="0"/>
        <v>0</v>
      </c>
      <c r="E42">
        <f t="shared" si="5"/>
        <v>0</v>
      </c>
      <c r="F42">
        <f t="shared" si="1"/>
        <v>0</v>
      </c>
      <c r="G42">
        <f t="shared" si="2"/>
        <v>0</v>
      </c>
      <c r="H42" t="str">
        <f t="shared" si="3"/>
        <v/>
      </c>
      <c r="I42" t="str">
        <f t="shared" si="6"/>
        <v/>
      </c>
      <c r="J42" t="str">
        <f ca="1">IF(  Table1[[#This Row],[group single]]&lt;&gt;"",Table1[[#This Row],[group single]],  OFFSET(Table1[[#This Row],[group ]],-1,0))</f>
        <v>automation_rmlv</v>
      </c>
      <c r="K42" t="str">
        <f t="shared" si="7"/>
        <v/>
      </c>
      <c r="L42" t="str">
        <f t="shared" si="8"/>
        <v/>
      </c>
      <c r="M42" t="str">
        <f t="shared" si="9"/>
        <v/>
      </c>
      <c r="N42" t="str">
        <f t="shared" si="10"/>
        <v>Automation - Living Room</v>
      </c>
      <c r="O42" t="str">
        <f t="shared" si="11"/>
        <v/>
      </c>
      <c r="P42" t="str">
        <f t="shared" si="12"/>
        <v/>
      </c>
    </row>
    <row r="43" spans="2:16" x14ac:dyDescent="0.25">
      <c r="B43" s="11" t="s">
        <v>402</v>
      </c>
      <c r="C43">
        <f t="shared" si="4"/>
        <v>0</v>
      </c>
      <c r="D43">
        <f t="shared" si="0"/>
        <v>0</v>
      </c>
      <c r="E43">
        <f t="shared" si="5"/>
        <v>1</v>
      </c>
      <c r="F43">
        <f t="shared" si="1"/>
        <v>0</v>
      </c>
      <c r="G43">
        <f t="shared" si="2"/>
        <v>0</v>
      </c>
      <c r="H43" t="str">
        <f t="shared" si="3"/>
        <v>automation_rmlvtv:</v>
      </c>
      <c r="I43" t="str">
        <f t="shared" si="6"/>
        <v>automation_rmlvtv</v>
      </c>
      <c r="J43" t="str">
        <f ca="1">IF(  Table1[[#This Row],[group single]]&lt;&gt;"",Table1[[#This Row],[group single]],  OFFSET(Table1[[#This Row],[group ]],-1,0))</f>
        <v>automation_rmlvtv</v>
      </c>
      <c r="K43" t="str">
        <f t="shared" si="7"/>
        <v/>
      </c>
      <c r="L43" t="str">
        <f t="shared" si="8"/>
        <v/>
      </c>
      <c r="M43" t="str">
        <f t="shared" si="9"/>
        <v/>
      </c>
      <c r="N43" t="str">
        <f t="shared" si="10"/>
        <v>Automation - Living Room</v>
      </c>
      <c r="O43" t="str">
        <f t="shared" si="11"/>
        <v/>
      </c>
      <c r="P43" t="str">
        <f t="shared" si="12"/>
        <v/>
      </c>
    </row>
    <row r="44" spans="2:16" x14ac:dyDescent="0.25">
      <c r="B44" s="11" t="s">
        <v>403</v>
      </c>
      <c r="C44">
        <f t="shared" si="4"/>
        <v>0</v>
      </c>
      <c r="D44">
        <f t="shared" si="0"/>
        <v>1</v>
      </c>
      <c r="E44">
        <f t="shared" si="5"/>
        <v>0</v>
      </c>
      <c r="F44">
        <f t="shared" si="1"/>
        <v>1</v>
      </c>
      <c r="G44">
        <f t="shared" si="2"/>
        <v>0</v>
      </c>
      <c r="H44" t="str">
        <f t="shared" si="3"/>
        <v/>
      </c>
      <c r="I44" t="str">
        <f t="shared" si="6"/>
        <v/>
      </c>
      <c r="J44" t="str">
        <f ca="1">IF(  Table1[[#This Row],[group single]]&lt;&gt;"",Table1[[#This Row],[group single]],  OFFSET(Table1[[#This Row],[group ]],-1,0))</f>
        <v>automation_rmlvtv</v>
      </c>
      <c r="K44" t="str">
        <f t="shared" si="7"/>
        <v xml:space="preserve">  name: "Automation - Living Room TV"</v>
      </c>
      <c r="L44" t="str">
        <f t="shared" si="8"/>
        <v>"Automation - Living Room TV"</v>
      </c>
      <c r="M44" t="str">
        <f t="shared" si="9"/>
        <v>Automation - Living Room TV</v>
      </c>
      <c r="N44" t="str">
        <f t="shared" si="10"/>
        <v>Automation - Living Room TV</v>
      </c>
      <c r="O44" t="str">
        <f t="shared" si="11"/>
        <v/>
      </c>
      <c r="P44" t="str">
        <f t="shared" si="12"/>
        <v/>
      </c>
    </row>
    <row r="45" spans="2:16" x14ac:dyDescent="0.25">
      <c r="B45" s="11" t="s">
        <v>12</v>
      </c>
      <c r="C45">
        <f t="shared" si="4"/>
        <v>0</v>
      </c>
      <c r="D45">
        <f t="shared" si="0"/>
        <v>1</v>
      </c>
      <c r="E45">
        <f t="shared" si="5"/>
        <v>0</v>
      </c>
      <c r="F45">
        <f t="shared" si="1"/>
        <v>0</v>
      </c>
      <c r="G45">
        <f t="shared" si="2"/>
        <v>0</v>
      </c>
      <c r="H45" t="str">
        <f t="shared" si="3"/>
        <v/>
      </c>
      <c r="I45" t="str">
        <f t="shared" si="6"/>
        <v/>
      </c>
      <c r="J45" t="str">
        <f ca="1">IF(  Table1[[#This Row],[group single]]&lt;&gt;"",Table1[[#This Row],[group single]],  OFFSET(Table1[[#This Row],[group ]],-1,0))</f>
        <v>automation_rmlvtv</v>
      </c>
      <c r="K45" t="str">
        <f t="shared" si="7"/>
        <v/>
      </c>
      <c r="L45" t="str">
        <f t="shared" si="8"/>
        <v/>
      </c>
      <c r="M45" t="str">
        <f t="shared" si="9"/>
        <v/>
      </c>
      <c r="N45" t="str">
        <f t="shared" si="10"/>
        <v>Automation - Living Room TV</v>
      </c>
      <c r="O45" t="str">
        <f t="shared" si="11"/>
        <v/>
      </c>
      <c r="P45" t="str">
        <f t="shared" si="12"/>
        <v/>
      </c>
    </row>
    <row r="46" spans="2:16" x14ac:dyDescent="0.25">
      <c r="B46" s="11" t="s">
        <v>404</v>
      </c>
      <c r="C46">
        <f t="shared" si="4"/>
        <v>0</v>
      </c>
      <c r="D46">
        <f t="shared" si="0"/>
        <v>0</v>
      </c>
      <c r="E46">
        <f t="shared" si="5"/>
        <v>0</v>
      </c>
      <c r="F46">
        <f t="shared" si="1"/>
        <v>0</v>
      </c>
      <c r="G46">
        <f t="shared" si="2"/>
        <v>1</v>
      </c>
      <c r="H46" t="str">
        <f t="shared" si="3"/>
        <v/>
      </c>
      <c r="I46" t="str">
        <f t="shared" si="6"/>
        <v/>
      </c>
      <c r="J46" t="str">
        <f ca="1">IF(  Table1[[#This Row],[group single]]&lt;&gt;"",Table1[[#This Row],[group single]],  OFFSET(Table1[[#This Row],[group ]],-1,0))</f>
        <v>automation_rmlvtv</v>
      </c>
      <c r="K46" t="str">
        <f t="shared" si="7"/>
        <v/>
      </c>
      <c r="L46" t="str">
        <f t="shared" si="8"/>
        <v/>
      </c>
      <c r="M46" t="str">
        <f t="shared" si="9"/>
        <v/>
      </c>
      <c r="N46" t="str">
        <f t="shared" si="10"/>
        <v>Automation - Living Room TV</v>
      </c>
      <c r="O46" t="str">
        <f t="shared" si="11"/>
        <v xml:space="preserve">    - automation.rmlvtv_chromecast_volume_to_4_on_start</v>
      </c>
      <c r="P46" t="str">
        <f t="shared" si="12"/>
        <v>automation.rmlvtv_chromecast_volume_to_4_on_start</v>
      </c>
    </row>
    <row r="47" spans="2:16" x14ac:dyDescent="0.25">
      <c r="B47" s="11" t="s">
        <v>405</v>
      </c>
      <c r="C47">
        <f t="shared" si="4"/>
        <v>0</v>
      </c>
      <c r="D47">
        <f t="shared" si="0"/>
        <v>0</v>
      </c>
      <c r="E47">
        <f t="shared" si="5"/>
        <v>0</v>
      </c>
      <c r="F47">
        <f t="shared" si="1"/>
        <v>0</v>
      </c>
      <c r="G47">
        <f t="shared" si="2"/>
        <v>1</v>
      </c>
      <c r="H47" t="str">
        <f t="shared" si="3"/>
        <v/>
      </c>
      <c r="I47" t="str">
        <f t="shared" si="6"/>
        <v/>
      </c>
      <c r="J47" t="str">
        <f ca="1">IF(  Table1[[#This Row],[group single]]&lt;&gt;"",Table1[[#This Row],[group single]],  OFFSET(Table1[[#This Row],[group ]],-1,0))</f>
        <v>automation_rmlvtv</v>
      </c>
      <c r="K47" t="str">
        <f t="shared" si="7"/>
        <v/>
      </c>
      <c r="L47" t="str">
        <f t="shared" si="8"/>
        <v/>
      </c>
      <c r="M47" t="str">
        <f t="shared" si="9"/>
        <v/>
      </c>
      <c r="N47" t="str">
        <f t="shared" si="10"/>
        <v>Automation - Living Room TV</v>
      </c>
      <c r="O47" t="str">
        <f t="shared" si="11"/>
        <v xml:space="preserve">    - automation.rmlvtv_tv_off_with_chromecast</v>
      </c>
      <c r="P47" t="str">
        <f t="shared" si="12"/>
        <v>automation.rmlvtv_tv_off_with_chromecast</v>
      </c>
    </row>
    <row r="48" spans="2:16" x14ac:dyDescent="0.25">
      <c r="B48" s="11" t="s">
        <v>406</v>
      </c>
      <c r="C48">
        <f t="shared" si="4"/>
        <v>0</v>
      </c>
      <c r="D48">
        <f t="shared" si="0"/>
        <v>0</v>
      </c>
      <c r="E48">
        <f t="shared" si="5"/>
        <v>0</v>
      </c>
      <c r="F48">
        <f t="shared" si="1"/>
        <v>0</v>
      </c>
      <c r="G48">
        <f t="shared" si="2"/>
        <v>1</v>
      </c>
      <c r="H48" t="str">
        <f t="shared" si="3"/>
        <v/>
      </c>
      <c r="I48" t="str">
        <f t="shared" si="6"/>
        <v/>
      </c>
      <c r="J48" t="str">
        <f ca="1">IF(  Table1[[#This Row],[group single]]&lt;&gt;"",Table1[[#This Row],[group single]],  OFFSET(Table1[[#This Row],[group ]],-1,0))</f>
        <v>automation_rmlvtv</v>
      </c>
      <c r="K48" t="str">
        <f t="shared" si="7"/>
        <v/>
      </c>
      <c r="L48" t="str">
        <f t="shared" si="8"/>
        <v/>
      </c>
      <c r="M48" t="str">
        <f t="shared" si="9"/>
        <v/>
      </c>
      <c r="N48" t="str">
        <f t="shared" si="10"/>
        <v>Automation - Living Room TV</v>
      </c>
      <c r="O48" t="str">
        <f t="shared" si="11"/>
        <v xml:space="preserve">    - automation.rmlvtv_tv_off_with_chromecast_2</v>
      </c>
      <c r="P48" t="str">
        <f t="shared" si="12"/>
        <v>automation.rmlvtv_tv_off_with_chromecast_2</v>
      </c>
    </row>
    <row r="49" spans="2:16" x14ac:dyDescent="0.25">
      <c r="B49" s="11" t="s">
        <v>407</v>
      </c>
      <c r="C49">
        <f t="shared" si="4"/>
        <v>0</v>
      </c>
      <c r="D49">
        <f t="shared" si="0"/>
        <v>0</v>
      </c>
      <c r="E49">
        <f t="shared" si="5"/>
        <v>0</v>
      </c>
      <c r="F49">
        <f t="shared" si="1"/>
        <v>0</v>
      </c>
      <c r="G49">
        <f t="shared" si="2"/>
        <v>1</v>
      </c>
      <c r="H49" t="str">
        <f t="shared" si="3"/>
        <v/>
      </c>
      <c r="I49" t="str">
        <f t="shared" si="6"/>
        <v/>
      </c>
      <c r="J49" t="str">
        <f ca="1">IF(  Table1[[#This Row],[group single]]&lt;&gt;"",Table1[[#This Row],[group single]],  OFFSET(Table1[[#This Row],[group ]],-1,0))</f>
        <v>automation_rmlvtv</v>
      </c>
      <c r="K49" t="str">
        <f t="shared" si="7"/>
        <v/>
      </c>
      <c r="L49" t="str">
        <f t="shared" si="8"/>
        <v/>
      </c>
      <c r="M49" t="str">
        <f t="shared" si="9"/>
        <v/>
      </c>
      <c r="N49" t="str">
        <f t="shared" si="10"/>
        <v>Automation - Living Room TV</v>
      </c>
      <c r="O49" t="str">
        <f t="shared" si="11"/>
        <v xml:space="preserve">    - automation.rmlvtv_tv_off_with_chromecast_3</v>
      </c>
      <c r="P49" t="str">
        <f t="shared" si="12"/>
        <v>automation.rmlvtv_tv_off_with_chromecast_3</v>
      </c>
    </row>
    <row r="50" spans="2:16" x14ac:dyDescent="0.25">
      <c r="B50" s="11" t="s">
        <v>408</v>
      </c>
      <c r="C50">
        <f t="shared" si="4"/>
        <v>0</v>
      </c>
      <c r="D50">
        <f t="shared" si="0"/>
        <v>0</v>
      </c>
      <c r="E50">
        <f t="shared" si="5"/>
        <v>0</v>
      </c>
      <c r="F50">
        <f t="shared" si="1"/>
        <v>0</v>
      </c>
      <c r="G50">
        <f t="shared" si="2"/>
        <v>1</v>
      </c>
      <c r="H50" t="str">
        <f t="shared" si="3"/>
        <v/>
      </c>
      <c r="I50" t="str">
        <f t="shared" si="6"/>
        <v/>
      </c>
      <c r="J50" t="str">
        <f ca="1">IF(  Table1[[#This Row],[group single]]&lt;&gt;"",Table1[[#This Row],[group single]],  OFFSET(Table1[[#This Row],[group ]],-1,0))</f>
        <v>automation_rmlvtv</v>
      </c>
      <c r="K50" t="str">
        <f t="shared" si="7"/>
        <v/>
      </c>
      <c r="L50" t="str">
        <f t="shared" si="8"/>
        <v/>
      </c>
      <c r="M50" t="str">
        <f t="shared" si="9"/>
        <v/>
      </c>
      <c r="N50" t="str">
        <f t="shared" si="10"/>
        <v>Automation - Living Room TV</v>
      </c>
      <c r="O50" t="str">
        <f t="shared" si="11"/>
        <v xml:space="preserve">    - automation.rmlvtv_tv_on_with_chromecast</v>
      </c>
      <c r="P50" t="str">
        <f t="shared" si="12"/>
        <v>automation.rmlvtv_tv_on_with_chromecast</v>
      </c>
    </row>
    <row r="51" spans="2:16" x14ac:dyDescent="0.25">
      <c r="B51" s="11"/>
      <c r="C51">
        <f t="shared" si="4"/>
        <v>1</v>
      </c>
      <c r="D51">
        <f t="shared" si="0"/>
        <v>0</v>
      </c>
      <c r="E51">
        <f t="shared" si="5"/>
        <v>0</v>
      </c>
      <c r="F51">
        <f t="shared" si="1"/>
        <v>0</v>
      </c>
      <c r="G51">
        <f t="shared" si="2"/>
        <v>0</v>
      </c>
      <c r="H51" t="str">
        <f t="shared" si="3"/>
        <v/>
      </c>
      <c r="I51" t="str">
        <f t="shared" si="6"/>
        <v/>
      </c>
      <c r="J51" t="str">
        <f ca="1">IF(  Table1[[#This Row],[group single]]&lt;&gt;"",Table1[[#This Row],[group single]],  OFFSET(Table1[[#This Row],[group ]],-1,0))</f>
        <v>automation_rmlvtv</v>
      </c>
      <c r="K51" t="str">
        <f t="shared" si="7"/>
        <v/>
      </c>
      <c r="L51" t="str">
        <f t="shared" si="8"/>
        <v/>
      </c>
      <c r="M51" t="str">
        <f t="shared" si="9"/>
        <v/>
      </c>
      <c r="N51" t="str">
        <f t="shared" si="10"/>
        <v>Automation - Living Room TV</v>
      </c>
      <c r="O51" t="str">
        <f t="shared" si="11"/>
        <v/>
      </c>
      <c r="P51" t="str">
        <f t="shared" si="12"/>
        <v/>
      </c>
    </row>
    <row r="52" spans="2:16" x14ac:dyDescent="0.25">
      <c r="B52" s="11" t="s">
        <v>409</v>
      </c>
      <c r="C52">
        <f t="shared" si="4"/>
        <v>0</v>
      </c>
      <c r="D52">
        <f t="shared" si="0"/>
        <v>0</v>
      </c>
      <c r="E52">
        <f t="shared" si="5"/>
        <v>1</v>
      </c>
      <c r="F52">
        <f t="shared" si="1"/>
        <v>0</v>
      </c>
      <c r="G52">
        <f t="shared" si="2"/>
        <v>0</v>
      </c>
      <c r="H52" t="str">
        <f t="shared" si="3"/>
        <v>automation_statfriend:</v>
      </c>
      <c r="I52" t="str">
        <f t="shared" si="6"/>
        <v>automation_statfriend</v>
      </c>
      <c r="J52" t="str">
        <f ca="1">IF(  Table1[[#This Row],[group single]]&lt;&gt;"",Table1[[#This Row],[group single]],  OFFSET(Table1[[#This Row],[group ]],-1,0))</f>
        <v>automation_statfriend</v>
      </c>
      <c r="K52" t="str">
        <f t="shared" si="7"/>
        <v/>
      </c>
      <c r="L52" t="str">
        <f t="shared" si="8"/>
        <v/>
      </c>
      <c r="M52" t="str">
        <f t="shared" si="9"/>
        <v/>
      </c>
      <c r="N52" t="str">
        <f t="shared" si="10"/>
        <v>Automation - Living Room TV</v>
      </c>
      <c r="O52" t="str">
        <f t="shared" si="11"/>
        <v/>
      </c>
      <c r="P52" t="str">
        <f t="shared" si="12"/>
        <v/>
      </c>
    </row>
    <row r="53" spans="2:16" x14ac:dyDescent="0.25">
      <c r="B53" s="11" t="s">
        <v>410</v>
      </c>
      <c r="C53">
        <f t="shared" si="4"/>
        <v>0</v>
      </c>
      <c r="D53">
        <f t="shared" si="0"/>
        <v>1</v>
      </c>
      <c r="E53">
        <f t="shared" si="5"/>
        <v>0</v>
      </c>
      <c r="F53">
        <f t="shared" si="1"/>
        <v>1</v>
      </c>
      <c r="G53">
        <f t="shared" si="2"/>
        <v>0</v>
      </c>
      <c r="H53" t="str">
        <f t="shared" si="3"/>
        <v/>
      </c>
      <c r="I53" t="str">
        <f t="shared" si="6"/>
        <v/>
      </c>
      <c r="J53" t="str">
        <f ca="1">IF(  Table1[[#This Row],[group single]]&lt;&gt;"",Table1[[#This Row],[group single]],  OFFSET(Table1[[#This Row],[group ]],-1,0))</f>
        <v>automation_statfriend</v>
      </c>
      <c r="K53" t="str">
        <f t="shared" si="7"/>
        <v xml:space="preserve">  name: "Automation - Friend Status"</v>
      </c>
      <c r="L53" t="str">
        <f t="shared" si="8"/>
        <v>"Automation - Friend Status"</v>
      </c>
      <c r="M53" t="str">
        <f t="shared" si="9"/>
        <v>Automation - Friend Status</v>
      </c>
      <c r="N53" t="str">
        <f t="shared" si="10"/>
        <v>Automation - Friend Status</v>
      </c>
      <c r="O53" t="str">
        <f t="shared" si="11"/>
        <v/>
      </c>
      <c r="P53" t="str">
        <f t="shared" si="12"/>
        <v/>
      </c>
    </row>
    <row r="54" spans="2:16" x14ac:dyDescent="0.25">
      <c r="B54" s="11" t="s">
        <v>12</v>
      </c>
      <c r="C54">
        <f t="shared" si="4"/>
        <v>0</v>
      </c>
      <c r="D54">
        <f t="shared" si="0"/>
        <v>1</v>
      </c>
      <c r="E54">
        <f t="shared" si="5"/>
        <v>0</v>
      </c>
      <c r="F54">
        <f t="shared" si="1"/>
        <v>0</v>
      </c>
      <c r="G54">
        <f t="shared" si="2"/>
        <v>0</v>
      </c>
      <c r="H54" t="str">
        <f t="shared" si="3"/>
        <v/>
      </c>
      <c r="I54" t="str">
        <f t="shared" si="6"/>
        <v/>
      </c>
      <c r="J54" t="str">
        <f ca="1">IF(  Table1[[#This Row],[group single]]&lt;&gt;"",Table1[[#This Row],[group single]],  OFFSET(Table1[[#This Row],[group ]],-1,0))</f>
        <v>automation_statfriend</v>
      </c>
      <c r="K54" t="str">
        <f t="shared" si="7"/>
        <v/>
      </c>
      <c r="L54" t="str">
        <f t="shared" si="8"/>
        <v/>
      </c>
      <c r="M54" t="str">
        <f t="shared" si="9"/>
        <v/>
      </c>
      <c r="N54" t="str">
        <f t="shared" si="10"/>
        <v>Automation - Friend Status</v>
      </c>
      <c r="O54" t="str">
        <f t="shared" si="11"/>
        <v/>
      </c>
      <c r="P54" t="str">
        <f t="shared" si="12"/>
        <v/>
      </c>
    </row>
    <row r="55" spans="2:16" x14ac:dyDescent="0.25">
      <c r="B55" s="11" t="s">
        <v>411</v>
      </c>
      <c r="C55">
        <f t="shared" si="4"/>
        <v>0</v>
      </c>
      <c r="D55">
        <f t="shared" si="0"/>
        <v>0</v>
      </c>
      <c r="E55">
        <f t="shared" si="5"/>
        <v>0</v>
      </c>
      <c r="F55">
        <f t="shared" si="1"/>
        <v>0</v>
      </c>
      <c r="G55">
        <f t="shared" si="2"/>
        <v>1</v>
      </c>
      <c r="H55" t="str">
        <f t="shared" si="3"/>
        <v/>
      </c>
      <c r="I55" t="str">
        <f t="shared" si="6"/>
        <v/>
      </c>
      <c r="J55" t="str">
        <f ca="1">IF(  Table1[[#This Row],[group single]]&lt;&gt;"",Table1[[#This Row],[group single]],  OFFSET(Table1[[#This Row],[group ]],-1,0))</f>
        <v>automation_statfriend</v>
      </c>
      <c r="K55" t="str">
        <f t="shared" si="7"/>
        <v/>
      </c>
      <c r="L55" t="str">
        <f t="shared" si="8"/>
        <v/>
      </c>
      <c r="M55" t="str">
        <f t="shared" si="9"/>
        <v/>
      </c>
      <c r="N55" t="str">
        <f t="shared" si="10"/>
        <v>Automation - Friend Status</v>
      </c>
      <c r="O55" t="str">
        <f t="shared" si="11"/>
        <v xml:space="preserve">    - automation.statfriend_friend_visiting_off_from_device_tracker</v>
      </c>
      <c r="P55" t="str">
        <f t="shared" si="12"/>
        <v>automation.statfriend_friend_visiting_off_from_device_tracker</v>
      </c>
    </row>
    <row r="56" spans="2:16" x14ac:dyDescent="0.25">
      <c r="B56" s="11" t="s">
        <v>412</v>
      </c>
      <c r="C56">
        <f t="shared" si="4"/>
        <v>0</v>
      </c>
      <c r="D56">
        <f t="shared" si="0"/>
        <v>0</v>
      </c>
      <c r="E56">
        <f t="shared" si="5"/>
        <v>0</v>
      </c>
      <c r="F56">
        <f t="shared" si="1"/>
        <v>0</v>
      </c>
      <c r="G56">
        <f t="shared" si="2"/>
        <v>1</v>
      </c>
      <c r="H56" t="str">
        <f t="shared" si="3"/>
        <v/>
      </c>
      <c r="I56" t="str">
        <f t="shared" si="6"/>
        <v/>
      </c>
      <c r="J56" t="str">
        <f ca="1">IF(  Table1[[#This Row],[group single]]&lt;&gt;"",Table1[[#This Row],[group single]],  OFFSET(Table1[[#This Row],[group ]],-1,0))</f>
        <v>automation_statfriend</v>
      </c>
      <c r="K56" t="str">
        <f t="shared" si="7"/>
        <v/>
      </c>
      <c r="L56" t="str">
        <f t="shared" si="8"/>
        <v/>
      </c>
      <c r="M56" t="str">
        <f t="shared" si="9"/>
        <v/>
      </c>
      <c r="N56" t="str">
        <f t="shared" si="10"/>
        <v>Automation - Friend Status</v>
      </c>
      <c r="O56" t="str">
        <f t="shared" si="11"/>
        <v xml:space="preserve">    - automation.statfriend_friend_visiting_on_from_device_tracker</v>
      </c>
      <c r="P56" t="str">
        <f t="shared" si="12"/>
        <v>automation.statfriend_friend_visiting_on_from_device_tracker</v>
      </c>
    </row>
    <row r="57" spans="2:16" x14ac:dyDescent="0.25">
      <c r="B57" s="11"/>
      <c r="C57">
        <f t="shared" si="4"/>
        <v>1</v>
      </c>
      <c r="D57">
        <f t="shared" si="0"/>
        <v>0</v>
      </c>
      <c r="E57">
        <f t="shared" si="5"/>
        <v>0</v>
      </c>
      <c r="F57">
        <f t="shared" si="1"/>
        <v>0</v>
      </c>
      <c r="G57">
        <f t="shared" si="2"/>
        <v>0</v>
      </c>
      <c r="H57" t="str">
        <f t="shared" si="3"/>
        <v/>
      </c>
      <c r="I57" t="str">
        <f t="shared" si="6"/>
        <v/>
      </c>
      <c r="J57" t="str">
        <f ca="1">IF(  Table1[[#This Row],[group single]]&lt;&gt;"",Table1[[#This Row],[group single]],  OFFSET(Table1[[#This Row],[group ]],-1,0))</f>
        <v>automation_statfriend</v>
      </c>
      <c r="K57" t="str">
        <f t="shared" si="7"/>
        <v/>
      </c>
      <c r="L57" t="str">
        <f t="shared" si="8"/>
        <v/>
      </c>
      <c r="M57" t="str">
        <f t="shared" si="9"/>
        <v/>
      </c>
      <c r="N57" t="str">
        <f t="shared" si="10"/>
        <v>Automation - Friend Status</v>
      </c>
      <c r="O57" t="str">
        <f t="shared" si="11"/>
        <v/>
      </c>
      <c r="P57" t="str">
        <f t="shared" si="12"/>
        <v/>
      </c>
    </row>
    <row r="58" spans="2:16" x14ac:dyDescent="0.25">
      <c r="B58" s="11" t="s">
        <v>413</v>
      </c>
      <c r="C58">
        <f t="shared" si="4"/>
        <v>0</v>
      </c>
      <c r="D58">
        <f t="shared" si="0"/>
        <v>0</v>
      </c>
      <c r="E58">
        <f t="shared" si="5"/>
        <v>1</v>
      </c>
      <c r="F58">
        <f t="shared" si="1"/>
        <v>0</v>
      </c>
      <c r="G58">
        <f t="shared" si="2"/>
        <v>0</v>
      </c>
      <c r="H58" t="str">
        <f t="shared" si="3"/>
        <v>automation_statron:</v>
      </c>
      <c r="I58" t="str">
        <f t="shared" si="6"/>
        <v>automation_statron</v>
      </c>
      <c r="J58" t="str">
        <f ca="1">IF(  Table1[[#This Row],[group single]]&lt;&gt;"",Table1[[#This Row],[group single]],  OFFSET(Table1[[#This Row],[group ]],-1,0))</f>
        <v>automation_statron</v>
      </c>
      <c r="K58" t="str">
        <f t="shared" si="7"/>
        <v/>
      </c>
      <c r="L58" t="str">
        <f t="shared" si="8"/>
        <v/>
      </c>
      <c r="M58" t="str">
        <f t="shared" si="9"/>
        <v/>
      </c>
      <c r="N58" t="str">
        <f t="shared" si="10"/>
        <v>Automation - Friend Status</v>
      </c>
      <c r="O58" t="str">
        <f t="shared" si="11"/>
        <v/>
      </c>
      <c r="P58" t="str">
        <f t="shared" si="12"/>
        <v/>
      </c>
    </row>
    <row r="59" spans="2:16" x14ac:dyDescent="0.25">
      <c r="B59" s="11" t="s">
        <v>414</v>
      </c>
      <c r="C59">
        <f t="shared" si="4"/>
        <v>0</v>
      </c>
      <c r="D59">
        <f t="shared" si="0"/>
        <v>1</v>
      </c>
      <c r="E59">
        <f t="shared" si="5"/>
        <v>0</v>
      </c>
      <c r="F59">
        <f t="shared" si="1"/>
        <v>1</v>
      </c>
      <c r="G59">
        <f t="shared" si="2"/>
        <v>0</v>
      </c>
      <c r="H59" t="str">
        <f t="shared" si="3"/>
        <v/>
      </c>
      <c r="I59" t="str">
        <f t="shared" si="6"/>
        <v/>
      </c>
      <c r="J59" t="str">
        <f ca="1">IF(  Table1[[#This Row],[group single]]&lt;&gt;"",Table1[[#This Row],[group single]],  OFFSET(Table1[[#This Row],[group ]],-1,0))</f>
        <v>automation_statron</v>
      </c>
      <c r="K59" t="str">
        <f t="shared" si="7"/>
        <v xml:space="preserve">  name: "Automation - Ron Status"</v>
      </c>
      <c r="L59" t="str">
        <f t="shared" si="8"/>
        <v>"Automation - Ron Status"</v>
      </c>
      <c r="M59" t="str">
        <f t="shared" si="9"/>
        <v>Automation - Ron Status</v>
      </c>
      <c r="N59" t="str">
        <f t="shared" si="10"/>
        <v>Automation - Ron Status</v>
      </c>
      <c r="O59" t="str">
        <f t="shared" si="11"/>
        <v/>
      </c>
      <c r="P59" t="str">
        <f t="shared" si="12"/>
        <v/>
      </c>
    </row>
    <row r="60" spans="2:16" x14ac:dyDescent="0.25">
      <c r="B60" s="11" t="s">
        <v>12</v>
      </c>
      <c r="C60">
        <f t="shared" si="4"/>
        <v>0</v>
      </c>
      <c r="D60">
        <f t="shared" si="0"/>
        <v>1</v>
      </c>
      <c r="E60">
        <f t="shared" si="5"/>
        <v>0</v>
      </c>
      <c r="F60">
        <f t="shared" si="1"/>
        <v>0</v>
      </c>
      <c r="G60">
        <f t="shared" si="2"/>
        <v>0</v>
      </c>
      <c r="H60" t="str">
        <f t="shared" si="3"/>
        <v/>
      </c>
      <c r="I60" t="str">
        <f t="shared" si="6"/>
        <v/>
      </c>
      <c r="J60" t="str">
        <f ca="1">IF(  Table1[[#This Row],[group single]]&lt;&gt;"",Table1[[#This Row],[group single]],  OFFSET(Table1[[#This Row],[group ]],-1,0))</f>
        <v>automation_statron</v>
      </c>
      <c r="K60" t="str">
        <f t="shared" si="7"/>
        <v/>
      </c>
      <c r="L60" t="str">
        <f t="shared" si="8"/>
        <v/>
      </c>
      <c r="M60" t="str">
        <f t="shared" si="9"/>
        <v/>
      </c>
      <c r="N60" t="str">
        <f t="shared" si="10"/>
        <v>Automation - Ron Status</v>
      </c>
      <c r="O60" t="str">
        <f t="shared" si="11"/>
        <v/>
      </c>
      <c r="P60" t="str">
        <f t="shared" si="12"/>
        <v/>
      </c>
    </row>
    <row r="61" spans="2:16" x14ac:dyDescent="0.25">
      <c r="B61" s="11" t="s">
        <v>415</v>
      </c>
      <c r="C61">
        <f t="shared" si="4"/>
        <v>0</v>
      </c>
      <c r="D61">
        <f t="shared" si="0"/>
        <v>0</v>
      </c>
      <c r="E61">
        <f t="shared" si="5"/>
        <v>0</v>
      </c>
      <c r="F61">
        <f t="shared" si="1"/>
        <v>0</v>
      </c>
      <c r="G61">
        <f t="shared" si="2"/>
        <v>1</v>
      </c>
      <c r="H61" t="str">
        <f t="shared" si="3"/>
        <v/>
      </c>
      <c r="I61" t="str">
        <f t="shared" si="6"/>
        <v/>
      </c>
      <c r="J61" t="str">
        <f ca="1">IF(  Table1[[#This Row],[group single]]&lt;&gt;"",Table1[[#This Row],[group single]],  OFFSET(Table1[[#This Row],[group ]],-1,0))</f>
        <v>automation_statron</v>
      </c>
      <c r="K61" t="str">
        <f t="shared" si="7"/>
        <v/>
      </c>
      <c r="L61" t="str">
        <f t="shared" si="8"/>
        <v/>
      </c>
      <c r="M61" t="str">
        <f t="shared" si="9"/>
        <v/>
      </c>
      <c r="N61" t="str">
        <f t="shared" si="10"/>
        <v>Automation - Ron Status</v>
      </c>
      <c r="O61" t="str">
        <f t="shared" si="11"/>
        <v xml:space="preserve">    - automation.statron_away_status_from_device_tracker</v>
      </c>
      <c r="P61" t="str">
        <f t="shared" si="12"/>
        <v>automation.statron_away_status_from_device_tracker</v>
      </c>
    </row>
    <row r="62" spans="2:16" x14ac:dyDescent="0.25">
      <c r="B62" s="11" t="s">
        <v>416</v>
      </c>
      <c r="C62">
        <f t="shared" si="4"/>
        <v>0</v>
      </c>
      <c r="D62">
        <f t="shared" si="0"/>
        <v>0</v>
      </c>
      <c r="E62">
        <f t="shared" si="5"/>
        <v>0</v>
      </c>
      <c r="F62">
        <f t="shared" si="1"/>
        <v>0</v>
      </c>
      <c r="G62">
        <f t="shared" si="2"/>
        <v>1</v>
      </c>
      <c r="H62" t="str">
        <f t="shared" si="3"/>
        <v/>
      </c>
      <c r="I62" t="str">
        <f t="shared" si="6"/>
        <v/>
      </c>
      <c r="J62" t="str">
        <f ca="1">IF(  Table1[[#This Row],[group single]]&lt;&gt;"",Table1[[#This Row],[group single]],  OFFSET(Table1[[#This Row],[group ]],-1,0))</f>
        <v>automation_statron</v>
      </c>
      <c r="K62" t="str">
        <f t="shared" si="7"/>
        <v/>
      </c>
      <c r="L62" t="str">
        <f t="shared" si="8"/>
        <v/>
      </c>
      <c r="M62" t="str">
        <f t="shared" si="9"/>
        <v/>
      </c>
      <c r="N62" t="str">
        <f t="shared" si="10"/>
        <v>Automation - Ron Status</v>
      </c>
      <c r="O62" t="str">
        <f t="shared" si="11"/>
        <v xml:space="preserve">    - automation.statron_computer_status_from_monitor_status</v>
      </c>
      <c r="P62" t="str">
        <f t="shared" si="12"/>
        <v>automation.statron_computer_status_from_monitor_status</v>
      </c>
    </row>
    <row r="63" spans="2:16" x14ac:dyDescent="0.25">
      <c r="B63" s="11" t="s">
        <v>417</v>
      </c>
      <c r="C63">
        <f t="shared" si="4"/>
        <v>0</v>
      </c>
      <c r="D63">
        <f t="shared" si="0"/>
        <v>0</v>
      </c>
      <c r="E63">
        <f t="shared" si="5"/>
        <v>0</v>
      </c>
      <c r="F63">
        <f t="shared" si="1"/>
        <v>0</v>
      </c>
      <c r="G63">
        <f t="shared" si="2"/>
        <v>1</v>
      </c>
      <c r="H63" t="str">
        <f t="shared" si="3"/>
        <v/>
      </c>
      <c r="I63" t="str">
        <f t="shared" si="6"/>
        <v/>
      </c>
      <c r="J63" t="str">
        <f ca="1">IF(  Table1[[#This Row],[group single]]&lt;&gt;"",Table1[[#This Row],[group single]],  OFFSET(Table1[[#This Row],[group ]],-1,0))</f>
        <v>automation_statron</v>
      </c>
      <c r="K63" t="str">
        <f t="shared" si="7"/>
        <v/>
      </c>
      <c r="L63" t="str">
        <f t="shared" si="8"/>
        <v/>
      </c>
      <c r="M63" t="str">
        <f t="shared" si="9"/>
        <v/>
      </c>
      <c r="N63" t="str">
        <f t="shared" si="10"/>
        <v>Automation - Ron Status</v>
      </c>
      <c r="O63" t="str">
        <f t="shared" si="11"/>
        <v xml:space="preserve">    - automation.statron_home_status_from_device_tracker</v>
      </c>
      <c r="P63" t="str">
        <f t="shared" si="12"/>
        <v>automation.statron_home_status_from_device_tracker</v>
      </c>
    </row>
    <row r="64" spans="2:16" x14ac:dyDescent="0.25">
      <c r="B64" s="11" t="s">
        <v>418</v>
      </c>
      <c r="C64">
        <f t="shared" si="4"/>
        <v>0</v>
      </c>
      <c r="D64">
        <f t="shared" si="0"/>
        <v>0</v>
      </c>
      <c r="E64">
        <f t="shared" si="5"/>
        <v>0</v>
      </c>
      <c r="F64">
        <f t="shared" si="1"/>
        <v>0</v>
      </c>
      <c r="G64">
        <f t="shared" si="2"/>
        <v>1</v>
      </c>
      <c r="H64" t="str">
        <f t="shared" si="3"/>
        <v/>
      </c>
      <c r="I64" t="str">
        <f t="shared" si="6"/>
        <v/>
      </c>
      <c r="J64" t="str">
        <f ca="1">IF(  Table1[[#This Row],[group single]]&lt;&gt;"",Table1[[#This Row],[group single]],  OFFSET(Table1[[#This Row],[group ]],-1,0))</f>
        <v>automation_statron</v>
      </c>
      <c r="K64" t="str">
        <f t="shared" si="7"/>
        <v/>
      </c>
      <c r="L64" t="str">
        <f t="shared" si="8"/>
        <v/>
      </c>
      <c r="M64" t="str">
        <f t="shared" si="9"/>
        <v/>
      </c>
      <c r="N64" t="str">
        <f t="shared" si="10"/>
        <v>Automation - Ron Status</v>
      </c>
      <c r="O64" t="str">
        <f t="shared" si="11"/>
        <v xml:space="preserve">    - automation.statron_home_status_from_monitor_status</v>
      </c>
      <c r="P64" t="str">
        <f t="shared" si="12"/>
        <v>automation.statron_home_status_from_monitor_status</v>
      </c>
    </row>
    <row r="65" spans="2:16" x14ac:dyDescent="0.25">
      <c r="B65" s="11"/>
      <c r="C65">
        <f t="shared" si="4"/>
        <v>1</v>
      </c>
      <c r="D65">
        <f t="shared" si="0"/>
        <v>0</v>
      </c>
      <c r="E65">
        <f t="shared" si="5"/>
        <v>0</v>
      </c>
      <c r="F65">
        <f t="shared" si="1"/>
        <v>0</v>
      </c>
      <c r="G65">
        <f t="shared" si="2"/>
        <v>0</v>
      </c>
      <c r="H65" t="str">
        <f t="shared" si="3"/>
        <v/>
      </c>
      <c r="I65" t="str">
        <f t="shared" si="6"/>
        <v/>
      </c>
      <c r="J65" t="str">
        <f ca="1">IF(  Table1[[#This Row],[group single]]&lt;&gt;"",Table1[[#This Row],[group single]],  OFFSET(Table1[[#This Row],[group ]],-1,0))</f>
        <v>automation_statron</v>
      </c>
      <c r="K65" t="str">
        <f t="shared" si="7"/>
        <v/>
      </c>
      <c r="L65" t="str">
        <f t="shared" si="8"/>
        <v/>
      </c>
      <c r="M65" t="str">
        <f t="shared" si="9"/>
        <v/>
      </c>
      <c r="N65" t="str">
        <f t="shared" si="10"/>
        <v>Automation - Ron Status</v>
      </c>
      <c r="O65" t="str">
        <f t="shared" si="11"/>
        <v/>
      </c>
      <c r="P65" t="str">
        <f t="shared" si="12"/>
        <v/>
      </c>
    </row>
    <row r="66" spans="2:16" x14ac:dyDescent="0.25">
      <c r="B66" s="11" t="s">
        <v>419</v>
      </c>
      <c r="C66">
        <f t="shared" si="4"/>
        <v>0</v>
      </c>
      <c r="D66">
        <f t="shared" si="0"/>
        <v>0</v>
      </c>
      <c r="E66">
        <f t="shared" si="5"/>
        <v>1</v>
      </c>
      <c r="F66">
        <f t="shared" si="1"/>
        <v>0</v>
      </c>
      <c r="G66">
        <f t="shared" si="2"/>
        <v>0</v>
      </c>
      <c r="H66" t="str">
        <f t="shared" si="3"/>
        <v>automation_statvac:</v>
      </c>
      <c r="I66" t="str">
        <f t="shared" si="6"/>
        <v>automation_statvac</v>
      </c>
      <c r="J66" t="str">
        <f ca="1">IF(  Table1[[#This Row],[group single]]&lt;&gt;"",Table1[[#This Row],[group single]],  OFFSET(Table1[[#This Row],[group ]],-1,0))</f>
        <v>automation_statvac</v>
      </c>
      <c r="K66" t="str">
        <f t="shared" si="7"/>
        <v/>
      </c>
      <c r="L66" t="str">
        <f t="shared" si="8"/>
        <v/>
      </c>
      <c r="M66" t="str">
        <f t="shared" si="9"/>
        <v/>
      </c>
      <c r="N66" t="str">
        <f t="shared" si="10"/>
        <v>Automation - Ron Status</v>
      </c>
      <c r="O66" t="str">
        <f t="shared" si="11"/>
        <v/>
      </c>
      <c r="P66" t="str">
        <f t="shared" si="12"/>
        <v/>
      </c>
    </row>
    <row r="67" spans="2:16" x14ac:dyDescent="0.25">
      <c r="B67" s="11" t="s">
        <v>420</v>
      </c>
      <c r="C67">
        <f t="shared" si="4"/>
        <v>0</v>
      </c>
      <c r="D67">
        <f t="shared" si="0"/>
        <v>1</v>
      </c>
      <c r="E67">
        <f t="shared" si="5"/>
        <v>0</v>
      </c>
      <c r="F67">
        <f t="shared" si="1"/>
        <v>1</v>
      </c>
      <c r="G67">
        <f t="shared" si="2"/>
        <v>0</v>
      </c>
      <c r="H67" t="str">
        <f t="shared" si="3"/>
        <v/>
      </c>
      <c r="I67" t="str">
        <f t="shared" si="6"/>
        <v/>
      </c>
      <c r="J67" t="str">
        <f ca="1">IF(  Table1[[#This Row],[group single]]&lt;&gt;"",Table1[[#This Row],[group single]],  OFFSET(Table1[[#This Row],[group ]],-1,0))</f>
        <v>automation_statvac</v>
      </c>
      <c r="K67" t="str">
        <f t="shared" si="7"/>
        <v xml:space="preserve">  name: "Automation - Vacation Status"</v>
      </c>
      <c r="L67" t="str">
        <f t="shared" si="8"/>
        <v>"Automation - Vacation Status"</v>
      </c>
      <c r="M67" t="str">
        <f t="shared" si="9"/>
        <v>Automation - Vacation Status</v>
      </c>
      <c r="N67" t="str">
        <f t="shared" si="10"/>
        <v>Automation - Vacation Status</v>
      </c>
      <c r="O67" t="str">
        <f t="shared" si="11"/>
        <v/>
      </c>
      <c r="P67" t="str">
        <f t="shared" si="12"/>
        <v/>
      </c>
    </row>
    <row r="68" spans="2:16" x14ac:dyDescent="0.25">
      <c r="B68" s="11" t="s">
        <v>12</v>
      </c>
      <c r="C68">
        <f t="shared" si="4"/>
        <v>0</v>
      </c>
      <c r="D68">
        <f t="shared" si="0"/>
        <v>1</v>
      </c>
      <c r="E68">
        <f t="shared" si="5"/>
        <v>0</v>
      </c>
      <c r="F68">
        <f t="shared" si="1"/>
        <v>0</v>
      </c>
      <c r="G68">
        <f t="shared" si="2"/>
        <v>0</v>
      </c>
      <c r="H68" t="str">
        <f t="shared" si="3"/>
        <v/>
      </c>
      <c r="I68" t="str">
        <f t="shared" si="6"/>
        <v/>
      </c>
      <c r="J68" t="str">
        <f ca="1">IF(  Table1[[#This Row],[group single]]&lt;&gt;"",Table1[[#This Row],[group single]],  OFFSET(Table1[[#This Row],[group ]],-1,0))</f>
        <v>automation_statvac</v>
      </c>
      <c r="K68" t="str">
        <f t="shared" si="7"/>
        <v/>
      </c>
      <c r="L68" t="str">
        <f t="shared" si="8"/>
        <v/>
      </c>
      <c r="M68" t="str">
        <f t="shared" si="9"/>
        <v/>
      </c>
      <c r="N68" t="str">
        <f t="shared" si="10"/>
        <v>Automation - Vacation Status</v>
      </c>
      <c r="O68" t="str">
        <f t="shared" si="11"/>
        <v/>
      </c>
      <c r="P68" t="str">
        <f t="shared" si="12"/>
        <v/>
      </c>
    </row>
    <row r="69" spans="2:16" x14ac:dyDescent="0.25">
      <c r="B69" s="11" t="s">
        <v>421</v>
      </c>
      <c r="C69">
        <f t="shared" si="4"/>
        <v>0</v>
      </c>
      <c r="D69">
        <f t="shared" si="0"/>
        <v>0</v>
      </c>
      <c r="E69">
        <f t="shared" si="5"/>
        <v>0</v>
      </c>
      <c r="F69">
        <f t="shared" si="1"/>
        <v>0</v>
      </c>
      <c r="G69">
        <f t="shared" si="2"/>
        <v>1</v>
      </c>
      <c r="H69" t="str">
        <f t="shared" si="3"/>
        <v/>
      </c>
      <c r="I69" t="str">
        <f t="shared" si="6"/>
        <v/>
      </c>
      <c r="J69" t="str">
        <f ca="1">IF(  Table1[[#This Row],[group single]]&lt;&gt;"",Table1[[#This Row],[group single]],  OFFSET(Table1[[#This Row],[group ]],-1,0))</f>
        <v>automation_statvac</v>
      </c>
      <c r="K69" t="str">
        <f t="shared" si="7"/>
        <v/>
      </c>
      <c r="L69" t="str">
        <f t="shared" si="8"/>
        <v/>
      </c>
      <c r="M69" t="str">
        <f t="shared" si="9"/>
        <v/>
      </c>
      <c r="N69" t="str">
        <f t="shared" si="10"/>
        <v>Automation - Vacation Status</v>
      </c>
      <c r="O69" t="str">
        <f t="shared" si="11"/>
        <v xml:space="preserve">    - automation.statvac_vacation_mode_off_when_home</v>
      </c>
      <c r="P69" t="str">
        <f t="shared" si="12"/>
        <v>automation.statvac_vacation_mode_off_when_home</v>
      </c>
    </row>
    <row r="70" spans="2:16" x14ac:dyDescent="0.25">
      <c r="B70" s="11" t="s">
        <v>422</v>
      </c>
      <c r="C70">
        <f t="shared" si="4"/>
        <v>0</v>
      </c>
      <c r="D70">
        <f t="shared" si="0"/>
        <v>0</v>
      </c>
      <c r="E70">
        <f t="shared" si="5"/>
        <v>0</v>
      </c>
      <c r="F70">
        <f t="shared" si="1"/>
        <v>0</v>
      </c>
      <c r="G70">
        <f t="shared" si="2"/>
        <v>1</v>
      </c>
      <c r="H70" t="str">
        <f t="shared" si="3"/>
        <v/>
      </c>
      <c r="I70" t="str">
        <f t="shared" si="6"/>
        <v/>
      </c>
      <c r="J70" t="str">
        <f ca="1">IF(  Table1[[#This Row],[group single]]&lt;&gt;"",Table1[[#This Row],[group single]],  OFFSET(Table1[[#This Row],[group ]],-1,0))</f>
        <v>automation_statvac</v>
      </c>
      <c r="K70" t="str">
        <f t="shared" si="7"/>
        <v/>
      </c>
      <c r="L70" t="str">
        <f t="shared" si="8"/>
        <v/>
      </c>
      <c r="M70" t="str">
        <f t="shared" si="9"/>
        <v/>
      </c>
      <c r="N70" t="str">
        <f t="shared" si="10"/>
        <v>Automation - Vacation Status</v>
      </c>
      <c r="O70" t="str">
        <f t="shared" si="11"/>
        <v xml:space="preserve">    - automation.statvac_vacation_mode_on_when_gone_24_hours</v>
      </c>
      <c r="P70" t="str">
        <f t="shared" si="12"/>
        <v>automation.statvac_vacation_mode_on_when_gone_24_hours</v>
      </c>
    </row>
    <row r="71" spans="2:16" x14ac:dyDescent="0.25">
      <c r="B71" s="11"/>
      <c r="C71">
        <f t="shared" si="4"/>
        <v>1</v>
      </c>
      <c r="D71">
        <f t="shared" ref="D71:D134" si="13">IF(AND(LEFT(B71,2)="  ",LEFT(B71,3)&lt;&gt;"   "),1,0)</f>
        <v>0</v>
      </c>
      <c r="E71">
        <f t="shared" si="5"/>
        <v>0</v>
      </c>
      <c r="F71">
        <f t="shared" ref="F71:F134" si="14">IFERROR(IF(ISNUMBER(FIND("name:",B71)),1,0),0)</f>
        <v>0</v>
      </c>
      <c r="G71">
        <f t="shared" ref="G71:G134" si="15">IF(  LEFT(B71,6)="    - ",  1,  0)</f>
        <v>0</v>
      </c>
      <c r="H71" t="str">
        <f t="shared" ref="H71:H134" si="16">IF(E71=1,B71,"")</f>
        <v/>
      </c>
      <c r="I71" t="str">
        <f t="shared" si="6"/>
        <v/>
      </c>
      <c r="J71" t="str">
        <f ca="1">IF(  Table1[[#This Row],[group single]]&lt;&gt;"",Table1[[#This Row],[group single]],  OFFSET(Table1[[#This Row],[group ]],-1,0))</f>
        <v>automation_statvac</v>
      </c>
      <c r="K71" t="str">
        <f t="shared" si="7"/>
        <v/>
      </c>
      <c r="L71" t="str">
        <f t="shared" si="8"/>
        <v/>
      </c>
      <c r="M71" t="str">
        <f t="shared" si="9"/>
        <v/>
      </c>
      <c r="N71" t="str">
        <f t="shared" si="10"/>
        <v>Automation - Vacation Status</v>
      </c>
      <c r="O71" t="str">
        <f t="shared" si="11"/>
        <v/>
      </c>
      <c r="P71" t="str">
        <f t="shared" si="12"/>
        <v/>
      </c>
    </row>
    <row r="72" spans="2:16" x14ac:dyDescent="0.25">
      <c r="B72" s="11"/>
      <c r="C72">
        <f t="shared" ref="C72:C135" si="17">IF(ISBLANK(B72),1,0)</f>
        <v>1</v>
      </c>
      <c r="D72">
        <f t="shared" si="13"/>
        <v>0</v>
      </c>
      <c r="E72">
        <f t="shared" ref="E72:E135" si="18">IF(AND(C72=0,LEFT(B72,1)&lt;&gt;" ",LEFT(B72,1)&lt;&gt;"#"),1,0)</f>
        <v>0</v>
      </c>
      <c r="F72">
        <f t="shared" si="14"/>
        <v>0</v>
      </c>
      <c r="G72">
        <f t="shared" si="15"/>
        <v>0</v>
      </c>
      <c r="H72" t="str">
        <f t="shared" si="16"/>
        <v/>
      </c>
      <c r="I72" t="str">
        <f t="shared" ref="I72:I135" si="19">SUBSTITUTE(H72,":","")</f>
        <v/>
      </c>
      <c r="J72" t="str">
        <f ca="1">IF(  Table1[[#This Row],[group single]]&lt;&gt;"",Table1[[#This Row],[group single]],  OFFSET(Table1[[#This Row],[group ]],-1,0))</f>
        <v>automation_statvac</v>
      </c>
      <c r="K72" t="str">
        <f t="shared" ref="K72:K135" si="20">IF(F72=1,$B72,"")</f>
        <v/>
      </c>
      <c r="L72" t="str">
        <f t="shared" ref="L72:L135" si="21">IFERROR(MID(K72,  FIND("name:",K72)+6,99),"")</f>
        <v/>
      </c>
      <c r="M72" t="str">
        <f t="shared" ref="M72:M135" si="22">SUBSTITUTE(L72,"""","")</f>
        <v/>
      </c>
      <c r="N72" t="str">
        <f t="shared" ref="N72:N135" si="23">IF(M72="",N71,M72)</f>
        <v>Automation - Vacation Status</v>
      </c>
      <c r="O72" t="str">
        <f t="shared" ref="O72:O135" si="24">IF(G72=1,$B72,"")</f>
        <v/>
      </c>
      <c r="P72" t="str">
        <f t="shared" ref="P72:P135" si="25">TRIM(SUBSTITUTE(O72,"-",""))</f>
        <v/>
      </c>
    </row>
    <row r="73" spans="2:16" x14ac:dyDescent="0.25">
      <c r="B73" s="11" t="s">
        <v>423</v>
      </c>
      <c r="C73">
        <f t="shared" si="17"/>
        <v>0</v>
      </c>
      <c r="D73">
        <f t="shared" si="13"/>
        <v>0</v>
      </c>
      <c r="E73">
        <f t="shared" si="18"/>
        <v>1</v>
      </c>
      <c r="F73">
        <f t="shared" si="14"/>
        <v>0</v>
      </c>
      <c r="G73">
        <f t="shared" si="15"/>
        <v>0</v>
      </c>
      <c r="H73" t="str">
        <f t="shared" si="16"/>
        <v>bedroom_lighting:</v>
      </c>
      <c r="I73" t="str">
        <f t="shared" si="19"/>
        <v>bedroom_lighting</v>
      </c>
      <c r="J73" t="str">
        <f ca="1">IF(  Table1[[#This Row],[group single]]&lt;&gt;"",Table1[[#This Row],[group single]],  OFFSET(Table1[[#This Row],[group ]],-1,0))</f>
        <v>bedroom_lighting</v>
      </c>
      <c r="K73" t="str">
        <f t="shared" si="20"/>
        <v/>
      </c>
      <c r="L73" t="str">
        <f t="shared" si="21"/>
        <v/>
      </c>
      <c r="M73" t="str">
        <f t="shared" si="22"/>
        <v/>
      </c>
      <c r="N73" t="str">
        <f t="shared" si="23"/>
        <v>Automation - Vacation Status</v>
      </c>
      <c r="O73" t="str">
        <f t="shared" si="24"/>
        <v/>
      </c>
      <c r="P73" t="str">
        <f t="shared" si="25"/>
        <v/>
      </c>
    </row>
    <row r="74" spans="2:16" x14ac:dyDescent="0.25">
      <c r="B74" s="11" t="s">
        <v>424</v>
      </c>
      <c r="C74">
        <f t="shared" si="17"/>
        <v>0</v>
      </c>
      <c r="D74">
        <f t="shared" si="13"/>
        <v>1</v>
      </c>
      <c r="E74">
        <f t="shared" si="18"/>
        <v>0</v>
      </c>
      <c r="F74">
        <f t="shared" si="14"/>
        <v>1</v>
      </c>
      <c r="G74">
        <f t="shared" si="15"/>
        <v>0</v>
      </c>
      <c r="H74" t="str">
        <f t="shared" si="16"/>
        <v/>
      </c>
      <c r="I74" t="str">
        <f t="shared" si="19"/>
        <v/>
      </c>
      <c r="J74" t="str">
        <f ca="1">IF(  Table1[[#This Row],[group single]]&lt;&gt;"",Table1[[#This Row],[group single]],  OFFSET(Table1[[#This Row],[group ]],-1,0))</f>
        <v>bedroom_lighting</v>
      </c>
      <c r="K74" t="str">
        <f t="shared" si="20"/>
        <v xml:space="preserve">  name: Bedroom Lighting</v>
      </c>
      <c r="L74" t="str">
        <f t="shared" si="21"/>
        <v>Bedroom Lighting</v>
      </c>
      <c r="M74" t="str">
        <f t="shared" si="22"/>
        <v>Bedroom Lighting</v>
      </c>
      <c r="N74" t="str">
        <f t="shared" si="23"/>
        <v>Bedroom Lighting</v>
      </c>
      <c r="O74" t="str">
        <f t="shared" si="24"/>
        <v/>
      </c>
      <c r="P74" t="str">
        <f t="shared" si="25"/>
        <v/>
      </c>
    </row>
    <row r="75" spans="2:16" x14ac:dyDescent="0.25">
      <c r="B75" s="11" t="s">
        <v>12</v>
      </c>
      <c r="C75">
        <f t="shared" si="17"/>
        <v>0</v>
      </c>
      <c r="D75">
        <f t="shared" si="13"/>
        <v>1</v>
      </c>
      <c r="E75">
        <f t="shared" si="18"/>
        <v>0</v>
      </c>
      <c r="F75">
        <f t="shared" si="14"/>
        <v>0</v>
      </c>
      <c r="G75">
        <f t="shared" si="15"/>
        <v>0</v>
      </c>
      <c r="H75" t="str">
        <f t="shared" si="16"/>
        <v/>
      </c>
      <c r="I75" t="str">
        <f t="shared" si="19"/>
        <v/>
      </c>
      <c r="J75" t="str">
        <f ca="1">IF(  Table1[[#This Row],[group single]]&lt;&gt;"",Table1[[#This Row],[group single]],  OFFSET(Table1[[#This Row],[group ]],-1,0))</f>
        <v>bedroom_lighting</v>
      </c>
      <c r="K75" t="str">
        <f t="shared" si="20"/>
        <v/>
      </c>
      <c r="L75" t="str">
        <f t="shared" si="21"/>
        <v/>
      </c>
      <c r="M75" t="str">
        <f t="shared" si="22"/>
        <v/>
      </c>
      <c r="N75" t="str">
        <f t="shared" si="23"/>
        <v>Bedroom Lighting</v>
      </c>
      <c r="O75" t="str">
        <f t="shared" si="24"/>
        <v/>
      </c>
      <c r="P75" t="str">
        <f t="shared" si="25"/>
        <v/>
      </c>
    </row>
    <row r="76" spans="2:16" x14ac:dyDescent="0.25">
      <c r="B76" s="11" t="s">
        <v>425</v>
      </c>
      <c r="C76">
        <f t="shared" si="17"/>
        <v>0</v>
      </c>
      <c r="D76">
        <f t="shared" si="13"/>
        <v>0</v>
      </c>
      <c r="E76">
        <f t="shared" si="18"/>
        <v>0</v>
      </c>
      <c r="F76">
        <f t="shared" si="14"/>
        <v>0</v>
      </c>
      <c r="G76">
        <f t="shared" si="15"/>
        <v>1</v>
      </c>
      <c r="H76" t="str">
        <f t="shared" si="16"/>
        <v/>
      </c>
      <c r="I76" t="str">
        <f t="shared" si="19"/>
        <v/>
      </c>
      <c r="J76" t="str">
        <f ca="1">IF(  Table1[[#This Row],[group single]]&lt;&gt;"",Table1[[#This Row],[group single]],  OFFSET(Table1[[#This Row],[group ]],-1,0))</f>
        <v>bedroom_lighting</v>
      </c>
      <c r="K76" t="str">
        <f t="shared" si="20"/>
        <v/>
      </c>
      <c r="L76" t="str">
        <f t="shared" si="21"/>
        <v/>
      </c>
      <c r="M76" t="str">
        <f t="shared" si="22"/>
        <v/>
      </c>
      <c r="N76" t="str">
        <f t="shared" si="23"/>
        <v>Bedroom Lighting</v>
      </c>
      <c r="O76" t="str">
        <f t="shared" si="24"/>
        <v xml:space="preserve">    - script.bright</v>
      </c>
      <c r="P76" t="str">
        <f t="shared" si="25"/>
        <v>script.bright</v>
      </c>
    </row>
    <row r="77" spans="2:16" x14ac:dyDescent="0.25">
      <c r="B77" s="11" t="s">
        <v>426</v>
      </c>
      <c r="C77">
        <f t="shared" si="17"/>
        <v>0</v>
      </c>
      <c r="D77">
        <f t="shared" si="13"/>
        <v>0</v>
      </c>
      <c r="E77">
        <f t="shared" si="18"/>
        <v>0</v>
      </c>
      <c r="F77">
        <f t="shared" si="14"/>
        <v>0</v>
      </c>
      <c r="G77">
        <f t="shared" si="15"/>
        <v>1</v>
      </c>
      <c r="H77" t="str">
        <f t="shared" si="16"/>
        <v/>
      </c>
      <c r="I77" t="str">
        <f t="shared" si="19"/>
        <v/>
      </c>
      <c r="J77" t="str">
        <f ca="1">IF(  Table1[[#This Row],[group single]]&lt;&gt;"",Table1[[#This Row],[group single]],  OFFSET(Table1[[#This Row],[group ]],-1,0))</f>
        <v>bedroom_lighting</v>
      </c>
      <c r="K77" t="str">
        <f t="shared" si="20"/>
        <v/>
      </c>
      <c r="L77" t="str">
        <f t="shared" si="21"/>
        <v/>
      </c>
      <c r="M77" t="str">
        <f t="shared" si="22"/>
        <v/>
      </c>
      <c r="N77" t="str">
        <f t="shared" si="23"/>
        <v>Bedroom Lighting</v>
      </c>
      <c r="O77" t="str">
        <f t="shared" si="24"/>
        <v xml:space="preserve">    - script.twilight</v>
      </c>
      <c r="P77" t="str">
        <f t="shared" si="25"/>
        <v>script.twilight</v>
      </c>
    </row>
    <row r="78" spans="2:16" x14ac:dyDescent="0.25">
      <c r="B78" s="11" t="s">
        <v>427</v>
      </c>
      <c r="C78">
        <f t="shared" si="17"/>
        <v>0</v>
      </c>
      <c r="D78">
        <f t="shared" si="13"/>
        <v>0</v>
      </c>
      <c r="E78">
        <f t="shared" si="18"/>
        <v>0</v>
      </c>
      <c r="F78">
        <f t="shared" si="14"/>
        <v>0</v>
      </c>
      <c r="G78">
        <f t="shared" si="15"/>
        <v>1</v>
      </c>
      <c r="H78" t="str">
        <f t="shared" si="16"/>
        <v/>
      </c>
      <c r="I78" t="str">
        <f t="shared" si="19"/>
        <v/>
      </c>
      <c r="J78" t="str">
        <f ca="1">IF(  Table1[[#This Row],[group single]]&lt;&gt;"",Table1[[#This Row],[group single]],  OFFSET(Table1[[#This Row],[group ]],-1,0))</f>
        <v>bedroom_lighting</v>
      </c>
      <c r="K78" t="str">
        <f t="shared" si="20"/>
        <v/>
      </c>
      <c r="L78" t="str">
        <f t="shared" si="21"/>
        <v/>
      </c>
      <c r="M78" t="str">
        <f t="shared" si="22"/>
        <v/>
      </c>
      <c r="N78" t="str">
        <f t="shared" si="23"/>
        <v>Bedroom Lighting</v>
      </c>
      <c r="O78" t="str">
        <f t="shared" si="24"/>
        <v xml:space="preserve">    - script.dusk</v>
      </c>
      <c r="P78" t="str">
        <f t="shared" si="25"/>
        <v>script.dusk</v>
      </c>
    </row>
    <row r="79" spans="2:16" x14ac:dyDescent="0.25">
      <c r="B79" s="11" t="s">
        <v>428</v>
      </c>
      <c r="C79">
        <f t="shared" si="17"/>
        <v>0</v>
      </c>
      <c r="D79">
        <f t="shared" si="13"/>
        <v>0</v>
      </c>
      <c r="E79">
        <f t="shared" si="18"/>
        <v>0</v>
      </c>
      <c r="F79">
        <f t="shared" si="14"/>
        <v>0</v>
      </c>
      <c r="G79">
        <f t="shared" si="15"/>
        <v>1</v>
      </c>
      <c r="H79" t="str">
        <f t="shared" si="16"/>
        <v/>
      </c>
      <c r="I79" t="str">
        <f t="shared" si="19"/>
        <v/>
      </c>
      <c r="J79" t="str">
        <f ca="1">IF(  Table1[[#This Row],[group single]]&lt;&gt;"",Table1[[#This Row],[group single]],  OFFSET(Table1[[#This Row],[group ]],-1,0))</f>
        <v>bedroom_lighting</v>
      </c>
      <c r="K79" t="str">
        <f t="shared" si="20"/>
        <v/>
      </c>
      <c r="L79" t="str">
        <f t="shared" si="21"/>
        <v/>
      </c>
      <c r="M79" t="str">
        <f t="shared" si="22"/>
        <v/>
      </c>
      <c r="N79" t="str">
        <f t="shared" si="23"/>
        <v>Bedroom Lighting</v>
      </c>
      <c r="O79" t="str">
        <f t="shared" si="24"/>
        <v xml:space="preserve">    - script.reading</v>
      </c>
      <c r="P79" t="str">
        <f t="shared" si="25"/>
        <v>script.reading</v>
      </c>
    </row>
    <row r="80" spans="2:16" x14ac:dyDescent="0.25">
      <c r="B80" s="11" t="s">
        <v>429</v>
      </c>
      <c r="C80">
        <f t="shared" si="17"/>
        <v>0</v>
      </c>
      <c r="D80">
        <f t="shared" si="13"/>
        <v>0</v>
      </c>
      <c r="E80">
        <f t="shared" si="18"/>
        <v>0</v>
      </c>
      <c r="F80">
        <f t="shared" si="14"/>
        <v>0</v>
      </c>
      <c r="G80">
        <f t="shared" si="15"/>
        <v>1</v>
      </c>
      <c r="H80" t="str">
        <f t="shared" si="16"/>
        <v/>
      </c>
      <c r="I80" t="str">
        <f t="shared" si="19"/>
        <v/>
      </c>
      <c r="J80" t="str">
        <f ca="1">IF(  Table1[[#This Row],[group single]]&lt;&gt;"",Table1[[#This Row],[group single]],  OFFSET(Table1[[#This Row],[group ]],-1,0))</f>
        <v>bedroom_lighting</v>
      </c>
      <c r="K80" t="str">
        <f t="shared" si="20"/>
        <v/>
      </c>
      <c r="L80" t="str">
        <f t="shared" si="21"/>
        <v/>
      </c>
      <c r="M80" t="str">
        <f t="shared" si="22"/>
        <v/>
      </c>
      <c r="N80" t="str">
        <f t="shared" si="23"/>
        <v>Bedroom Lighting</v>
      </c>
      <c r="O80" t="str">
        <f t="shared" si="24"/>
        <v xml:space="preserve">    - script.all_off</v>
      </c>
      <c r="P80" t="str">
        <f t="shared" si="25"/>
        <v>script.all_off</v>
      </c>
    </row>
    <row r="81" spans="2:16" x14ac:dyDescent="0.25">
      <c r="B81" s="11"/>
      <c r="C81">
        <f t="shared" si="17"/>
        <v>1</v>
      </c>
      <c r="D81">
        <f t="shared" si="13"/>
        <v>0</v>
      </c>
      <c r="E81">
        <f t="shared" si="18"/>
        <v>0</v>
      </c>
      <c r="F81">
        <f t="shared" si="14"/>
        <v>0</v>
      </c>
      <c r="G81">
        <f t="shared" si="15"/>
        <v>0</v>
      </c>
      <c r="H81" t="str">
        <f t="shared" si="16"/>
        <v/>
      </c>
      <c r="I81" t="str">
        <f t="shared" si="19"/>
        <v/>
      </c>
      <c r="J81" t="str">
        <f ca="1">IF(  Table1[[#This Row],[group single]]&lt;&gt;"",Table1[[#This Row],[group single]],  OFFSET(Table1[[#This Row],[group ]],-1,0))</f>
        <v>bedroom_lighting</v>
      </c>
      <c r="K81" t="str">
        <f t="shared" si="20"/>
        <v/>
      </c>
      <c r="L81" t="str">
        <f t="shared" si="21"/>
        <v/>
      </c>
      <c r="M81" t="str">
        <f t="shared" si="22"/>
        <v/>
      </c>
      <c r="N81" t="str">
        <f t="shared" si="23"/>
        <v>Bedroom Lighting</v>
      </c>
      <c r="O81" t="str">
        <f t="shared" si="24"/>
        <v/>
      </c>
      <c r="P81" t="str">
        <f t="shared" si="25"/>
        <v/>
      </c>
    </row>
    <row r="82" spans="2:16" x14ac:dyDescent="0.25">
      <c r="B82" s="11" t="s">
        <v>430</v>
      </c>
      <c r="C82">
        <f t="shared" si="17"/>
        <v>0</v>
      </c>
      <c r="D82">
        <f t="shared" si="13"/>
        <v>0</v>
      </c>
      <c r="E82">
        <f t="shared" si="18"/>
        <v>1</v>
      </c>
      <c r="F82">
        <f t="shared" si="14"/>
        <v>0</v>
      </c>
      <c r="G82">
        <f t="shared" si="15"/>
        <v>0</v>
      </c>
      <c r="H82" t="str">
        <f t="shared" si="16"/>
        <v>bedroom:</v>
      </c>
      <c r="I82" t="str">
        <f t="shared" si="19"/>
        <v>bedroom</v>
      </c>
      <c r="J82" t="str">
        <f ca="1">IF(  Table1[[#This Row],[group single]]&lt;&gt;"",Table1[[#This Row],[group single]],  OFFSET(Table1[[#This Row],[group ]],-1,0))</f>
        <v>bedroom</v>
      </c>
      <c r="K82" t="str">
        <f t="shared" si="20"/>
        <v/>
      </c>
      <c r="L82" t="str">
        <f t="shared" si="21"/>
        <v/>
      </c>
      <c r="M82" t="str">
        <f t="shared" si="22"/>
        <v/>
      </c>
      <c r="N82" t="str">
        <f t="shared" si="23"/>
        <v>Bedroom Lighting</v>
      </c>
      <c r="O82" t="str">
        <f t="shared" si="24"/>
        <v/>
      </c>
      <c r="P82" t="str">
        <f t="shared" si="25"/>
        <v/>
      </c>
    </row>
    <row r="83" spans="2:16" x14ac:dyDescent="0.25">
      <c r="B83" s="11" t="s">
        <v>431</v>
      </c>
      <c r="C83">
        <f t="shared" si="17"/>
        <v>0</v>
      </c>
      <c r="D83">
        <f t="shared" si="13"/>
        <v>1</v>
      </c>
      <c r="E83">
        <f t="shared" si="18"/>
        <v>0</v>
      </c>
      <c r="F83">
        <f t="shared" si="14"/>
        <v>1</v>
      </c>
      <c r="G83">
        <f t="shared" si="15"/>
        <v>0</v>
      </c>
      <c r="H83" t="str">
        <f t="shared" si="16"/>
        <v/>
      </c>
      <c r="I83" t="str">
        <f t="shared" si="19"/>
        <v/>
      </c>
      <c r="J83" t="str">
        <f ca="1">IF(  Table1[[#This Row],[group single]]&lt;&gt;"",Table1[[#This Row],[group single]],  OFFSET(Table1[[#This Row],[group ]],-1,0))</f>
        <v>bedroom</v>
      </c>
      <c r="K83" t="str">
        <f t="shared" si="20"/>
        <v xml:space="preserve">  name: Bedroom</v>
      </c>
      <c r="L83" t="str">
        <f t="shared" si="21"/>
        <v>Bedroom</v>
      </c>
      <c r="M83" t="str">
        <f t="shared" si="22"/>
        <v>Bedroom</v>
      </c>
      <c r="N83" t="str">
        <f t="shared" si="23"/>
        <v>Bedroom</v>
      </c>
      <c r="O83" t="str">
        <f t="shared" si="24"/>
        <v/>
      </c>
      <c r="P83" t="str">
        <f t="shared" si="25"/>
        <v/>
      </c>
    </row>
    <row r="84" spans="2:16" x14ac:dyDescent="0.25">
      <c r="B84" s="11" t="s">
        <v>12</v>
      </c>
      <c r="C84">
        <f t="shared" si="17"/>
        <v>0</v>
      </c>
      <c r="D84">
        <f t="shared" si="13"/>
        <v>1</v>
      </c>
      <c r="E84">
        <f t="shared" si="18"/>
        <v>0</v>
      </c>
      <c r="F84">
        <f t="shared" si="14"/>
        <v>0</v>
      </c>
      <c r="G84">
        <f t="shared" si="15"/>
        <v>0</v>
      </c>
      <c r="H84" t="str">
        <f t="shared" si="16"/>
        <v/>
      </c>
      <c r="I84" t="str">
        <f t="shared" si="19"/>
        <v/>
      </c>
      <c r="J84" t="str">
        <f ca="1">IF(  Table1[[#This Row],[group single]]&lt;&gt;"",Table1[[#This Row],[group single]],  OFFSET(Table1[[#This Row],[group ]],-1,0))</f>
        <v>bedroom</v>
      </c>
      <c r="K84" t="str">
        <f t="shared" si="20"/>
        <v/>
      </c>
      <c r="L84" t="str">
        <f t="shared" si="21"/>
        <v/>
      </c>
      <c r="M84" t="str">
        <f t="shared" si="22"/>
        <v/>
      </c>
      <c r="N84" t="str">
        <f t="shared" si="23"/>
        <v>Bedroom</v>
      </c>
      <c r="O84" t="str">
        <f t="shared" si="24"/>
        <v/>
      </c>
      <c r="P84" t="str">
        <f t="shared" si="25"/>
        <v/>
      </c>
    </row>
    <row r="85" spans="2:16" x14ac:dyDescent="0.25">
      <c r="B85" s="11" t="s">
        <v>432</v>
      </c>
      <c r="C85">
        <f t="shared" si="17"/>
        <v>0</v>
      </c>
      <c r="D85">
        <f t="shared" si="13"/>
        <v>0</v>
      </c>
      <c r="E85">
        <f t="shared" si="18"/>
        <v>0</v>
      </c>
      <c r="F85">
        <f t="shared" si="14"/>
        <v>0</v>
      </c>
      <c r="G85">
        <f t="shared" si="15"/>
        <v>1</v>
      </c>
      <c r="H85" t="str">
        <f t="shared" si="16"/>
        <v/>
      </c>
      <c r="I85" t="str">
        <f t="shared" si="19"/>
        <v/>
      </c>
      <c r="J85" t="str">
        <f ca="1">IF(  Table1[[#This Row],[group single]]&lt;&gt;"",Table1[[#This Row],[group single]],  OFFSET(Table1[[#This Row],[group ]],-1,0))</f>
        <v>bedroom</v>
      </c>
      <c r="K85" t="str">
        <f t="shared" si="20"/>
        <v/>
      </c>
      <c r="L85" t="str">
        <f t="shared" si="21"/>
        <v/>
      </c>
      <c r="M85" t="str">
        <f t="shared" si="22"/>
        <v/>
      </c>
      <c r="N85" t="str">
        <f t="shared" si="23"/>
        <v>Bedroom</v>
      </c>
      <c r="O85" t="str">
        <f t="shared" si="24"/>
        <v xml:space="preserve">    - switch.bedroom_fan</v>
      </c>
      <c r="P85" t="str">
        <f t="shared" si="25"/>
        <v>switch.bedroom_fan</v>
      </c>
    </row>
    <row r="86" spans="2:16" x14ac:dyDescent="0.25">
      <c r="B86" s="11" t="s">
        <v>433</v>
      </c>
      <c r="C86">
        <f t="shared" si="17"/>
        <v>0</v>
      </c>
      <c r="D86">
        <f t="shared" si="13"/>
        <v>0</v>
      </c>
      <c r="E86">
        <f t="shared" si="18"/>
        <v>0</v>
      </c>
      <c r="F86">
        <f t="shared" si="14"/>
        <v>0</v>
      </c>
      <c r="G86">
        <f t="shared" si="15"/>
        <v>1</v>
      </c>
      <c r="H86" t="str">
        <f t="shared" si="16"/>
        <v/>
      </c>
      <c r="I86" t="str">
        <f t="shared" si="19"/>
        <v/>
      </c>
      <c r="J86" t="str">
        <f ca="1">IF(  Table1[[#This Row],[group single]]&lt;&gt;"",Table1[[#This Row],[group single]],  OFFSET(Table1[[#This Row],[group ]],-1,0))</f>
        <v>bedroom</v>
      </c>
      <c r="K86" t="str">
        <f t="shared" si="20"/>
        <v/>
      </c>
      <c r="L86" t="str">
        <f t="shared" si="21"/>
        <v/>
      </c>
      <c r="M86" t="str">
        <f t="shared" si="22"/>
        <v/>
      </c>
      <c r="N86" t="str">
        <f t="shared" si="23"/>
        <v>Bedroom</v>
      </c>
      <c r="O86" t="str">
        <f t="shared" si="24"/>
        <v xml:space="preserve">    - switch.bedroom_tv</v>
      </c>
      <c r="P86" t="str">
        <f t="shared" si="25"/>
        <v>switch.bedroom_tv</v>
      </c>
    </row>
    <row r="87" spans="2:16" x14ac:dyDescent="0.25">
      <c r="B87" s="11" t="s">
        <v>434</v>
      </c>
      <c r="C87">
        <f t="shared" si="17"/>
        <v>0</v>
      </c>
      <c r="D87">
        <f t="shared" si="13"/>
        <v>0</v>
      </c>
      <c r="E87">
        <f t="shared" si="18"/>
        <v>0</v>
      </c>
      <c r="F87">
        <f t="shared" si="14"/>
        <v>0</v>
      </c>
      <c r="G87">
        <f t="shared" si="15"/>
        <v>1</v>
      </c>
      <c r="H87" t="str">
        <f t="shared" si="16"/>
        <v/>
      </c>
      <c r="I87" t="str">
        <f t="shared" si="19"/>
        <v/>
      </c>
      <c r="J87" t="str">
        <f ca="1">IF(  Table1[[#This Row],[group single]]&lt;&gt;"",Table1[[#This Row],[group single]],  OFFSET(Table1[[#This Row],[group ]],-1,0))</f>
        <v>bedroom</v>
      </c>
      <c r="K87" t="str">
        <f t="shared" si="20"/>
        <v/>
      </c>
      <c r="L87" t="str">
        <f t="shared" si="21"/>
        <v/>
      </c>
      <c r="M87" t="str">
        <f t="shared" si="22"/>
        <v/>
      </c>
      <c r="N87" t="str">
        <f t="shared" si="23"/>
        <v>Bedroom</v>
      </c>
      <c r="O87" t="str">
        <f t="shared" si="24"/>
        <v xml:space="preserve">    - switch.bedroom_audio</v>
      </c>
      <c r="P87" t="str">
        <f t="shared" si="25"/>
        <v>switch.bedroom_audio</v>
      </c>
    </row>
    <row r="88" spans="2:16" x14ac:dyDescent="0.25">
      <c r="B88" s="11" t="s">
        <v>435</v>
      </c>
      <c r="C88">
        <f t="shared" si="17"/>
        <v>0</v>
      </c>
      <c r="D88">
        <f t="shared" si="13"/>
        <v>0</v>
      </c>
      <c r="E88">
        <f t="shared" si="18"/>
        <v>0</v>
      </c>
      <c r="F88">
        <f t="shared" si="14"/>
        <v>0</v>
      </c>
      <c r="G88">
        <f t="shared" si="15"/>
        <v>1</v>
      </c>
      <c r="H88" t="str">
        <f t="shared" si="16"/>
        <v/>
      </c>
      <c r="I88" t="str">
        <f t="shared" si="19"/>
        <v/>
      </c>
      <c r="J88" t="str">
        <f ca="1">IF(  Table1[[#This Row],[group single]]&lt;&gt;"",Table1[[#This Row],[group single]],  OFFSET(Table1[[#This Row],[group ]],-1,0))</f>
        <v>bedroom</v>
      </c>
      <c r="K88" t="str">
        <f t="shared" si="20"/>
        <v/>
      </c>
      <c r="L88" t="str">
        <f t="shared" si="21"/>
        <v/>
      </c>
      <c r="M88" t="str">
        <f t="shared" si="22"/>
        <v/>
      </c>
      <c r="N88" t="str">
        <f t="shared" si="23"/>
        <v>Bedroom</v>
      </c>
      <c r="O88" t="str">
        <f t="shared" si="24"/>
        <v xml:space="preserve">    - group.bedroom_lights</v>
      </c>
      <c r="P88" t="str">
        <f t="shared" si="25"/>
        <v>group.bedroom_lights</v>
      </c>
    </row>
    <row r="89" spans="2:16" x14ac:dyDescent="0.25">
      <c r="B89" s="11" t="s">
        <v>436</v>
      </c>
      <c r="C89">
        <f t="shared" si="17"/>
        <v>0</v>
      </c>
      <c r="D89">
        <f t="shared" si="13"/>
        <v>0</v>
      </c>
      <c r="E89">
        <f t="shared" si="18"/>
        <v>0</v>
      </c>
      <c r="F89">
        <f t="shared" si="14"/>
        <v>0</v>
      </c>
      <c r="G89">
        <f t="shared" si="15"/>
        <v>1</v>
      </c>
      <c r="H89" t="str">
        <f t="shared" si="16"/>
        <v/>
      </c>
      <c r="I89" t="str">
        <f t="shared" si="19"/>
        <v/>
      </c>
      <c r="J89" t="str">
        <f ca="1">IF(  Table1[[#This Row],[group single]]&lt;&gt;"",Table1[[#This Row],[group single]],  OFFSET(Table1[[#This Row],[group ]],-1,0))</f>
        <v>bedroom</v>
      </c>
      <c r="K89" t="str">
        <f t="shared" si="20"/>
        <v/>
      </c>
      <c r="L89" t="str">
        <f t="shared" si="21"/>
        <v/>
      </c>
      <c r="M89" t="str">
        <f t="shared" si="22"/>
        <v/>
      </c>
      <c r="N89" t="str">
        <f t="shared" si="23"/>
        <v>Bedroom</v>
      </c>
      <c r="O89" t="str">
        <f t="shared" si="24"/>
        <v xml:space="preserve">    - switch.bedroom_nightstand</v>
      </c>
      <c r="P89" t="str">
        <f t="shared" si="25"/>
        <v>switch.bedroom_nightstand</v>
      </c>
    </row>
    <row r="90" spans="2:16" x14ac:dyDescent="0.25">
      <c r="B90" s="11"/>
      <c r="C90">
        <f t="shared" si="17"/>
        <v>1</v>
      </c>
      <c r="D90">
        <f t="shared" si="13"/>
        <v>0</v>
      </c>
      <c r="E90">
        <f t="shared" si="18"/>
        <v>0</v>
      </c>
      <c r="F90">
        <f t="shared" si="14"/>
        <v>0</v>
      </c>
      <c r="G90">
        <f t="shared" si="15"/>
        <v>0</v>
      </c>
      <c r="H90" t="str">
        <f t="shared" si="16"/>
        <v/>
      </c>
      <c r="I90" t="str">
        <f t="shared" si="19"/>
        <v/>
      </c>
      <c r="J90" t="str">
        <f ca="1">IF(  Table1[[#This Row],[group single]]&lt;&gt;"",Table1[[#This Row],[group single]],  OFFSET(Table1[[#This Row],[group ]],-1,0))</f>
        <v>bedroom</v>
      </c>
      <c r="K90" t="str">
        <f t="shared" si="20"/>
        <v/>
      </c>
      <c r="L90" t="str">
        <f t="shared" si="21"/>
        <v/>
      </c>
      <c r="M90" t="str">
        <f t="shared" si="22"/>
        <v/>
      </c>
      <c r="N90" t="str">
        <f t="shared" si="23"/>
        <v>Bedroom</v>
      </c>
      <c r="O90" t="str">
        <f t="shared" si="24"/>
        <v/>
      </c>
      <c r="P90" t="str">
        <f t="shared" si="25"/>
        <v/>
      </c>
    </row>
    <row r="91" spans="2:16" x14ac:dyDescent="0.25">
      <c r="B91" s="11" t="s">
        <v>437</v>
      </c>
      <c r="C91">
        <f t="shared" si="17"/>
        <v>0</v>
      </c>
      <c r="D91">
        <f t="shared" si="13"/>
        <v>0</v>
      </c>
      <c r="E91">
        <f t="shared" si="18"/>
        <v>1</v>
      </c>
      <c r="F91">
        <f t="shared" si="14"/>
        <v>0</v>
      </c>
      <c r="G91">
        <f t="shared" si="15"/>
        <v>0</v>
      </c>
      <c r="H91" t="str">
        <f t="shared" si="16"/>
        <v>bedroom_lights:</v>
      </c>
      <c r="I91" t="str">
        <f t="shared" si="19"/>
        <v>bedroom_lights</v>
      </c>
      <c r="J91" t="str">
        <f ca="1">IF(  Table1[[#This Row],[group single]]&lt;&gt;"",Table1[[#This Row],[group single]],  OFFSET(Table1[[#This Row],[group ]],-1,0))</f>
        <v>bedroom_lights</v>
      </c>
      <c r="K91" t="str">
        <f t="shared" si="20"/>
        <v/>
      </c>
      <c r="L91" t="str">
        <f t="shared" si="21"/>
        <v/>
      </c>
      <c r="M91" t="str">
        <f t="shared" si="22"/>
        <v/>
      </c>
      <c r="N91" t="str">
        <f t="shared" si="23"/>
        <v>Bedroom</v>
      </c>
      <c r="O91" t="str">
        <f t="shared" si="24"/>
        <v/>
      </c>
      <c r="P91" t="str">
        <f t="shared" si="25"/>
        <v/>
      </c>
    </row>
    <row r="92" spans="2:16" x14ac:dyDescent="0.25">
      <c r="B92" s="11" t="s">
        <v>438</v>
      </c>
      <c r="C92">
        <f t="shared" si="17"/>
        <v>0</v>
      </c>
      <c r="D92">
        <f t="shared" si="13"/>
        <v>1</v>
      </c>
      <c r="E92">
        <f t="shared" si="18"/>
        <v>0</v>
      </c>
      <c r="F92">
        <f t="shared" si="14"/>
        <v>1</v>
      </c>
      <c r="G92">
        <f t="shared" si="15"/>
        <v>0</v>
      </c>
      <c r="H92" t="str">
        <f t="shared" si="16"/>
        <v/>
      </c>
      <c r="I92" t="str">
        <f t="shared" si="19"/>
        <v/>
      </c>
      <c r="J92" t="str">
        <f ca="1">IF(  Table1[[#This Row],[group single]]&lt;&gt;"",Table1[[#This Row],[group single]],  OFFSET(Table1[[#This Row],[group ]],-1,0))</f>
        <v>bedroom_lights</v>
      </c>
      <c r="K92" t="str">
        <f t="shared" si="20"/>
        <v xml:space="preserve">  name: Bedroom Lights</v>
      </c>
      <c r="L92" t="str">
        <f t="shared" si="21"/>
        <v>Bedroom Lights</v>
      </c>
      <c r="M92" t="str">
        <f t="shared" si="22"/>
        <v>Bedroom Lights</v>
      </c>
      <c r="N92" t="str">
        <f t="shared" si="23"/>
        <v>Bedroom Lights</v>
      </c>
      <c r="O92" t="str">
        <f t="shared" si="24"/>
        <v/>
      </c>
      <c r="P92" t="str">
        <f t="shared" si="25"/>
        <v/>
      </c>
    </row>
    <row r="93" spans="2:16" x14ac:dyDescent="0.25">
      <c r="B93" s="11" t="s">
        <v>12</v>
      </c>
      <c r="C93">
        <f t="shared" si="17"/>
        <v>0</v>
      </c>
      <c r="D93">
        <f t="shared" si="13"/>
        <v>1</v>
      </c>
      <c r="E93">
        <f t="shared" si="18"/>
        <v>0</v>
      </c>
      <c r="F93">
        <f t="shared" si="14"/>
        <v>0</v>
      </c>
      <c r="G93">
        <f t="shared" si="15"/>
        <v>0</v>
      </c>
      <c r="H93" t="str">
        <f t="shared" si="16"/>
        <v/>
      </c>
      <c r="I93" t="str">
        <f t="shared" si="19"/>
        <v/>
      </c>
      <c r="J93" t="str">
        <f ca="1">IF(  Table1[[#This Row],[group single]]&lt;&gt;"",Table1[[#This Row],[group single]],  OFFSET(Table1[[#This Row],[group ]],-1,0))</f>
        <v>bedroom_lights</v>
      </c>
      <c r="K93" t="str">
        <f t="shared" si="20"/>
        <v/>
      </c>
      <c r="L93" t="str">
        <f t="shared" si="21"/>
        <v/>
      </c>
      <c r="M93" t="str">
        <f t="shared" si="22"/>
        <v/>
      </c>
      <c r="N93" t="str">
        <f t="shared" si="23"/>
        <v>Bedroom Lights</v>
      </c>
      <c r="O93" t="str">
        <f t="shared" si="24"/>
        <v/>
      </c>
      <c r="P93" t="str">
        <f t="shared" si="25"/>
        <v/>
      </c>
    </row>
    <row r="94" spans="2:16" x14ac:dyDescent="0.25">
      <c r="B94" s="11" t="s">
        <v>439</v>
      </c>
      <c r="C94">
        <f t="shared" si="17"/>
        <v>0</v>
      </c>
      <c r="D94">
        <f t="shared" si="13"/>
        <v>0</v>
      </c>
      <c r="E94">
        <f t="shared" si="18"/>
        <v>0</v>
      </c>
      <c r="F94">
        <f t="shared" si="14"/>
        <v>0</v>
      </c>
      <c r="G94">
        <f t="shared" si="15"/>
        <v>1</v>
      </c>
      <c r="H94" t="str">
        <f t="shared" si="16"/>
        <v/>
      </c>
      <c r="I94" t="str">
        <f t="shared" si="19"/>
        <v/>
      </c>
      <c r="J94" t="str">
        <f ca="1">IF(  Table1[[#This Row],[group single]]&lt;&gt;"",Table1[[#This Row],[group single]],  OFFSET(Table1[[#This Row],[group ]],-1,0))</f>
        <v>bedroom_lights</v>
      </c>
      <c r="K94" t="str">
        <f t="shared" si="20"/>
        <v/>
      </c>
      <c r="L94" t="str">
        <f t="shared" si="21"/>
        <v/>
      </c>
      <c r="M94" t="str">
        <f t="shared" si="22"/>
        <v/>
      </c>
      <c r="N94" t="str">
        <f t="shared" si="23"/>
        <v>Bedroom Lights</v>
      </c>
      <c r="O94" t="str">
        <f t="shared" si="24"/>
        <v xml:space="preserve">    - light.lux_lamp</v>
      </c>
      <c r="P94" t="str">
        <f t="shared" si="25"/>
        <v>light.lux_lamp</v>
      </c>
    </row>
    <row r="95" spans="2:16" x14ac:dyDescent="0.25">
      <c r="B95" s="11" t="s">
        <v>440</v>
      </c>
      <c r="C95">
        <f t="shared" si="17"/>
        <v>0</v>
      </c>
      <c r="D95">
        <f t="shared" si="13"/>
        <v>0</v>
      </c>
      <c r="E95">
        <f t="shared" si="18"/>
        <v>0</v>
      </c>
      <c r="F95">
        <f t="shared" si="14"/>
        <v>0</v>
      </c>
      <c r="G95">
        <f t="shared" si="15"/>
        <v>1</v>
      </c>
      <c r="H95" t="str">
        <f t="shared" si="16"/>
        <v/>
      </c>
      <c r="I95" t="str">
        <f t="shared" si="19"/>
        <v/>
      </c>
      <c r="J95" t="str">
        <f ca="1">IF(  Table1[[#This Row],[group single]]&lt;&gt;"",Table1[[#This Row],[group single]],  OFFSET(Table1[[#This Row],[group ]],-1,0))</f>
        <v>bedroom_lights</v>
      </c>
      <c r="K95" t="str">
        <f t="shared" si="20"/>
        <v/>
      </c>
      <c r="L95" t="str">
        <f t="shared" si="21"/>
        <v/>
      </c>
      <c r="M95" t="str">
        <f t="shared" si="22"/>
        <v/>
      </c>
      <c r="N95" t="str">
        <f t="shared" si="23"/>
        <v>Bedroom Lights</v>
      </c>
      <c r="O95" t="str">
        <f t="shared" si="24"/>
        <v xml:space="preserve">    - light.lux_lamp_1</v>
      </c>
      <c r="P95" t="str">
        <f t="shared" si="25"/>
        <v>light.lux_lamp_1</v>
      </c>
    </row>
    <row r="96" spans="2:16" x14ac:dyDescent="0.25">
      <c r="B96" s="11"/>
      <c r="C96">
        <f t="shared" si="17"/>
        <v>1</v>
      </c>
      <c r="D96">
        <f t="shared" si="13"/>
        <v>0</v>
      </c>
      <c r="E96">
        <f t="shared" si="18"/>
        <v>0</v>
      </c>
      <c r="F96">
        <f t="shared" si="14"/>
        <v>0</v>
      </c>
      <c r="G96">
        <f t="shared" si="15"/>
        <v>0</v>
      </c>
      <c r="H96" t="str">
        <f t="shared" si="16"/>
        <v/>
      </c>
      <c r="I96" t="str">
        <f t="shared" si="19"/>
        <v/>
      </c>
      <c r="J96" t="str">
        <f ca="1">IF(  Table1[[#This Row],[group single]]&lt;&gt;"",Table1[[#This Row],[group single]],  OFFSET(Table1[[#This Row],[group ]],-1,0))</f>
        <v>bedroom_lights</v>
      </c>
      <c r="K96" t="str">
        <f t="shared" si="20"/>
        <v/>
      </c>
      <c r="L96" t="str">
        <f t="shared" si="21"/>
        <v/>
      </c>
      <c r="M96" t="str">
        <f t="shared" si="22"/>
        <v/>
      </c>
      <c r="N96" t="str">
        <f t="shared" si="23"/>
        <v>Bedroom Lights</v>
      </c>
      <c r="O96" t="str">
        <f t="shared" si="24"/>
        <v/>
      </c>
      <c r="P96" t="str">
        <f t="shared" si="25"/>
        <v/>
      </c>
    </row>
    <row r="97" spans="2:16" x14ac:dyDescent="0.25">
      <c r="B97" s="11" t="s">
        <v>441</v>
      </c>
      <c r="C97">
        <f t="shared" si="17"/>
        <v>0</v>
      </c>
      <c r="D97">
        <f t="shared" si="13"/>
        <v>0</v>
      </c>
      <c r="E97">
        <f t="shared" si="18"/>
        <v>0</v>
      </c>
      <c r="F97">
        <f t="shared" si="14"/>
        <v>0</v>
      </c>
      <c r="G97">
        <f t="shared" si="15"/>
        <v>0</v>
      </c>
      <c r="H97" t="str">
        <f t="shared" si="16"/>
        <v/>
      </c>
      <c r="I97" t="str">
        <f t="shared" si="19"/>
        <v/>
      </c>
      <c r="J97" t="str">
        <f ca="1">IF(  Table1[[#This Row],[group single]]&lt;&gt;"",Table1[[#This Row],[group single]],  OFFSET(Table1[[#This Row],[group ]],-1,0))</f>
        <v>bedroom_lights</v>
      </c>
      <c r="K97" t="str">
        <f t="shared" si="20"/>
        <v/>
      </c>
      <c r="L97" t="str">
        <f t="shared" si="21"/>
        <v/>
      </c>
      <c r="M97" t="str">
        <f t="shared" si="22"/>
        <v/>
      </c>
      <c r="N97" t="str">
        <f t="shared" si="23"/>
        <v>Bedroom Lights</v>
      </c>
      <c r="O97" t="str">
        <f t="shared" si="24"/>
        <v/>
      </c>
      <c r="P97" t="str">
        <f t="shared" si="25"/>
        <v/>
      </c>
    </row>
    <row r="98" spans="2:16" x14ac:dyDescent="0.25">
      <c r="B98" s="11" t="s">
        <v>442</v>
      </c>
      <c r="C98">
        <f t="shared" si="17"/>
        <v>0</v>
      </c>
      <c r="D98">
        <f t="shared" si="13"/>
        <v>0</v>
      </c>
      <c r="E98">
        <f t="shared" si="18"/>
        <v>1</v>
      </c>
      <c r="F98">
        <f t="shared" si="14"/>
        <v>0</v>
      </c>
      <c r="G98">
        <f t="shared" si="15"/>
        <v>0</v>
      </c>
      <c r="H98" t="str">
        <f t="shared" si="16"/>
        <v>alarm_clock:</v>
      </c>
      <c r="I98" t="str">
        <f t="shared" si="19"/>
        <v>alarm_clock</v>
      </c>
      <c r="J98" t="str">
        <f ca="1">IF(  Table1[[#This Row],[group single]]&lt;&gt;"",Table1[[#This Row],[group single]],  OFFSET(Table1[[#This Row],[group ]],-1,0))</f>
        <v>alarm_clock</v>
      </c>
      <c r="K98" t="str">
        <f t="shared" si="20"/>
        <v/>
      </c>
      <c r="L98" t="str">
        <f t="shared" si="21"/>
        <v/>
      </c>
      <c r="M98" t="str">
        <f t="shared" si="22"/>
        <v/>
      </c>
      <c r="N98" t="str">
        <f t="shared" si="23"/>
        <v>Bedroom Lights</v>
      </c>
      <c r="O98" t="str">
        <f t="shared" si="24"/>
        <v/>
      </c>
      <c r="P98" t="str">
        <f t="shared" si="25"/>
        <v/>
      </c>
    </row>
    <row r="99" spans="2:16" x14ac:dyDescent="0.25">
      <c r="B99" s="11" t="s">
        <v>443</v>
      </c>
      <c r="C99">
        <f t="shared" si="17"/>
        <v>0</v>
      </c>
      <c r="D99">
        <f t="shared" si="13"/>
        <v>1</v>
      </c>
      <c r="E99">
        <f t="shared" si="18"/>
        <v>0</v>
      </c>
      <c r="F99">
        <f t="shared" si="14"/>
        <v>1</v>
      </c>
      <c r="G99">
        <f t="shared" si="15"/>
        <v>0</v>
      </c>
      <c r="H99" t="str">
        <f t="shared" si="16"/>
        <v/>
      </c>
      <c r="I99" t="str">
        <f t="shared" si="19"/>
        <v/>
      </c>
      <c r="J99" t="str">
        <f ca="1">IF(  Table1[[#This Row],[group single]]&lt;&gt;"",Table1[[#This Row],[group single]],  OFFSET(Table1[[#This Row],[group ]],-1,0))</f>
        <v>alarm_clock</v>
      </c>
      <c r="K99" t="str">
        <f t="shared" si="20"/>
        <v xml:space="preserve">  name: 'Alarm Clock'</v>
      </c>
      <c r="L99" t="str">
        <f t="shared" si="21"/>
        <v>'Alarm Clock'</v>
      </c>
      <c r="M99" t="str">
        <f t="shared" si="22"/>
        <v>'Alarm Clock'</v>
      </c>
      <c r="N99" t="str">
        <f t="shared" si="23"/>
        <v>'Alarm Clock'</v>
      </c>
      <c r="O99" t="str">
        <f t="shared" si="24"/>
        <v/>
      </c>
      <c r="P99" t="str">
        <f t="shared" si="25"/>
        <v/>
      </c>
    </row>
    <row r="100" spans="2:16" x14ac:dyDescent="0.25">
      <c r="B100" s="11" t="s">
        <v>12</v>
      </c>
      <c r="C100">
        <f t="shared" si="17"/>
        <v>0</v>
      </c>
      <c r="D100">
        <f t="shared" si="13"/>
        <v>1</v>
      </c>
      <c r="E100">
        <f t="shared" si="18"/>
        <v>0</v>
      </c>
      <c r="F100">
        <f t="shared" si="14"/>
        <v>0</v>
      </c>
      <c r="G100">
        <f t="shared" si="15"/>
        <v>0</v>
      </c>
      <c r="H100" t="str">
        <f t="shared" si="16"/>
        <v/>
      </c>
      <c r="I100" t="str">
        <f t="shared" si="19"/>
        <v/>
      </c>
      <c r="J100" t="str">
        <f ca="1">IF(  Table1[[#This Row],[group single]]&lt;&gt;"",Table1[[#This Row],[group single]],  OFFSET(Table1[[#This Row],[group ]],-1,0))</f>
        <v>alarm_clock</v>
      </c>
      <c r="K100" t="str">
        <f t="shared" si="20"/>
        <v/>
      </c>
      <c r="L100" t="str">
        <f t="shared" si="21"/>
        <v/>
      </c>
      <c r="M100" t="str">
        <f t="shared" si="22"/>
        <v/>
      </c>
      <c r="N100" t="str">
        <f t="shared" si="23"/>
        <v>'Alarm Clock'</v>
      </c>
      <c r="O100" t="str">
        <f t="shared" si="24"/>
        <v/>
      </c>
      <c r="P100" t="str">
        <f t="shared" si="25"/>
        <v/>
      </c>
    </row>
    <row r="101" spans="2:16" x14ac:dyDescent="0.25">
      <c r="B101" s="11" t="s">
        <v>444</v>
      </c>
      <c r="C101">
        <f t="shared" si="17"/>
        <v>0</v>
      </c>
      <c r="D101">
        <f t="shared" si="13"/>
        <v>0</v>
      </c>
      <c r="E101">
        <f t="shared" si="18"/>
        <v>0</v>
      </c>
      <c r="F101">
        <f t="shared" si="14"/>
        <v>0</v>
      </c>
      <c r="G101">
        <f t="shared" si="15"/>
        <v>1</v>
      </c>
      <c r="H101" t="str">
        <f t="shared" si="16"/>
        <v/>
      </c>
      <c r="I101" t="str">
        <f t="shared" si="19"/>
        <v/>
      </c>
      <c r="J101" t="str">
        <f ca="1">IF(  Table1[[#This Row],[group single]]&lt;&gt;"",Table1[[#This Row],[group single]],  OFFSET(Table1[[#This Row],[group ]],-1,0))</f>
        <v>alarm_clock</v>
      </c>
      <c r="K101" t="str">
        <f t="shared" si="20"/>
        <v/>
      </c>
      <c r="L101" t="str">
        <f t="shared" si="21"/>
        <v/>
      </c>
      <c r="M101" t="str">
        <f t="shared" si="22"/>
        <v/>
      </c>
      <c r="N101" t="str">
        <f t="shared" si="23"/>
        <v>'Alarm Clock'</v>
      </c>
      <c r="O101" t="str">
        <f t="shared" si="24"/>
        <v xml:space="preserve">    - sensor.alarm_clock_time</v>
      </c>
      <c r="P101" t="str">
        <f t="shared" si="25"/>
        <v>sensor.alarm_clock_time</v>
      </c>
    </row>
    <row r="102" spans="2:16" x14ac:dyDescent="0.25">
      <c r="B102" s="11" t="s">
        <v>445</v>
      </c>
      <c r="C102">
        <f t="shared" si="17"/>
        <v>0</v>
      </c>
      <c r="D102">
        <f t="shared" si="13"/>
        <v>0</v>
      </c>
      <c r="E102">
        <f t="shared" si="18"/>
        <v>0</v>
      </c>
      <c r="F102">
        <f t="shared" si="14"/>
        <v>0</v>
      </c>
      <c r="G102">
        <f t="shared" si="15"/>
        <v>1</v>
      </c>
      <c r="H102" t="str">
        <f t="shared" si="16"/>
        <v/>
      </c>
      <c r="I102" t="str">
        <f t="shared" si="19"/>
        <v/>
      </c>
      <c r="J102" t="str">
        <f ca="1">IF(  Table1[[#This Row],[group single]]&lt;&gt;"",Table1[[#This Row],[group single]],  OFFSET(Table1[[#This Row],[group ]],-1,0))</f>
        <v>alarm_clock</v>
      </c>
      <c r="K102" t="str">
        <f t="shared" si="20"/>
        <v/>
      </c>
      <c r="L102" t="str">
        <f t="shared" si="21"/>
        <v/>
      </c>
      <c r="M102" t="str">
        <f t="shared" si="22"/>
        <v/>
      </c>
      <c r="N102" t="str">
        <f t="shared" si="23"/>
        <v>'Alarm Clock'</v>
      </c>
      <c r="O102" t="str">
        <f t="shared" si="24"/>
        <v xml:space="preserve">    - input_slider.alarm_clock_hour</v>
      </c>
      <c r="P102" t="str">
        <f t="shared" si="25"/>
        <v>input_slider.alarm_clock_hour</v>
      </c>
    </row>
    <row r="103" spans="2:16" x14ac:dyDescent="0.25">
      <c r="B103" s="11" t="s">
        <v>446</v>
      </c>
      <c r="C103">
        <f t="shared" si="17"/>
        <v>0</v>
      </c>
      <c r="D103">
        <f t="shared" si="13"/>
        <v>0</v>
      </c>
      <c r="E103">
        <f t="shared" si="18"/>
        <v>0</v>
      </c>
      <c r="F103">
        <f t="shared" si="14"/>
        <v>0</v>
      </c>
      <c r="G103">
        <f t="shared" si="15"/>
        <v>1</v>
      </c>
      <c r="H103" t="str">
        <f t="shared" si="16"/>
        <v/>
      </c>
      <c r="I103" t="str">
        <f t="shared" si="19"/>
        <v/>
      </c>
      <c r="J103" t="str">
        <f ca="1">IF(  Table1[[#This Row],[group single]]&lt;&gt;"",Table1[[#This Row],[group single]],  OFFSET(Table1[[#This Row],[group ]],-1,0))</f>
        <v>alarm_clock</v>
      </c>
      <c r="K103" t="str">
        <f t="shared" si="20"/>
        <v/>
      </c>
      <c r="L103" t="str">
        <f t="shared" si="21"/>
        <v/>
      </c>
      <c r="M103" t="str">
        <f t="shared" si="22"/>
        <v/>
      </c>
      <c r="N103" t="str">
        <f t="shared" si="23"/>
        <v>'Alarm Clock'</v>
      </c>
      <c r="O103" t="str">
        <f t="shared" si="24"/>
        <v xml:space="preserve">    - input_slider.alarm_clock_minute</v>
      </c>
      <c r="P103" t="str">
        <f t="shared" si="25"/>
        <v>input_slider.alarm_clock_minute</v>
      </c>
    </row>
    <row r="104" spans="2:16" x14ac:dyDescent="0.25">
      <c r="B104" s="11" t="s">
        <v>447</v>
      </c>
      <c r="C104">
        <f t="shared" si="17"/>
        <v>0</v>
      </c>
      <c r="D104">
        <f t="shared" si="13"/>
        <v>0</v>
      </c>
      <c r="E104">
        <f t="shared" si="18"/>
        <v>0</v>
      </c>
      <c r="F104">
        <f t="shared" si="14"/>
        <v>0</v>
      </c>
      <c r="G104">
        <f t="shared" si="15"/>
        <v>1</v>
      </c>
      <c r="H104" t="str">
        <f t="shared" si="16"/>
        <v/>
      </c>
      <c r="I104" t="str">
        <f t="shared" si="19"/>
        <v/>
      </c>
      <c r="J104" t="str">
        <f ca="1">IF(  Table1[[#This Row],[group single]]&lt;&gt;"",Table1[[#This Row],[group single]],  OFFSET(Table1[[#This Row],[group ]],-1,0))</f>
        <v>alarm_clock</v>
      </c>
      <c r="K104" t="str">
        <f t="shared" si="20"/>
        <v/>
      </c>
      <c r="L104" t="str">
        <f t="shared" si="21"/>
        <v/>
      </c>
      <c r="M104" t="str">
        <f t="shared" si="22"/>
        <v/>
      </c>
      <c r="N104" t="str">
        <f t="shared" si="23"/>
        <v>'Alarm Clock'</v>
      </c>
      <c r="O104" t="str">
        <f t="shared" si="24"/>
        <v xml:space="preserve">    - input_boolean.alarm_clock_status</v>
      </c>
      <c r="P104" t="str">
        <f t="shared" si="25"/>
        <v>input_boolean.alarm_clock_status</v>
      </c>
    </row>
    <row r="105" spans="2:16" x14ac:dyDescent="0.25">
      <c r="B105" s="11"/>
      <c r="C105">
        <f t="shared" si="17"/>
        <v>1</v>
      </c>
      <c r="D105">
        <f t="shared" si="13"/>
        <v>0</v>
      </c>
      <c r="E105">
        <f t="shared" si="18"/>
        <v>0</v>
      </c>
      <c r="F105">
        <f t="shared" si="14"/>
        <v>0</v>
      </c>
      <c r="G105">
        <f t="shared" si="15"/>
        <v>0</v>
      </c>
      <c r="H105" t="str">
        <f t="shared" si="16"/>
        <v/>
      </c>
      <c r="I105" t="str">
        <f t="shared" si="19"/>
        <v/>
      </c>
      <c r="J105" t="str">
        <f ca="1">IF(  Table1[[#This Row],[group single]]&lt;&gt;"",Table1[[#This Row],[group single]],  OFFSET(Table1[[#This Row],[group ]],-1,0))</f>
        <v>alarm_clock</v>
      </c>
      <c r="K105" t="str">
        <f t="shared" si="20"/>
        <v/>
      </c>
      <c r="L105" t="str">
        <f t="shared" si="21"/>
        <v/>
      </c>
      <c r="M105" t="str">
        <f t="shared" si="22"/>
        <v/>
      </c>
      <c r="N105" t="str">
        <f t="shared" si="23"/>
        <v>'Alarm Clock'</v>
      </c>
      <c r="O105" t="str">
        <f t="shared" si="24"/>
        <v/>
      </c>
      <c r="P105" t="str">
        <f t="shared" si="25"/>
        <v/>
      </c>
    </row>
    <row r="106" spans="2:16" x14ac:dyDescent="0.25">
      <c r="B106" s="11"/>
      <c r="C106">
        <f t="shared" si="17"/>
        <v>1</v>
      </c>
      <c r="D106">
        <f t="shared" si="13"/>
        <v>0</v>
      </c>
      <c r="E106">
        <f t="shared" si="18"/>
        <v>0</v>
      </c>
      <c r="F106">
        <f t="shared" si="14"/>
        <v>0</v>
      </c>
      <c r="G106">
        <f t="shared" si="15"/>
        <v>0</v>
      </c>
      <c r="H106" t="str">
        <f t="shared" si="16"/>
        <v/>
      </c>
      <c r="I106" t="str">
        <f t="shared" si="19"/>
        <v/>
      </c>
      <c r="J106" t="str">
        <f ca="1">IF(  Table1[[#This Row],[group single]]&lt;&gt;"",Table1[[#This Row],[group single]],  OFFSET(Table1[[#This Row],[group ]],-1,0))</f>
        <v>alarm_clock</v>
      </c>
      <c r="K106" t="str">
        <f t="shared" si="20"/>
        <v/>
      </c>
      <c r="L106" t="str">
        <f t="shared" si="21"/>
        <v/>
      </c>
      <c r="M106" t="str">
        <f t="shared" si="22"/>
        <v/>
      </c>
      <c r="N106" t="str">
        <f t="shared" si="23"/>
        <v>'Alarm Clock'</v>
      </c>
      <c r="O106" t="str">
        <f t="shared" si="24"/>
        <v/>
      </c>
      <c r="P106" t="str">
        <f t="shared" si="25"/>
        <v/>
      </c>
    </row>
    <row r="107" spans="2:16" x14ac:dyDescent="0.25">
      <c r="B107" s="11"/>
      <c r="C107">
        <f t="shared" si="17"/>
        <v>1</v>
      </c>
      <c r="D107">
        <f t="shared" si="13"/>
        <v>0</v>
      </c>
      <c r="E107">
        <f t="shared" si="18"/>
        <v>0</v>
      </c>
      <c r="F107">
        <f t="shared" si="14"/>
        <v>0</v>
      </c>
      <c r="G107">
        <f t="shared" si="15"/>
        <v>0</v>
      </c>
      <c r="H107" t="str">
        <f t="shared" si="16"/>
        <v/>
      </c>
      <c r="I107" t="str">
        <f t="shared" si="19"/>
        <v/>
      </c>
      <c r="J107" t="str">
        <f ca="1">IF(  Table1[[#This Row],[group single]]&lt;&gt;"",Table1[[#This Row],[group single]],  OFFSET(Table1[[#This Row],[group ]],-1,0))</f>
        <v>alarm_clock</v>
      </c>
      <c r="K107" t="str">
        <f t="shared" si="20"/>
        <v/>
      </c>
      <c r="L107" t="str">
        <f t="shared" si="21"/>
        <v/>
      </c>
      <c r="M107" t="str">
        <f t="shared" si="22"/>
        <v/>
      </c>
      <c r="N107" t="str">
        <f t="shared" si="23"/>
        <v>'Alarm Clock'</v>
      </c>
      <c r="O107" t="str">
        <f t="shared" si="24"/>
        <v/>
      </c>
      <c r="P107" t="str">
        <f t="shared" si="25"/>
        <v/>
      </c>
    </row>
    <row r="108" spans="2:16" x14ac:dyDescent="0.25">
      <c r="B108" s="11" t="s">
        <v>448</v>
      </c>
      <c r="C108">
        <f t="shared" si="17"/>
        <v>0</v>
      </c>
      <c r="D108">
        <f t="shared" si="13"/>
        <v>0</v>
      </c>
      <c r="E108">
        <f t="shared" si="18"/>
        <v>1</v>
      </c>
      <c r="F108">
        <f t="shared" si="14"/>
        <v>0</v>
      </c>
      <c r="G108">
        <f t="shared" si="15"/>
        <v>0</v>
      </c>
      <c r="H108" t="str">
        <f t="shared" si="16"/>
        <v>environment:</v>
      </c>
      <c r="I108" t="str">
        <f t="shared" si="19"/>
        <v>environment</v>
      </c>
      <c r="J108" t="str">
        <f ca="1">IF(  Table1[[#This Row],[group single]]&lt;&gt;"",Table1[[#This Row],[group single]],  OFFSET(Table1[[#This Row],[group ]],-1,0))</f>
        <v>environment</v>
      </c>
      <c r="K108" t="str">
        <f t="shared" si="20"/>
        <v/>
      </c>
      <c r="L108" t="str">
        <f t="shared" si="21"/>
        <v/>
      </c>
      <c r="M108" t="str">
        <f t="shared" si="22"/>
        <v/>
      </c>
      <c r="N108" t="str">
        <f t="shared" si="23"/>
        <v>'Alarm Clock'</v>
      </c>
      <c r="O108" t="str">
        <f t="shared" si="24"/>
        <v/>
      </c>
      <c r="P108" t="str">
        <f t="shared" si="25"/>
        <v/>
      </c>
    </row>
    <row r="109" spans="2:16" x14ac:dyDescent="0.25">
      <c r="B109" s="11" t="s">
        <v>449</v>
      </c>
      <c r="C109">
        <f t="shared" si="17"/>
        <v>0</v>
      </c>
      <c r="D109">
        <f t="shared" si="13"/>
        <v>1</v>
      </c>
      <c r="E109">
        <f t="shared" si="18"/>
        <v>0</v>
      </c>
      <c r="F109">
        <f t="shared" si="14"/>
        <v>1</v>
      </c>
      <c r="G109">
        <f t="shared" si="15"/>
        <v>0</v>
      </c>
      <c r="H109" t="str">
        <f t="shared" si="16"/>
        <v/>
      </c>
      <c r="I109" t="str">
        <f t="shared" si="19"/>
        <v/>
      </c>
      <c r="J109" t="str">
        <f ca="1">IF(  Table1[[#This Row],[group single]]&lt;&gt;"",Table1[[#This Row],[group single]],  OFFSET(Table1[[#This Row],[group ]],-1,0))</f>
        <v>environment</v>
      </c>
      <c r="K109" t="str">
        <f t="shared" si="20"/>
        <v xml:space="preserve">  name: Environment</v>
      </c>
      <c r="L109" t="str">
        <f t="shared" si="21"/>
        <v>Environment</v>
      </c>
      <c r="M109" t="str">
        <f t="shared" si="22"/>
        <v>Environment</v>
      </c>
      <c r="N109" t="str">
        <f t="shared" si="23"/>
        <v>Environment</v>
      </c>
      <c r="O109" t="str">
        <f t="shared" si="24"/>
        <v/>
      </c>
      <c r="P109" t="str">
        <f t="shared" si="25"/>
        <v/>
      </c>
    </row>
    <row r="110" spans="2:16" x14ac:dyDescent="0.25">
      <c r="B110" s="11" t="s">
        <v>12</v>
      </c>
      <c r="C110">
        <f t="shared" si="17"/>
        <v>0</v>
      </c>
      <c r="D110">
        <f t="shared" si="13"/>
        <v>1</v>
      </c>
      <c r="E110">
        <f t="shared" si="18"/>
        <v>0</v>
      </c>
      <c r="F110">
        <f t="shared" si="14"/>
        <v>0</v>
      </c>
      <c r="G110">
        <f t="shared" si="15"/>
        <v>0</v>
      </c>
      <c r="H110" t="str">
        <f t="shared" si="16"/>
        <v/>
      </c>
      <c r="I110" t="str">
        <f t="shared" si="19"/>
        <v/>
      </c>
      <c r="J110" t="str">
        <f ca="1">IF(  Table1[[#This Row],[group single]]&lt;&gt;"",Table1[[#This Row],[group single]],  OFFSET(Table1[[#This Row],[group ]],-1,0))</f>
        <v>environment</v>
      </c>
      <c r="K110" t="str">
        <f t="shared" si="20"/>
        <v/>
      </c>
      <c r="L110" t="str">
        <f t="shared" si="21"/>
        <v/>
      </c>
      <c r="M110" t="str">
        <f t="shared" si="22"/>
        <v/>
      </c>
      <c r="N110" t="str">
        <f t="shared" si="23"/>
        <v>Environment</v>
      </c>
      <c r="O110" t="str">
        <f t="shared" si="24"/>
        <v/>
      </c>
      <c r="P110" t="str">
        <f t="shared" si="25"/>
        <v/>
      </c>
    </row>
    <row r="111" spans="2:16" x14ac:dyDescent="0.25">
      <c r="B111" s="11" t="s">
        <v>450</v>
      </c>
      <c r="C111">
        <f t="shared" si="17"/>
        <v>0</v>
      </c>
      <c r="D111">
        <f t="shared" si="13"/>
        <v>0</v>
      </c>
      <c r="E111">
        <f t="shared" si="18"/>
        <v>0</v>
      </c>
      <c r="F111">
        <f t="shared" si="14"/>
        <v>0</v>
      </c>
      <c r="G111">
        <f t="shared" si="15"/>
        <v>1</v>
      </c>
      <c r="H111" t="str">
        <f t="shared" si="16"/>
        <v/>
      </c>
      <c r="I111" t="str">
        <f t="shared" si="19"/>
        <v/>
      </c>
      <c r="J111" t="str">
        <f ca="1">IF(  Table1[[#This Row],[group single]]&lt;&gt;"",Table1[[#This Row],[group single]],  OFFSET(Table1[[#This Row],[group ]],-1,0))</f>
        <v>environment</v>
      </c>
      <c r="K111" t="str">
        <f t="shared" si="20"/>
        <v/>
      </c>
      <c r="L111" t="str">
        <f t="shared" si="21"/>
        <v/>
      </c>
      <c r="M111" t="str">
        <f t="shared" si="22"/>
        <v/>
      </c>
      <c r="N111" t="str">
        <f t="shared" si="23"/>
        <v>Environment</v>
      </c>
      <c r="O111" t="str">
        <f t="shared" si="24"/>
        <v xml:space="preserve">    - sensor.dark_sky_apparent_temperature</v>
      </c>
      <c r="P111" t="str">
        <f t="shared" si="25"/>
        <v>sensor.dark_sky_apparent_temperature</v>
      </c>
    </row>
    <row r="112" spans="2:16" x14ac:dyDescent="0.25">
      <c r="B112" s="11" t="s">
        <v>451</v>
      </c>
      <c r="C112">
        <f t="shared" si="17"/>
        <v>0</v>
      </c>
      <c r="D112">
        <f t="shared" si="13"/>
        <v>0</v>
      </c>
      <c r="E112">
        <f t="shared" si="18"/>
        <v>0</v>
      </c>
      <c r="F112">
        <f t="shared" si="14"/>
        <v>0</v>
      </c>
      <c r="G112">
        <f t="shared" si="15"/>
        <v>1</v>
      </c>
      <c r="H112" t="str">
        <f t="shared" si="16"/>
        <v/>
      </c>
      <c r="I112" t="str">
        <f t="shared" si="19"/>
        <v/>
      </c>
      <c r="J112" t="str">
        <f ca="1">IF(  Table1[[#This Row],[group single]]&lt;&gt;"",Table1[[#This Row],[group single]],  OFFSET(Table1[[#This Row],[group ]],-1,0))</f>
        <v>environment</v>
      </c>
      <c r="K112" t="str">
        <f t="shared" si="20"/>
        <v/>
      </c>
      <c r="L112" t="str">
        <f t="shared" si="21"/>
        <v/>
      </c>
      <c r="M112" t="str">
        <f t="shared" si="22"/>
        <v/>
      </c>
      <c r="N112" t="str">
        <f t="shared" si="23"/>
        <v>Environment</v>
      </c>
      <c r="O112" t="str">
        <f t="shared" si="24"/>
        <v xml:space="preserve">    - sensor.dark_sky_hourly_summary</v>
      </c>
      <c r="P112" t="str">
        <f t="shared" si="25"/>
        <v>sensor.dark_sky_hourly_summary</v>
      </c>
    </row>
    <row r="113" spans="2:16" x14ac:dyDescent="0.25">
      <c r="B113" s="11" t="s">
        <v>452</v>
      </c>
      <c r="C113">
        <f t="shared" si="17"/>
        <v>0</v>
      </c>
      <c r="D113">
        <f t="shared" si="13"/>
        <v>0</v>
      </c>
      <c r="E113">
        <f t="shared" si="18"/>
        <v>0</v>
      </c>
      <c r="F113">
        <f t="shared" si="14"/>
        <v>0</v>
      </c>
      <c r="G113">
        <f t="shared" si="15"/>
        <v>1</v>
      </c>
      <c r="H113" t="str">
        <f t="shared" si="16"/>
        <v/>
      </c>
      <c r="I113" t="str">
        <f t="shared" si="19"/>
        <v/>
      </c>
      <c r="J113" t="str">
        <f ca="1">IF(  Table1[[#This Row],[group single]]&lt;&gt;"",Table1[[#This Row],[group single]],  OFFSET(Table1[[#This Row],[group ]],-1,0))</f>
        <v>environment</v>
      </c>
      <c r="K113" t="str">
        <f t="shared" si="20"/>
        <v/>
      </c>
      <c r="L113" t="str">
        <f t="shared" si="21"/>
        <v/>
      </c>
      <c r="M113" t="str">
        <f t="shared" si="22"/>
        <v/>
      </c>
      <c r="N113" t="str">
        <f t="shared" si="23"/>
        <v>Environment</v>
      </c>
      <c r="O113" t="str">
        <f t="shared" si="24"/>
        <v xml:space="preserve">    - sensor.dark_sky_daily_summary</v>
      </c>
      <c r="P113" t="str">
        <f t="shared" si="25"/>
        <v>sensor.dark_sky_daily_summary</v>
      </c>
    </row>
    <row r="114" spans="2:16" x14ac:dyDescent="0.25">
      <c r="B114" s="11" t="s">
        <v>453</v>
      </c>
      <c r="C114">
        <f t="shared" si="17"/>
        <v>0</v>
      </c>
      <c r="D114">
        <f t="shared" si="13"/>
        <v>0</v>
      </c>
      <c r="E114">
        <f t="shared" si="18"/>
        <v>0</v>
      </c>
      <c r="F114">
        <f t="shared" si="14"/>
        <v>0</v>
      </c>
      <c r="G114">
        <f t="shared" si="15"/>
        <v>1</v>
      </c>
      <c r="H114" t="str">
        <f t="shared" si="16"/>
        <v/>
      </c>
      <c r="I114" t="str">
        <f t="shared" si="19"/>
        <v/>
      </c>
      <c r="J114" t="str">
        <f ca="1">IF(  Table1[[#This Row],[group single]]&lt;&gt;"",Table1[[#This Row],[group single]],  OFFSET(Table1[[#This Row],[group ]],-1,0))</f>
        <v>environment</v>
      </c>
      <c r="K114" t="str">
        <f t="shared" si="20"/>
        <v/>
      </c>
      <c r="L114" t="str">
        <f t="shared" si="21"/>
        <v/>
      </c>
      <c r="M114" t="str">
        <f t="shared" si="22"/>
        <v/>
      </c>
      <c r="N114" t="str">
        <f t="shared" si="23"/>
        <v>Environment</v>
      </c>
      <c r="O114" t="str">
        <f t="shared" si="24"/>
        <v xml:space="preserve">    - sensor.dark_sky_precip_probability</v>
      </c>
      <c r="P114" t="str">
        <f t="shared" si="25"/>
        <v>sensor.dark_sky_precip_probability</v>
      </c>
    </row>
    <row r="115" spans="2:16" x14ac:dyDescent="0.25">
      <c r="B115" s="11"/>
      <c r="C115">
        <f t="shared" si="17"/>
        <v>1</v>
      </c>
      <c r="D115">
        <f t="shared" si="13"/>
        <v>0</v>
      </c>
      <c r="E115">
        <f t="shared" si="18"/>
        <v>0</v>
      </c>
      <c r="F115">
        <f t="shared" si="14"/>
        <v>0</v>
      </c>
      <c r="G115">
        <f t="shared" si="15"/>
        <v>0</v>
      </c>
      <c r="H115" t="str">
        <f t="shared" si="16"/>
        <v/>
      </c>
      <c r="I115" t="str">
        <f t="shared" si="19"/>
        <v/>
      </c>
      <c r="J115" t="str">
        <f ca="1">IF(  Table1[[#This Row],[group single]]&lt;&gt;"",Table1[[#This Row],[group single]],  OFFSET(Table1[[#This Row],[group ]],-1,0))</f>
        <v>environment</v>
      </c>
      <c r="K115" t="str">
        <f t="shared" si="20"/>
        <v/>
      </c>
      <c r="L115" t="str">
        <f t="shared" si="21"/>
        <v/>
      </c>
      <c r="M115" t="str">
        <f t="shared" si="22"/>
        <v/>
      </c>
      <c r="N115" t="str">
        <f t="shared" si="23"/>
        <v>Environment</v>
      </c>
      <c r="O115" t="str">
        <f t="shared" si="24"/>
        <v/>
      </c>
      <c r="P115" t="str">
        <f t="shared" si="25"/>
        <v/>
      </c>
    </row>
    <row r="116" spans="2:16" x14ac:dyDescent="0.25">
      <c r="B116" s="11" t="s">
        <v>454</v>
      </c>
      <c r="C116">
        <f t="shared" si="17"/>
        <v>0</v>
      </c>
      <c r="D116">
        <f t="shared" si="13"/>
        <v>0</v>
      </c>
      <c r="E116">
        <f t="shared" si="18"/>
        <v>1</v>
      </c>
      <c r="F116">
        <f t="shared" si="14"/>
        <v>0</v>
      </c>
      <c r="G116">
        <f t="shared" si="15"/>
        <v>0</v>
      </c>
      <c r="H116" t="str">
        <f t="shared" si="16"/>
        <v>environment_detail:</v>
      </c>
      <c r="I116" t="str">
        <f t="shared" si="19"/>
        <v>environment_detail</v>
      </c>
      <c r="J116" t="str">
        <f ca="1">IF(  Table1[[#This Row],[group single]]&lt;&gt;"",Table1[[#This Row],[group single]],  OFFSET(Table1[[#This Row],[group ]],-1,0))</f>
        <v>environment_detail</v>
      </c>
      <c r="K116" t="str">
        <f t="shared" si="20"/>
        <v/>
      </c>
      <c r="L116" t="str">
        <f t="shared" si="21"/>
        <v/>
      </c>
      <c r="M116" t="str">
        <f t="shared" si="22"/>
        <v/>
      </c>
      <c r="N116" t="str">
        <f t="shared" si="23"/>
        <v>Environment</v>
      </c>
      <c r="O116" t="str">
        <f t="shared" si="24"/>
        <v/>
      </c>
      <c r="P116" t="str">
        <f t="shared" si="25"/>
        <v/>
      </c>
    </row>
    <row r="117" spans="2:16" x14ac:dyDescent="0.25">
      <c r="B117" s="11" t="s">
        <v>455</v>
      </c>
      <c r="C117">
        <f t="shared" si="17"/>
        <v>0</v>
      </c>
      <c r="D117">
        <f t="shared" si="13"/>
        <v>1</v>
      </c>
      <c r="E117">
        <f t="shared" si="18"/>
        <v>0</v>
      </c>
      <c r="F117">
        <f t="shared" si="14"/>
        <v>1</v>
      </c>
      <c r="G117">
        <f t="shared" si="15"/>
        <v>0</v>
      </c>
      <c r="H117" t="str">
        <f t="shared" si="16"/>
        <v/>
      </c>
      <c r="I117" t="str">
        <f t="shared" si="19"/>
        <v/>
      </c>
      <c r="J117" t="str">
        <f ca="1">IF(  Table1[[#This Row],[group single]]&lt;&gt;"",Table1[[#This Row],[group single]],  OFFSET(Table1[[#This Row],[group ]],-1,0))</f>
        <v>environment_detail</v>
      </c>
      <c r="K117" t="str">
        <f t="shared" si="20"/>
        <v xml:space="preserve">  name: Environment Detail</v>
      </c>
      <c r="L117" t="str">
        <f t="shared" si="21"/>
        <v>Environment Detail</v>
      </c>
      <c r="M117" t="str">
        <f t="shared" si="22"/>
        <v>Environment Detail</v>
      </c>
      <c r="N117" t="str">
        <f t="shared" si="23"/>
        <v>Environment Detail</v>
      </c>
      <c r="O117" t="str">
        <f t="shared" si="24"/>
        <v/>
      </c>
      <c r="P117" t="str">
        <f t="shared" si="25"/>
        <v/>
      </c>
    </row>
    <row r="118" spans="2:16" x14ac:dyDescent="0.25">
      <c r="B118" s="11" t="s">
        <v>12</v>
      </c>
      <c r="C118">
        <f t="shared" si="17"/>
        <v>0</v>
      </c>
      <c r="D118">
        <f t="shared" si="13"/>
        <v>1</v>
      </c>
      <c r="E118">
        <f t="shared" si="18"/>
        <v>0</v>
      </c>
      <c r="F118">
        <f t="shared" si="14"/>
        <v>0</v>
      </c>
      <c r="G118">
        <f t="shared" si="15"/>
        <v>0</v>
      </c>
      <c r="H118" t="str">
        <f t="shared" si="16"/>
        <v/>
      </c>
      <c r="I118" t="str">
        <f t="shared" si="19"/>
        <v/>
      </c>
      <c r="J118" t="str">
        <f ca="1">IF(  Table1[[#This Row],[group single]]&lt;&gt;"",Table1[[#This Row],[group single]],  OFFSET(Table1[[#This Row],[group ]],-1,0))</f>
        <v>environment_detail</v>
      </c>
      <c r="K118" t="str">
        <f t="shared" si="20"/>
        <v/>
      </c>
      <c r="L118" t="str">
        <f t="shared" si="21"/>
        <v/>
      </c>
      <c r="M118" t="str">
        <f t="shared" si="22"/>
        <v/>
      </c>
      <c r="N118" t="str">
        <f t="shared" si="23"/>
        <v>Environment Detail</v>
      </c>
      <c r="O118" t="str">
        <f t="shared" si="24"/>
        <v/>
      </c>
      <c r="P118" t="str">
        <f t="shared" si="25"/>
        <v/>
      </c>
    </row>
    <row r="119" spans="2:16" x14ac:dyDescent="0.25">
      <c r="B119" s="11" t="s">
        <v>456</v>
      </c>
      <c r="C119">
        <f t="shared" si="17"/>
        <v>0</v>
      </c>
      <c r="D119">
        <f t="shared" si="13"/>
        <v>0</v>
      </c>
      <c r="E119">
        <f t="shared" si="18"/>
        <v>0</v>
      </c>
      <c r="F119">
        <f t="shared" si="14"/>
        <v>0</v>
      </c>
      <c r="G119">
        <f t="shared" si="15"/>
        <v>1</v>
      </c>
      <c r="H119" t="str">
        <f t="shared" si="16"/>
        <v/>
      </c>
      <c r="I119" t="str">
        <f t="shared" si="19"/>
        <v/>
      </c>
      <c r="J119" t="str">
        <f ca="1">IF(  Table1[[#This Row],[group single]]&lt;&gt;"",Table1[[#This Row],[group single]],  OFFSET(Table1[[#This Row],[group ]],-1,0))</f>
        <v>environment_detail</v>
      </c>
      <c r="K119" t="str">
        <f t="shared" si="20"/>
        <v/>
      </c>
      <c r="L119" t="str">
        <f t="shared" si="21"/>
        <v/>
      </c>
      <c r="M119" t="str">
        <f t="shared" si="22"/>
        <v/>
      </c>
      <c r="N119" t="str">
        <f t="shared" si="23"/>
        <v>Environment Detail</v>
      </c>
      <c r="O119" t="str">
        <f t="shared" si="24"/>
        <v xml:space="preserve">    - sensor.dark_sky_minutely_summary</v>
      </c>
      <c r="P119" t="str">
        <f t="shared" si="25"/>
        <v>sensor.dark_sky_minutely_summary</v>
      </c>
    </row>
    <row r="120" spans="2:16" x14ac:dyDescent="0.25">
      <c r="B120" s="11" t="s">
        <v>457</v>
      </c>
      <c r="C120">
        <f t="shared" si="17"/>
        <v>0</v>
      </c>
      <c r="D120">
        <f t="shared" si="13"/>
        <v>0</v>
      </c>
      <c r="E120">
        <f t="shared" si="18"/>
        <v>0</v>
      </c>
      <c r="F120">
        <f t="shared" si="14"/>
        <v>0</v>
      </c>
      <c r="G120">
        <f t="shared" si="15"/>
        <v>1</v>
      </c>
      <c r="H120" t="str">
        <f t="shared" si="16"/>
        <v/>
      </c>
      <c r="I120" t="str">
        <f t="shared" si="19"/>
        <v/>
      </c>
      <c r="J120" t="str">
        <f ca="1">IF(  Table1[[#This Row],[group single]]&lt;&gt;"",Table1[[#This Row],[group single]],  OFFSET(Table1[[#This Row],[group ]],-1,0))</f>
        <v>environment_detail</v>
      </c>
      <c r="K120" t="str">
        <f t="shared" si="20"/>
        <v/>
      </c>
      <c r="L120" t="str">
        <f t="shared" si="21"/>
        <v/>
      </c>
      <c r="M120" t="str">
        <f t="shared" si="22"/>
        <v/>
      </c>
      <c r="N120" t="str">
        <f t="shared" si="23"/>
        <v>Environment Detail</v>
      </c>
      <c r="O120" t="str">
        <f t="shared" si="24"/>
        <v xml:space="preserve">    - camera.radar</v>
      </c>
      <c r="P120" t="str">
        <f t="shared" si="25"/>
        <v>camera.radar</v>
      </c>
    </row>
    <row r="121" spans="2:16" x14ac:dyDescent="0.25">
      <c r="B121" s="11" t="s">
        <v>453</v>
      </c>
      <c r="C121">
        <f t="shared" si="17"/>
        <v>0</v>
      </c>
      <c r="D121">
        <f t="shared" si="13"/>
        <v>0</v>
      </c>
      <c r="E121">
        <f t="shared" si="18"/>
        <v>0</v>
      </c>
      <c r="F121">
        <f t="shared" si="14"/>
        <v>0</v>
      </c>
      <c r="G121">
        <f t="shared" si="15"/>
        <v>1</v>
      </c>
      <c r="H121" t="str">
        <f t="shared" si="16"/>
        <v/>
      </c>
      <c r="I121" t="str">
        <f t="shared" si="19"/>
        <v/>
      </c>
      <c r="J121" t="str">
        <f ca="1">IF(  Table1[[#This Row],[group single]]&lt;&gt;"",Table1[[#This Row],[group single]],  OFFSET(Table1[[#This Row],[group ]],-1,0))</f>
        <v>environment_detail</v>
      </c>
      <c r="K121" t="str">
        <f t="shared" si="20"/>
        <v/>
      </c>
      <c r="L121" t="str">
        <f t="shared" si="21"/>
        <v/>
      </c>
      <c r="M121" t="str">
        <f t="shared" si="22"/>
        <v/>
      </c>
      <c r="N121" t="str">
        <f t="shared" si="23"/>
        <v>Environment Detail</v>
      </c>
      <c r="O121" t="str">
        <f t="shared" si="24"/>
        <v xml:space="preserve">    - sensor.dark_sky_precip_probability</v>
      </c>
      <c r="P121" t="str">
        <f t="shared" si="25"/>
        <v>sensor.dark_sky_precip_probability</v>
      </c>
    </row>
    <row r="122" spans="2:16" x14ac:dyDescent="0.25">
      <c r="B122" s="11" t="s">
        <v>458</v>
      </c>
      <c r="C122">
        <f t="shared" si="17"/>
        <v>0</v>
      </c>
      <c r="D122">
        <f t="shared" si="13"/>
        <v>0</v>
      </c>
      <c r="E122">
        <f t="shared" si="18"/>
        <v>0</v>
      </c>
      <c r="F122">
        <f t="shared" si="14"/>
        <v>0</v>
      </c>
      <c r="G122">
        <f t="shared" si="15"/>
        <v>1</v>
      </c>
      <c r="H122" t="str">
        <f t="shared" si="16"/>
        <v/>
      </c>
      <c r="I122" t="str">
        <f t="shared" si="19"/>
        <v/>
      </c>
      <c r="J122" t="str">
        <f ca="1">IF(  Table1[[#This Row],[group single]]&lt;&gt;"",Table1[[#This Row],[group single]],  OFFSET(Table1[[#This Row],[group ]],-1,0))</f>
        <v>environment_detail</v>
      </c>
      <c r="K122" t="str">
        <f t="shared" si="20"/>
        <v/>
      </c>
      <c r="L122" t="str">
        <f t="shared" si="21"/>
        <v/>
      </c>
      <c r="M122" t="str">
        <f t="shared" si="22"/>
        <v/>
      </c>
      <c r="N122" t="str">
        <f t="shared" si="23"/>
        <v>Environment Detail</v>
      </c>
      <c r="O122" t="str">
        <f t="shared" si="24"/>
        <v xml:space="preserve">    - sensor.dark_sky_precip</v>
      </c>
      <c r="P122" t="str">
        <f t="shared" si="25"/>
        <v>sensor.dark_sky_precip</v>
      </c>
    </row>
    <row r="123" spans="2:16" x14ac:dyDescent="0.25">
      <c r="B123" s="11" t="s">
        <v>459</v>
      </c>
      <c r="C123">
        <f t="shared" si="17"/>
        <v>0</v>
      </c>
      <c r="D123">
        <f t="shared" si="13"/>
        <v>0</v>
      </c>
      <c r="E123">
        <f t="shared" si="18"/>
        <v>0</v>
      </c>
      <c r="F123">
        <f t="shared" si="14"/>
        <v>0</v>
      </c>
      <c r="G123">
        <f t="shared" si="15"/>
        <v>1</v>
      </c>
      <c r="H123" t="str">
        <f t="shared" si="16"/>
        <v/>
      </c>
      <c r="I123" t="str">
        <f t="shared" si="19"/>
        <v/>
      </c>
      <c r="J123" t="str">
        <f ca="1">IF(  Table1[[#This Row],[group single]]&lt;&gt;"",Table1[[#This Row],[group single]],  OFFSET(Table1[[#This Row],[group ]],-1,0))</f>
        <v>environment_detail</v>
      </c>
      <c r="K123" t="str">
        <f t="shared" si="20"/>
        <v/>
      </c>
      <c r="L123" t="str">
        <f t="shared" si="21"/>
        <v/>
      </c>
      <c r="M123" t="str">
        <f t="shared" si="22"/>
        <v/>
      </c>
      <c r="N123" t="str">
        <f t="shared" si="23"/>
        <v>Environment Detail</v>
      </c>
      <c r="O123" t="str">
        <f t="shared" si="24"/>
        <v xml:space="preserve">    - sensor.dark_sky_precip_intensity</v>
      </c>
      <c r="P123" t="str">
        <f t="shared" si="25"/>
        <v>sensor.dark_sky_precip_intensity</v>
      </c>
    </row>
    <row r="124" spans="2:16" x14ac:dyDescent="0.25">
      <c r="B124" s="11" t="s">
        <v>460</v>
      </c>
      <c r="C124">
        <f t="shared" si="17"/>
        <v>0</v>
      </c>
      <c r="D124">
        <f t="shared" si="13"/>
        <v>0</v>
      </c>
      <c r="E124">
        <f t="shared" si="18"/>
        <v>0</v>
      </c>
      <c r="F124">
        <f t="shared" si="14"/>
        <v>0</v>
      </c>
      <c r="G124">
        <f t="shared" si="15"/>
        <v>1</v>
      </c>
      <c r="H124" t="str">
        <f t="shared" si="16"/>
        <v/>
      </c>
      <c r="I124" t="str">
        <f t="shared" si="19"/>
        <v/>
      </c>
      <c r="J124" t="str">
        <f ca="1">IF(  Table1[[#This Row],[group single]]&lt;&gt;"",Table1[[#This Row],[group single]],  OFFSET(Table1[[#This Row],[group ]],-1,0))</f>
        <v>environment_detail</v>
      </c>
      <c r="K124" t="str">
        <f t="shared" si="20"/>
        <v/>
      </c>
      <c r="L124" t="str">
        <f t="shared" si="21"/>
        <v/>
      </c>
      <c r="M124" t="str">
        <f t="shared" si="22"/>
        <v/>
      </c>
      <c r="N124" t="str">
        <f t="shared" si="23"/>
        <v>Environment Detail</v>
      </c>
      <c r="O124" t="str">
        <f t="shared" si="24"/>
        <v xml:space="preserve">    - sensor.dark_sky_daily_max_precip_intensity</v>
      </c>
      <c r="P124" t="str">
        <f t="shared" si="25"/>
        <v>sensor.dark_sky_daily_max_precip_intensity</v>
      </c>
    </row>
    <row r="125" spans="2:16" x14ac:dyDescent="0.25">
      <c r="B125" s="11" t="s">
        <v>461</v>
      </c>
      <c r="C125">
        <f t="shared" si="17"/>
        <v>0</v>
      </c>
      <c r="D125">
        <f t="shared" si="13"/>
        <v>0</v>
      </c>
      <c r="E125">
        <f t="shared" si="18"/>
        <v>0</v>
      </c>
      <c r="F125">
        <f t="shared" si="14"/>
        <v>0</v>
      </c>
      <c r="G125">
        <f t="shared" si="15"/>
        <v>1</v>
      </c>
      <c r="H125" t="str">
        <f t="shared" si="16"/>
        <v/>
      </c>
      <c r="I125" t="str">
        <f t="shared" si="19"/>
        <v/>
      </c>
      <c r="J125" t="str">
        <f ca="1">IF(  Table1[[#This Row],[group single]]&lt;&gt;"",Table1[[#This Row],[group single]],  OFFSET(Table1[[#This Row],[group ]],-1,0))</f>
        <v>environment_detail</v>
      </c>
      <c r="K125" t="str">
        <f t="shared" si="20"/>
        <v/>
      </c>
      <c r="L125" t="str">
        <f t="shared" si="21"/>
        <v/>
      </c>
      <c r="M125" t="str">
        <f t="shared" si="22"/>
        <v/>
      </c>
      <c r="N125" t="str">
        <f t="shared" si="23"/>
        <v>Environment Detail</v>
      </c>
      <c r="O125" t="str">
        <f t="shared" si="24"/>
        <v xml:space="preserve">    - sensor.dark_sky_daily_high_temperature</v>
      </c>
      <c r="P125" t="str">
        <f t="shared" si="25"/>
        <v>sensor.dark_sky_daily_high_temperature</v>
      </c>
    </row>
    <row r="126" spans="2:16" x14ac:dyDescent="0.25">
      <c r="B126" s="11" t="s">
        <v>450</v>
      </c>
      <c r="C126">
        <f t="shared" si="17"/>
        <v>0</v>
      </c>
      <c r="D126">
        <f t="shared" si="13"/>
        <v>0</v>
      </c>
      <c r="E126">
        <f t="shared" si="18"/>
        <v>0</v>
      </c>
      <c r="F126">
        <f t="shared" si="14"/>
        <v>0</v>
      </c>
      <c r="G126">
        <f t="shared" si="15"/>
        <v>1</v>
      </c>
      <c r="H126" t="str">
        <f t="shared" si="16"/>
        <v/>
      </c>
      <c r="I126" t="str">
        <f t="shared" si="19"/>
        <v/>
      </c>
      <c r="J126" t="str">
        <f ca="1">IF(  Table1[[#This Row],[group single]]&lt;&gt;"",Table1[[#This Row],[group single]],  OFFSET(Table1[[#This Row],[group ]],-1,0))</f>
        <v>environment_detail</v>
      </c>
      <c r="K126" t="str">
        <f t="shared" si="20"/>
        <v/>
      </c>
      <c r="L126" t="str">
        <f t="shared" si="21"/>
        <v/>
      </c>
      <c r="M126" t="str">
        <f t="shared" si="22"/>
        <v/>
      </c>
      <c r="N126" t="str">
        <f t="shared" si="23"/>
        <v>Environment Detail</v>
      </c>
      <c r="O126" t="str">
        <f t="shared" si="24"/>
        <v xml:space="preserve">    - sensor.dark_sky_apparent_temperature</v>
      </c>
      <c r="P126" t="str">
        <f t="shared" si="25"/>
        <v>sensor.dark_sky_apparent_temperature</v>
      </c>
    </row>
    <row r="127" spans="2:16" x14ac:dyDescent="0.25">
      <c r="B127" s="11" t="s">
        <v>462</v>
      </c>
      <c r="C127">
        <f t="shared" si="17"/>
        <v>0</v>
      </c>
      <c r="D127">
        <f t="shared" si="13"/>
        <v>0</v>
      </c>
      <c r="E127">
        <f t="shared" si="18"/>
        <v>0</v>
      </c>
      <c r="F127">
        <f t="shared" si="14"/>
        <v>0</v>
      </c>
      <c r="G127">
        <f t="shared" si="15"/>
        <v>1</v>
      </c>
      <c r="H127" t="str">
        <f t="shared" si="16"/>
        <v/>
      </c>
      <c r="I127" t="str">
        <f t="shared" si="19"/>
        <v/>
      </c>
      <c r="J127" t="str">
        <f ca="1">IF(  Table1[[#This Row],[group single]]&lt;&gt;"",Table1[[#This Row],[group single]],  OFFSET(Table1[[#This Row],[group ]],-1,0))</f>
        <v>environment_detail</v>
      </c>
      <c r="K127" t="str">
        <f t="shared" si="20"/>
        <v/>
      </c>
      <c r="L127" t="str">
        <f t="shared" si="21"/>
        <v/>
      </c>
      <c r="M127" t="str">
        <f t="shared" si="22"/>
        <v/>
      </c>
      <c r="N127" t="str">
        <f t="shared" si="23"/>
        <v>Environment Detail</v>
      </c>
      <c r="O127" t="str">
        <f t="shared" si="24"/>
        <v xml:space="preserve">    - sensor.dark_sky_daily_low_temperature</v>
      </c>
      <c r="P127" t="str">
        <f t="shared" si="25"/>
        <v>sensor.dark_sky_daily_low_temperature</v>
      </c>
    </row>
    <row r="128" spans="2:16" x14ac:dyDescent="0.25">
      <c r="B128" s="11" t="s">
        <v>463</v>
      </c>
      <c r="C128">
        <f t="shared" si="17"/>
        <v>0</v>
      </c>
      <c r="D128">
        <f t="shared" si="13"/>
        <v>0</v>
      </c>
      <c r="E128">
        <f t="shared" si="18"/>
        <v>0</v>
      </c>
      <c r="F128">
        <f t="shared" si="14"/>
        <v>0</v>
      </c>
      <c r="G128">
        <f t="shared" si="15"/>
        <v>1</v>
      </c>
      <c r="H128" t="str">
        <f t="shared" si="16"/>
        <v/>
      </c>
      <c r="I128" t="str">
        <f t="shared" si="19"/>
        <v/>
      </c>
      <c r="J128" t="str">
        <f ca="1">IF(  Table1[[#This Row],[group single]]&lt;&gt;"",Table1[[#This Row],[group single]],  OFFSET(Table1[[#This Row],[group ]],-1,0))</f>
        <v>environment_detail</v>
      </c>
      <c r="K128" t="str">
        <f t="shared" si="20"/>
        <v/>
      </c>
      <c r="L128" t="str">
        <f t="shared" si="21"/>
        <v/>
      </c>
      <c r="M128" t="str">
        <f t="shared" si="22"/>
        <v/>
      </c>
      <c r="N128" t="str">
        <f t="shared" si="23"/>
        <v>Environment Detail</v>
      </c>
      <c r="O128" t="str">
        <f t="shared" si="24"/>
        <v xml:space="preserve">    - sensor.dark_sky_daily_high_apparent_temperature</v>
      </c>
      <c r="P128" t="str">
        <f t="shared" si="25"/>
        <v>sensor.dark_sky_daily_high_apparent_temperature</v>
      </c>
    </row>
    <row r="129" spans="2:16" x14ac:dyDescent="0.25">
      <c r="B129" s="11" t="s">
        <v>464</v>
      </c>
      <c r="C129">
        <f t="shared" si="17"/>
        <v>0</v>
      </c>
      <c r="D129">
        <f t="shared" si="13"/>
        <v>0</v>
      </c>
      <c r="E129">
        <f t="shared" si="18"/>
        <v>0</v>
      </c>
      <c r="F129">
        <f t="shared" si="14"/>
        <v>0</v>
      </c>
      <c r="G129">
        <f t="shared" si="15"/>
        <v>1</v>
      </c>
      <c r="H129" t="str">
        <f t="shared" si="16"/>
        <v/>
      </c>
      <c r="I129" t="str">
        <f t="shared" si="19"/>
        <v/>
      </c>
      <c r="J129" t="str">
        <f ca="1">IF(  Table1[[#This Row],[group single]]&lt;&gt;"",Table1[[#This Row],[group single]],  OFFSET(Table1[[#This Row],[group ]],-1,0))</f>
        <v>environment_detail</v>
      </c>
      <c r="K129" t="str">
        <f t="shared" si="20"/>
        <v/>
      </c>
      <c r="L129" t="str">
        <f t="shared" si="21"/>
        <v/>
      </c>
      <c r="M129" t="str">
        <f t="shared" si="22"/>
        <v/>
      </c>
      <c r="N129" t="str">
        <f t="shared" si="23"/>
        <v>Environment Detail</v>
      </c>
      <c r="O129" t="str">
        <f t="shared" si="24"/>
        <v xml:space="preserve">    - sensor.dark_sky_temperature</v>
      </c>
      <c r="P129" t="str">
        <f t="shared" si="25"/>
        <v>sensor.dark_sky_temperature</v>
      </c>
    </row>
    <row r="130" spans="2:16" x14ac:dyDescent="0.25">
      <c r="B130" s="11" t="s">
        <v>465</v>
      </c>
      <c r="C130">
        <f t="shared" si="17"/>
        <v>0</v>
      </c>
      <c r="D130">
        <f t="shared" si="13"/>
        <v>0</v>
      </c>
      <c r="E130">
        <f t="shared" si="18"/>
        <v>0</v>
      </c>
      <c r="F130">
        <f t="shared" si="14"/>
        <v>0</v>
      </c>
      <c r="G130">
        <f t="shared" si="15"/>
        <v>1</v>
      </c>
      <c r="H130" t="str">
        <f t="shared" si="16"/>
        <v/>
      </c>
      <c r="I130" t="str">
        <f t="shared" si="19"/>
        <v/>
      </c>
      <c r="J130" t="str">
        <f ca="1">IF(  Table1[[#This Row],[group single]]&lt;&gt;"",Table1[[#This Row],[group single]],  OFFSET(Table1[[#This Row],[group ]],-1,0))</f>
        <v>environment_detail</v>
      </c>
      <c r="K130" t="str">
        <f t="shared" si="20"/>
        <v/>
      </c>
      <c r="L130" t="str">
        <f t="shared" si="21"/>
        <v/>
      </c>
      <c r="M130" t="str">
        <f t="shared" si="22"/>
        <v/>
      </c>
      <c r="N130" t="str">
        <f t="shared" si="23"/>
        <v>Environment Detail</v>
      </c>
      <c r="O130" t="str">
        <f t="shared" si="24"/>
        <v xml:space="preserve">    - sensor.dark_sky_daily_low_apparent_temperature</v>
      </c>
      <c r="P130" t="str">
        <f t="shared" si="25"/>
        <v>sensor.dark_sky_daily_low_apparent_temperature</v>
      </c>
    </row>
    <row r="131" spans="2:16" x14ac:dyDescent="0.25">
      <c r="B131" s="11" t="s">
        <v>466</v>
      </c>
      <c r="C131">
        <f t="shared" si="17"/>
        <v>0</v>
      </c>
      <c r="D131">
        <f t="shared" si="13"/>
        <v>0</v>
      </c>
      <c r="E131">
        <f t="shared" si="18"/>
        <v>0</v>
      </c>
      <c r="F131">
        <f t="shared" si="14"/>
        <v>0</v>
      </c>
      <c r="G131">
        <f t="shared" si="15"/>
        <v>0</v>
      </c>
      <c r="H131" t="str">
        <f t="shared" si="16"/>
        <v/>
      </c>
      <c r="I131" t="str">
        <f t="shared" si="19"/>
        <v/>
      </c>
      <c r="J131" t="str">
        <f ca="1">IF(  Table1[[#This Row],[group single]]&lt;&gt;"",Table1[[#This Row],[group single]],  OFFSET(Table1[[#This Row],[group ]],-1,0))</f>
        <v>environment_detail</v>
      </c>
      <c r="K131" t="str">
        <f t="shared" si="20"/>
        <v/>
      </c>
      <c r="L131" t="str">
        <f t="shared" si="21"/>
        <v/>
      </c>
      <c r="M131" t="str">
        <f t="shared" si="22"/>
        <v/>
      </c>
      <c r="N131" t="str">
        <f t="shared" si="23"/>
        <v>Environment Detail</v>
      </c>
      <c r="O131" t="str">
        <f t="shared" si="24"/>
        <v/>
      </c>
      <c r="P131" t="str">
        <f t="shared" si="25"/>
        <v/>
      </c>
    </row>
    <row r="132" spans="2:16" x14ac:dyDescent="0.25">
      <c r="B132" s="11" t="s">
        <v>467</v>
      </c>
      <c r="C132">
        <f t="shared" si="17"/>
        <v>0</v>
      </c>
      <c r="D132">
        <f t="shared" si="13"/>
        <v>0</v>
      </c>
      <c r="E132">
        <f t="shared" si="18"/>
        <v>0</v>
      </c>
      <c r="F132">
        <f t="shared" si="14"/>
        <v>0</v>
      </c>
      <c r="G132">
        <f t="shared" si="15"/>
        <v>0</v>
      </c>
      <c r="H132" t="str">
        <f t="shared" si="16"/>
        <v/>
      </c>
      <c r="I132" t="str">
        <f t="shared" si="19"/>
        <v/>
      </c>
      <c r="J132" t="str">
        <f ca="1">IF(  Table1[[#This Row],[group single]]&lt;&gt;"",Table1[[#This Row],[group single]],  OFFSET(Table1[[#This Row],[group ]],-1,0))</f>
        <v>environment_detail</v>
      </c>
      <c r="K132" t="str">
        <f t="shared" si="20"/>
        <v/>
      </c>
      <c r="L132" t="str">
        <f t="shared" si="21"/>
        <v/>
      </c>
      <c r="M132" t="str">
        <f t="shared" si="22"/>
        <v/>
      </c>
      <c r="N132" t="str">
        <f t="shared" si="23"/>
        <v>Environment Detail</v>
      </c>
      <c r="O132" t="str">
        <f t="shared" si="24"/>
        <v/>
      </c>
      <c r="P132" t="str">
        <f t="shared" si="25"/>
        <v/>
      </c>
    </row>
    <row r="133" spans="2:16" x14ac:dyDescent="0.25">
      <c r="B133" s="11" t="s">
        <v>468</v>
      </c>
      <c r="C133">
        <f t="shared" si="17"/>
        <v>0</v>
      </c>
      <c r="D133">
        <f t="shared" si="13"/>
        <v>0</v>
      </c>
      <c r="E133">
        <f t="shared" si="18"/>
        <v>0</v>
      </c>
      <c r="F133">
        <f t="shared" si="14"/>
        <v>0</v>
      </c>
      <c r="G133">
        <f t="shared" si="15"/>
        <v>1</v>
      </c>
      <c r="H133" t="str">
        <f t="shared" si="16"/>
        <v/>
      </c>
      <c r="I133" t="str">
        <f t="shared" si="19"/>
        <v/>
      </c>
      <c r="J133" t="str">
        <f ca="1">IF(  Table1[[#This Row],[group single]]&lt;&gt;"",Table1[[#This Row],[group single]],  OFFSET(Table1[[#This Row],[group ]],-1,0))</f>
        <v>environment_detail</v>
      </c>
      <c r="K133" t="str">
        <f t="shared" si="20"/>
        <v/>
      </c>
      <c r="L133" t="str">
        <f t="shared" si="21"/>
        <v/>
      </c>
      <c r="M133" t="str">
        <f t="shared" si="22"/>
        <v/>
      </c>
      <c r="N133" t="str">
        <f t="shared" si="23"/>
        <v>Environment Detail</v>
      </c>
      <c r="O133" t="str">
        <f t="shared" si="24"/>
        <v xml:space="preserve">    - sensor.dark_sky_nearest_storm_distance</v>
      </c>
      <c r="P133" t="str">
        <f t="shared" si="25"/>
        <v>sensor.dark_sky_nearest_storm_distance</v>
      </c>
    </row>
    <row r="134" spans="2:16" x14ac:dyDescent="0.25">
      <c r="B134" s="11" t="s">
        <v>469</v>
      </c>
      <c r="C134">
        <f t="shared" si="17"/>
        <v>0</v>
      </c>
      <c r="D134">
        <f t="shared" si="13"/>
        <v>0</v>
      </c>
      <c r="E134">
        <f t="shared" si="18"/>
        <v>0</v>
      </c>
      <c r="F134">
        <f t="shared" si="14"/>
        <v>0</v>
      </c>
      <c r="G134">
        <f t="shared" si="15"/>
        <v>1</v>
      </c>
      <c r="H134" t="str">
        <f t="shared" si="16"/>
        <v/>
      </c>
      <c r="I134" t="str">
        <f t="shared" si="19"/>
        <v/>
      </c>
      <c r="J134" t="str">
        <f ca="1">IF(  Table1[[#This Row],[group single]]&lt;&gt;"",Table1[[#This Row],[group single]],  OFFSET(Table1[[#This Row],[group ]],-1,0))</f>
        <v>environment_detail</v>
      </c>
      <c r="K134" t="str">
        <f t="shared" si="20"/>
        <v/>
      </c>
      <c r="L134" t="str">
        <f t="shared" si="21"/>
        <v/>
      </c>
      <c r="M134" t="str">
        <f t="shared" si="22"/>
        <v/>
      </c>
      <c r="N134" t="str">
        <f t="shared" si="23"/>
        <v>Environment Detail</v>
      </c>
      <c r="O134" t="str">
        <f t="shared" si="24"/>
        <v xml:space="preserve">    - sensor.dark_sky_nearest_storm_bearing</v>
      </c>
      <c r="P134" t="str">
        <f t="shared" si="25"/>
        <v>sensor.dark_sky_nearest_storm_bearing</v>
      </c>
    </row>
    <row r="135" spans="2:16" x14ac:dyDescent="0.25">
      <c r="B135" s="11" t="s">
        <v>470</v>
      </c>
      <c r="C135">
        <f t="shared" si="17"/>
        <v>0</v>
      </c>
      <c r="D135">
        <f t="shared" ref="D135:D198" si="26">IF(AND(LEFT(B135,2)="  ",LEFT(B135,3)&lt;&gt;"   "),1,0)</f>
        <v>0</v>
      </c>
      <c r="E135">
        <f t="shared" si="18"/>
        <v>0</v>
      </c>
      <c r="F135">
        <f t="shared" ref="F135:F198" si="27">IFERROR(IF(ISNUMBER(FIND("name:",B135)),1,0),0)</f>
        <v>0</v>
      </c>
      <c r="G135">
        <f t="shared" ref="G135:G198" si="28">IF(  LEFT(B135,6)="    - ",  1,  0)</f>
        <v>1</v>
      </c>
      <c r="H135" t="str">
        <f t="shared" ref="H135:H198" si="29">IF(E135=1,B135,"")</f>
        <v/>
      </c>
      <c r="I135" t="str">
        <f t="shared" si="19"/>
        <v/>
      </c>
      <c r="J135" t="str">
        <f ca="1">IF(  Table1[[#This Row],[group single]]&lt;&gt;"",Table1[[#This Row],[group single]],  OFFSET(Table1[[#This Row],[group ]],-1,0))</f>
        <v>environment_detail</v>
      </c>
      <c r="K135" t="str">
        <f t="shared" si="20"/>
        <v/>
      </c>
      <c r="L135" t="str">
        <f t="shared" si="21"/>
        <v/>
      </c>
      <c r="M135" t="str">
        <f t="shared" si="22"/>
        <v/>
      </c>
      <c r="N135" t="str">
        <f t="shared" si="23"/>
        <v>Environment Detail</v>
      </c>
      <c r="O135" t="str">
        <f t="shared" si="24"/>
        <v xml:space="preserve">    - sensor.dark_sky_dew_point</v>
      </c>
      <c r="P135" t="str">
        <f t="shared" si="25"/>
        <v>sensor.dark_sky_dew_point</v>
      </c>
    </row>
    <row r="136" spans="2:16" x14ac:dyDescent="0.25">
      <c r="B136" s="11" t="s">
        <v>471</v>
      </c>
      <c r="C136">
        <f t="shared" ref="C136:C199" si="30">IF(ISBLANK(B136),1,0)</f>
        <v>0</v>
      </c>
      <c r="D136">
        <f t="shared" si="26"/>
        <v>0</v>
      </c>
      <c r="E136">
        <f t="shared" ref="E136:E199" si="31">IF(AND(C136=0,LEFT(B136,1)&lt;&gt;" ",LEFT(B136,1)&lt;&gt;"#"),1,0)</f>
        <v>0</v>
      </c>
      <c r="F136">
        <f t="shared" si="27"/>
        <v>0</v>
      </c>
      <c r="G136">
        <f t="shared" si="28"/>
        <v>1</v>
      </c>
      <c r="H136" t="str">
        <f t="shared" si="29"/>
        <v/>
      </c>
      <c r="I136" t="str">
        <f t="shared" ref="I136:I199" si="32">SUBSTITUTE(H136,":","")</f>
        <v/>
      </c>
      <c r="J136" t="str">
        <f ca="1">IF(  Table1[[#This Row],[group single]]&lt;&gt;"",Table1[[#This Row],[group single]],  OFFSET(Table1[[#This Row],[group ]],-1,0))</f>
        <v>environment_detail</v>
      </c>
      <c r="K136" t="str">
        <f t="shared" ref="K136:K199" si="33">IF(F136=1,$B136,"")</f>
        <v/>
      </c>
      <c r="L136" t="str">
        <f t="shared" ref="L136:L199" si="34">IFERROR(MID(K136,  FIND("name:",K136)+6,99),"")</f>
        <v/>
      </c>
      <c r="M136" t="str">
        <f t="shared" ref="M136:M199" si="35">SUBSTITUTE(L136,"""","")</f>
        <v/>
      </c>
      <c r="N136" t="str">
        <f t="shared" ref="N136:N199" si="36">IF(M136="",N135,M136)</f>
        <v>Environment Detail</v>
      </c>
      <c r="O136" t="str">
        <f t="shared" ref="O136:O199" si="37">IF(G136=1,$B136,"")</f>
        <v xml:space="preserve">    - sensor.dark_sky_wind_speed</v>
      </c>
      <c r="P136" t="str">
        <f t="shared" ref="P136:P199" si="38">TRIM(SUBSTITUTE(O136,"-",""))</f>
        <v>sensor.dark_sky_wind_speed</v>
      </c>
    </row>
    <row r="137" spans="2:16" x14ac:dyDescent="0.25">
      <c r="B137" s="11" t="s">
        <v>472</v>
      </c>
      <c r="C137">
        <f t="shared" si="30"/>
        <v>0</v>
      </c>
      <c r="D137">
        <f t="shared" si="26"/>
        <v>0</v>
      </c>
      <c r="E137">
        <f t="shared" si="31"/>
        <v>0</v>
      </c>
      <c r="F137">
        <f t="shared" si="27"/>
        <v>0</v>
      </c>
      <c r="G137">
        <f t="shared" si="28"/>
        <v>1</v>
      </c>
      <c r="H137" t="str">
        <f t="shared" si="29"/>
        <v/>
      </c>
      <c r="I137" t="str">
        <f t="shared" si="32"/>
        <v/>
      </c>
      <c r="J137" t="str">
        <f ca="1">IF(  Table1[[#This Row],[group single]]&lt;&gt;"",Table1[[#This Row],[group single]],  OFFSET(Table1[[#This Row],[group ]],-1,0))</f>
        <v>environment_detail</v>
      </c>
      <c r="K137" t="str">
        <f t="shared" si="33"/>
        <v/>
      </c>
      <c r="L137" t="str">
        <f t="shared" si="34"/>
        <v/>
      </c>
      <c r="M137" t="str">
        <f t="shared" si="35"/>
        <v/>
      </c>
      <c r="N137" t="str">
        <f t="shared" si="36"/>
        <v>Environment Detail</v>
      </c>
      <c r="O137" t="str">
        <f t="shared" si="37"/>
        <v xml:space="preserve">    - sensor.dark_sky_wind_bearing</v>
      </c>
      <c r="P137" t="str">
        <f t="shared" si="38"/>
        <v>sensor.dark_sky_wind_bearing</v>
      </c>
    </row>
    <row r="138" spans="2:16" x14ac:dyDescent="0.25">
      <c r="B138" s="11" t="s">
        <v>473</v>
      </c>
      <c r="C138">
        <f t="shared" si="30"/>
        <v>0</v>
      </c>
      <c r="D138">
        <f t="shared" si="26"/>
        <v>0</v>
      </c>
      <c r="E138">
        <f t="shared" si="31"/>
        <v>0</v>
      </c>
      <c r="F138">
        <f t="shared" si="27"/>
        <v>0</v>
      </c>
      <c r="G138">
        <f t="shared" si="28"/>
        <v>1</v>
      </c>
      <c r="H138" t="str">
        <f t="shared" si="29"/>
        <v/>
      </c>
      <c r="I138" t="str">
        <f t="shared" si="32"/>
        <v/>
      </c>
      <c r="J138" t="str">
        <f ca="1">IF(  Table1[[#This Row],[group single]]&lt;&gt;"",Table1[[#This Row],[group single]],  OFFSET(Table1[[#This Row],[group ]],-1,0))</f>
        <v>environment_detail</v>
      </c>
      <c r="K138" t="str">
        <f t="shared" si="33"/>
        <v/>
      </c>
      <c r="L138" t="str">
        <f t="shared" si="34"/>
        <v/>
      </c>
      <c r="M138" t="str">
        <f t="shared" si="35"/>
        <v/>
      </c>
      <c r="N138" t="str">
        <f t="shared" si="36"/>
        <v>Environment Detail</v>
      </c>
      <c r="O138" t="str">
        <f t="shared" si="37"/>
        <v xml:space="preserve">    - sensor.dark_sky_cloud_coverage</v>
      </c>
      <c r="P138" t="str">
        <f t="shared" si="38"/>
        <v>sensor.dark_sky_cloud_coverage</v>
      </c>
    </row>
    <row r="139" spans="2:16" x14ac:dyDescent="0.25">
      <c r="B139" s="11" t="s">
        <v>474</v>
      </c>
      <c r="C139">
        <f t="shared" si="30"/>
        <v>0</v>
      </c>
      <c r="D139">
        <f t="shared" si="26"/>
        <v>0</v>
      </c>
      <c r="E139">
        <f t="shared" si="31"/>
        <v>0</v>
      </c>
      <c r="F139">
        <f t="shared" si="27"/>
        <v>0</v>
      </c>
      <c r="G139">
        <f t="shared" si="28"/>
        <v>1</v>
      </c>
      <c r="H139" t="str">
        <f t="shared" si="29"/>
        <v/>
      </c>
      <c r="I139" t="str">
        <f t="shared" si="32"/>
        <v/>
      </c>
      <c r="J139" t="str">
        <f ca="1">IF(  Table1[[#This Row],[group single]]&lt;&gt;"",Table1[[#This Row],[group single]],  OFFSET(Table1[[#This Row],[group ]],-1,0))</f>
        <v>environment_detail</v>
      </c>
      <c r="K139" t="str">
        <f t="shared" si="33"/>
        <v/>
      </c>
      <c r="L139" t="str">
        <f t="shared" si="34"/>
        <v/>
      </c>
      <c r="M139" t="str">
        <f t="shared" si="35"/>
        <v/>
      </c>
      <c r="N139" t="str">
        <f t="shared" si="36"/>
        <v>Environment Detail</v>
      </c>
      <c r="O139" t="str">
        <f t="shared" si="37"/>
        <v xml:space="preserve">    - sensor.dark_sky_humidity</v>
      </c>
      <c r="P139" t="str">
        <f t="shared" si="38"/>
        <v>sensor.dark_sky_humidity</v>
      </c>
    </row>
    <row r="140" spans="2:16" x14ac:dyDescent="0.25">
      <c r="B140" s="11" t="s">
        <v>475</v>
      </c>
      <c r="C140">
        <f t="shared" si="30"/>
        <v>0</v>
      </c>
      <c r="D140">
        <f t="shared" si="26"/>
        <v>0</v>
      </c>
      <c r="E140">
        <f t="shared" si="31"/>
        <v>0</v>
      </c>
      <c r="F140">
        <f t="shared" si="27"/>
        <v>0</v>
      </c>
      <c r="G140">
        <f t="shared" si="28"/>
        <v>1</v>
      </c>
      <c r="H140" t="str">
        <f t="shared" si="29"/>
        <v/>
      </c>
      <c r="I140" t="str">
        <f t="shared" si="32"/>
        <v/>
      </c>
      <c r="J140" t="str">
        <f ca="1">IF(  Table1[[#This Row],[group single]]&lt;&gt;"",Table1[[#This Row],[group single]],  OFFSET(Table1[[#This Row],[group ]],-1,0))</f>
        <v>environment_detail</v>
      </c>
      <c r="K140" t="str">
        <f t="shared" si="33"/>
        <v/>
      </c>
      <c r="L140" t="str">
        <f t="shared" si="34"/>
        <v/>
      </c>
      <c r="M140" t="str">
        <f t="shared" si="35"/>
        <v/>
      </c>
      <c r="N140" t="str">
        <f t="shared" si="36"/>
        <v>Environment Detail</v>
      </c>
      <c r="O140" t="str">
        <f t="shared" si="37"/>
        <v xml:space="preserve">    - sensor.dark_sky_pressure</v>
      </c>
      <c r="P140" t="str">
        <f t="shared" si="38"/>
        <v>sensor.dark_sky_pressure</v>
      </c>
    </row>
    <row r="141" spans="2:16" x14ac:dyDescent="0.25">
      <c r="B141" s="11" t="s">
        <v>476</v>
      </c>
      <c r="C141">
        <f t="shared" si="30"/>
        <v>0</v>
      </c>
      <c r="D141">
        <f t="shared" si="26"/>
        <v>0</v>
      </c>
      <c r="E141">
        <f t="shared" si="31"/>
        <v>0</v>
      </c>
      <c r="F141">
        <f t="shared" si="27"/>
        <v>0</v>
      </c>
      <c r="G141">
        <f t="shared" si="28"/>
        <v>1</v>
      </c>
      <c r="H141" t="str">
        <f t="shared" si="29"/>
        <v/>
      </c>
      <c r="I141" t="str">
        <f t="shared" si="32"/>
        <v/>
      </c>
      <c r="J141" t="str">
        <f ca="1">IF(  Table1[[#This Row],[group single]]&lt;&gt;"",Table1[[#This Row],[group single]],  OFFSET(Table1[[#This Row],[group ]],-1,0))</f>
        <v>environment_detail</v>
      </c>
      <c r="K141" t="str">
        <f t="shared" si="33"/>
        <v/>
      </c>
      <c r="L141" t="str">
        <f t="shared" si="34"/>
        <v/>
      </c>
      <c r="M141" t="str">
        <f t="shared" si="35"/>
        <v/>
      </c>
      <c r="N141" t="str">
        <f t="shared" si="36"/>
        <v>Environment Detail</v>
      </c>
      <c r="O141" t="str">
        <f t="shared" si="37"/>
        <v xml:space="preserve">    - sensor.dark_sky_visibility</v>
      </c>
      <c r="P141" t="str">
        <f t="shared" si="38"/>
        <v>sensor.dark_sky_visibility</v>
      </c>
    </row>
    <row r="142" spans="2:16" x14ac:dyDescent="0.25">
      <c r="B142" s="11" t="s">
        <v>477</v>
      </c>
      <c r="C142">
        <f t="shared" si="30"/>
        <v>0</v>
      </c>
      <c r="D142">
        <f t="shared" si="26"/>
        <v>0</v>
      </c>
      <c r="E142">
        <f t="shared" si="31"/>
        <v>0</v>
      </c>
      <c r="F142">
        <f t="shared" si="27"/>
        <v>0</v>
      </c>
      <c r="G142">
        <f t="shared" si="28"/>
        <v>1</v>
      </c>
      <c r="H142" t="str">
        <f t="shared" si="29"/>
        <v/>
      </c>
      <c r="I142" t="str">
        <f t="shared" si="32"/>
        <v/>
      </c>
      <c r="J142" t="str">
        <f ca="1">IF(  Table1[[#This Row],[group single]]&lt;&gt;"",Table1[[#This Row],[group single]],  OFFSET(Table1[[#This Row],[group ]],-1,0))</f>
        <v>environment_detail</v>
      </c>
      <c r="K142" t="str">
        <f t="shared" si="33"/>
        <v/>
      </c>
      <c r="L142" t="str">
        <f t="shared" si="34"/>
        <v/>
      </c>
      <c r="M142" t="str">
        <f t="shared" si="35"/>
        <v/>
      </c>
      <c r="N142" t="str">
        <f t="shared" si="36"/>
        <v>Environment Detail</v>
      </c>
      <c r="O142" t="str">
        <f t="shared" si="37"/>
        <v xml:space="preserve">    - sensor.dark_sky_ozone</v>
      </c>
      <c r="P142" t="str">
        <f t="shared" si="38"/>
        <v>sensor.dark_sky_ozone</v>
      </c>
    </row>
    <row r="143" spans="2:16" x14ac:dyDescent="0.25">
      <c r="B143" s="11" t="s">
        <v>478</v>
      </c>
      <c r="C143">
        <f t="shared" si="30"/>
        <v>0</v>
      </c>
      <c r="D143">
        <f t="shared" si="26"/>
        <v>0</v>
      </c>
      <c r="E143">
        <f t="shared" si="31"/>
        <v>0</v>
      </c>
      <c r="F143">
        <f t="shared" si="27"/>
        <v>0</v>
      </c>
      <c r="G143">
        <f t="shared" si="28"/>
        <v>1</v>
      </c>
      <c r="H143" t="str">
        <f t="shared" si="29"/>
        <v/>
      </c>
      <c r="I143" t="str">
        <f t="shared" si="32"/>
        <v/>
      </c>
      <c r="J143" t="str">
        <f ca="1">IF(  Table1[[#This Row],[group single]]&lt;&gt;"",Table1[[#This Row],[group single]],  OFFSET(Table1[[#This Row],[group ]],-1,0))</f>
        <v>environment_detail</v>
      </c>
      <c r="K143" t="str">
        <f t="shared" si="33"/>
        <v/>
      </c>
      <c r="L143" t="str">
        <f t="shared" si="34"/>
        <v/>
      </c>
      <c r="M143" t="str">
        <f t="shared" si="35"/>
        <v/>
      </c>
      <c r="N143" t="str">
        <f t="shared" si="36"/>
        <v>Environment Detail</v>
      </c>
      <c r="O143" t="str">
        <f t="shared" si="37"/>
        <v xml:space="preserve">    - sun.sun</v>
      </c>
      <c r="P143" t="str">
        <f t="shared" si="38"/>
        <v>sun.sun</v>
      </c>
    </row>
    <row r="144" spans="2:16" x14ac:dyDescent="0.25">
      <c r="B144" s="11"/>
      <c r="C144">
        <f t="shared" si="30"/>
        <v>1</v>
      </c>
      <c r="D144">
        <f t="shared" si="26"/>
        <v>0</v>
      </c>
      <c r="E144">
        <f t="shared" si="31"/>
        <v>0</v>
      </c>
      <c r="F144">
        <f t="shared" si="27"/>
        <v>0</v>
      </c>
      <c r="G144">
        <f t="shared" si="28"/>
        <v>0</v>
      </c>
      <c r="H144" t="str">
        <f t="shared" si="29"/>
        <v/>
      </c>
      <c r="I144" t="str">
        <f t="shared" si="32"/>
        <v/>
      </c>
      <c r="J144" t="str">
        <f ca="1">IF(  Table1[[#This Row],[group single]]&lt;&gt;"",Table1[[#This Row],[group single]],  OFFSET(Table1[[#This Row],[group ]],-1,0))</f>
        <v>environment_detail</v>
      </c>
      <c r="K144" t="str">
        <f t="shared" si="33"/>
        <v/>
      </c>
      <c r="L144" t="str">
        <f t="shared" si="34"/>
        <v/>
      </c>
      <c r="M144" t="str">
        <f t="shared" si="35"/>
        <v/>
      </c>
      <c r="N144" t="str">
        <f t="shared" si="36"/>
        <v>Environment Detail</v>
      </c>
      <c r="O144" t="str">
        <f t="shared" si="37"/>
        <v/>
      </c>
      <c r="P144" t="str">
        <f t="shared" si="38"/>
        <v/>
      </c>
    </row>
    <row r="145" spans="2:16" x14ac:dyDescent="0.25">
      <c r="B145" s="11" t="s">
        <v>479</v>
      </c>
      <c r="C145">
        <f t="shared" si="30"/>
        <v>0</v>
      </c>
      <c r="D145">
        <f t="shared" si="26"/>
        <v>0</v>
      </c>
      <c r="E145">
        <f t="shared" si="31"/>
        <v>1</v>
      </c>
      <c r="F145">
        <f t="shared" si="27"/>
        <v>0</v>
      </c>
      <c r="G145">
        <f t="shared" si="28"/>
        <v>0</v>
      </c>
      <c r="H145" t="str">
        <f t="shared" si="29"/>
        <v>livingroom:</v>
      </c>
      <c r="I145" t="str">
        <f t="shared" si="32"/>
        <v>livingroom</v>
      </c>
      <c r="J145" t="str">
        <f ca="1">IF(  Table1[[#This Row],[group single]]&lt;&gt;"",Table1[[#This Row],[group single]],  OFFSET(Table1[[#This Row],[group ]],-1,0))</f>
        <v>livingroom</v>
      </c>
      <c r="K145" t="str">
        <f t="shared" si="33"/>
        <v/>
      </c>
      <c r="L145" t="str">
        <f t="shared" si="34"/>
        <v/>
      </c>
      <c r="M145" t="str">
        <f t="shared" si="35"/>
        <v/>
      </c>
      <c r="N145" t="str">
        <f t="shared" si="36"/>
        <v>Environment Detail</v>
      </c>
      <c r="O145" t="str">
        <f t="shared" si="37"/>
        <v/>
      </c>
      <c r="P145" t="str">
        <f t="shared" si="38"/>
        <v/>
      </c>
    </row>
    <row r="146" spans="2:16" x14ac:dyDescent="0.25">
      <c r="B146" s="11" t="s">
        <v>480</v>
      </c>
      <c r="C146">
        <f t="shared" si="30"/>
        <v>0</v>
      </c>
      <c r="D146">
        <f t="shared" si="26"/>
        <v>1</v>
      </c>
      <c r="E146">
        <f t="shared" si="31"/>
        <v>0</v>
      </c>
      <c r="F146">
        <f t="shared" si="27"/>
        <v>1</v>
      </c>
      <c r="G146">
        <f t="shared" si="28"/>
        <v>0</v>
      </c>
      <c r="H146" t="str">
        <f t="shared" si="29"/>
        <v/>
      </c>
      <c r="I146" t="str">
        <f t="shared" si="32"/>
        <v/>
      </c>
      <c r="J146" t="str">
        <f ca="1">IF(  Table1[[#This Row],[group single]]&lt;&gt;"",Table1[[#This Row],[group single]],  OFFSET(Table1[[#This Row],[group ]],-1,0))</f>
        <v>livingroom</v>
      </c>
      <c r="K146" t="str">
        <f t="shared" si="33"/>
        <v xml:space="preserve">  name: Living Room</v>
      </c>
      <c r="L146" t="str">
        <f t="shared" si="34"/>
        <v>Living Room</v>
      </c>
      <c r="M146" t="str">
        <f t="shared" si="35"/>
        <v>Living Room</v>
      </c>
      <c r="N146" t="str">
        <f t="shared" si="36"/>
        <v>Living Room</v>
      </c>
      <c r="O146" t="str">
        <f t="shared" si="37"/>
        <v/>
      </c>
      <c r="P146" t="str">
        <f t="shared" si="38"/>
        <v/>
      </c>
    </row>
    <row r="147" spans="2:16" x14ac:dyDescent="0.25">
      <c r="B147" s="11" t="s">
        <v>12</v>
      </c>
      <c r="C147">
        <f t="shared" si="30"/>
        <v>0</v>
      </c>
      <c r="D147">
        <f t="shared" si="26"/>
        <v>1</v>
      </c>
      <c r="E147">
        <f t="shared" si="31"/>
        <v>0</v>
      </c>
      <c r="F147">
        <f t="shared" si="27"/>
        <v>0</v>
      </c>
      <c r="G147">
        <f t="shared" si="28"/>
        <v>0</v>
      </c>
      <c r="H147" t="str">
        <f t="shared" si="29"/>
        <v/>
      </c>
      <c r="I147" t="str">
        <f t="shared" si="32"/>
        <v/>
      </c>
      <c r="J147" t="str">
        <f ca="1">IF(  Table1[[#This Row],[group single]]&lt;&gt;"",Table1[[#This Row],[group single]],  OFFSET(Table1[[#This Row],[group ]],-1,0))</f>
        <v>livingroom</v>
      </c>
      <c r="K147" t="str">
        <f t="shared" si="33"/>
        <v/>
      </c>
      <c r="L147" t="str">
        <f t="shared" si="34"/>
        <v/>
      </c>
      <c r="M147" t="str">
        <f t="shared" si="35"/>
        <v/>
      </c>
      <c r="N147" t="str">
        <f t="shared" si="36"/>
        <v>Living Room</v>
      </c>
      <c r="O147" t="str">
        <f t="shared" si="37"/>
        <v/>
      </c>
      <c r="P147" t="str">
        <f t="shared" si="38"/>
        <v/>
      </c>
    </row>
    <row r="148" spans="2:16" x14ac:dyDescent="0.25">
      <c r="B148" s="11" t="s">
        <v>481</v>
      </c>
      <c r="C148">
        <f t="shared" si="30"/>
        <v>0</v>
      </c>
      <c r="D148">
        <f t="shared" si="26"/>
        <v>0</v>
      </c>
      <c r="E148">
        <f t="shared" si="31"/>
        <v>0</v>
      </c>
      <c r="F148">
        <f t="shared" si="27"/>
        <v>0</v>
      </c>
      <c r="G148">
        <f t="shared" si="28"/>
        <v>1</v>
      </c>
      <c r="H148" t="str">
        <f t="shared" si="29"/>
        <v/>
      </c>
      <c r="I148" t="str">
        <f t="shared" si="32"/>
        <v/>
      </c>
      <c r="J148" t="str">
        <f ca="1">IF(  Table1[[#This Row],[group single]]&lt;&gt;"",Table1[[#This Row],[group single]],  OFFSET(Table1[[#This Row],[group ]],-1,0))</f>
        <v>livingroom</v>
      </c>
      <c r="K148" t="str">
        <f t="shared" si="33"/>
        <v/>
      </c>
      <c r="L148" t="str">
        <f t="shared" si="34"/>
        <v/>
      </c>
      <c r="M148" t="str">
        <f t="shared" si="35"/>
        <v/>
      </c>
      <c r="N148" t="str">
        <f t="shared" si="36"/>
        <v>Living Room</v>
      </c>
      <c r="O148" t="str">
        <f t="shared" si="37"/>
        <v xml:space="preserve">    - switch.amp</v>
      </c>
      <c r="P148" t="str">
        <f t="shared" si="38"/>
        <v>switch.amp</v>
      </c>
    </row>
    <row r="149" spans="2:16" x14ac:dyDescent="0.25">
      <c r="B149" s="11"/>
      <c r="C149">
        <f t="shared" si="30"/>
        <v>1</v>
      </c>
      <c r="D149">
        <f t="shared" si="26"/>
        <v>0</v>
      </c>
      <c r="E149">
        <f t="shared" si="31"/>
        <v>0</v>
      </c>
      <c r="F149">
        <f t="shared" si="27"/>
        <v>0</v>
      </c>
      <c r="G149">
        <f t="shared" si="28"/>
        <v>0</v>
      </c>
      <c r="H149" t="str">
        <f t="shared" si="29"/>
        <v/>
      </c>
      <c r="I149" t="str">
        <f t="shared" si="32"/>
        <v/>
      </c>
      <c r="J149" t="str">
        <f ca="1">IF(  Table1[[#This Row],[group single]]&lt;&gt;"",Table1[[#This Row],[group single]],  OFFSET(Table1[[#This Row],[group ]],-1,0))</f>
        <v>livingroom</v>
      </c>
      <c r="K149" t="str">
        <f t="shared" si="33"/>
        <v/>
      </c>
      <c r="L149" t="str">
        <f t="shared" si="34"/>
        <v/>
      </c>
      <c r="M149" t="str">
        <f t="shared" si="35"/>
        <v/>
      </c>
      <c r="N149" t="str">
        <f t="shared" si="36"/>
        <v>Living Room</v>
      </c>
      <c r="O149" t="str">
        <f t="shared" si="37"/>
        <v/>
      </c>
      <c r="P149" t="str">
        <f t="shared" si="38"/>
        <v/>
      </c>
    </row>
    <row r="150" spans="2:16" x14ac:dyDescent="0.25">
      <c r="B150" s="11" t="s">
        <v>482</v>
      </c>
      <c r="C150">
        <f t="shared" si="30"/>
        <v>0</v>
      </c>
      <c r="D150">
        <f t="shared" si="26"/>
        <v>0</v>
      </c>
      <c r="E150">
        <f t="shared" si="31"/>
        <v>1</v>
      </c>
      <c r="F150">
        <f t="shared" si="27"/>
        <v>0</v>
      </c>
      <c r="G150">
        <f t="shared" si="28"/>
        <v>0</v>
      </c>
      <c r="H150" t="str">
        <f t="shared" si="29"/>
        <v>livingroom_sensors:</v>
      </c>
      <c r="I150" t="str">
        <f t="shared" si="32"/>
        <v>livingroom_sensors</v>
      </c>
      <c r="J150" t="str">
        <f ca="1">IF(  Table1[[#This Row],[group single]]&lt;&gt;"",Table1[[#This Row],[group single]],  OFFSET(Table1[[#This Row],[group ]],-1,0))</f>
        <v>livingroom_sensors</v>
      </c>
      <c r="K150" t="str">
        <f t="shared" si="33"/>
        <v/>
      </c>
      <c r="L150" t="str">
        <f t="shared" si="34"/>
        <v/>
      </c>
      <c r="M150" t="str">
        <f t="shared" si="35"/>
        <v/>
      </c>
      <c r="N150" t="str">
        <f t="shared" si="36"/>
        <v>Living Room</v>
      </c>
      <c r="O150" t="str">
        <f t="shared" si="37"/>
        <v/>
      </c>
      <c r="P150" t="str">
        <f t="shared" si="38"/>
        <v/>
      </c>
    </row>
    <row r="151" spans="2:16" x14ac:dyDescent="0.25">
      <c r="B151" s="11" t="s">
        <v>483</v>
      </c>
      <c r="C151">
        <f t="shared" si="30"/>
        <v>0</v>
      </c>
      <c r="D151">
        <f t="shared" si="26"/>
        <v>1</v>
      </c>
      <c r="E151">
        <f t="shared" si="31"/>
        <v>0</v>
      </c>
      <c r="F151">
        <f t="shared" si="27"/>
        <v>1</v>
      </c>
      <c r="G151">
        <f t="shared" si="28"/>
        <v>0</v>
      </c>
      <c r="H151" t="str">
        <f t="shared" si="29"/>
        <v/>
      </c>
      <c r="I151" t="str">
        <f t="shared" si="32"/>
        <v/>
      </c>
      <c r="J151" t="str">
        <f ca="1">IF(  Table1[[#This Row],[group single]]&lt;&gt;"",Table1[[#This Row],[group single]],  OFFSET(Table1[[#This Row],[group ]],-1,0))</f>
        <v>livingroom_sensors</v>
      </c>
      <c r="K151" t="str">
        <f t="shared" si="33"/>
        <v xml:space="preserve">  name: Living Room Sensors</v>
      </c>
      <c r="L151" t="str">
        <f t="shared" si="34"/>
        <v>Living Room Sensors</v>
      </c>
      <c r="M151" t="str">
        <f t="shared" si="35"/>
        <v>Living Room Sensors</v>
      </c>
      <c r="N151" t="str">
        <f t="shared" si="36"/>
        <v>Living Room Sensors</v>
      </c>
      <c r="O151" t="str">
        <f t="shared" si="37"/>
        <v/>
      </c>
      <c r="P151" t="str">
        <f t="shared" si="38"/>
        <v/>
      </c>
    </row>
    <row r="152" spans="2:16" x14ac:dyDescent="0.25">
      <c r="B152" s="11" t="s">
        <v>12</v>
      </c>
      <c r="C152">
        <f t="shared" si="30"/>
        <v>0</v>
      </c>
      <c r="D152">
        <f t="shared" si="26"/>
        <v>1</v>
      </c>
      <c r="E152">
        <f t="shared" si="31"/>
        <v>0</v>
      </c>
      <c r="F152">
        <f t="shared" si="27"/>
        <v>0</v>
      </c>
      <c r="G152">
        <f t="shared" si="28"/>
        <v>0</v>
      </c>
      <c r="H152" t="str">
        <f t="shared" si="29"/>
        <v/>
      </c>
      <c r="I152" t="str">
        <f t="shared" si="32"/>
        <v/>
      </c>
      <c r="J152" t="str">
        <f ca="1">IF(  Table1[[#This Row],[group single]]&lt;&gt;"",Table1[[#This Row],[group single]],  OFFSET(Table1[[#This Row],[group ]],-1,0))</f>
        <v>livingroom_sensors</v>
      </c>
      <c r="K152" t="str">
        <f t="shared" si="33"/>
        <v/>
      </c>
      <c r="L152" t="str">
        <f t="shared" si="34"/>
        <v/>
      </c>
      <c r="M152" t="str">
        <f t="shared" si="35"/>
        <v/>
      </c>
      <c r="N152" t="str">
        <f t="shared" si="36"/>
        <v>Living Room Sensors</v>
      </c>
      <c r="O152" t="str">
        <f t="shared" si="37"/>
        <v/>
      </c>
      <c r="P152" t="str">
        <f t="shared" si="38"/>
        <v/>
      </c>
    </row>
    <row r="153" spans="2:16" x14ac:dyDescent="0.25">
      <c r="B153" s="11" t="s">
        <v>484</v>
      </c>
      <c r="C153">
        <f t="shared" si="30"/>
        <v>0</v>
      </c>
      <c r="D153">
        <f t="shared" si="26"/>
        <v>0</v>
      </c>
      <c r="E153">
        <f t="shared" si="31"/>
        <v>0</v>
      </c>
      <c r="F153">
        <f t="shared" si="27"/>
        <v>0</v>
      </c>
      <c r="G153">
        <f t="shared" si="28"/>
        <v>1</v>
      </c>
      <c r="H153" t="str">
        <f t="shared" si="29"/>
        <v/>
      </c>
      <c r="I153" t="str">
        <f t="shared" si="32"/>
        <v/>
      </c>
      <c r="J153" t="str">
        <f ca="1">IF(  Table1[[#This Row],[group single]]&lt;&gt;"",Table1[[#This Row],[group single]],  OFFSET(Table1[[#This Row],[group ]],-1,0))</f>
        <v>livingroom_sensors</v>
      </c>
      <c r="K153" t="str">
        <f t="shared" si="33"/>
        <v/>
      </c>
      <c r="L153" t="str">
        <f t="shared" si="34"/>
        <v/>
      </c>
      <c r="M153" t="str">
        <f t="shared" si="35"/>
        <v/>
      </c>
      <c r="N153" t="str">
        <f t="shared" si="36"/>
        <v>Living Room Sensors</v>
      </c>
      <c r="O153" t="str">
        <f t="shared" si="37"/>
        <v xml:space="preserve">    - sensor.temperature_sensor</v>
      </c>
      <c r="P153" t="str">
        <f t="shared" si="38"/>
        <v>sensor.temperature_sensor</v>
      </c>
    </row>
    <row r="154" spans="2:16" x14ac:dyDescent="0.25">
      <c r="B154" s="11" t="s">
        <v>485</v>
      </c>
      <c r="C154">
        <f t="shared" si="30"/>
        <v>0</v>
      </c>
      <c r="D154">
        <f t="shared" si="26"/>
        <v>0</v>
      </c>
      <c r="E154">
        <f t="shared" si="31"/>
        <v>0</v>
      </c>
      <c r="F154">
        <f t="shared" si="27"/>
        <v>0</v>
      </c>
      <c r="G154">
        <f t="shared" si="28"/>
        <v>1</v>
      </c>
      <c r="H154" t="str">
        <f t="shared" si="29"/>
        <v/>
      </c>
      <c r="I154" t="str">
        <f t="shared" si="32"/>
        <v/>
      </c>
      <c r="J154" t="str">
        <f ca="1">IF(  Table1[[#This Row],[group single]]&lt;&gt;"",Table1[[#This Row],[group single]],  OFFSET(Table1[[#This Row],[group ]],-1,0))</f>
        <v>livingroom_sensors</v>
      </c>
      <c r="K154" t="str">
        <f t="shared" si="33"/>
        <v/>
      </c>
      <c r="L154" t="str">
        <f t="shared" si="34"/>
        <v/>
      </c>
      <c r="M154" t="str">
        <f t="shared" si="35"/>
        <v/>
      </c>
      <c r="N154" t="str">
        <f t="shared" si="36"/>
        <v>Living Room Sensors</v>
      </c>
      <c r="O154" t="str">
        <f t="shared" si="37"/>
        <v xml:space="preserve">    - binary_sensor.mutli_sensor</v>
      </c>
      <c r="P154" t="str">
        <f t="shared" si="38"/>
        <v>binary_sensor.mutli_sensor</v>
      </c>
    </row>
    <row r="155" spans="2:16" x14ac:dyDescent="0.25">
      <c r="B155" s="11" t="s">
        <v>486</v>
      </c>
      <c r="C155">
        <f t="shared" si="30"/>
        <v>0</v>
      </c>
      <c r="D155">
        <f t="shared" si="26"/>
        <v>0</v>
      </c>
      <c r="E155">
        <f t="shared" si="31"/>
        <v>0</v>
      </c>
      <c r="F155">
        <f t="shared" si="27"/>
        <v>0</v>
      </c>
      <c r="G155">
        <f t="shared" si="28"/>
        <v>1</v>
      </c>
      <c r="H155" t="str">
        <f t="shared" si="29"/>
        <v/>
      </c>
      <c r="I155" t="str">
        <f t="shared" si="32"/>
        <v/>
      </c>
      <c r="J155" t="str">
        <f ca="1">IF(  Table1[[#This Row],[group single]]&lt;&gt;"",Table1[[#This Row],[group single]],  OFFSET(Table1[[#This Row],[group ]],-1,0))</f>
        <v>livingroom_sensors</v>
      </c>
      <c r="K155" t="str">
        <f t="shared" si="33"/>
        <v/>
      </c>
      <c r="L155" t="str">
        <f t="shared" si="34"/>
        <v/>
      </c>
      <c r="M155" t="str">
        <f t="shared" si="35"/>
        <v/>
      </c>
      <c r="N155" t="str">
        <f t="shared" si="36"/>
        <v>Living Room Sensors</v>
      </c>
      <c r="O155" t="str">
        <f t="shared" si="37"/>
        <v xml:space="preserve">    - sensor.light_sensor</v>
      </c>
      <c r="P155" t="str">
        <f t="shared" si="38"/>
        <v>sensor.light_sensor</v>
      </c>
    </row>
    <row r="156" spans="2:16" x14ac:dyDescent="0.25">
      <c r="B156" s="11" t="s">
        <v>487</v>
      </c>
      <c r="C156">
        <f t="shared" si="30"/>
        <v>0</v>
      </c>
      <c r="D156">
        <f t="shared" si="26"/>
        <v>0</v>
      </c>
      <c r="E156">
        <f t="shared" si="31"/>
        <v>0</v>
      </c>
      <c r="F156">
        <f t="shared" si="27"/>
        <v>0</v>
      </c>
      <c r="G156">
        <f t="shared" si="28"/>
        <v>1</v>
      </c>
      <c r="H156" t="str">
        <f t="shared" si="29"/>
        <v/>
      </c>
      <c r="I156" t="str">
        <f t="shared" si="32"/>
        <v/>
      </c>
      <c r="J156" t="str">
        <f ca="1">IF(  Table1[[#This Row],[group single]]&lt;&gt;"",Table1[[#This Row],[group single]],  OFFSET(Table1[[#This Row],[group ]],-1,0))</f>
        <v>livingroom_sensors</v>
      </c>
      <c r="K156" t="str">
        <f t="shared" si="33"/>
        <v/>
      </c>
      <c r="L156" t="str">
        <f t="shared" si="34"/>
        <v/>
      </c>
      <c r="M156" t="str">
        <f t="shared" si="35"/>
        <v/>
      </c>
      <c r="N156" t="str">
        <f t="shared" si="36"/>
        <v>Living Room Sensors</v>
      </c>
      <c r="O156" t="str">
        <f t="shared" si="37"/>
        <v xml:space="preserve">    - sensor.humidity_sensor</v>
      </c>
      <c r="P156" t="str">
        <f t="shared" si="38"/>
        <v>sensor.humidity_sensor</v>
      </c>
    </row>
    <row r="157" spans="2:16" x14ac:dyDescent="0.25">
      <c r="B157" s="11" t="s">
        <v>488</v>
      </c>
      <c r="C157">
        <f t="shared" si="30"/>
        <v>0</v>
      </c>
      <c r="D157">
        <f t="shared" si="26"/>
        <v>0</v>
      </c>
      <c r="E157">
        <f t="shared" si="31"/>
        <v>0</v>
      </c>
      <c r="F157">
        <f t="shared" si="27"/>
        <v>0</v>
      </c>
      <c r="G157">
        <f t="shared" si="28"/>
        <v>1</v>
      </c>
      <c r="H157" t="str">
        <f t="shared" si="29"/>
        <v/>
      </c>
      <c r="I157" t="str">
        <f t="shared" si="32"/>
        <v/>
      </c>
      <c r="J157" t="str">
        <f ca="1">IF(  Table1[[#This Row],[group single]]&lt;&gt;"",Table1[[#This Row],[group single]],  OFFSET(Table1[[#This Row],[group ]],-1,0))</f>
        <v>livingroom_sensors</v>
      </c>
      <c r="K157" t="str">
        <f t="shared" si="33"/>
        <v/>
      </c>
      <c r="L157" t="str">
        <f t="shared" si="34"/>
        <v/>
      </c>
      <c r="M157" t="str">
        <f t="shared" si="35"/>
        <v/>
      </c>
      <c r="N157" t="str">
        <f t="shared" si="36"/>
        <v>Living Room Sensors</v>
      </c>
      <c r="O157" t="str">
        <f t="shared" si="37"/>
        <v xml:space="preserve">    - switch.mutli_sensor</v>
      </c>
      <c r="P157" t="str">
        <f t="shared" si="38"/>
        <v>switch.mutli_sensor</v>
      </c>
    </row>
    <row r="158" spans="2:16" x14ac:dyDescent="0.25">
      <c r="B158" s="11" t="s">
        <v>489</v>
      </c>
      <c r="C158">
        <f t="shared" si="30"/>
        <v>0</v>
      </c>
      <c r="D158">
        <f t="shared" si="26"/>
        <v>0</v>
      </c>
      <c r="E158">
        <f t="shared" si="31"/>
        <v>0</v>
      </c>
      <c r="F158">
        <f t="shared" si="27"/>
        <v>0</v>
      </c>
      <c r="G158">
        <f t="shared" si="28"/>
        <v>1</v>
      </c>
      <c r="H158" t="str">
        <f t="shared" si="29"/>
        <v/>
      </c>
      <c r="I158" t="str">
        <f t="shared" si="32"/>
        <v/>
      </c>
      <c r="J158" t="str">
        <f ca="1">IF(  Table1[[#This Row],[group single]]&lt;&gt;"",Table1[[#This Row],[group single]],  OFFSET(Table1[[#This Row],[group ]],-1,0))</f>
        <v>livingroom_sensors</v>
      </c>
      <c r="K158" t="str">
        <f t="shared" si="33"/>
        <v/>
      </c>
      <c r="L158" t="str">
        <f t="shared" si="34"/>
        <v/>
      </c>
      <c r="M158" t="str">
        <f t="shared" si="35"/>
        <v/>
      </c>
      <c r="N158" t="str">
        <f t="shared" si="36"/>
        <v>Living Room Sensors</v>
      </c>
      <c r="O158" t="str">
        <f t="shared" si="37"/>
        <v xml:space="preserve">    - sensor.batt_multi_sensor</v>
      </c>
      <c r="P158" t="str">
        <f t="shared" si="38"/>
        <v>sensor.batt_multi_sensor</v>
      </c>
    </row>
    <row r="159" spans="2:16" x14ac:dyDescent="0.25">
      <c r="B159" s="11"/>
      <c r="C159">
        <f t="shared" si="30"/>
        <v>1</v>
      </c>
      <c r="D159">
        <f t="shared" si="26"/>
        <v>0</v>
      </c>
      <c r="E159">
        <f t="shared" si="31"/>
        <v>0</v>
      </c>
      <c r="F159">
        <f t="shared" si="27"/>
        <v>0</v>
      </c>
      <c r="G159">
        <f t="shared" si="28"/>
        <v>0</v>
      </c>
      <c r="H159" t="str">
        <f t="shared" si="29"/>
        <v/>
      </c>
      <c r="I159" t="str">
        <f t="shared" si="32"/>
        <v/>
      </c>
      <c r="J159" t="str">
        <f ca="1">IF(  Table1[[#This Row],[group single]]&lt;&gt;"",Table1[[#This Row],[group single]],  OFFSET(Table1[[#This Row],[group ]],-1,0))</f>
        <v>livingroom_sensors</v>
      </c>
      <c r="K159" t="str">
        <f t="shared" si="33"/>
        <v/>
      </c>
      <c r="L159" t="str">
        <f t="shared" si="34"/>
        <v/>
      </c>
      <c r="M159" t="str">
        <f t="shared" si="35"/>
        <v/>
      </c>
      <c r="N159" t="str">
        <f t="shared" si="36"/>
        <v>Living Room Sensors</v>
      </c>
      <c r="O159" t="str">
        <f t="shared" si="37"/>
        <v/>
      </c>
      <c r="P159" t="str">
        <f t="shared" si="38"/>
        <v/>
      </c>
    </row>
    <row r="160" spans="2:16" x14ac:dyDescent="0.25">
      <c r="B160" s="11" t="s">
        <v>490</v>
      </c>
      <c r="C160">
        <f t="shared" si="30"/>
        <v>0</v>
      </c>
      <c r="D160">
        <f t="shared" si="26"/>
        <v>0</v>
      </c>
      <c r="E160">
        <f t="shared" si="31"/>
        <v>0</v>
      </c>
      <c r="F160">
        <f t="shared" si="27"/>
        <v>0</v>
      </c>
      <c r="G160">
        <f t="shared" si="28"/>
        <v>0</v>
      </c>
      <c r="H160" t="str">
        <f t="shared" si="29"/>
        <v/>
      </c>
      <c r="I160" t="str">
        <f t="shared" si="32"/>
        <v/>
      </c>
      <c r="J160" t="str">
        <f ca="1">IF(  Table1[[#This Row],[group single]]&lt;&gt;"",Table1[[#This Row],[group single]],  OFFSET(Table1[[#This Row],[group ]],-1,0))</f>
        <v>livingroom_sensors</v>
      </c>
      <c r="K160" t="str">
        <f t="shared" si="33"/>
        <v/>
      </c>
      <c r="L160" t="str">
        <f t="shared" si="34"/>
        <v/>
      </c>
      <c r="M160" t="str">
        <f t="shared" si="35"/>
        <v/>
      </c>
      <c r="N160" t="str">
        <f t="shared" si="36"/>
        <v>Living Room Sensors</v>
      </c>
      <c r="O160" t="str">
        <f t="shared" si="37"/>
        <v/>
      </c>
      <c r="P160" t="str">
        <f t="shared" si="38"/>
        <v/>
      </c>
    </row>
    <row r="161" spans="2:16" x14ac:dyDescent="0.25">
      <c r="B161" s="11"/>
      <c r="C161">
        <f t="shared" si="30"/>
        <v>1</v>
      </c>
      <c r="D161">
        <f t="shared" si="26"/>
        <v>0</v>
      </c>
      <c r="E161">
        <f t="shared" si="31"/>
        <v>0</v>
      </c>
      <c r="F161">
        <f t="shared" si="27"/>
        <v>0</v>
      </c>
      <c r="G161">
        <f t="shared" si="28"/>
        <v>0</v>
      </c>
      <c r="H161" t="str">
        <f t="shared" si="29"/>
        <v/>
      </c>
      <c r="I161" t="str">
        <f t="shared" si="32"/>
        <v/>
      </c>
      <c r="J161" t="str">
        <f ca="1">IF(  Table1[[#This Row],[group single]]&lt;&gt;"",Table1[[#This Row],[group single]],  OFFSET(Table1[[#This Row],[group ]],-1,0))</f>
        <v>livingroom_sensors</v>
      </c>
      <c r="K161" t="str">
        <f t="shared" si="33"/>
        <v/>
      </c>
      <c r="L161" t="str">
        <f t="shared" si="34"/>
        <v/>
      </c>
      <c r="M161" t="str">
        <f t="shared" si="35"/>
        <v/>
      </c>
      <c r="N161" t="str">
        <f t="shared" si="36"/>
        <v>Living Room Sensors</v>
      </c>
      <c r="O161" t="str">
        <f t="shared" si="37"/>
        <v/>
      </c>
      <c r="P161" t="str">
        <f t="shared" si="38"/>
        <v/>
      </c>
    </row>
    <row r="162" spans="2:16" x14ac:dyDescent="0.25">
      <c r="B162" s="11" t="s">
        <v>491</v>
      </c>
      <c r="C162">
        <f t="shared" si="30"/>
        <v>0</v>
      </c>
      <c r="D162">
        <f t="shared" si="26"/>
        <v>0</v>
      </c>
      <c r="E162">
        <f t="shared" si="31"/>
        <v>1</v>
      </c>
      <c r="F162">
        <f t="shared" si="27"/>
        <v>0</v>
      </c>
      <c r="G162">
        <f t="shared" si="28"/>
        <v>0</v>
      </c>
      <c r="H162" t="str">
        <f t="shared" si="29"/>
        <v>status:</v>
      </c>
      <c r="I162" t="str">
        <f t="shared" si="32"/>
        <v>status</v>
      </c>
      <c r="J162" t="str">
        <f ca="1">IF(  Table1[[#This Row],[group single]]&lt;&gt;"",Table1[[#This Row],[group single]],  OFFSET(Table1[[#This Row],[group ]],-1,0))</f>
        <v>status</v>
      </c>
      <c r="K162" t="str">
        <f t="shared" si="33"/>
        <v/>
      </c>
      <c r="L162" t="str">
        <f t="shared" si="34"/>
        <v/>
      </c>
      <c r="M162" t="str">
        <f t="shared" si="35"/>
        <v/>
      </c>
      <c r="N162" t="str">
        <f t="shared" si="36"/>
        <v>Living Room Sensors</v>
      </c>
      <c r="O162" t="str">
        <f t="shared" si="37"/>
        <v/>
      </c>
      <c r="P162" t="str">
        <f t="shared" si="38"/>
        <v/>
      </c>
    </row>
    <row r="163" spans="2:16" x14ac:dyDescent="0.25">
      <c r="B163" s="11" t="s">
        <v>492</v>
      </c>
      <c r="C163">
        <f t="shared" si="30"/>
        <v>0</v>
      </c>
      <c r="D163">
        <f t="shared" si="26"/>
        <v>1</v>
      </c>
      <c r="E163">
        <f t="shared" si="31"/>
        <v>0</v>
      </c>
      <c r="F163">
        <f t="shared" si="27"/>
        <v>1</v>
      </c>
      <c r="G163">
        <f t="shared" si="28"/>
        <v>0</v>
      </c>
      <c r="H163" t="str">
        <f t="shared" si="29"/>
        <v/>
      </c>
      <c r="I163" t="str">
        <f t="shared" si="32"/>
        <v/>
      </c>
      <c r="J163" t="str">
        <f ca="1">IF(  Table1[[#This Row],[group single]]&lt;&gt;"",Table1[[#This Row],[group single]],  OFFSET(Table1[[#This Row],[group ]],-1,0))</f>
        <v>status</v>
      </c>
      <c r="K163" t="str">
        <f t="shared" si="33"/>
        <v xml:space="preserve">  name: Status</v>
      </c>
      <c r="L163" t="str">
        <f t="shared" si="34"/>
        <v>Status</v>
      </c>
      <c r="M163" t="str">
        <f t="shared" si="35"/>
        <v>Status</v>
      </c>
      <c r="N163" t="str">
        <f t="shared" si="36"/>
        <v>Status</v>
      </c>
      <c r="O163" t="str">
        <f t="shared" si="37"/>
        <v/>
      </c>
      <c r="P163" t="str">
        <f t="shared" si="38"/>
        <v/>
      </c>
    </row>
    <row r="164" spans="2:16" x14ac:dyDescent="0.25">
      <c r="B164" s="11" t="s">
        <v>12</v>
      </c>
      <c r="C164">
        <f t="shared" si="30"/>
        <v>0</v>
      </c>
      <c r="D164">
        <f t="shared" si="26"/>
        <v>1</v>
      </c>
      <c r="E164">
        <f t="shared" si="31"/>
        <v>0</v>
      </c>
      <c r="F164">
        <f t="shared" si="27"/>
        <v>0</v>
      </c>
      <c r="G164">
        <f t="shared" si="28"/>
        <v>0</v>
      </c>
      <c r="H164" t="str">
        <f t="shared" si="29"/>
        <v/>
      </c>
      <c r="I164" t="str">
        <f t="shared" si="32"/>
        <v/>
      </c>
      <c r="J164" t="str">
        <f ca="1">IF(  Table1[[#This Row],[group single]]&lt;&gt;"",Table1[[#This Row],[group single]],  OFFSET(Table1[[#This Row],[group ]],-1,0))</f>
        <v>status</v>
      </c>
      <c r="K164" t="str">
        <f t="shared" si="33"/>
        <v/>
      </c>
      <c r="L164" t="str">
        <f t="shared" si="34"/>
        <v/>
      </c>
      <c r="M164" t="str">
        <f t="shared" si="35"/>
        <v/>
      </c>
      <c r="N164" t="str">
        <f t="shared" si="36"/>
        <v>Status</v>
      </c>
      <c r="O164" t="str">
        <f t="shared" si="37"/>
        <v/>
      </c>
      <c r="P164" t="str">
        <f t="shared" si="38"/>
        <v/>
      </c>
    </row>
    <row r="165" spans="2:16" x14ac:dyDescent="0.25">
      <c r="B165" s="11" t="s">
        <v>493</v>
      </c>
      <c r="C165">
        <f t="shared" si="30"/>
        <v>0</v>
      </c>
      <c r="D165">
        <f t="shared" si="26"/>
        <v>0</v>
      </c>
      <c r="E165">
        <f t="shared" si="31"/>
        <v>0</v>
      </c>
      <c r="F165">
        <f t="shared" si="27"/>
        <v>0</v>
      </c>
      <c r="G165">
        <f t="shared" si="28"/>
        <v>1</v>
      </c>
      <c r="H165" t="str">
        <f t="shared" si="29"/>
        <v/>
      </c>
      <c r="I165" t="str">
        <f t="shared" si="32"/>
        <v/>
      </c>
      <c r="J165" t="str">
        <f ca="1">IF(  Table1[[#This Row],[group single]]&lt;&gt;"",Table1[[#This Row],[group single]],  OFFSET(Table1[[#This Row],[group ]],-1,0))</f>
        <v>status</v>
      </c>
      <c r="K165" t="str">
        <f t="shared" si="33"/>
        <v/>
      </c>
      <c r="L165" t="str">
        <f t="shared" si="34"/>
        <v/>
      </c>
      <c r="M165" t="str">
        <f t="shared" si="35"/>
        <v/>
      </c>
      <c r="N165" t="str">
        <f t="shared" si="36"/>
        <v>Status</v>
      </c>
      <c r="O165" t="str">
        <f t="shared" si="37"/>
        <v xml:space="preserve">    - input_select.ron_status</v>
      </c>
      <c r="P165" t="str">
        <f t="shared" si="38"/>
        <v>input_select.ron_status</v>
      </c>
    </row>
    <row r="166" spans="2:16" x14ac:dyDescent="0.25">
      <c r="B166" s="11" t="s">
        <v>494</v>
      </c>
      <c r="C166">
        <f t="shared" si="30"/>
        <v>0</v>
      </c>
      <c r="D166">
        <f t="shared" si="26"/>
        <v>0</v>
      </c>
      <c r="E166">
        <f t="shared" si="31"/>
        <v>0</v>
      </c>
      <c r="F166">
        <f t="shared" si="27"/>
        <v>0</v>
      </c>
      <c r="G166">
        <f t="shared" si="28"/>
        <v>1</v>
      </c>
      <c r="H166" t="str">
        <f t="shared" si="29"/>
        <v/>
      </c>
      <c r="I166" t="str">
        <f t="shared" si="32"/>
        <v/>
      </c>
      <c r="J166" t="str">
        <f ca="1">IF(  Table1[[#This Row],[group single]]&lt;&gt;"",Table1[[#This Row],[group single]],  OFFSET(Table1[[#This Row],[group ]],-1,0))</f>
        <v>status</v>
      </c>
      <c r="K166" t="str">
        <f t="shared" si="33"/>
        <v/>
      </c>
      <c r="L166" t="str">
        <f t="shared" si="34"/>
        <v/>
      </c>
      <c r="M166" t="str">
        <f t="shared" si="35"/>
        <v/>
      </c>
      <c r="N166" t="str">
        <f t="shared" si="36"/>
        <v>Status</v>
      </c>
      <c r="O166" t="str">
        <f t="shared" si="37"/>
        <v xml:space="preserve">    - input_boolean.friend_visiting</v>
      </c>
      <c r="P166" t="str">
        <f t="shared" si="38"/>
        <v>input_boolean.friend_visiting</v>
      </c>
    </row>
    <row r="167" spans="2:16" x14ac:dyDescent="0.25">
      <c r="B167" s="11" t="s">
        <v>495</v>
      </c>
      <c r="C167">
        <f t="shared" si="30"/>
        <v>0</v>
      </c>
      <c r="D167">
        <f t="shared" si="26"/>
        <v>0</v>
      </c>
      <c r="E167">
        <f t="shared" si="31"/>
        <v>0</v>
      </c>
      <c r="F167">
        <f t="shared" si="27"/>
        <v>0</v>
      </c>
      <c r="G167">
        <f t="shared" si="28"/>
        <v>1</v>
      </c>
      <c r="H167" t="str">
        <f t="shared" si="29"/>
        <v/>
      </c>
      <c r="I167" t="str">
        <f t="shared" si="32"/>
        <v/>
      </c>
      <c r="J167" t="str">
        <f ca="1">IF(  Table1[[#This Row],[group single]]&lt;&gt;"",Table1[[#This Row],[group single]],  OFFSET(Table1[[#This Row],[group ]],-1,0))</f>
        <v>status</v>
      </c>
      <c r="K167" t="str">
        <f t="shared" si="33"/>
        <v/>
      </c>
      <c r="L167" t="str">
        <f t="shared" si="34"/>
        <v/>
      </c>
      <c r="M167" t="str">
        <f t="shared" si="35"/>
        <v/>
      </c>
      <c r="N167" t="str">
        <f t="shared" si="36"/>
        <v>Status</v>
      </c>
      <c r="O167" t="str">
        <f t="shared" si="37"/>
        <v xml:space="preserve">    - input_boolean.vacation_mode</v>
      </c>
      <c r="P167" t="str">
        <f t="shared" si="38"/>
        <v>input_boolean.vacation_mode</v>
      </c>
    </row>
    <row r="168" spans="2:16" x14ac:dyDescent="0.25">
      <c r="B168" s="11"/>
      <c r="C168">
        <f t="shared" si="30"/>
        <v>1</v>
      </c>
      <c r="D168">
        <f t="shared" si="26"/>
        <v>0</v>
      </c>
      <c r="E168">
        <f t="shared" si="31"/>
        <v>0</v>
      </c>
      <c r="F168">
        <f t="shared" si="27"/>
        <v>0</v>
      </c>
      <c r="G168">
        <f t="shared" si="28"/>
        <v>0</v>
      </c>
      <c r="H168" t="str">
        <f t="shared" si="29"/>
        <v/>
      </c>
      <c r="I168" t="str">
        <f t="shared" si="32"/>
        <v/>
      </c>
      <c r="J168" t="str">
        <f ca="1">IF(  Table1[[#This Row],[group single]]&lt;&gt;"",Table1[[#This Row],[group single]],  OFFSET(Table1[[#This Row],[group ]],-1,0))</f>
        <v>status</v>
      </c>
      <c r="K168" t="str">
        <f t="shared" si="33"/>
        <v/>
      </c>
      <c r="L168" t="str">
        <f t="shared" si="34"/>
        <v/>
      </c>
      <c r="M168" t="str">
        <f t="shared" si="35"/>
        <v/>
      </c>
      <c r="N168" t="str">
        <f t="shared" si="36"/>
        <v>Status</v>
      </c>
      <c r="O168" t="str">
        <f t="shared" si="37"/>
        <v/>
      </c>
      <c r="P168" t="str">
        <f t="shared" si="38"/>
        <v/>
      </c>
    </row>
    <row r="169" spans="2:16" x14ac:dyDescent="0.25">
      <c r="B169" s="11" t="s">
        <v>496</v>
      </c>
      <c r="C169">
        <f t="shared" si="30"/>
        <v>0</v>
      </c>
      <c r="D169">
        <f t="shared" si="26"/>
        <v>0</v>
      </c>
      <c r="E169">
        <f t="shared" si="31"/>
        <v>1</v>
      </c>
      <c r="F169">
        <f t="shared" si="27"/>
        <v>0</v>
      </c>
      <c r="G169">
        <f t="shared" si="28"/>
        <v>0</v>
      </c>
      <c r="H169" t="str">
        <f t="shared" si="29"/>
        <v>network:</v>
      </c>
      <c r="I169" t="str">
        <f t="shared" si="32"/>
        <v>network</v>
      </c>
      <c r="J169" t="str">
        <f ca="1">IF(  Table1[[#This Row],[group single]]&lt;&gt;"",Table1[[#This Row],[group single]],  OFFSET(Table1[[#This Row],[group ]],-1,0))</f>
        <v>network</v>
      </c>
      <c r="K169" t="str">
        <f t="shared" si="33"/>
        <v/>
      </c>
      <c r="L169" t="str">
        <f t="shared" si="34"/>
        <v/>
      </c>
      <c r="M169" t="str">
        <f t="shared" si="35"/>
        <v/>
      </c>
      <c r="N169" t="str">
        <f t="shared" si="36"/>
        <v>Status</v>
      </c>
      <c r="O169" t="str">
        <f t="shared" si="37"/>
        <v/>
      </c>
      <c r="P169" t="str">
        <f t="shared" si="38"/>
        <v/>
      </c>
    </row>
    <row r="170" spans="2:16" x14ac:dyDescent="0.25">
      <c r="B170" s="11" t="s">
        <v>373</v>
      </c>
      <c r="C170">
        <f t="shared" si="30"/>
        <v>0</v>
      </c>
      <c r="D170">
        <f t="shared" si="26"/>
        <v>1</v>
      </c>
      <c r="E170">
        <f t="shared" si="31"/>
        <v>0</v>
      </c>
      <c r="F170">
        <f t="shared" si="27"/>
        <v>1</v>
      </c>
      <c r="G170">
        <f t="shared" si="28"/>
        <v>0</v>
      </c>
      <c r="H170" t="str">
        <f t="shared" si="29"/>
        <v/>
      </c>
      <c r="I170" t="str">
        <f t="shared" si="32"/>
        <v/>
      </c>
      <c r="J170" t="str">
        <f ca="1">IF(  Table1[[#This Row],[group single]]&lt;&gt;"",Table1[[#This Row],[group single]],  OFFSET(Table1[[#This Row],[group ]],-1,0))</f>
        <v>network</v>
      </c>
      <c r="K170" t="str">
        <f t="shared" si="33"/>
        <v xml:space="preserve">  name: Network</v>
      </c>
      <c r="L170" t="str">
        <f t="shared" si="34"/>
        <v>Network</v>
      </c>
      <c r="M170" t="str">
        <f t="shared" si="35"/>
        <v>Network</v>
      </c>
      <c r="N170" t="str">
        <f t="shared" si="36"/>
        <v>Network</v>
      </c>
      <c r="O170" t="str">
        <f t="shared" si="37"/>
        <v/>
      </c>
      <c r="P170" t="str">
        <f t="shared" si="38"/>
        <v/>
      </c>
    </row>
    <row r="171" spans="2:16" x14ac:dyDescent="0.25">
      <c r="B171" s="11" t="s">
        <v>12</v>
      </c>
      <c r="C171">
        <f t="shared" si="30"/>
        <v>0</v>
      </c>
      <c r="D171">
        <f t="shared" si="26"/>
        <v>1</v>
      </c>
      <c r="E171">
        <f t="shared" si="31"/>
        <v>0</v>
      </c>
      <c r="F171">
        <f t="shared" si="27"/>
        <v>0</v>
      </c>
      <c r="G171">
        <f t="shared" si="28"/>
        <v>0</v>
      </c>
      <c r="H171" t="str">
        <f t="shared" si="29"/>
        <v/>
      </c>
      <c r="I171" t="str">
        <f t="shared" si="32"/>
        <v/>
      </c>
      <c r="J171" t="str">
        <f ca="1">IF(  Table1[[#This Row],[group single]]&lt;&gt;"",Table1[[#This Row],[group single]],  OFFSET(Table1[[#This Row],[group ]],-1,0))</f>
        <v>network</v>
      </c>
      <c r="K171" t="str">
        <f t="shared" si="33"/>
        <v/>
      </c>
      <c r="L171" t="str">
        <f t="shared" si="34"/>
        <v/>
      </c>
      <c r="M171" t="str">
        <f t="shared" si="35"/>
        <v/>
      </c>
      <c r="N171" t="str">
        <f t="shared" si="36"/>
        <v>Network</v>
      </c>
      <c r="O171" t="str">
        <f t="shared" si="37"/>
        <v/>
      </c>
      <c r="P171" t="str">
        <f t="shared" si="38"/>
        <v/>
      </c>
    </row>
    <row r="172" spans="2:16" x14ac:dyDescent="0.25">
      <c r="B172" s="11" t="s">
        <v>497</v>
      </c>
      <c r="C172">
        <f t="shared" si="30"/>
        <v>0</v>
      </c>
      <c r="D172">
        <f t="shared" si="26"/>
        <v>0</v>
      </c>
      <c r="E172">
        <f t="shared" si="31"/>
        <v>0</v>
      </c>
      <c r="F172">
        <f t="shared" si="27"/>
        <v>0</v>
      </c>
      <c r="G172">
        <f t="shared" si="28"/>
        <v>1</v>
      </c>
      <c r="H172" t="str">
        <f t="shared" si="29"/>
        <v/>
      </c>
      <c r="I172" t="str">
        <f t="shared" si="32"/>
        <v/>
      </c>
      <c r="J172" t="str">
        <f ca="1">IF(  Table1[[#This Row],[group single]]&lt;&gt;"",Table1[[#This Row],[group single]],  OFFSET(Table1[[#This Row],[group ]],-1,0))</f>
        <v>network</v>
      </c>
      <c r="K172" t="str">
        <f t="shared" si="33"/>
        <v/>
      </c>
      <c r="L172" t="str">
        <f t="shared" si="34"/>
        <v/>
      </c>
      <c r="M172" t="str">
        <f t="shared" si="35"/>
        <v/>
      </c>
      <c r="N172" t="str">
        <f t="shared" si="36"/>
        <v>Network</v>
      </c>
      <c r="O172" t="str">
        <f t="shared" si="37"/>
        <v xml:space="preserve">    - sensor.speedtest_download</v>
      </c>
      <c r="P172" t="str">
        <f t="shared" si="38"/>
        <v>sensor.speedtest_download</v>
      </c>
    </row>
    <row r="173" spans="2:16" x14ac:dyDescent="0.25">
      <c r="B173" s="11" t="s">
        <v>498</v>
      </c>
      <c r="C173">
        <f t="shared" si="30"/>
        <v>0</v>
      </c>
      <c r="D173">
        <f t="shared" si="26"/>
        <v>0</v>
      </c>
      <c r="E173">
        <f t="shared" si="31"/>
        <v>0</v>
      </c>
      <c r="F173">
        <f t="shared" si="27"/>
        <v>0</v>
      </c>
      <c r="G173">
        <f t="shared" si="28"/>
        <v>1</v>
      </c>
      <c r="H173" t="str">
        <f t="shared" si="29"/>
        <v/>
      </c>
      <c r="I173" t="str">
        <f t="shared" si="32"/>
        <v/>
      </c>
      <c r="J173" t="str">
        <f ca="1">IF(  Table1[[#This Row],[group single]]&lt;&gt;"",Table1[[#This Row],[group single]],  OFFSET(Table1[[#This Row],[group ]],-1,0))</f>
        <v>network</v>
      </c>
      <c r="K173" t="str">
        <f t="shared" si="33"/>
        <v/>
      </c>
      <c r="L173" t="str">
        <f t="shared" si="34"/>
        <v/>
      </c>
      <c r="M173" t="str">
        <f t="shared" si="35"/>
        <v/>
      </c>
      <c r="N173" t="str">
        <f t="shared" si="36"/>
        <v>Network</v>
      </c>
      <c r="O173" t="str">
        <f t="shared" si="37"/>
        <v xml:space="preserve">    - sensor.speedtest_upload</v>
      </c>
      <c r="P173" t="str">
        <f t="shared" si="38"/>
        <v>sensor.speedtest_upload</v>
      </c>
    </row>
    <row r="174" spans="2:16" x14ac:dyDescent="0.25">
      <c r="B174" s="11" t="s">
        <v>499</v>
      </c>
      <c r="C174">
        <f t="shared" si="30"/>
        <v>0</v>
      </c>
      <c r="D174">
        <f t="shared" si="26"/>
        <v>0</v>
      </c>
      <c r="E174">
        <f t="shared" si="31"/>
        <v>0</v>
      </c>
      <c r="F174">
        <f t="shared" si="27"/>
        <v>0</v>
      </c>
      <c r="G174">
        <f t="shared" si="28"/>
        <v>1</v>
      </c>
      <c r="H174" t="str">
        <f t="shared" si="29"/>
        <v/>
      </c>
      <c r="I174" t="str">
        <f t="shared" si="32"/>
        <v/>
      </c>
      <c r="J174" t="str">
        <f ca="1">IF(  Table1[[#This Row],[group single]]&lt;&gt;"",Table1[[#This Row],[group single]],  OFFSET(Table1[[#This Row],[group ]],-1,0))</f>
        <v>network</v>
      </c>
      <c r="K174" t="str">
        <f t="shared" si="33"/>
        <v/>
      </c>
      <c r="L174" t="str">
        <f t="shared" si="34"/>
        <v/>
      </c>
      <c r="M174" t="str">
        <f t="shared" si="35"/>
        <v/>
      </c>
      <c r="N174" t="str">
        <f t="shared" si="36"/>
        <v>Network</v>
      </c>
      <c r="O174" t="str">
        <f t="shared" si="37"/>
        <v xml:space="preserve">    - sensor.speedtest_ping</v>
      </c>
      <c r="P174" t="str">
        <f t="shared" si="38"/>
        <v>sensor.speedtest_ping</v>
      </c>
    </row>
    <row r="175" spans="2:16" x14ac:dyDescent="0.25">
      <c r="B175" s="11" t="s">
        <v>500</v>
      </c>
      <c r="C175">
        <f t="shared" si="30"/>
        <v>0</v>
      </c>
      <c r="D175">
        <f t="shared" si="26"/>
        <v>0</v>
      </c>
      <c r="E175">
        <f t="shared" si="31"/>
        <v>0</v>
      </c>
      <c r="F175">
        <f t="shared" si="27"/>
        <v>0</v>
      </c>
      <c r="G175">
        <f t="shared" si="28"/>
        <v>1</v>
      </c>
      <c r="H175" t="str">
        <f t="shared" si="29"/>
        <v/>
      </c>
      <c r="I175" t="str">
        <f t="shared" si="32"/>
        <v/>
      </c>
      <c r="J175" t="str">
        <f ca="1">IF(  Table1[[#This Row],[group single]]&lt;&gt;"",Table1[[#This Row],[group single]],  OFFSET(Table1[[#This Row],[group ]],-1,0))</f>
        <v>network</v>
      </c>
      <c r="K175" t="str">
        <f t="shared" si="33"/>
        <v/>
      </c>
      <c r="L175" t="str">
        <f t="shared" si="34"/>
        <v/>
      </c>
      <c r="M175" t="str">
        <f t="shared" si="35"/>
        <v/>
      </c>
      <c r="N175" t="str">
        <f t="shared" si="36"/>
        <v>Network</v>
      </c>
      <c r="O175" t="str">
        <f t="shared" si="37"/>
        <v xml:space="preserve">    - sensor.sabnzbd_status</v>
      </c>
      <c r="P175" t="str">
        <f t="shared" si="38"/>
        <v>sensor.sabnzbd_status</v>
      </c>
    </row>
    <row r="176" spans="2:16" x14ac:dyDescent="0.25">
      <c r="B176" s="11" t="s">
        <v>501</v>
      </c>
      <c r="C176">
        <f t="shared" si="30"/>
        <v>0</v>
      </c>
      <c r="D176">
        <f t="shared" si="26"/>
        <v>0</v>
      </c>
      <c r="E176">
        <f t="shared" si="31"/>
        <v>0</v>
      </c>
      <c r="F176">
        <f t="shared" si="27"/>
        <v>0</v>
      </c>
      <c r="G176">
        <f t="shared" si="28"/>
        <v>1</v>
      </c>
      <c r="H176" t="str">
        <f t="shared" si="29"/>
        <v/>
      </c>
      <c r="I176" t="str">
        <f t="shared" si="32"/>
        <v/>
      </c>
      <c r="J176" t="str">
        <f ca="1">IF(  Table1[[#This Row],[group single]]&lt;&gt;"",Table1[[#This Row],[group single]],  OFFSET(Table1[[#This Row],[group ]],-1,0))</f>
        <v>network</v>
      </c>
      <c r="K176" t="str">
        <f t="shared" si="33"/>
        <v/>
      </c>
      <c r="L176" t="str">
        <f t="shared" si="34"/>
        <v/>
      </c>
      <c r="M176" t="str">
        <f t="shared" si="35"/>
        <v/>
      </c>
      <c r="N176" t="str">
        <f t="shared" si="36"/>
        <v>Network</v>
      </c>
      <c r="O176" t="str">
        <f t="shared" si="37"/>
        <v xml:space="preserve">    - sensor.sabnzbd_speed</v>
      </c>
      <c r="P176" t="str">
        <f t="shared" si="38"/>
        <v>sensor.sabnzbd_speed</v>
      </c>
    </row>
    <row r="177" spans="2:16" x14ac:dyDescent="0.25">
      <c r="B177" s="11" t="s">
        <v>502</v>
      </c>
      <c r="C177">
        <f t="shared" si="30"/>
        <v>0</v>
      </c>
      <c r="D177">
        <f t="shared" si="26"/>
        <v>0</v>
      </c>
      <c r="E177">
        <f t="shared" si="31"/>
        <v>0</v>
      </c>
      <c r="F177">
        <f t="shared" si="27"/>
        <v>0</v>
      </c>
      <c r="G177">
        <f t="shared" si="28"/>
        <v>1</v>
      </c>
      <c r="H177" t="str">
        <f t="shared" si="29"/>
        <v/>
      </c>
      <c r="I177" t="str">
        <f t="shared" si="32"/>
        <v/>
      </c>
      <c r="J177" t="str">
        <f ca="1">IF(  Table1[[#This Row],[group single]]&lt;&gt;"",Table1[[#This Row],[group single]],  OFFSET(Table1[[#This Row],[group ]],-1,0))</f>
        <v>network</v>
      </c>
      <c r="K177" t="str">
        <f t="shared" si="33"/>
        <v/>
      </c>
      <c r="L177" t="str">
        <f t="shared" si="34"/>
        <v/>
      </c>
      <c r="M177" t="str">
        <f t="shared" si="35"/>
        <v/>
      </c>
      <c r="N177" t="str">
        <f t="shared" si="36"/>
        <v>Network</v>
      </c>
      <c r="O177" t="str">
        <f t="shared" si="37"/>
        <v xml:space="preserve">    - sensor.plex</v>
      </c>
      <c r="P177" t="str">
        <f t="shared" si="38"/>
        <v>sensor.plex</v>
      </c>
    </row>
    <row r="178" spans="2:16" x14ac:dyDescent="0.25">
      <c r="B178" s="11"/>
      <c r="C178">
        <f t="shared" si="30"/>
        <v>1</v>
      </c>
      <c r="D178">
        <f t="shared" si="26"/>
        <v>0</v>
      </c>
      <c r="E178">
        <f t="shared" si="31"/>
        <v>0</v>
      </c>
      <c r="F178">
        <f t="shared" si="27"/>
        <v>0</v>
      </c>
      <c r="G178">
        <f t="shared" si="28"/>
        <v>0</v>
      </c>
      <c r="H178" t="str">
        <f t="shared" si="29"/>
        <v/>
      </c>
      <c r="I178" t="str">
        <f t="shared" si="32"/>
        <v/>
      </c>
      <c r="J178" t="str">
        <f ca="1">IF(  Table1[[#This Row],[group single]]&lt;&gt;"",Table1[[#This Row],[group single]],  OFFSET(Table1[[#This Row],[group ]],-1,0))</f>
        <v>network</v>
      </c>
      <c r="K178" t="str">
        <f t="shared" si="33"/>
        <v/>
      </c>
      <c r="L178" t="str">
        <f t="shared" si="34"/>
        <v/>
      </c>
      <c r="M178" t="str">
        <f t="shared" si="35"/>
        <v/>
      </c>
      <c r="N178" t="str">
        <f t="shared" si="36"/>
        <v>Network</v>
      </c>
      <c r="O178" t="str">
        <f t="shared" si="37"/>
        <v/>
      </c>
      <c r="P178" t="str">
        <f t="shared" si="38"/>
        <v/>
      </c>
    </row>
    <row r="179" spans="2:16" x14ac:dyDescent="0.25">
      <c r="B179" s="11" t="s">
        <v>503</v>
      </c>
      <c r="C179">
        <f t="shared" si="30"/>
        <v>0</v>
      </c>
      <c r="D179">
        <f t="shared" si="26"/>
        <v>0</v>
      </c>
      <c r="E179">
        <f t="shared" si="31"/>
        <v>1</v>
      </c>
      <c r="F179">
        <f t="shared" si="27"/>
        <v>0</v>
      </c>
      <c r="G179">
        <f t="shared" si="28"/>
        <v>0</v>
      </c>
      <c r="H179" t="str">
        <f t="shared" si="29"/>
        <v>phones:</v>
      </c>
      <c r="I179" t="str">
        <f t="shared" si="32"/>
        <v>phones</v>
      </c>
      <c r="J179" t="str">
        <f ca="1">IF(  Table1[[#This Row],[group single]]&lt;&gt;"",Table1[[#This Row],[group single]],  OFFSET(Table1[[#This Row],[group ]],-1,0))</f>
        <v>phones</v>
      </c>
      <c r="K179" t="str">
        <f t="shared" si="33"/>
        <v/>
      </c>
      <c r="L179" t="str">
        <f t="shared" si="34"/>
        <v/>
      </c>
      <c r="M179" t="str">
        <f t="shared" si="35"/>
        <v/>
      </c>
      <c r="N179" t="str">
        <f t="shared" si="36"/>
        <v>Network</v>
      </c>
      <c r="O179" t="str">
        <f t="shared" si="37"/>
        <v/>
      </c>
      <c r="P179" t="str">
        <f t="shared" si="38"/>
        <v/>
      </c>
    </row>
    <row r="180" spans="2:16" x14ac:dyDescent="0.25">
      <c r="B180" s="11" t="s">
        <v>504</v>
      </c>
      <c r="C180">
        <f t="shared" si="30"/>
        <v>0</v>
      </c>
      <c r="D180">
        <f t="shared" si="26"/>
        <v>1</v>
      </c>
      <c r="E180">
        <f t="shared" si="31"/>
        <v>0</v>
      </c>
      <c r="F180">
        <f t="shared" si="27"/>
        <v>1</v>
      </c>
      <c r="G180">
        <f t="shared" si="28"/>
        <v>0</v>
      </c>
      <c r="H180" t="str">
        <f t="shared" si="29"/>
        <v/>
      </c>
      <c r="I180" t="str">
        <f t="shared" si="32"/>
        <v/>
      </c>
      <c r="J180" t="str">
        <f ca="1">IF(  Table1[[#This Row],[group single]]&lt;&gt;"",Table1[[#This Row],[group single]],  OFFSET(Table1[[#This Row],[group ]],-1,0))</f>
        <v>phones</v>
      </c>
      <c r="K180" t="str">
        <f t="shared" si="33"/>
        <v xml:space="preserve">  name: Phones</v>
      </c>
      <c r="L180" t="str">
        <f t="shared" si="34"/>
        <v>Phones</v>
      </c>
      <c r="M180" t="str">
        <f t="shared" si="35"/>
        <v>Phones</v>
      </c>
      <c r="N180" t="str">
        <f t="shared" si="36"/>
        <v>Phones</v>
      </c>
      <c r="O180" t="str">
        <f t="shared" si="37"/>
        <v/>
      </c>
      <c r="P180" t="str">
        <f t="shared" si="38"/>
        <v/>
      </c>
    </row>
    <row r="181" spans="2:16" x14ac:dyDescent="0.25">
      <c r="B181" s="11" t="s">
        <v>12</v>
      </c>
      <c r="C181">
        <f t="shared" si="30"/>
        <v>0</v>
      </c>
      <c r="D181">
        <f t="shared" si="26"/>
        <v>1</v>
      </c>
      <c r="E181">
        <f t="shared" si="31"/>
        <v>0</v>
      </c>
      <c r="F181">
        <f t="shared" si="27"/>
        <v>0</v>
      </c>
      <c r="G181">
        <f t="shared" si="28"/>
        <v>0</v>
      </c>
      <c r="H181" t="str">
        <f t="shared" si="29"/>
        <v/>
      </c>
      <c r="I181" t="str">
        <f t="shared" si="32"/>
        <v/>
      </c>
      <c r="J181" t="str">
        <f ca="1">IF(  Table1[[#This Row],[group single]]&lt;&gt;"",Table1[[#This Row],[group single]],  OFFSET(Table1[[#This Row],[group ]],-1,0))</f>
        <v>phones</v>
      </c>
      <c r="K181" t="str">
        <f t="shared" si="33"/>
        <v/>
      </c>
      <c r="L181" t="str">
        <f t="shared" si="34"/>
        <v/>
      </c>
      <c r="M181" t="str">
        <f t="shared" si="35"/>
        <v/>
      </c>
      <c r="N181" t="str">
        <f t="shared" si="36"/>
        <v>Phones</v>
      </c>
      <c r="O181" t="str">
        <f t="shared" si="37"/>
        <v/>
      </c>
      <c r="P181" t="str">
        <f t="shared" si="38"/>
        <v/>
      </c>
    </row>
    <row r="182" spans="2:16" x14ac:dyDescent="0.25">
      <c r="B182" s="11" t="s">
        <v>374</v>
      </c>
      <c r="C182">
        <f t="shared" si="30"/>
        <v>0</v>
      </c>
      <c r="D182">
        <f t="shared" si="26"/>
        <v>0</v>
      </c>
      <c r="E182">
        <f t="shared" si="31"/>
        <v>0</v>
      </c>
      <c r="F182">
        <f t="shared" si="27"/>
        <v>0</v>
      </c>
      <c r="G182">
        <f t="shared" si="28"/>
        <v>1</v>
      </c>
      <c r="H182" t="str">
        <f t="shared" si="29"/>
        <v/>
      </c>
      <c r="I182" t="str">
        <f t="shared" si="32"/>
        <v/>
      </c>
      <c r="J182" t="str">
        <f ca="1">IF(  Table1[[#This Row],[group single]]&lt;&gt;"",Table1[[#This Row],[group single]],  OFFSET(Table1[[#This Row],[group ]],-1,0))</f>
        <v>phones</v>
      </c>
      <c r="K182" t="str">
        <f t="shared" si="33"/>
        <v/>
      </c>
      <c r="L182" t="str">
        <f t="shared" si="34"/>
        <v/>
      </c>
      <c r="M182" t="str">
        <f t="shared" si="35"/>
        <v/>
      </c>
      <c r="N182" t="str">
        <f t="shared" si="36"/>
        <v>Phones</v>
      </c>
      <c r="O182" t="str">
        <f t="shared" si="37"/>
        <v xml:space="preserve">    - device_tracker.ron_phone</v>
      </c>
      <c r="P182" t="str">
        <f t="shared" si="38"/>
        <v>device_tracker.ron_phone</v>
      </c>
    </row>
    <row r="183" spans="2:16" x14ac:dyDescent="0.25">
      <c r="B183" s="11" t="s">
        <v>375</v>
      </c>
      <c r="C183">
        <f t="shared" si="30"/>
        <v>0</v>
      </c>
      <c r="D183">
        <f t="shared" si="26"/>
        <v>0</v>
      </c>
      <c r="E183">
        <f t="shared" si="31"/>
        <v>0</v>
      </c>
      <c r="F183">
        <f t="shared" si="27"/>
        <v>0</v>
      </c>
      <c r="G183">
        <f t="shared" si="28"/>
        <v>1</v>
      </c>
      <c r="H183" t="str">
        <f t="shared" si="29"/>
        <v/>
      </c>
      <c r="I183" t="str">
        <f t="shared" si="32"/>
        <v/>
      </c>
      <c r="J183" t="str">
        <f ca="1">IF(  Table1[[#This Row],[group single]]&lt;&gt;"",Table1[[#This Row],[group single]],  OFFSET(Table1[[#This Row],[group ]],-1,0))</f>
        <v>phones</v>
      </c>
      <c r="K183" t="str">
        <f t="shared" si="33"/>
        <v/>
      </c>
      <c r="L183" t="str">
        <f t="shared" si="34"/>
        <v/>
      </c>
      <c r="M183" t="str">
        <f t="shared" si="35"/>
        <v/>
      </c>
      <c r="N183" t="str">
        <f t="shared" si="36"/>
        <v>Phones</v>
      </c>
      <c r="O183" t="str">
        <f t="shared" si="37"/>
        <v xml:space="preserve">    - device_tracker.daniel_phone</v>
      </c>
      <c r="P183" t="str">
        <f t="shared" si="38"/>
        <v>device_tracker.daniel_phone</v>
      </c>
    </row>
    <row r="184" spans="2:16" x14ac:dyDescent="0.25">
      <c r="B184" s="11" t="s">
        <v>376</v>
      </c>
      <c r="C184">
        <f t="shared" si="30"/>
        <v>0</v>
      </c>
      <c r="D184">
        <f t="shared" si="26"/>
        <v>0</v>
      </c>
      <c r="E184">
        <f t="shared" si="31"/>
        <v>0</v>
      </c>
      <c r="F184">
        <f t="shared" si="27"/>
        <v>0</v>
      </c>
      <c r="G184">
        <f t="shared" si="28"/>
        <v>1</v>
      </c>
      <c r="H184" t="str">
        <f t="shared" si="29"/>
        <v/>
      </c>
      <c r="I184" t="str">
        <f t="shared" si="32"/>
        <v/>
      </c>
      <c r="J184" t="str">
        <f ca="1">IF(  Table1[[#This Row],[group single]]&lt;&gt;"",Table1[[#This Row],[group single]],  OFFSET(Table1[[#This Row],[group ]],-1,0))</f>
        <v>phones</v>
      </c>
      <c r="K184" t="str">
        <f t="shared" si="33"/>
        <v/>
      </c>
      <c r="L184" t="str">
        <f t="shared" si="34"/>
        <v/>
      </c>
      <c r="M184" t="str">
        <f t="shared" si="35"/>
        <v/>
      </c>
      <c r="N184" t="str">
        <f t="shared" si="36"/>
        <v>Phones</v>
      </c>
      <c r="O184" t="str">
        <f t="shared" si="37"/>
        <v xml:space="preserve">    - device_tracker.carolyn_phone</v>
      </c>
      <c r="P184" t="str">
        <f t="shared" si="38"/>
        <v>device_tracker.carolyn_phone</v>
      </c>
    </row>
    <row r="185" spans="2:16" x14ac:dyDescent="0.25">
      <c r="B185" s="11"/>
      <c r="C185">
        <f t="shared" si="30"/>
        <v>1</v>
      </c>
      <c r="D185">
        <f t="shared" si="26"/>
        <v>0</v>
      </c>
      <c r="E185">
        <f t="shared" si="31"/>
        <v>0</v>
      </c>
      <c r="F185">
        <f t="shared" si="27"/>
        <v>0</v>
      </c>
      <c r="G185">
        <f t="shared" si="28"/>
        <v>0</v>
      </c>
      <c r="H185" t="str">
        <f t="shared" si="29"/>
        <v/>
      </c>
      <c r="I185" t="str">
        <f t="shared" si="32"/>
        <v/>
      </c>
      <c r="J185" t="str">
        <f ca="1">IF(  Table1[[#This Row],[group single]]&lt;&gt;"",Table1[[#This Row],[group single]],  OFFSET(Table1[[#This Row],[group ]],-1,0))</f>
        <v>phones</v>
      </c>
      <c r="K185" t="str">
        <f t="shared" si="33"/>
        <v/>
      </c>
      <c r="L185" t="str">
        <f t="shared" si="34"/>
        <v/>
      </c>
      <c r="M185" t="str">
        <f t="shared" si="35"/>
        <v/>
      </c>
      <c r="N185" t="str">
        <f t="shared" si="36"/>
        <v>Phones</v>
      </c>
      <c r="O185" t="str">
        <f t="shared" si="37"/>
        <v/>
      </c>
      <c r="P185" t="str">
        <f t="shared" si="38"/>
        <v/>
      </c>
    </row>
    <row r="186" spans="2:16" x14ac:dyDescent="0.25">
      <c r="B186" s="11" t="s">
        <v>505</v>
      </c>
      <c r="C186">
        <f t="shared" si="30"/>
        <v>0</v>
      </c>
      <c r="D186">
        <f t="shared" si="26"/>
        <v>0</v>
      </c>
      <c r="E186">
        <f t="shared" si="31"/>
        <v>1</v>
      </c>
      <c r="F186">
        <f t="shared" si="27"/>
        <v>0</v>
      </c>
      <c r="G186">
        <f t="shared" si="28"/>
        <v>0</v>
      </c>
      <c r="H186" t="str">
        <f t="shared" si="29"/>
        <v>personal_devices:</v>
      </c>
      <c r="I186" t="str">
        <f t="shared" si="32"/>
        <v>personal_devices</v>
      </c>
      <c r="J186" t="str">
        <f ca="1">IF(  Table1[[#This Row],[group single]]&lt;&gt;"",Table1[[#This Row],[group single]],  OFFSET(Table1[[#This Row],[group ]],-1,0))</f>
        <v>personal_devices</v>
      </c>
      <c r="K186" t="str">
        <f t="shared" si="33"/>
        <v/>
      </c>
      <c r="L186" t="str">
        <f t="shared" si="34"/>
        <v/>
      </c>
      <c r="M186" t="str">
        <f t="shared" si="35"/>
        <v/>
      </c>
      <c r="N186" t="str">
        <f t="shared" si="36"/>
        <v>Phones</v>
      </c>
      <c r="O186" t="str">
        <f t="shared" si="37"/>
        <v/>
      </c>
      <c r="P186" t="str">
        <f t="shared" si="38"/>
        <v/>
      </c>
    </row>
    <row r="187" spans="2:16" x14ac:dyDescent="0.25">
      <c r="B187" s="11" t="s">
        <v>506</v>
      </c>
      <c r="C187">
        <f t="shared" si="30"/>
        <v>0</v>
      </c>
      <c r="D187">
        <f t="shared" si="26"/>
        <v>1</v>
      </c>
      <c r="E187">
        <f t="shared" si="31"/>
        <v>0</v>
      </c>
      <c r="F187">
        <f t="shared" si="27"/>
        <v>1</v>
      </c>
      <c r="G187">
        <f t="shared" si="28"/>
        <v>0</v>
      </c>
      <c r="H187" t="str">
        <f t="shared" si="29"/>
        <v/>
      </c>
      <c r="I187" t="str">
        <f t="shared" si="32"/>
        <v/>
      </c>
      <c r="J187" t="str">
        <f ca="1">IF(  Table1[[#This Row],[group single]]&lt;&gt;"",Table1[[#This Row],[group single]],  OFFSET(Table1[[#This Row],[group ]],-1,0))</f>
        <v>personal_devices</v>
      </c>
      <c r="K187" t="str">
        <f t="shared" si="33"/>
        <v xml:space="preserve">  name: Personal Devices</v>
      </c>
      <c r="L187" t="str">
        <f t="shared" si="34"/>
        <v>Personal Devices</v>
      </c>
      <c r="M187" t="str">
        <f t="shared" si="35"/>
        <v>Personal Devices</v>
      </c>
      <c r="N187" t="str">
        <f t="shared" si="36"/>
        <v>Personal Devices</v>
      </c>
      <c r="O187" t="str">
        <f t="shared" si="37"/>
        <v/>
      </c>
      <c r="P187" t="str">
        <f t="shared" si="38"/>
        <v/>
      </c>
    </row>
    <row r="188" spans="2:16" x14ac:dyDescent="0.25">
      <c r="B188" s="11" t="s">
        <v>12</v>
      </c>
      <c r="C188">
        <f t="shared" si="30"/>
        <v>0</v>
      </c>
      <c r="D188">
        <f t="shared" si="26"/>
        <v>1</v>
      </c>
      <c r="E188">
        <f t="shared" si="31"/>
        <v>0</v>
      </c>
      <c r="F188">
        <f t="shared" si="27"/>
        <v>0</v>
      </c>
      <c r="G188">
        <f t="shared" si="28"/>
        <v>0</v>
      </c>
      <c r="H188" t="str">
        <f t="shared" si="29"/>
        <v/>
      </c>
      <c r="I188" t="str">
        <f t="shared" si="32"/>
        <v/>
      </c>
      <c r="J188" t="str">
        <f ca="1">IF(  Table1[[#This Row],[group single]]&lt;&gt;"",Table1[[#This Row],[group single]],  OFFSET(Table1[[#This Row],[group ]],-1,0))</f>
        <v>personal_devices</v>
      </c>
      <c r="K188" t="str">
        <f t="shared" si="33"/>
        <v/>
      </c>
      <c r="L188" t="str">
        <f t="shared" si="34"/>
        <v/>
      </c>
      <c r="M188" t="str">
        <f t="shared" si="35"/>
        <v/>
      </c>
      <c r="N188" t="str">
        <f t="shared" si="36"/>
        <v>Personal Devices</v>
      </c>
      <c r="O188" t="str">
        <f t="shared" si="37"/>
        <v/>
      </c>
      <c r="P188" t="str">
        <f t="shared" si="38"/>
        <v/>
      </c>
    </row>
    <row r="189" spans="2:16" x14ac:dyDescent="0.25">
      <c r="B189" s="11" t="s">
        <v>507</v>
      </c>
      <c r="C189">
        <f t="shared" si="30"/>
        <v>0</v>
      </c>
      <c r="D189">
        <f t="shared" si="26"/>
        <v>0</v>
      </c>
      <c r="E189">
        <f t="shared" si="31"/>
        <v>0</v>
      </c>
      <c r="F189">
        <f t="shared" si="27"/>
        <v>0</v>
      </c>
      <c r="G189">
        <f t="shared" si="28"/>
        <v>1</v>
      </c>
      <c r="H189" t="str">
        <f t="shared" si="29"/>
        <v/>
      </c>
      <c r="I189" t="str">
        <f t="shared" si="32"/>
        <v/>
      </c>
      <c r="J189" t="str">
        <f ca="1">IF(  Table1[[#This Row],[group single]]&lt;&gt;"",Table1[[#This Row],[group single]],  OFFSET(Table1[[#This Row],[group ]],-1,0))</f>
        <v>personal_devices</v>
      </c>
      <c r="K189" t="str">
        <f t="shared" si="33"/>
        <v/>
      </c>
      <c r="L189" t="str">
        <f t="shared" si="34"/>
        <v/>
      </c>
      <c r="M189" t="str">
        <f t="shared" si="35"/>
        <v/>
      </c>
      <c r="N189" t="str">
        <f t="shared" si="36"/>
        <v>Personal Devices</v>
      </c>
      <c r="O189" t="str">
        <f t="shared" si="37"/>
        <v xml:space="preserve">    - device_tracker.humvee</v>
      </c>
      <c r="P189" t="str">
        <f t="shared" si="38"/>
        <v>device_tracker.humvee</v>
      </c>
    </row>
    <row r="190" spans="2:16" x14ac:dyDescent="0.25">
      <c r="B190" s="11" t="s">
        <v>508</v>
      </c>
      <c r="C190">
        <f t="shared" si="30"/>
        <v>0</v>
      </c>
      <c r="D190">
        <f t="shared" si="26"/>
        <v>0</v>
      </c>
      <c r="E190">
        <f t="shared" si="31"/>
        <v>0</v>
      </c>
      <c r="F190">
        <f t="shared" si="27"/>
        <v>0</v>
      </c>
      <c r="G190">
        <f t="shared" si="28"/>
        <v>1</v>
      </c>
      <c r="H190" t="str">
        <f t="shared" si="29"/>
        <v/>
      </c>
      <c r="I190" t="str">
        <f t="shared" si="32"/>
        <v/>
      </c>
      <c r="J190" t="str">
        <f ca="1">IF(  Table1[[#This Row],[group single]]&lt;&gt;"",Table1[[#This Row],[group single]],  OFFSET(Table1[[#This Row],[group ]],-1,0))</f>
        <v>personal_devices</v>
      </c>
      <c r="K190" t="str">
        <f t="shared" si="33"/>
        <v/>
      </c>
      <c r="L190" t="str">
        <f t="shared" si="34"/>
        <v/>
      </c>
      <c r="M190" t="str">
        <f t="shared" si="35"/>
        <v/>
      </c>
      <c r="N190" t="str">
        <f t="shared" si="36"/>
        <v>Personal Devices</v>
      </c>
      <c r="O190" t="str">
        <f t="shared" si="37"/>
        <v xml:space="preserve">    - device_tracker.tank</v>
      </c>
      <c r="P190" t="str">
        <f t="shared" si="38"/>
        <v>device_tracker.tank</v>
      </c>
    </row>
    <row r="191" spans="2:16" x14ac:dyDescent="0.25">
      <c r="B191" s="11" t="s">
        <v>509</v>
      </c>
      <c r="C191">
        <f t="shared" si="30"/>
        <v>0</v>
      </c>
      <c r="D191">
        <f t="shared" si="26"/>
        <v>0</v>
      </c>
      <c r="E191">
        <f t="shared" si="31"/>
        <v>0</v>
      </c>
      <c r="F191">
        <f t="shared" si="27"/>
        <v>0</v>
      </c>
      <c r="G191">
        <f t="shared" si="28"/>
        <v>1</v>
      </c>
      <c r="H191" t="str">
        <f t="shared" si="29"/>
        <v/>
      </c>
      <c r="I191" t="str">
        <f t="shared" si="32"/>
        <v/>
      </c>
      <c r="J191" t="str">
        <f ca="1">IF(  Table1[[#This Row],[group single]]&lt;&gt;"",Table1[[#This Row],[group single]],  OFFSET(Table1[[#This Row],[group ]],-1,0))</f>
        <v>personal_devices</v>
      </c>
      <c r="K191" t="str">
        <f t="shared" si="33"/>
        <v/>
      </c>
      <c r="L191" t="str">
        <f t="shared" si="34"/>
        <v/>
      </c>
      <c r="M191" t="str">
        <f t="shared" si="35"/>
        <v/>
      </c>
      <c r="N191" t="str">
        <f t="shared" si="36"/>
        <v>Personal Devices</v>
      </c>
      <c r="O191" t="str">
        <f t="shared" si="37"/>
        <v xml:space="preserve">    - device_tracker.tank_ipmi</v>
      </c>
      <c r="P191" t="str">
        <f t="shared" si="38"/>
        <v>device_tracker.tank_ipmi</v>
      </c>
    </row>
    <row r="192" spans="2:16" x14ac:dyDescent="0.25">
      <c r="B192" s="11" t="s">
        <v>510</v>
      </c>
      <c r="C192">
        <f t="shared" si="30"/>
        <v>0</v>
      </c>
      <c r="D192">
        <f t="shared" si="26"/>
        <v>0</v>
      </c>
      <c r="E192">
        <f t="shared" si="31"/>
        <v>0</v>
      </c>
      <c r="F192">
        <f t="shared" si="27"/>
        <v>0</v>
      </c>
      <c r="G192">
        <f t="shared" si="28"/>
        <v>1</v>
      </c>
      <c r="H192" t="str">
        <f t="shared" si="29"/>
        <v/>
      </c>
      <c r="I192" t="str">
        <f t="shared" si="32"/>
        <v/>
      </c>
      <c r="J192" t="str">
        <f ca="1">IF(  Table1[[#This Row],[group single]]&lt;&gt;"",Table1[[#This Row],[group single]],  OFFSET(Table1[[#This Row],[group ]],-1,0))</f>
        <v>personal_devices</v>
      </c>
      <c r="K192" t="str">
        <f t="shared" si="33"/>
        <v/>
      </c>
      <c r="L192" t="str">
        <f t="shared" si="34"/>
        <v/>
      </c>
      <c r="M192" t="str">
        <f t="shared" si="35"/>
        <v/>
      </c>
      <c r="N192" t="str">
        <f t="shared" si="36"/>
        <v>Personal Devices</v>
      </c>
      <c r="O192" t="str">
        <f t="shared" si="37"/>
        <v xml:space="preserve">    - device_tracker.tank_plex</v>
      </c>
      <c r="P192" t="str">
        <f t="shared" si="38"/>
        <v>device_tracker.tank_plex</v>
      </c>
    </row>
    <row r="193" spans="2:16" x14ac:dyDescent="0.25">
      <c r="B193" s="11" t="s">
        <v>511</v>
      </c>
      <c r="C193">
        <f t="shared" si="30"/>
        <v>0</v>
      </c>
      <c r="D193">
        <f t="shared" si="26"/>
        <v>0</v>
      </c>
      <c r="E193">
        <f t="shared" si="31"/>
        <v>0</v>
      </c>
      <c r="F193">
        <f t="shared" si="27"/>
        <v>0</v>
      </c>
      <c r="G193">
        <f t="shared" si="28"/>
        <v>1</v>
      </c>
      <c r="H193" t="str">
        <f t="shared" si="29"/>
        <v/>
      </c>
      <c r="I193" t="str">
        <f t="shared" si="32"/>
        <v/>
      </c>
      <c r="J193" t="str">
        <f ca="1">IF(  Table1[[#This Row],[group single]]&lt;&gt;"",Table1[[#This Row],[group single]],  OFFSET(Table1[[#This Row],[group ]],-1,0))</f>
        <v>personal_devices</v>
      </c>
      <c r="K193" t="str">
        <f t="shared" si="33"/>
        <v/>
      </c>
      <c r="L193" t="str">
        <f t="shared" si="34"/>
        <v/>
      </c>
      <c r="M193" t="str">
        <f t="shared" si="35"/>
        <v/>
      </c>
      <c r="N193" t="str">
        <f t="shared" si="36"/>
        <v>Personal Devices</v>
      </c>
      <c r="O193" t="str">
        <f t="shared" si="37"/>
        <v xml:space="preserve">    - device_tracker.growler</v>
      </c>
      <c r="P193" t="str">
        <f t="shared" si="38"/>
        <v>device_tracker.growler</v>
      </c>
    </row>
    <row r="194" spans="2:16" x14ac:dyDescent="0.25">
      <c r="B194" s="11" t="s">
        <v>512</v>
      </c>
      <c r="C194">
        <f t="shared" si="30"/>
        <v>0</v>
      </c>
      <c r="D194">
        <f t="shared" si="26"/>
        <v>0</v>
      </c>
      <c r="E194">
        <f t="shared" si="31"/>
        <v>0</v>
      </c>
      <c r="F194">
        <f t="shared" si="27"/>
        <v>0</v>
      </c>
      <c r="G194">
        <f t="shared" si="28"/>
        <v>1</v>
      </c>
      <c r="H194" t="str">
        <f t="shared" si="29"/>
        <v/>
      </c>
      <c r="I194" t="str">
        <f t="shared" si="32"/>
        <v/>
      </c>
      <c r="J194" t="str">
        <f ca="1">IF(  Table1[[#This Row],[group single]]&lt;&gt;"",Table1[[#This Row],[group single]],  OFFSET(Table1[[#This Row],[group ]],-1,0))</f>
        <v>personal_devices</v>
      </c>
      <c r="K194" t="str">
        <f t="shared" si="33"/>
        <v/>
      </c>
      <c r="L194" t="str">
        <f t="shared" si="34"/>
        <v/>
      </c>
      <c r="M194" t="str">
        <f t="shared" si="35"/>
        <v/>
      </c>
      <c r="N194" t="str">
        <f t="shared" si="36"/>
        <v>Personal Devices</v>
      </c>
      <c r="O194" t="str">
        <f t="shared" si="37"/>
        <v xml:space="preserve">    - device_tracker.jeep</v>
      </c>
      <c r="P194" t="str">
        <f t="shared" si="38"/>
        <v>device_tracker.jeep</v>
      </c>
    </row>
    <row r="195" spans="2:16" x14ac:dyDescent="0.25">
      <c r="B195" s="11" t="s">
        <v>513</v>
      </c>
      <c r="C195">
        <f t="shared" si="30"/>
        <v>0</v>
      </c>
      <c r="D195">
        <f t="shared" si="26"/>
        <v>0</v>
      </c>
      <c r="E195">
        <f t="shared" si="31"/>
        <v>0</v>
      </c>
      <c r="F195">
        <f t="shared" si="27"/>
        <v>0</v>
      </c>
      <c r="G195">
        <f t="shared" si="28"/>
        <v>1</v>
      </c>
      <c r="H195" t="str">
        <f t="shared" si="29"/>
        <v/>
      </c>
      <c r="I195" t="str">
        <f t="shared" si="32"/>
        <v/>
      </c>
      <c r="J195" t="str">
        <f ca="1">IF(  Table1[[#This Row],[group single]]&lt;&gt;"",Table1[[#This Row],[group single]],  OFFSET(Table1[[#This Row],[group ]],-1,0))</f>
        <v>personal_devices</v>
      </c>
      <c r="K195" t="str">
        <f t="shared" si="33"/>
        <v/>
      </c>
      <c r="L195" t="str">
        <f t="shared" si="34"/>
        <v/>
      </c>
      <c r="M195" t="str">
        <f t="shared" si="35"/>
        <v/>
      </c>
      <c r="N195" t="str">
        <f t="shared" si="36"/>
        <v>Personal Devices</v>
      </c>
      <c r="O195" t="str">
        <f t="shared" si="37"/>
        <v xml:space="preserve">    - device_tracker.daniel_laptop</v>
      </c>
      <c r="P195" t="str">
        <f t="shared" si="38"/>
        <v>device_tracker.daniel_laptop</v>
      </c>
    </row>
    <row r="196" spans="2:16" x14ac:dyDescent="0.25">
      <c r="B196" s="11" t="s">
        <v>514</v>
      </c>
      <c r="C196">
        <f t="shared" si="30"/>
        <v>0</v>
      </c>
      <c r="D196">
        <f t="shared" si="26"/>
        <v>0</v>
      </c>
      <c r="E196">
        <f t="shared" si="31"/>
        <v>0</v>
      </c>
      <c r="F196">
        <f t="shared" si="27"/>
        <v>0</v>
      </c>
      <c r="G196">
        <f t="shared" si="28"/>
        <v>1</v>
      </c>
      <c r="H196" t="str">
        <f t="shared" si="29"/>
        <v/>
      </c>
      <c r="I196" t="str">
        <f t="shared" si="32"/>
        <v/>
      </c>
      <c r="J196" t="str">
        <f ca="1">IF(  Table1[[#This Row],[group single]]&lt;&gt;"",Table1[[#This Row],[group single]],  OFFSET(Table1[[#This Row],[group ]],-1,0))</f>
        <v>personal_devices</v>
      </c>
      <c r="K196" t="str">
        <f t="shared" si="33"/>
        <v/>
      </c>
      <c r="L196" t="str">
        <f t="shared" si="34"/>
        <v/>
      </c>
      <c r="M196" t="str">
        <f t="shared" si="35"/>
        <v/>
      </c>
      <c r="N196" t="str">
        <f t="shared" si="36"/>
        <v>Personal Devices</v>
      </c>
      <c r="O196" t="str">
        <f t="shared" si="37"/>
        <v xml:space="preserve">    - device_tracker.carolynsair</v>
      </c>
      <c r="P196" t="str">
        <f t="shared" si="38"/>
        <v>device_tracker.carolynsair</v>
      </c>
    </row>
    <row r="197" spans="2:16" x14ac:dyDescent="0.25">
      <c r="B197" s="11" t="s">
        <v>515</v>
      </c>
      <c r="C197">
        <f t="shared" si="30"/>
        <v>0</v>
      </c>
      <c r="D197">
        <f t="shared" si="26"/>
        <v>0</v>
      </c>
      <c r="E197">
        <f t="shared" si="31"/>
        <v>0</v>
      </c>
      <c r="F197">
        <f t="shared" si="27"/>
        <v>0</v>
      </c>
      <c r="G197">
        <f t="shared" si="28"/>
        <v>1</v>
      </c>
      <c r="H197" t="str">
        <f t="shared" si="29"/>
        <v/>
      </c>
      <c r="I197" t="str">
        <f t="shared" si="32"/>
        <v/>
      </c>
      <c r="J197" t="str">
        <f ca="1">IF(  Table1[[#This Row],[group single]]&lt;&gt;"",Table1[[#This Row],[group single]],  OFFSET(Table1[[#This Row],[group ]],-1,0))</f>
        <v>personal_devices</v>
      </c>
      <c r="K197" t="str">
        <f t="shared" si="33"/>
        <v/>
      </c>
      <c r="L197" t="str">
        <f t="shared" si="34"/>
        <v/>
      </c>
      <c r="M197" t="str">
        <f t="shared" si="35"/>
        <v/>
      </c>
      <c r="N197" t="str">
        <f t="shared" si="36"/>
        <v>Personal Devices</v>
      </c>
      <c r="O197" t="str">
        <f t="shared" si="37"/>
        <v xml:space="preserve">    - device_tracker.daniel_br</v>
      </c>
      <c r="P197" t="str">
        <f t="shared" si="38"/>
        <v>device_tracker.daniel_br</v>
      </c>
    </row>
    <row r="198" spans="2:16" x14ac:dyDescent="0.25">
      <c r="B198" s="11" t="s">
        <v>516</v>
      </c>
      <c r="C198">
        <f t="shared" si="30"/>
        <v>0</v>
      </c>
      <c r="D198">
        <f t="shared" si="26"/>
        <v>0</v>
      </c>
      <c r="E198">
        <f t="shared" si="31"/>
        <v>0</v>
      </c>
      <c r="F198">
        <f t="shared" si="27"/>
        <v>0</v>
      </c>
      <c r="G198">
        <f t="shared" si="28"/>
        <v>1</v>
      </c>
      <c r="H198" t="str">
        <f t="shared" si="29"/>
        <v/>
      </c>
      <c r="I198" t="str">
        <f t="shared" si="32"/>
        <v/>
      </c>
      <c r="J198" t="str">
        <f ca="1">IF(  Table1[[#This Row],[group single]]&lt;&gt;"",Table1[[#This Row],[group single]],  OFFSET(Table1[[#This Row],[group ]],-1,0))</f>
        <v>personal_devices</v>
      </c>
      <c r="K198" t="str">
        <f t="shared" si="33"/>
        <v/>
      </c>
      <c r="L198" t="str">
        <f t="shared" si="34"/>
        <v/>
      </c>
      <c r="M198" t="str">
        <f t="shared" si="35"/>
        <v/>
      </c>
      <c r="N198" t="str">
        <f t="shared" si="36"/>
        <v>Personal Devices</v>
      </c>
      <c r="O198" t="str">
        <f t="shared" si="37"/>
        <v xml:space="preserve">    - device_tracker.ron_tablet</v>
      </c>
      <c r="P198" t="str">
        <f t="shared" si="38"/>
        <v>device_tracker.ron_tablet</v>
      </c>
    </row>
    <row r="199" spans="2:16" x14ac:dyDescent="0.25">
      <c r="B199" s="11" t="s">
        <v>517</v>
      </c>
      <c r="C199">
        <f t="shared" si="30"/>
        <v>0</v>
      </c>
      <c r="D199">
        <f t="shared" ref="D199:D252" si="39">IF(AND(LEFT(B199,2)="  ",LEFT(B199,3)&lt;&gt;"   "),1,0)</f>
        <v>0</v>
      </c>
      <c r="E199">
        <f t="shared" si="31"/>
        <v>0</v>
      </c>
      <c r="F199">
        <f t="shared" ref="F199:F252" si="40">IFERROR(IF(ISNUMBER(FIND("name:",B199)),1,0),0)</f>
        <v>0</v>
      </c>
      <c r="G199">
        <f t="shared" ref="G199:G252" si="41">IF(  LEFT(B199,6)="    - ",  1,  0)</f>
        <v>1</v>
      </c>
      <c r="H199" t="str">
        <f t="shared" ref="H199:H252" si="42">IF(E199=1,B199,"")</f>
        <v/>
      </c>
      <c r="I199" t="str">
        <f t="shared" si="32"/>
        <v/>
      </c>
      <c r="J199" t="str">
        <f ca="1">IF(  Table1[[#This Row],[group single]]&lt;&gt;"",Table1[[#This Row],[group single]],  OFFSET(Table1[[#This Row],[group ]],-1,0))</f>
        <v>personal_devices</v>
      </c>
      <c r="K199" t="str">
        <f t="shared" si="33"/>
        <v/>
      </c>
      <c r="L199" t="str">
        <f t="shared" si="34"/>
        <v/>
      </c>
      <c r="M199" t="str">
        <f t="shared" si="35"/>
        <v/>
      </c>
      <c r="N199" t="str">
        <f t="shared" si="36"/>
        <v>Personal Devices</v>
      </c>
      <c r="O199" t="str">
        <f t="shared" si="37"/>
        <v xml:space="preserve">    - device_tracker.carolyn_tablet</v>
      </c>
      <c r="P199" t="str">
        <f t="shared" si="38"/>
        <v>device_tracker.carolyn_tablet</v>
      </c>
    </row>
    <row r="200" spans="2:16" x14ac:dyDescent="0.25">
      <c r="B200" s="11" t="s">
        <v>518</v>
      </c>
      <c r="C200">
        <f t="shared" ref="C200:C252" si="43">IF(ISBLANK(B200),1,0)</f>
        <v>0</v>
      </c>
      <c r="D200">
        <f t="shared" si="39"/>
        <v>0</v>
      </c>
      <c r="E200">
        <f t="shared" ref="E200:E252" si="44">IF(AND(C200=0,LEFT(B200,1)&lt;&gt;" ",LEFT(B200,1)&lt;&gt;"#"),1,0)</f>
        <v>0</v>
      </c>
      <c r="F200">
        <f t="shared" si="40"/>
        <v>0</v>
      </c>
      <c r="G200">
        <f t="shared" si="41"/>
        <v>1</v>
      </c>
      <c r="H200" t="str">
        <f t="shared" si="42"/>
        <v/>
      </c>
      <c r="I200" t="str">
        <f t="shared" ref="I200:I252" si="45">SUBSTITUTE(H200,":","")</f>
        <v/>
      </c>
      <c r="J200" t="str">
        <f ca="1">IF(  Table1[[#This Row],[group single]]&lt;&gt;"",Table1[[#This Row],[group single]],  OFFSET(Table1[[#This Row],[group ]],-1,0))</f>
        <v>personal_devices</v>
      </c>
      <c r="K200" t="str">
        <f t="shared" ref="K200:K252" si="46">IF(F200=1,$B200,"")</f>
        <v/>
      </c>
      <c r="L200" t="str">
        <f t="shared" ref="L200:L252" si="47">IFERROR(MID(K200,  FIND("name:",K200)+6,99),"")</f>
        <v/>
      </c>
      <c r="M200" t="str">
        <f t="shared" ref="M200:M252" si="48">SUBSTITUTE(L200,"""","")</f>
        <v/>
      </c>
      <c r="N200" t="str">
        <f t="shared" ref="N200:N252" si="49">IF(M200="",N199,M200)</f>
        <v>Personal Devices</v>
      </c>
      <c r="O200" t="str">
        <f t="shared" ref="O200:O252" si="50">IF(G200=1,$B200,"")</f>
        <v xml:space="preserve">    - device_tracker.carolynlipssmbp</v>
      </c>
      <c r="P200" t="str">
        <f t="shared" ref="P200:P252" si="51">TRIM(SUBSTITUTE(O200,"-",""))</f>
        <v>device_tracker.carolynlipssmbp</v>
      </c>
    </row>
    <row r="201" spans="2:16" x14ac:dyDescent="0.25">
      <c r="B201" s="11" t="s">
        <v>519</v>
      </c>
      <c r="C201">
        <f t="shared" si="43"/>
        <v>0</v>
      </c>
      <c r="D201">
        <f t="shared" si="39"/>
        <v>0</v>
      </c>
      <c r="E201">
        <f t="shared" si="44"/>
        <v>0</v>
      </c>
      <c r="F201">
        <f t="shared" si="40"/>
        <v>0</v>
      </c>
      <c r="G201">
        <f t="shared" si="41"/>
        <v>1</v>
      </c>
      <c r="H201" t="str">
        <f t="shared" si="42"/>
        <v/>
      </c>
      <c r="I201" t="str">
        <f t="shared" si="45"/>
        <v/>
      </c>
      <c r="J201" t="str">
        <f ca="1">IF(  Table1[[#This Row],[group single]]&lt;&gt;"",Table1[[#This Row],[group single]],  OFFSET(Table1[[#This Row],[group ]],-1,0))</f>
        <v>personal_devices</v>
      </c>
      <c r="K201" t="str">
        <f t="shared" si="46"/>
        <v/>
      </c>
      <c r="L201" t="str">
        <f t="shared" si="47"/>
        <v/>
      </c>
      <c r="M201" t="str">
        <f t="shared" si="48"/>
        <v/>
      </c>
      <c r="N201" t="str">
        <f t="shared" si="49"/>
        <v>Personal Devices</v>
      </c>
      <c r="O201" t="str">
        <f t="shared" si="50"/>
        <v xml:space="preserve">    - device_tracker.gear_fit_2</v>
      </c>
      <c r="P201" t="str">
        <f t="shared" si="51"/>
        <v>device_tracker.gear_fit_2</v>
      </c>
    </row>
    <row r="202" spans="2:16" x14ac:dyDescent="0.25">
      <c r="B202" s="11" t="s">
        <v>520</v>
      </c>
      <c r="C202">
        <f t="shared" si="43"/>
        <v>0</v>
      </c>
      <c r="D202">
        <f t="shared" si="39"/>
        <v>0</v>
      </c>
      <c r="E202">
        <f t="shared" si="44"/>
        <v>0</v>
      </c>
      <c r="F202">
        <f t="shared" si="40"/>
        <v>0</v>
      </c>
      <c r="G202">
        <f t="shared" si="41"/>
        <v>1</v>
      </c>
      <c r="H202" t="str">
        <f t="shared" si="42"/>
        <v/>
      </c>
      <c r="I202" t="str">
        <f t="shared" si="45"/>
        <v/>
      </c>
      <c r="J202" t="str">
        <f ca="1">IF(  Table1[[#This Row],[group single]]&lt;&gt;"",Table1[[#This Row],[group single]],  OFFSET(Table1[[#This Row],[group ]],-1,0))</f>
        <v>personal_devices</v>
      </c>
      <c r="K202" t="str">
        <f t="shared" si="46"/>
        <v/>
      </c>
      <c r="L202" t="str">
        <f t="shared" si="47"/>
        <v/>
      </c>
      <c r="M202" t="str">
        <f t="shared" si="48"/>
        <v/>
      </c>
      <c r="N202" t="str">
        <f t="shared" si="49"/>
        <v>Personal Devices</v>
      </c>
      <c r="O202" t="str">
        <f t="shared" si="50"/>
        <v xml:space="preserve">    - device_tracker.carolyn_watch</v>
      </c>
      <c r="P202" t="str">
        <f t="shared" si="51"/>
        <v>device_tracker.carolyn_watch</v>
      </c>
    </row>
    <row r="203" spans="2:16" x14ac:dyDescent="0.25">
      <c r="B203" s="11" t="s">
        <v>521</v>
      </c>
      <c r="C203">
        <f t="shared" si="43"/>
        <v>0</v>
      </c>
      <c r="D203">
        <f t="shared" si="39"/>
        <v>0</v>
      </c>
      <c r="E203">
        <f t="shared" si="44"/>
        <v>0</v>
      </c>
      <c r="F203">
        <f t="shared" si="40"/>
        <v>0</v>
      </c>
      <c r="G203">
        <f t="shared" si="41"/>
        <v>0</v>
      </c>
      <c r="H203" t="str">
        <f t="shared" si="42"/>
        <v/>
      </c>
      <c r="I203" t="str">
        <f t="shared" si="45"/>
        <v/>
      </c>
      <c r="J203" t="str">
        <f ca="1">IF(  Table1[[#This Row],[group single]]&lt;&gt;"",Table1[[#This Row],[group single]],  OFFSET(Table1[[#This Row],[group ]],-1,0))</f>
        <v>personal_devices</v>
      </c>
      <c r="K203" t="str">
        <f t="shared" si="46"/>
        <v/>
      </c>
      <c r="L203" t="str">
        <f t="shared" si="47"/>
        <v/>
      </c>
      <c r="M203" t="str">
        <f t="shared" si="48"/>
        <v/>
      </c>
      <c r="N203" t="str">
        <f t="shared" si="49"/>
        <v>Personal Devices</v>
      </c>
      <c r="O203" t="str">
        <f t="shared" si="50"/>
        <v/>
      </c>
      <c r="P203" t="str">
        <f t="shared" si="51"/>
        <v/>
      </c>
    </row>
    <row r="204" spans="2:16" x14ac:dyDescent="0.25">
      <c r="B204" s="11" t="s">
        <v>522</v>
      </c>
      <c r="C204">
        <f t="shared" si="43"/>
        <v>0</v>
      </c>
      <c r="D204">
        <f t="shared" si="39"/>
        <v>0</v>
      </c>
      <c r="E204">
        <f t="shared" si="44"/>
        <v>1</v>
      </c>
      <c r="F204">
        <f t="shared" si="40"/>
        <v>0</v>
      </c>
      <c r="G204">
        <f t="shared" si="41"/>
        <v>0</v>
      </c>
      <c r="H204" t="str">
        <f t="shared" si="42"/>
        <v>iot_devices:</v>
      </c>
      <c r="I204" t="str">
        <f t="shared" si="45"/>
        <v>iot_devices</v>
      </c>
      <c r="J204" t="str">
        <f ca="1">IF(  Table1[[#This Row],[group single]]&lt;&gt;"",Table1[[#This Row],[group single]],  OFFSET(Table1[[#This Row],[group ]],-1,0))</f>
        <v>iot_devices</v>
      </c>
      <c r="K204" t="str">
        <f t="shared" si="46"/>
        <v/>
      </c>
      <c r="L204" t="str">
        <f t="shared" si="47"/>
        <v/>
      </c>
      <c r="M204" t="str">
        <f t="shared" si="48"/>
        <v/>
      </c>
      <c r="N204" t="str">
        <f t="shared" si="49"/>
        <v>Personal Devices</v>
      </c>
      <c r="O204" t="str">
        <f t="shared" si="50"/>
        <v/>
      </c>
      <c r="P204" t="str">
        <f t="shared" si="51"/>
        <v/>
      </c>
    </row>
    <row r="205" spans="2:16" x14ac:dyDescent="0.25">
      <c r="B205" s="11" t="s">
        <v>523</v>
      </c>
      <c r="C205">
        <f t="shared" si="43"/>
        <v>0</v>
      </c>
      <c r="D205">
        <f t="shared" si="39"/>
        <v>1</v>
      </c>
      <c r="E205">
        <f t="shared" si="44"/>
        <v>0</v>
      </c>
      <c r="F205">
        <f t="shared" si="40"/>
        <v>1</v>
      </c>
      <c r="G205">
        <f t="shared" si="41"/>
        <v>0</v>
      </c>
      <c r="H205" t="str">
        <f t="shared" si="42"/>
        <v/>
      </c>
      <c r="I205" t="str">
        <f t="shared" si="45"/>
        <v/>
      </c>
      <c r="J205" t="str">
        <f ca="1">IF(  Table1[[#This Row],[group single]]&lt;&gt;"",Table1[[#This Row],[group single]],  OFFSET(Table1[[#This Row],[group ]],-1,0))</f>
        <v>iot_devices</v>
      </c>
      <c r="K205" t="str">
        <f t="shared" si="46"/>
        <v xml:space="preserve">  name: IoT Devices</v>
      </c>
      <c r="L205" t="str">
        <f t="shared" si="47"/>
        <v>IoT Devices</v>
      </c>
      <c r="M205" t="str">
        <f t="shared" si="48"/>
        <v>IoT Devices</v>
      </c>
      <c r="N205" t="str">
        <f t="shared" si="49"/>
        <v>IoT Devices</v>
      </c>
      <c r="O205" t="str">
        <f t="shared" si="50"/>
        <v/>
      </c>
      <c r="P205" t="str">
        <f t="shared" si="51"/>
        <v/>
      </c>
    </row>
    <row r="206" spans="2:16" x14ac:dyDescent="0.25">
      <c r="B206" s="11" t="s">
        <v>12</v>
      </c>
      <c r="C206">
        <f t="shared" si="43"/>
        <v>0</v>
      </c>
      <c r="D206">
        <f t="shared" si="39"/>
        <v>1</v>
      </c>
      <c r="E206">
        <f t="shared" si="44"/>
        <v>0</v>
      </c>
      <c r="F206">
        <f t="shared" si="40"/>
        <v>0</v>
      </c>
      <c r="G206">
        <f t="shared" si="41"/>
        <v>0</v>
      </c>
      <c r="H206" t="str">
        <f t="shared" si="42"/>
        <v/>
      </c>
      <c r="I206" t="str">
        <f t="shared" si="45"/>
        <v/>
      </c>
      <c r="J206" t="str">
        <f ca="1">IF(  Table1[[#This Row],[group single]]&lt;&gt;"",Table1[[#This Row],[group single]],  OFFSET(Table1[[#This Row],[group ]],-1,0))</f>
        <v>iot_devices</v>
      </c>
      <c r="K206" t="str">
        <f t="shared" si="46"/>
        <v/>
      </c>
      <c r="L206" t="str">
        <f t="shared" si="47"/>
        <v/>
      </c>
      <c r="M206" t="str">
        <f t="shared" si="48"/>
        <v/>
      </c>
      <c r="N206" t="str">
        <f t="shared" si="49"/>
        <v>IoT Devices</v>
      </c>
      <c r="O206" t="str">
        <f t="shared" si="50"/>
        <v/>
      </c>
      <c r="P206" t="str">
        <f t="shared" si="51"/>
        <v/>
      </c>
    </row>
    <row r="207" spans="2:16" x14ac:dyDescent="0.25">
      <c r="B207" s="11" t="s">
        <v>524</v>
      </c>
      <c r="C207">
        <f t="shared" si="43"/>
        <v>0</v>
      </c>
      <c r="D207">
        <f t="shared" si="39"/>
        <v>0</v>
      </c>
      <c r="E207">
        <f t="shared" si="44"/>
        <v>0</v>
      </c>
      <c r="F207">
        <f t="shared" si="40"/>
        <v>0</v>
      </c>
      <c r="G207">
        <f t="shared" si="41"/>
        <v>1</v>
      </c>
      <c r="H207" t="str">
        <f t="shared" si="42"/>
        <v/>
      </c>
      <c r="I207" t="str">
        <f t="shared" si="45"/>
        <v/>
      </c>
      <c r="J207" t="str">
        <f ca="1">IF(  Table1[[#This Row],[group single]]&lt;&gt;"",Table1[[#This Row],[group single]],  OFFSET(Table1[[#This Row],[group ]],-1,0))</f>
        <v>iot_devices</v>
      </c>
      <c r="K207" t="str">
        <f t="shared" si="46"/>
        <v/>
      </c>
      <c r="L207" t="str">
        <f t="shared" si="47"/>
        <v/>
      </c>
      <c r="M207" t="str">
        <f t="shared" si="48"/>
        <v/>
      </c>
      <c r="N207" t="str">
        <f t="shared" si="49"/>
        <v>IoT Devices</v>
      </c>
      <c r="O207" t="str">
        <f t="shared" si="50"/>
        <v xml:space="preserve">    - device_tracker.echo_dot</v>
      </c>
      <c r="P207" t="str">
        <f t="shared" si="51"/>
        <v>device_tracker.echo_dot</v>
      </c>
    </row>
    <row r="208" spans="2:16" x14ac:dyDescent="0.25">
      <c r="B208" s="11" t="s">
        <v>525</v>
      </c>
      <c r="C208">
        <f t="shared" si="43"/>
        <v>0</v>
      </c>
      <c r="D208">
        <f t="shared" si="39"/>
        <v>0</v>
      </c>
      <c r="E208">
        <f t="shared" si="44"/>
        <v>0</v>
      </c>
      <c r="F208">
        <f t="shared" si="40"/>
        <v>0</v>
      </c>
      <c r="G208">
        <f t="shared" si="41"/>
        <v>1</v>
      </c>
      <c r="H208" t="str">
        <f t="shared" si="42"/>
        <v/>
      </c>
      <c r="I208" t="str">
        <f t="shared" si="45"/>
        <v/>
      </c>
      <c r="J208" t="str">
        <f ca="1">IF(  Table1[[#This Row],[group single]]&lt;&gt;"",Table1[[#This Row],[group single]],  OFFSET(Table1[[#This Row],[group ]],-1,0))</f>
        <v>iot_devices</v>
      </c>
      <c r="K208" t="str">
        <f t="shared" si="46"/>
        <v/>
      </c>
      <c r="L208" t="str">
        <f t="shared" si="47"/>
        <v/>
      </c>
      <c r="M208" t="str">
        <f t="shared" si="48"/>
        <v/>
      </c>
      <c r="N208" t="str">
        <f t="shared" si="49"/>
        <v>IoT Devices</v>
      </c>
      <c r="O208" t="str">
        <f t="shared" si="50"/>
        <v xml:space="preserve">    - device_tracker.echo_tab</v>
      </c>
      <c r="P208" t="str">
        <f t="shared" si="51"/>
        <v>device_tracker.echo_tab</v>
      </c>
    </row>
    <row r="209" spans="2:16" x14ac:dyDescent="0.25">
      <c r="B209" s="11" t="s">
        <v>526</v>
      </c>
      <c r="C209">
        <f t="shared" si="43"/>
        <v>0</v>
      </c>
      <c r="D209">
        <f t="shared" si="39"/>
        <v>0</v>
      </c>
      <c r="E209">
        <f t="shared" si="44"/>
        <v>0</v>
      </c>
      <c r="F209">
        <f t="shared" si="40"/>
        <v>0</v>
      </c>
      <c r="G209">
        <f t="shared" si="41"/>
        <v>1</v>
      </c>
      <c r="H209" t="str">
        <f t="shared" si="42"/>
        <v/>
      </c>
      <c r="I209" t="str">
        <f t="shared" si="45"/>
        <v/>
      </c>
      <c r="J209" t="str">
        <f ca="1">IF(  Table1[[#This Row],[group single]]&lt;&gt;"",Table1[[#This Row],[group single]],  OFFSET(Table1[[#This Row],[group ]],-1,0))</f>
        <v>iot_devices</v>
      </c>
      <c r="K209" t="str">
        <f t="shared" si="46"/>
        <v/>
      </c>
      <c r="L209" t="str">
        <f t="shared" si="47"/>
        <v/>
      </c>
      <c r="M209" t="str">
        <f t="shared" si="48"/>
        <v/>
      </c>
      <c r="N209" t="str">
        <f t="shared" si="49"/>
        <v>IoT Devices</v>
      </c>
      <c r="O209" t="str">
        <f t="shared" si="50"/>
        <v xml:space="preserve">    - device_tracker.chromecast</v>
      </c>
      <c r="P209" t="str">
        <f t="shared" si="51"/>
        <v>device_tracker.chromecast</v>
      </c>
    </row>
    <row r="210" spans="2:16" x14ac:dyDescent="0.25">
      <c r="B210" s="11" t="s">
        <v>527</v>
      </c>
      <c r="C210">
        <f t="shared" si="43"/>
        <v>0</v>
      </c>
      <c r="D210">
        <f t="shared" si="39"/>
        <v>0</v>
      </c>
      <c r="E210">
        <f t="shared" si="44"/>
        <v>0</v>
      </c>
      <c r="F210">
        <f t="shared" si="40"/>
        <v>0</v>
      </c>
      <c r="G210">
        <f t="shared" si="41"/>
        <v>1</v>
      </c>
      <c r="H210" t="str">
        <f t="shared" si="42"/>
        <v/>
      </c>
      <c r="I210" t="str">
        <f t="shared" si="45"/>
        <v/>
      </c>
      <c r="J210" t="str">
        <f ca="1">IF(  Table1[[#This Row],[group single]]&lt;&gt;"",Table1[[#This Row],[group single]],  OFFSET(Table1[[#This Row],[group ]],-1,0))</f>
        <v>iot_devices</v>
      </c>
      <c r="K210" t="str">
        <f t="shared" si="46"/>
        <v/>
      </c>
      <c r="L210" t="str">
        <f t="shared" si="47"/>
        <v/>
      </c>
      <c r="M210" t="str">
        <f t="shared" si="48"/>
        <v/>
      </c>
      <c r="N210" t="str">
        <f t="shared" si="49"/>
        <v>IoT Devices</v>
      </c>
      <c r="O210" t="str">
        <f t="shared" si="50"/>
        <v xml:space="preserve">    - device_tracker.chromecast_2</v>
      </c>
      <c r="P210" t="str">
        <f t="shared" si="51"/>
        <v>device_tracker.chromecast_2</v>
      </c>
    </row>
    <row r="211" spans="2:16" x14ac:dyDescent="0.25">
      <c r="B211" s="11" t="s">
        <v>528</v>
      </c>
      <c r="C211">
        <f t="shared" si="43"/>
        <v>0</v>
      </c>
      <c r="D211">
        <f t="shared" si="39"/>
        <v>0</v>
      </c>
      <c r="E211">
        <f t="shared" si="44"/>
        <v>0</v>
      </c>
      <c r="F211">
        <f t="shared" si="40"/>
        <v>0</v>
      </c>
      <c r="G211">
        <f t="shared" si="41"/>
        <v>1</v>
      </c>
      <c r="H211" t="str">
        <f t="shared" si="42"/>
        <v/>
      </c>
      <c r="I211" t="str">
        <f t="shared" si="45"/>
        <v/>
      </c>
      <c r="J211" t="str">
        <f ca="1">IF(  Table1[[#This Row],[group single]]&lt;&gt;"",Table1[[#This Row],[group single]],  OFFSET(Table1[[#This Row],[group ]],-1,0))</f>
        <v>iot_devices</v>
      </c>
      <c r="K211" t="str">
        <f t="shared" si="46"/>
        <v/>
      </c>
      <c r="L211" t="str">
        <f t="shared" si="47"/>
        <v/>
      </c>
      <c r="M211" t="str">
        <f t="shared" si="48"/>
        <v/>
      </c>
      <c r="N211" t="str">
        <f t="shared" si="49"/>
        <v>IoT Devices</v>
      </c>
      <c r="O211" t="str">
        <f t="shared" si="50"/>
        <v xml:space="preserve">    - device_tracker.withings_scale</v>
      </c>
      <c r="P211" t="str">
        <f t="shared" si="51"/>
        <v>device_tracker.withings_scale</v>
      </c>
    </row>
    <row r="212" spans="2:16" x14ac:dyDescent="0.25">
      <c r="B212" s="11" t="s">
        <v>529</v>
      </c>
      <c r="C212">
        <f t="shared" si="43"/>
        <v>0</v>
      </c>
      <c r="D212">
        <f t="shared" si="39"/>
        <v>0</v>
      </c>
      <c r="E212">
        <f t="shared" si="44"/>
        <v>0</v>
      </c>
      <c r="F212">
        <f t="shared" si="40"/>
        <v>0</v>
      </c>
      <c r="G212">
        <f t="shared" si="41"/>
        <v>1</v>
      </c>
      <c r="H212" t="str">
        <f t="shared" si="42"/>
        <v/>
      </c>
      <c r="I212" t="str">
        <f t="shared" si="45"/>
        <v/>
      </c>
      <c r="J212" t="str">
        <f ca="1">IF(  Table1[[#This Row],[group single]]&lt;&gt;"",Table1[[#This Row],[group single]],  OFFSET(Table1[[#This Row],[group ]],-1,0))</f>
        <v>iot_devices</v>
      </c>
      <c r="K212" t="str">
        <f t="shared" si="46"/>
        <v/>
      </c>
      <c r="L212" t="str">
        <f t="shared" si="47"/>
        <v/>
      </c>
      <c r="M212" t="str">
        <f t="shared" si="48"/>
        <v/>
      </c>
      <c r="N212" t="str">
        <f t="shared" si="49"/>
        <v>IoT Devices</v>
      </c>
      <c r="O212" t="str">
        <f t="shared" si="50"/>
        <v xml:space="preserve">    - device_tracker.vera_lite</v>
      </c>
      <c r="P212" t="str">
        <f t="shared" si="51"/>
        <v>device_tracker.vera_lite</v>
      </c>
    </row>
    <row r="213" spans="2:16" x14ac:dyDescent="0.25">
      <c r="B213" s="11" t="s">
        <v>530</v>
      </c>
      <c r="C213">
        <f t="shared" si="43"/>
        <v>0</v>
      </c>
      <c r="D213">
        <f t="shared" si="39"/>
        <v>0</v>
      </c>
      <c r="E213">
        <f t="shared" si="44"/>
        <v>0</v>
      </c>
      <c r="F213">
        <f t="shared" si="40"/>
        <v>0</v>
      </c>
      <c r="G213">
        <f t="shared" si="41"/>
        <v>1</v>
      </c>
      <c r="H213" t="str">
        <f t="shared" si="42"/>
        <v/>
      </c>
      <c r="I213" t="str">
        <f t="shared" si="45"/>
        <v/>
      </c>
      <c r="J213" t="str">
        <f ca="1">IF(  Table1[[#This Row],[group single]]&lt;&gt;"",Table1[[#This Row],[group single]],  OFFSET(Table1[[#This Row],[group ]],-1,0))</f>
        <v>iot_devices</v>
      </c>
      <c r="K213" t="str">
        <f t="shared" si="46"/>
        <v/>
      </c>
      <c r="L213" t="str">
        <f t="shared" si="47"/>
        <v/>
      </c>
      <c r="M213" t="str">
        <f t="shared" si="48"/>
        <v/>
      </c>
      <c r="N213" t="str">
        <f t="shared" si="49"/>
        <v>IoT Devices</v>
      </c>
      <c r="O213" t="str">
        <f t="shared" si="50"/>
        <v xml:space="preserve">    - device_tracker.hue_hub</v>
      </c>
      <c r="P213" t="str">
        <f t="shared" si="51"/>
        <v>device_tracker.hue_hub</v>
      </c>
    </row>
    <row r="214" spans="2:16" x14ac:dyDescent="0.25">
      <c r="B214" s="11" t="s">
        <v>531</v>
      </c>
      <c r="C214">
        <f t="shared" si="43"/>
        <v>0</v>
      </c>
      <c r="D214">
        <f t="shared" si="39"/>
        <v>0</v>
      </c>
      <c r="E214">
        <f t="shared" si="44"/>
        <v>0</v>
      </c>
      <c r="F214">
        <f t="shared" si="40"/>
        <v>0</v>
      </c>
      <c r="G214">
        <f t="shared" si="41"/>
        <v>1</v>
      </c>
      <c r="H214" t="str">
        <f t="shared" si="42"/>
        <v/>
      </c>
      <c r="I214" t="str">
        <f t="shared" si="45"/>
        <v/>
      </c>
      <c r="J214" t="str">
        <f ca="1">IF(  Table1[[#This Row],[group single]]&lt;&gt;"",Table1[[#This Row],[group single]],  OFFSET(Table1[[#This Row],[group ]],-1,0))</f>
        <v>iot_devices</v>
      </c>
      <c r="K214" t="str">
        <f t="shared" si="46"/>
        <v/>
      </c>
      <c r="L214" t="str">
        <f t="shared" si="47"/>
        <v/>
      </c>
      <c r="M214" t="str">
        <f t="shared" si="48"/>
        <v/>
      </c>
      <c r="N214" t="str">
        <f t="shared" si="49"/>
        <v>IoT Devices</v>
      </c>
      <c r="O214" t="str">
        <f t="shared" si="50"/>
        <v xml:space="preserve">    - device_tracker.wf2ir</v>
      </c>
      <c r="P214" t="str">
        <f t="shared" si="51"/>
        <v>device_tracker.wf2ir</v>
      </c>
    </row>
    <row r="215" spans="2:16" x14ac:dyDescent="0.25">
      <c r="B215" s="11" t="s">
        <v>532</v>
      </c>
      <c r="C215">
        <f t="shared" si="43"/>
        <v>0</v>
      </c>
      <c r="D215">
        <f t="shared" si="39"/>
        <v>0</v>
      </c>
      <c r="E215">
        <f t="shared" si="44"/>
        <v>0</v>
      </c>
      <c r="F215">
        <f t="shared" si="40"/>
        <v>0</v>
      </c>
      <c r="G215">
        <f t="shared" si="41"/>
        <v>1</v>
      </c>
      <c r="H215" t="str">
        <f t="shared" si="42"/>
        <v/>
      </c>
      <c r="I215" t="str">
        <f t="shared" si="45"/>
        <v/>
      </c>
      <c r="J215" t="str">
        <f ca="1">IF(  Table1[[#This Row],[group single]]&lt;&gt;"",Table1[[#This Row],[group single]],  OFFSET(Table1[[#This Row],[group ]],-1,0))</f>
        <v>iot_devices</v>
      </c>
      <c r="K215" t="str">
        <f t="shared" si="46"/>
        <v/>
      </c>
      <c r="L215" t="str">
        <f t="shared" si="47"/>
        <v/>
      </c>
      <c r="M215" t="str">
        <f t="shared" si="48"/>
        <v/>
      </c>
      <c r="N215" t="str">
        <f t="shared" si="49"/>
        <v>IoT Devices</v>
      </c>
      <c r="O215" t="str">
        <f t="shared" si="50"/>
        <v xml:space="preserve">    - device_tracker.raspi_vpn</v>
      </c>
      <c r="P215" t="str">
        <f t="shared" si="51"/>
        <v>device_tracker.raspi_vpn</v>
      </c>
    </row>
    <row r="216" spans="2:16" x14ac:dyDescent="0.25">
      <c r="B216" s="11" t="s">
        <v>533</v>
      </c>
      <c r="C216">
        <f t="shared" si="43"/>
        <v>0</v>
      </c>
      <c r="D216">
        <f t="shared" si="39"/>
        <v>0</v>
      </c>
      <c r="E216">
        <f t="shared" si="44"/>
        <v>0</v>
      </c>
      <c r="F216">
        <f t="shared" si="40"/>
        <v>0</v>
      </c>
      <c r="G216">
        <f t="shared" si="41"/>
        <v>1</v>
      </c>
      <c r="H216" t="str">
        <f t="shared" si="42"/>
        <v/>
      </c>
      <c r="I216" t="str">
        <f t="shared" si="45"/>
        <v/>
      </c>
      <c r="J216" t="str">
        <f ca="1">IF(  Table1[[#This Row],[group single]]&lt;&gt;"",Table1[[#This Row],[group single]],  OFFSET(Table1[[#This Row],[group ]],-1,0))</f>
        <v>iot_devices</v>
      </c>
      <c r="K216" t="str">
        <f t="shared" si="46"/>
        <v/>
      </c>
      <c r="L216" t="str">
        <f t="shared" si="47"/>
        <v/>
      </c>
      <c r="M216" t="str">
        <f t="shared" si="48"/>
        <v/>
      </c>
      <c r="N216" t="str">
        <f t="shared" si="49"/>
        <v>IoT Devices</v>
      </c>
      <c r="O216" t="str">
        <f t="shared" si="50"/>
        <v xml:space="preserve">    - device_tracker.jtac</v>
      </c>
      <c r="P216" t="str">
        <f t="shared" si="51"/>
        <v>device_tracker.jtac</v>
      </c>
    </row>
    <row r="217" spans="2:16" x14ac:dyDescent="0.25">
      <c r="B217" s="11" t="s">
        <v>534</v>
      </c>
      <c r="C217">
        <f t="shared" si="43"/>
        <v>0</v>
      </c>
      <c r="D217">
        <f t="shared" si="39"/>
        <v>0</v>
      </c>
      <c r="E217">
        <f t="shared" si="44"/>
        <v>0</v>
      </c>
      <c r="F217">
        <f t="shared" si="40"/>
        <v>0</v>
      </c>
      <c r="G217">
        <f t="shared" si="41"/>
        <v>1</v>
      </c>
      <c r="H217" t="str">
        <f t="shared" si="42"/>
        <v/>
      </c>
      <c r="I217" t="str">
        <f t="shared" si="45"/>
        <v/>
      </c>
      <c r="J217" t="str">
        <f ca="1">IF(  Table1[[#This Row],[group single]]&lt;&gt;"",Table1[[#This Row],[group single]],  OFFSET(Table1[[#This Row],[group ]],-1,0))</f>
        <v>iot_devices</v>
      </c>
      <c r="K217" t="str">
        <f t="shared" si="46"/>
        <v/>
      </c>
      <c r="L217" t="str">
        <f t="shared" si="47"/>
        <v/>
      </c>
      <c r="M217" t="str">
        <f t="shared" si="48"/>
        <v/>
      </c>
      <c r="N217" t="str">
        <f t="shared" si="49"/>
        <v>IoT Devices</v>
      </c>
      <c r="O217" t="str">
        <f t="shared" si="50"/>
        <v xml:space="preserve">    - device_tracker.tplink_switch</v>
      </c>
      <c r="P217" t="str">
        <f t="shared" si="51"/>
        <v>device_tracker.tplink_switch</v>
      </c>
    </row>
    <row r="218" spans="2:16" x14ac:dyDescent="0.25">
      <c r="B218" s="11"/>
      <c r="C218">
        <f t="shared" si="43"/>
        <v>1</v>
      </c>
      <c r="D218">
        <f t="shared" si="39"/>
        <v>0</v>
      </c>
      <c r="E218">
        <f t="shared" si="44"/>
        <v>0</v>
      </c>
      <c r="F218">
        <f t="shared" si="40"/>
        <v>0</v>
      </c>
      <c r="G218">
        <f t="shared" si="41"/>
        <v>0</v>
      </c>
      <c r="H218" t="str">
        <f t="shared" si="42"/>
        <v/>
      </c>
      <c r="I218" t="str">
        <f t="shared" si="45"/>
        <v/>
      </c>
      <c r="J218" t="str">
        <f ca="1">IF(  Table1[[#This Row],[group single]]&lt;&gt;"",Table1[[#This Row],[group single]],  OFFSET(Table1[[#This Row],[group ]],-1,0))</f>
        <v>iot_devices</v>
      </c>
      <c r="K218" t="str">
        <f t="shared" si="46"/>
        <v/>
      </c>
      <c r="L218" t="str">
        <f t="shared" si="47"/>
        <v/>
      </c>
      <c r="M218" t="str">
        <f t="shared" si="48"/>
        <v/>
      </c>
      <c r="N218" t="str">
        <f t="shared" si="49"/>
        <v>IoT Devices</v>
      </c>
      <c r="O218" t="str">
        <f t="shared" si="50"/>
        <v/>
      </c>
      <c r="P218" t="str">
        <f t="shared" si="51"/>
        <v/>
      </c>
    </row>
    <row r="219" spans="2:16" x14ac:dyDescent="0.25">
      <c r="B219" s="11" t="s">
        <v>535</v>
      </c>
      <c r="C219">
        <f t="shared" si="43"/>
        <v>0</v>
      </c>
      <c r="D219">
        <f t="shared" si="39"/>
        <v>0</v>
      </c>
      <c r="E219">
        <f t="shared" si="44"/>
        <v>1</v>
      </c>
      <c r="F219">
        <f t="shared" si="40"/>
        <v>0</v>
      </c>
      <c r="G219">
        <f t="shared" si="41"/>
        <v>0</v>
      </c>
      <c r="H219" t="str">
        <f t="shared" si="42"/>
        <v>host_device:</v>
      </c>
      <c r="I219" t="str">
        <f t="shared" si="45"/>
        <v>host_device</v>
      </c>
      <c r="J219" t="str">
        <f ca="1">IF(  Table1[[#This Row],[group single]]&lt;&gt;"",Table1[[#This Row],[group single]],  OFFSET(Table1[[#This Row],[group ]],-1,0))</f>
        <v>host_device</v>
      </c>
      <c r="K219" t="str">
        <f t="shared" si="46"/>
        <v/>
      </c>
      <c r="L219" t="str">
        <f t="shared" si="47"/>
        <v/>
      </c>
      <c r="M219" t="str">
        <f t="shared" si="48"/>
        <v/>
      </c>
      <c r="N219" t="str">
        <f t="shared" si="49"/>
        <v>IoT Devices</v>
      </c>
      <c r="O219" t="str">
        <f t="shared" si="50"/>
        <v/>
      </c>
      <c r="P219" t="str">
        <f t="shared" si="51"/>
        <v/>
      </c>
    </row>
    <row r="220" spans="2:16" x14ac:dyDescent="0.25">
      <c r="B220" s="11" t="s">
        <v>536</v>
      </c>
      <c r="C220">
        <f t="shared" si="43"/>
        <v>0</v>
      </c>
      <c r="D220">
        <f t="shared" si="39"/>
        <v>1</v>
      </c>
      <c r="E220">
        <f t="shared" si="44"/>
        <v>0</v>
      </c>
      <c r="F220">
        <f t="shared" si="40"/>
        <v>1</v>
      </c>
      <c r="G220">
        <f t="shared" si="41"/>
        <v>0</v>
      </c>
      <c r="H220" t="str">
        <f t="shared" si="42"/>
        <v/>
      </c>
      <c r="I220" t="str">
        <f t="shared" si="45"/>
        <v/>
      </c>
      <c r="J220" t="str">
        <f ca="1">IF(  Table1[[#This Row],[group single]]&lt;&gt;"",Table1[[#This Row],[group single]],  OFFSET(Table1[[#This Row],[group ]],-1,0))</f>
        <v>host_device</v>
      </c>
      <c r="K220" t="str">
        <f t="shared" si="46"/>
        <v xml:space="preserve">  name: Raspi-HA</v>
      </c>
      <c r="L220" t="str">
        <f t="shared" si="47"/>
        <v>Raspi-HA</v>
      </c>
      <c r="M220" t="str">
        <f t="shared" si="48"/>
        <v>Raspi-HA</v>
      </c>
      <c r="N220" t="str">
        <f t="shared" si="49"/>
        <v>Raspi-HA</v>
      </c>
      <c r="O220" t="str">
        <f t="shared" si="50"/>
        <v/>
      </c>
      <c r="P220" t="str">
        <f t="shared" si="51"/>
        <v/>
      </c>
    </row>
    <row r="221" spans="2:16" x14ac:dyDescent="0.25">
      <c r="B221" s="11" t="s">
        <v>12</v>
      </c>
      <c r="C221">
        <f t="shared" si="43"/>
        <v>0</v>
      </c>
      <c r="D221">
        <f t="shared" si="39"/>
        <v>1</v>
      </c>
      <c r="E221">
        <f t="shared" si="44"/>
        <v>0</v>
      </c>
      <c r="F221">
        <f t="shared" si="40"/>
        <v>0</v>
      </c>
      <c r="G221">
        <f t="shared" si="41"/>
        <v>0</v>
      </c>
      <c r="H221" t="str">
        <f t="shared" si="42"/>
        <v/>
      </c>
      <c r="I221" t="str">
        <f t="shared" si="45"/>
        <v/>
      </c>
      <c r="J221" t="str">
        <f ca="1">IF(  Table1[[#This Row],[group single]]&lt;&gt;"",Table1[[#This Row],[group single]],  OFFSET(Table1[[#This Row],[group ]],-1,0))</f>
        <v>host_device</v>
      </c>
      <c r="K221" t="str">
        <f t="shared" si="46"/>
        <v/>
      </c>
      <c r="L221" t="str">
        <f t="shared" si="47"/>
        <v/>
      </c>
      <c r="M221" t="str">
        <f t="shared" si="48"/>
        <v/>
      </c>
      <c r="N221" t="str">
        <f t="shared" si="49"/>
        <v>Raspi-HA</v>
      </c>
      <c r="O221" t="str">
        <f t="shared" si="50"/>
        <v/>
      </c>
      <c r="P221" t="str">
        <f t="shared" si="51"/>
        <v/>
      </c>
    </row>
    <row r="222" spans="2:16" x14ac:dyDescent="0.25">
      <c r="B222" s="11" t="s">
        <v>537</v>
      </c>
      <c r="C222">
        <f t="shared" si="43"/>
        <v>0</v>
      </c>
      <c r="D222">
        <f t="shared" si="39"/>
        <v>0</v>
      </c>
      <c r="E222">
        <f t="shared" si="44"/>
        <v>0</v>
      </c>
      <c r="F222">
        <f t="shared" si="40"/>
        <v>0</v>
      </c>
      <c r="G222">
        <f t="shared" si="41"/>
        <v>1</v>
      </c>
      <c r="H222" t="str">
        <f t="shared" si="42"/>
        <v/>
      </c>
      <c r="I222" t="str">
        <f t="shared" si="45"/>
        <v/>
      </c>
      <c r="J222" t="str">
        <f ca="1">IF(  Table1[[#This Row],[group single]]&lt;&gt;"",Table1[[#This Row],[group single]],  OFFSET(Table1[[#This Row],[group ]],-1,0))</f>
        <v>host_device</v>
      </c>
      <c r="K222" t="str">
        <f t="shared" si="46"/>
        <v/>
      </c>
      <c r="L222" t="str">
        <f t="shared" si="47"/>
        <v/>
      </c>
      <c r="M222" t="str">
        <f t="shared" si="48"/>
        <v/>
      </c>
      <c r="N222" t="str">
        <f t="shared" si="49"/>
        <v>Raspi-HA</v>
      </c>
      <c r="O222" t="str">
        <f t="shared" si="50"/>
        <v xml:space="preserve">    - sensor.cpu_temp</v>
      </c>
      <c r="P222" t="str">
        <f t="shared" si="51"/>
        <v>sensor.cpu_temp</v>
      </c>
    </row>
    <row r="223" spans="2:16" x14ac:dyDescent="0.25">
      <c r="B223" s="11" t="s">
        <v>538</v>
      </c>
      <c r="C223">
        <f t="shared" si="43"/>
        <v>0</v>
      </c>
      <c r="D223">
        <f t="shared" si="39"/>
        <v>0</v>
      </c>
      <c r="E223">
        <f t="shared" si="44"/>
        <v>0</v>
      </c>
      <c r="F223">
        <f t="shared" si="40"/>
        <v>0</v>
      </c>
      <c r="G223">
        <f t="shared" si="41"/>
        <v>1</v>
      </c>
      <c r="H223" t="str">
        <f t="shared" si="42"/>
        <v/>
      </c>
      <c r="I223" t="str">
        <f t="shared" si="45"/>
        <v/>
      </c>
      <c r="J223" t="str">
        <f ca="1">IF(  Table1[[#This Row],[group single]]&lt;&gt;"",Table1[[#This Row],[group single]],  OFFSET(Table1[[#This Row],[group ]],-1,0))</f>
        <v>host_device</v>
      </c>
      <c r="K223" t="str">
        <f t="shared" si="46"/>
        <v/>
      </c>
      <c r="L223" t="str">
        <f t="shared" si="47"/>
        <v/>
      </c>
      <c r="M223" t="str">
        <f t="shared" si="48"/>
        <v/>
      </c>
      <c r="N223" t="str">
        <f t="shared" si="49"/>
        <v>Raspi-HA</v>
      </c>
      <c r="O223" t="str">
        <f t="shared" si="50"/>
        <v xml:space="preserve">    - sensor.cpu_use</v>
      </c>
      <c r="P223" t="str">
        <f t="shared" si="51"/>
        <v>sensor.cpu_use</v>
      </c>
    </row>
    <row r="224" spans="2:16" x14ac:dyDescent="0.25">
      <c r="B224" s="11" t="s">
        <v>539</v>
      </c>
      <c r="C224">
        <f t="shared" si="43"/>
        <v>0</v>
      </c>
      <c r="D224">
        <f t="shared" si="39"/>
        <v>0</v>
      </c>
      <c r="E224">
        <f t="shared" si="44"/>
        <v>0</v>
      </c>
      <c r="F224">
        <f t="shared" si="40"/>
        <v>0</v>
      </c>
      <c r="G224">
        <f t="shared" si="41"/>
        <v>1</v>
      </c>
      <c r="H224" t="str">
        <f t="shared" si="42"/>
        <v/>
      </c>
      <c r="I224" t="str">
        <f t="shared" si="45"/>
        <v/>
      </c>
      <c r="J224" t="str">
        <f ca="1">IF(  Table1[[#This Row],[group single]]&lt;&gt;"",Table1[[#This Row],[group single]],  OFFSET(Table1[[#This Row],[group ]],-1,0))</f>
        <v>host_device</v>
      </c>
      <c r="K224" t="str">
        <f t="shared" si="46"/>
        <v/>
      </c>
      <c r="L224" t="str">
        <f t="shared" si="47"/>
        <v/>
      </c>
      <c r="M224" t="str">
        <f t="shared" si="48"/>
        <v/>
      </c>
      <c r="N224" t="str">
        <f t="shared" si="49"/>
        <v>Raspi-HA</v>
      </c>
      <c r="O224" t="str">
        <f t="shared" si="50"/>
        <v xml:space="preserve">    - sensor.ram_free</v>
      </c>
      <c r="P224" t="str">
        <f t="shared" si="51"/>
        <v>sensor.ram_free</v>
      </c>
    </row>
    <row r="225" spans="2:16" x14ac:dyDescent="0.25">
      <c r="B225" s="11" t="s">
        <v>540</v>
      </c>
      <c r="C225">
        <f t="shared" si="43"/>
        <v>0</v>
      </c>
      <c r="D225">
        <f t="shared" si="39"/>
        <v>0</v>
      </c>
      <c r="E225">
        <f t="shared" si="44"/>
        <v>0</v>
      </c>
      <c r="F225">
        <f t="shared" si="40"/>
        <v>0</v>
      </c>
      <c r="G225">
        <f t="shared" si="41"/>
        <v>1</v>
      </c>
      <c r="H225" t="str">
        <f t="shared" si="42"/>
        <v/>
      </c>
      <c r="I225" t="str">
        <f t="shared" si="45"/>
        <v/>
      </c>
      <c r="J225" t="str">
        <f ca="1">IF(  Table1[[#This Row],[group single]]&lt;&gt;"",Table1[[#This Row],[group single]],  OFFSET(Table1[[#This Row],[group ]],-1,0))</f>
        <v>host_device</v>
      </c>
      <c r="K225" t="str">
        <f t="shared" si="46"/>
        <v/>
      </c>
      <c r="L225" t="str">
        <f t="shared" si="47"/>
        <v/>
      </c>
      <c r="M225" t="str">
        <f t="shared" si="48"/>
        <v/>
      </c>
      <c r="N225" t="str">
        <f t="shared" si="49"/>
        <v>Raspi-HA</v>
      </c>
      <c r="O225" t="str">
        <f t="shared" si="50"/>
        <v xml:space="preserve">    - sensor.disk_use_home</v>
      </c>
      <c r="P225" t="str">
        <f t="shared" si="51"/>
        <v>sensor.disk_use_home</v>
      </c>
    </row>
    <row r="226" spans="2:16" x14ac:dyDescent="0.25">
      <c r="B226" s="11" t="s">
        <v>541</v>
      </c>
      <c r="C226">
        <f t="shared" si="43"/>
        <v>0</v>
      </c>
      <c r="D226">
        <f t="shared" si="39"/>
        <v>0</v>
      </c>
      <c r="E226">
        <f t="shared" si="44"/>
        <v>0</v>
      </c>
      <c r="F226">
        <f t="shared" si="40"/>
        <v>0</v>
      </c>
      <c r="G226">
        <f t="shared" si="41"/>
        <v>1</v>
      </c>
      <c r="H226" t="str">
        <f t="shared" si="42"/>
        <v/>
      </c>
      <c r="I226" t="str">
        <f t="shared" si="45"/>
        <v/>
      </c>
      <c r="J226" t="str">
        <f ca="1">IF(  Table1[[#This Row],[group single]]&lt;&gt;"",Table1[[#This Row],[group single]],  OFFSET(Table1[[#This Row],[group ]],-1,0))</f>
        <v>host_device</v>
      </c>
      <c r="K226" t="str">
        <f t="shared" si="46"/>
        <v/>
      </c>
      <c r="L226" t="str">
        <f t="shared" si="47"/>
        <v/>
      </c>
      <c r="M226" t="str">
        <f t="shared" si="48"/>
        <v/>
      </c>
      <c r="N226" t="str">
        <f t="shared" si="49"/>
        <v>Raspi-HA</v>
      </c>
      <c r="O226" t="str">
        <f t="shared" si="50"/>
        <v xml:space="preserve">    - sensor.last_boot</v>
      </c>
      <c r="P226" t="str">
        <f t="shared" si="51"/>
        <v>sensor.last_boot</v>
      </c>
    </row>
    <row r="227" spans="2:16" x14ac:dyDescent="0.25">
      <c r="B227" s="11"/>
      <c r="C227">
        <f t="shared" si="43"/>
        <v>1</v>
      </c>
      <c r="D227">
        <f t="shared" si="39"/>
        <v>0</v>
      </c>
      <c r="E227">
        <f t="shared" si="44"/>
        <v>0</v>
      </c>
      <c r="F227">
        <f t="shared" si="40"/>
        <v>0</v>
      </c>
      <c r="G227">
        <f t="shared" si="41"/>
        <v>0</v>
      </c>
      <c r="H227" t="str">
        <f t="shared" si="42"/>
        <v/>
      </c>
      <c r="I227" t="str">
        <f t="shared" si="45"/>
        <v/>
      </c>
      <c r="J227" t="str">
        <f ca="1">IF(  Table1[[#This Row],[group single]]&lt;&gt;"",Table1[[#This Row],[group single]],  OFFSET(Table1[[#This Row],[group ]],-1,0))</f>
        <v>host_device</v>
      </c>
      <c r="K227" t="str">
        <f t="shared" si="46"/>
        <v/>
      </c>
      <c r="L227" t="str">
        <f t="shared" si="47"/>
        <v/>
      </c>
      <c r="M227" t="str">
        <f t="shared" si="48"/>
        <v/>
      </c>
      <c r="N227" t="str">
        <f t="shared" si="49"/>
        <v>Raspi-HA</v>
      </c>
      <c r="O227" t="str">
        <f t="shared" si="50"/>
        <v/>
      </c>
      <c r="P227" t="str">
        <f t="shared" si="51"/>
        <v/>
      </c>
    </row>
    <row r="228" spans="2:16" x14ac:dyDescent="0.25">
      <c r="B228" s="11" t="s">
        <v>542</v>
      </c>
      <c r="C228">
        <f t="shared" si="43"/>
        <v>0</v>
      </c>
      <c r="D228">
        <f t="shared" si="39"/>
        <v>0</v>
      </c>
      <c r="E228">
        <f t="shared" si="44"/>
        <v>1</v>
      </c>
      <c r="F228">
        <f t="shared" si="40"/>
        <v>0</v>
      </c>
      <c r="G228">
        <f t="shared" si="41"/>
        <v>0</v>
      </c>
      <c r="H228" t="str">
        <f t="shared" si="42"/>
        <v>unknown_devices:</v>
      </c>
      <c r="I228" t="str">
        <f t="shared" si="45"/>
        <v>unknown_devices</v>
      </c>
      <c r="J228" t="str">
        <f ca="1">IF(  Table1[[#This Row],[group single]]&lt;&gt;"",Table1[[#This Row],[group single]],  OFFSET(Table1[[#This Row],[group ]],-1,0))</f>
        <v>unknown_devices</v>
      </c>
      <c r="K228" t="str">
        <f t="shared" si="46"/>
        <v/>
      </c>
      <c r="L228" t="str">
        <f t="shared" si="47"/>
        <v/>
      </c>
      <c r="M228" t="str">
        <f t="shared" si="48"/>
        <v/>
      </c>
      <c r="N228" t="str">
        <f t="shared" si="49"/>
        <v>Raspi-HA</v>
      </c>
      <c r="O228" t="str">
        <f t="shared" si="50"/>
        <v/>
      </c>
      <c r="P228" t="str">
        <f t="shared" si="51"/>
        <v/>
      </c>
    </row>
    <row r="229" spans="2:16" x14ac:dyDescent="0.25">
      <c r="B229" s="11" t="s">
        <v>543</v>
      </c>
      <c r="C229">
        <f t="shared" si="43"/>
        <v>0</v>
      </c>
      <c r="D229">
        <f t="shared" si="39"/>
        <v>1</v>
      </c>
      <c r="E229">
        <f t="shared" si="44"/>
        <v>0</v>
      </c>
      <c r="F229">
        <f t="shared" si="40"/>
        <v>1</v>
      </c>
      <c r="G229">
        <f t="shared" si="41"/>
        <v>0</v>
      </c>
      <c r="H229" t="str">
        <f t="shared" si="42"/>
        <v/>
      </c>
      <c r="I229" t="str">
        <f t="shared" si="45"/>
        <v/>
      </c>
      <c r="J229" t="str">
        <f ca="1">IF(  Table1[[#This Row],[group single]]&lt;&gt;"",Table1[[#This Row],[group single]],  OFFSET(Table1[[#This Row],[group ]],-1,0))</f>
        <v>unknown_devices</v>
      </c>
      <c r="K229" t="str">
        <f t="shared" si="46"/>
        <v xml:space="preserve">  name: Unknown Devices</v>
      </c>
      <c r="L229" t="str">
        <f t="shared" si="47"/>
        <v>Unknown Devices</v>
      </c>
      <c r="M229" t="str">
        <f t="shared" si="48"/>
        <v>Unknown Devices</v>
      </c>
      <c r="N229" t="str">
        <f t="shared" si="49"/>
        <v>Unknown Devices</v>
      </c>
      <c r="O229" t="str">
        <f t="shared" si="50"/>
        <v/>
      </c>
      <c r="P229" t="str">
        <f t="shared" si="51"/>
        <v/>
      </c>
    </row>
    <row r="230" spans="2:16" x14ac:dyDescent="0.25">
      <c r="B230" s="11" t="s">
        <v>12</v>
      </c>
      <c r="C230">
        <f t="shared" si="43"/>
        <v>0</v>
      </c>
      <c r="D230">
        <f t="shared" si="39"/>
        <v>1</v>
      </c>
      <c r="E230">
        <f t="shared" si="44"/>
        <v>0</v>
      </c>
      <c r="F230">
        <f t="shared" si="40"/>
        <v>0</v>
      </c>
      <c r="G230">
        <f t="shared" si="41"/>
        <v>0</v>
      </c>
      <c r="H230" t="str">
        <f t="shared" si="42"/>
        <v/>
      </c>
      <c r="I230" t="str">
        <f t="shared" si="45"/>
        <v/>
      </c>
      <c r="J230" t="str">
        <f ca="1">IF(  Table1[[#This Row],[group single]]&lt;&gt;"",Table1[[#This Row],[group single]],  OFFSET(Table1[[#This Row],[group ]],-1,0))</f>
        <v>unknown_devices</v>
      </c>
      <c r="K230" t="str">
        <f t="shared" si="46"/>
        <v/>
      </c>
      <c r="L230" t="str">
        <f t="shared" si="47"/>
        <v/>
      </c>
      <c r="M230" t="str">
        <f t="shared" si="48"/>
        <v/>
      </c>
      <c r="N230" t="str">
        <f t="shared" si="49"/>
        <v>Unknown Devices</v>
      </c>
      <c r="O230" t="str">
        <f t="shared" si="50"/>
        <v/>
      </c>
      <c r="P230" t="str">
        <f t="shared" si="51"/>
        <v/>
      </c>
    </row>
    <row r="231" spans="2:16" x14ac:dyDescent="0.25">
      <c r="B231" s="11" t="s">
        <v>544</v>
      </c>
      <c r="C231">
        <f t="shared" si="43"/>
        <v>0</v>
      </c>
      <c r="D231">
        <f t="shared" si="39"/>
        <v>0</v>
      </c>
      <c r="E231">
        <f t="shared" si="44"/>
        <v>0</v>
      </c>
      <c r="F231">
        <f t="shared" si="40"/>
        <v>0</v>
      </c>
      <c r="G231">
        <f t="shared" si="41"/>
        <v>1</v>
      </c>
      <c r="H231" t="str">
        <f t="shared" si="42"/>
        <v/>
      </c>
      <c r="I231" t="str">
        <f t="shared" si="45"/>
        <v/>
      </c>
      <c r="J231" t="str">
        <f ca="1">IF(  Table1[[#This Row],[group single]]&lt;&gt;"",Table1[[#This Row],[group single]],  OFFSET(Table1[[#This Row],[group ]],-1,0))</f>
        <v>unknown_devices</v>
      </c>
      <c r="K231" t="str">
        <f t="shared" si="46"/>
        <v/>
      </c>
      <c r="L231" t="str">
        <f t="shared" si="47"/>
        <v/>
      </c>
      <c r="M231" t="str">
        <f t="shared" si="48"/>
        <v/>
      </c>
      <c r="N231" t="str">
        <f t="shared" si="49"/>
        <v>Unknown Devices</v>
      </c>
      <c r="O231" t="str">
        <f t="shared" si="50"/>
        <v xml:space="preserve">    - device_tracker.libp03pgs4bhl9</v>
      </c>
      <c r="P231" t="str">
        <f t="shared" si="51"/>
        <v>device_tracker.libp03pgs4bhl9</v>
      </c>
    </row>
    <row r="232" spans="2:16" x14ac:dyDescent="0.25">
      <c r="B232" s="11" t="s">
        <v>545</v>
      </c>
      <c r="C232">
        <f t="shared" si="43"/>
        <v>0</v>
      </c>
      <c r="D232">
        <f t="shared" si="39"/>
        <v>0</v>
      </c>
      <c r="E232">
        <f t="shared" si="44"/>
        <v>0</v>
      </c>
      <c r="F232">
        <f t="shared" si="40"/>
        <v>0</v>
      </c>
      <c r="G232">
        <f t="shared" si="41"/>
        <v>1</v>
      </c>
      <c r="H232" t="str">
        <f t="shared" si="42"/>
        <v/>
      </c>
      <c r="I232" t="str">
        <f t="shared" si="45"/>
        <v/>
      </c>
      <c r="J232" t="str">
        <f ca="1">IF(  Table1[[#This Row],[group single]]&lt;&gt;"",Table1[[#This Row],[group single]],  OFFSET(Table1[[#This Row],[group ]],-1,0))</f>
        <v>unknown_devices</v>
      </c>
      <c r="K232" t="str">
        <f t="shared" si="46"/>
        <v/>
      </c>
      <c r="L232" t="str">
        <f t="shared" si="47"/>
        <v/>
      </c>
      <c r="M232" t="str">
        <f t="shared" si="48"/>
        <v/>
      </c>
      <c r="N232" t="str">
        <f t="shared" si="49"/>
        <v>Unknown Devices</v>
      </c>
      <c r="O232" t="str">
        <f t="shared" si="50"/>
        <v xml:space="preserve">    - device_tracker.unknown</v>
      </c>
      <c r="P232" t="str">
        <f t="shared" si="51"/>
        <v>device_tracker.unknown</v>
      </c>
    </row>
    <row r="233" spans="2:16" x14ac:dyDescent="0.25">
      <c r="B233" s="11" t="s">
        <v>546</v>
      </c>
      <c r="C233">
        <f t="shared" si="43"/>
        <v>0</v>
      </c>
      <c r="D233">
        <f t="shared" si="39"/>
        <v>0</v>
      </c>
      <c r="E233">
        <f t="shared" si="44"/>
        <v>0</v>
      </c>
      <c r="F233">
        <f t="shared" si="40"/>
        <v>0</v>
      </c>
      <c r="G233">
        <f t="shared" si="41"/>
        <v>1</v>
      </c>
      <c r="H233" t="str">
        <f t="shared" si="42"/>
        <v/>
      </c>
      <c r="I233" t="str">
        <f t="shared" si="45"/>
        <v/>
      </c>
      <c r="J233" t="str">
        <f ca="1">IF(  Table1[[#This Row],[group single]]&lt;&gt;"",Table1[[#This Row],[group single]],  OFFSET(Table1[[#This Row],[group ]],-1,0))</f>
        <v>unknown_devices</v>
      </c>
      <c r="K233" t="str">
        <f t="shared" si="46"/>
        <v/>
      </c>
      <c r="L233" t="str">
        <f t="shared" si="47"/>
        <v/>
      </c>
      <c r="M233" t="str">
        <f t="shared" si="48"/>
        <v/>
      </c>
      <c r="N233" t="str">
        <f t="shared" si="49"/>
        <v>Unknown Devices</v>
      </c>
      <c r="O233" t="str">
        <f t="shared" si="50"/>
        <v xml:space="preserve">    - device_tracker.unknown_2</v>
      </c>
      <c r="P233" t="str">
        <f t="shared" si="51"/>
        <v>device_tracker.unknown_2</v>
      </c>
    </row>
    <row r="234" spans="2:16" x14ac:dyDescent="0.25">
      <c r="B234" s="11" t="s">
        <v>547</v>
      </c>
      <c r="C234">
        <f t="shared" si="43"/>
        <v>0</v>
      </c>
      <c r="D234">
        <f t="shared" si="39"/>
        <v>0</v>
      </c>
      <c r="E234">
        <f t="shared" si="44"/>
        <v>0</v>
      </c>
      <c r="F234">
        <f t="shared" si="40"/>
        <v>0</v>
      </c>
      <c r="G234">
        <f t="shared" si="41"/>
        <v>1</v>
      </c>
      <c r="H234" t="str">
        <f t="shared" si="42"/>
        <v/>
      </c>
      <c r="I234" t="str">
        <f t="shared" si="45"/>
        <v/>
      </c>
      <c r="J234" t="str">
        <f ca="1">IF(  Table1[[#This Row],[group single]]&lt;&gt;"",Table1[[#This Row],[group single]],  OFFSET(Table1[[#This Row],[group ]],-1,0))</f>
        <v>unknown_devices</v>
      </c>
      <c r="K234" t="str">
        <f t="shared" si="46"/>
        <v/>
      </c>
      <c r="L234" t="str">
        <f t="shared" si="47"/>
        <v/>
      </c>
      <c r="M234" t="str">
        <f t="shared" si="48"/>
        <v/>
      </c>
      <c r="N234" t="str">
        <f t="shared" si="49"/>
        <v>Unknown Devices</v>
      </c>
      <c r="O234" t="str">
        <f t="shared" si="50"/>
        <v xml:space="preserve">    - device_tracker.unknown_3</v>
      </c>
      <c r="P234" t="str">
        <f t="shared" si="51"/>
        <v>device_tracker.unknown_3</v>
      </c>
    </row>
    <row r="235" spans="2:16" x14ac:dyDescent="0.25">
      <c r="B235" s="11" t="s">
        <v>548</v>
      </c>
      <c r="C235">
        <f t="shared" si="43"/>
        <v>0</v>
      </c>
      <c r="D235">
        <f t="shared" si="39"/>
        <v>0</v>
      </c>
      <c r="E235">
        <f t="shared" si="44"/>
        <v>0</v>
      </c>
      <c r="F235">
        <f t="shared" si="40"/>
        <v>0</v>
      </c>
      <c r="G235">
        <f t="shared" si="41"/>
        <v>1</v>
      </c>
      <c r="H235" t="str">
        <f t="shared" si="42"/>
        <v/>
      </c>
      <c r="I235" t="str">
        <f t="shared" si="45"/>
        <v/>
      </c>
      <c r="J235" t="str">
        <f ca="1">IF(  Table1[[#This Row],[group single]]&lt;&gt;"",Table1[[#This Row],[group single]],  OFFSET(Table1[[#This Row],[group ]],-1,0))</f>
        <v>unknown_devices</v>
      </c>
      <c r="K235" t="str">
        <f t="shared" si="46"/>
        <v/>
      </c>
      <c r="L235" t="str">
        <f t="shared" si="47"/>
        <v/>
      </c>
      <c r="M235" t="str">
        <f t="shared" si="48"/>
        <v/>
      </c>
      <c r="N235" t="str">
        <f t="shared" si="49"/>
        <v>Unknown Devices</v>
      </c>
      <c r="O235" t="str">
        <f t="shared" si="50"/>
        <v xml:space="preserve">    - device_tracker.unknown_4</v>
      </c>
      <c r="P235" t="str">
        <f t="shared" si="51"/>
        <v>device_tracker.unknown_4</v>
      </c>
    </row>
    <row r="236" spans="2:16" x14ac:dyDescent="0.25">
      <c r="B236" s="11" t="s">
        <v>549</v>
      </c>
      <c r="C236">
        <f t="shared" si="43"/>
        <v>0</v>
      </c>
      <c r="D236">
        <f t="shared" si="39"/>
        <v>0</v>
      </c>
      <c r="E236">
        <f t="shared" si="44"/>
        <v>0</v>
      </c>
      <c r="F236">
        <f t="shared" si="40"/>
        <v>0</v>
      </c>
      <c r="G236">
        <f t="shared" si="41"/>
        <v>1</v>
      </c>
      <c r="H236" t="str">
        <f t="shared" si="42"/>
        <v/>
      </c>
      <c r="I236" t="str">
        <f t="shared" si="45"/>
        <v/>
      </c>
      <c r="J236" t="str">
        <f ca="1">IF(  Table1[[#This Row],[group single]]&lt;&gt;"",Table1[[#This Row],[group single]],  OFFSET(Table1[[#This Row],[group ]],-1,0))</f>
        <v>unknown_devices</v>
      </c>
      <c r="K236" t="str">
        <f t="shared" si="46"/>
        <v/>
      </c>
      <c r="L236" t="str">
        <f t="shared" si="47"/>
        <v/>
      </c>
      <c r="M236" t="str">
        <f t="shared" si="48"/>
        <v/>
      </c>
      <c r="N236" t="str">
        <f t="shared" si="49"/>
        <v>Unknown Devices</v>
      </c>
      <c r="O236" t="str">
        <f t="shared" si="50"/>
        <v xml:space="preserve">    - device_tracker.unknown_5</v>
      </c>
      <c r="P236" t="str">
        <f t="shared" si="51"/>
        <v>device_tracker.unknown_5</v>
      </c>
    </row>
    <row r="237" spans="2:16" x14ac:dyDescent="0.25">
      <c r="B237" s="11" t="s">
        <v>550</v>
      </c>
      <c r="C237">
        <f t="shared" si="43"/>
        <v>0</v>
      </c>
      <c r="D237">
        <f t="shared" si="39"/>
        <v>0</v>
      </c>
      <c r="E237">
        <f t="shared" si="44"/>
        <v>0</v>
      </c>
      <c r="F237">
        <f t="shared" si="40"/>
        <v>0</v>
      </c>
      <c r="G237">
        <f t="shared" si="41"/>
        <v>1</v>
      </c>
      <c r="H237" t="str">
        <f t="shared" si="42"/>
        <v/>
      </c>
      <c r="I237" t="str">
        <f t="shared" si="45"/>
        <v/>
      </c>
      <c r="J237" t="str">
        <f ca="1">IF(  Table1[[#This Row],[group single]]&lt;&gt;"",Table1[[#This Row],[group single]],  OFFSET(Table1[[#This Row],[group ]],-1,0))</f>
        <v>unknown_devices</v>
      </c>
      <c r="K237" t="str">
        <f t="shared" si="46"/>
        <v/>
      </c>
      <c r="L237" t="str">
        <f t="shared" si="47"/>
        <v/>
      </c>
      <c r="M237" t="str">
        <f t="shared" si="48"/>
        <v/>
      </c>
      <c r="N237" t="str">
        <f t="shared" si="49"/>
        <v>Unknown Devices</v>
      </c>
      <c r="O237" t="str">
        <f t="shared" si="50"/>
        <v xml:space="preserve">    - device_tracker.unknown_6</v>
      </c>
      <c r="P237" t="str">
        <f t="shared" si="51"/>
        <v>device_tracker.unknown_6</v>
      </c>
    </row>
    <row r="238" spans="2:16" x14ac:dyDescent="0.25">
      <c r="B238" s="11" t="s">
        <v>551</v>
      </c>
      <c r="C238">
        <f t="shared" si="43"/>
        <v>0</v>
      </c>
      <c r="D238">
        <f t="shared" si="39"/>
        <v>0</v>
      </c>
      <c r="E238">
        <f t="shared" si="44"/>
        <v>0</v>
      </c>
      <c r="F238">
        <f t="shared" si="40"/>
        <v>0</v>
      </c>
      <c r="G238">
        <f t="shared" si="41"/>
        <v>1</v>
      </c>
      <c r="H238" t="str">
        <f t="shared" si="42"/>
        <v/>
      </c>
      <c r="I238" t="str">
        <f t="shared" si="45"/>
        <v/>
      </c>
      <c r="J238" t="str">
        <f ca="1">IF(  Table1[[#This Row],[group single]]&lt;&gt;"",Table1[[#This Row],[group single]],  OFFSET(Table1[[#This Row],[group ]],-1,0))</f>
        <v>unknown_devices</v>
      </c>
      <c r="K238" t="str">
        <f t="shared" si="46"/>
        <v/>
      </c>
      <c r="L238" t="str">
        <f t="shared" si="47"/>
        <v/>
      </c>
      <c r="M238" t="str">
        <f t="shared" si="48"/>
        <v/>
      </c>
      <c r="N238" t="str">
        <f t="shared" si="49"/>
        <v>Unknown Devices</v>
      </c>
      <c r="O238" t="str">
        <f t="shared" si="50"/>
        <v xml:space="preserve">    - device_tracker.unknown_7</v>
      </c>
      <c r="P238" t="str">
        <f t="shared" si="51"/>
        <v>device_tracker.unknown_7</v>
      </c>
    </row>
    <row r="239" spans="2:16" x14ac:dyDescent="0.25">
      <c r="B239" s="11" t="s">
        <v>552</v>
      </c>
      <c r="C239">
        <f t="shared" si="43"/>
        <v>0</v>
      </c>
      <c r="D239">
        <f t="shared" si="39"/>
        <v>0</v>
      </c>
      <c r="E239">
        <f t="shared" si="44"/>
        <v>0</v>
      </c>
      <c r="F239">
        <f t="shared" si="40"/>
        <v>0</v>
      </c>
      <c r="G239">
        <f t="shared" si="41"/>
        <v>1</v>
      </c>
      <c r="H239" t="str">
        <f t="shared" si="42"/>
        <v/>
      </c>
      <c r="I239" t="str">
        <f t="shared" si="45"/>
        <v/>
      </c>
      <c r="J239" t="str">
        <f ca="1">IF(  Table1[[#This Row],[group single]]&lt;&gt;"",Table1[[#This Row],[group single]],  OFFSET(Table1[[#This Row],[group ]],-1,0))</f>
        <v>unknown_devices</v>
      </c>
      <c r="K239" t="str">
        <f t="shared" si="46"/>
        <v/>
      </c>
      <c r="L239" t="str">
        <f t="shared" si="47"/>
        <v/>
      </c>
      <c r="M239" t="str">
        <f t="shared" si="48"/>
        <v/>
      </c>
      <c r="N239" t="str">
        <f t="shared" si="49"/>
        <v>Unknown Devices</v>
      </c>
      <c r="O239" t="str">
        <f t="shared" si="50"/>
        <v xml:space="preserve">    - device_tracker.unknown_8</v>
      </c>
      <c r="P239" t="str">
        <f t="shared" si="51"/>
        <v>device_tracker.unknown_8</v>
      </c>
    </row>
    <row r="240" spans="2:16" x14ac:dyDescent="0.25">
      <c r="B240" s="11" t="s">
        <v>553</v>
      </c>
      <c r="C240">
        <f t="shared" si="43"/>
        <v>0</v>
      </c>
      <c r="D240">
        <f t="shared" si="39"/>
        <v>0</v>
      </c>
      <c r="E240">
        <f t="shared" si="44"/>
        <v>0</v>
      </c>
      <c r="F240">
        <f t="shared" si="40"/>
        <v>0</v>
      </c>
      <c r="G240">
        <f t="shared" si="41"/>
        <v>1</v>
      </c>
      <c r="H240" t="str">
        <f t="shared" si="42"/>
        <v/>
      </c>
      <c r="I240" t="str">
        <f t="shared" si="45"/>
        <v/>
      </c>
      <c r="J240" t="str">
        <f ca="1">IF(  Table1[[#This Row],[group single]]&lt;&gt;"",Table1[[#This Row],[group single]],  OFFSET(Table1[[#This Row],[group ]],-1,0))</f>
        <v>unknown_devices</v>
      </c>
      <c r="K240" t="str">
        <f t="shared" si="46"/>
        <v/>
      </c>
      <c r="L240" t="str">
        <f t="shared" si="47"/>
        <v/>
      </c>
      <c r="M240" t="str">
        <f t="shared" si="48"/>
        <v/>
      </c>
      <c r="N240" t="str">
        <f t="shared" si="49"/>
        <v>Unknown Devices</v>
      </c>
      <c r="O240" t="str">
        <f t="shared" si="50"/>
        <v xml:space="preserve">    - device_tracker.unknown_9</v>
      </c>
      <c r="P240" t="str">
        <f t="shared" si="51"/>
        <v>device_tracker.unknown_9</v>
      </c>
    </row>
    <row r="241" spans="2:16" x14ac:dyDescent="0.25">
      <c r="B241" s="11" t="s">
        <v>554</v>
      </c>
      <c r="C241">
        <f t="shared" si="43"/>
        <v>0</v>
      </c>
      <c r="D241">
        <f t="shared" si="39"/>
        <v>0</v>
      </c>
      <c r="E241">
        <f t="shared" si="44"/>
        <v>0</v>
      </c>
      <c r="F241">
        <f t="shared" si="40"/>
        <v>0</v>
      </c>
      <c r="G241">
        <f t="shared" si="41"/>
        <v>1</v>
      </c>
      <c r="H241" t="str">
        <f t="shared" si="42"/>
        <v/>
      </c>
      <c r="I241" t="str">
        <f t="shared" si="45"/>
        <v/>
      </c>
      <c r="J241" t="str">
        <f ca="1">IF(  Table1[[#This Row],[group single]]&lt;&gt;"",Table1[[#This Row],[group single]],  OFFSET(Table1[[#This Row],[group ]],-1,0))</f>
        <v>unknown_devices</v>
      </c>
      <c r="K241" t="str">
        <f t="shared" si="46"/>
        <v/>
      </c>
      <c r="L241" t="str">
        <f t="shared" si="47"/>
        <v/>
      </c>
      <c r="M241" t="str">
        <f t="shared" si="48"/>
        <v/>
      </c>
      <c r="N241" t="str">
        <f t="shared" si="49"/>
        <v>Unknown Devices</v>
      </c>
      <c r="O241" t="str">
        <f t="shared" si="50"/>
        <v xml:space="preserve">    - device_tracker.unknown_10</v>
      </c>
      <c r="P241" t="str">
        <f t="shared" si="51"/>
        <v>device_tracker.unknown_10</v>
      </c>
    </row>
    <row r="242" spans="2:16" x14ac:dyDescent="0.25">
      <c r="B242" s="11" t="s">
        <v>555</v>
      </c>
      <c r="C242">
        <f t="shared" si="43"/>
        <v>0</v>
      </c>
      <c r="D242">
        <f t="shared" si="39"/>
        <v>0</v>
      </c>
      <c r="E242">
        <f t="shared" si="44"/>
        <v>0</v>
      </c>
      <c r="F242">
        <f t="shared" si="40"/>
        <v>0</v>
      </c>
      <c r="G242">
        <f t="shared" si="41"/>
        <v>1</v>
      </c>
      <c r="H242" t="str">
        <f t="shared" si="42"/>
        <v/>
      </c>
      <c r="I242" t="str">
        <f t="shared" si="45"/>
        <v/>
      </c>
      <c r="J242" t="str">
        <f ca="1">IF(  Table1[[#This Row],[group single]]&lt;&gt;"",Table1[[#This Row],[group single]],  OFFSET(Table1[[#This Row],[group ]],-1,0))</f>
        <v>unknown_devices</v>
      </c>
      <c r="K242" t="str">
        <f t="shared" si="46"/>
        <v/>
      </c>
      <c r="L242" t="str">
        <f t="shared" si="47"/>
        <v/>
      </c>
      <c r="M242" t="str">
        <f t="shared" si="48"/>
        <v/>
      </c>
      <c r="N242" t="str">
        <f t="shared" si="49"/>
        <v>Unknown Devices</v>
      </c>
      <c r="O242" t="str">
        <f t="shared" si="50"/>
        <v xml:space="preserve">    - device_tracker.unknown_11</v>
      </c>
      <c r="P242" t="str">
        <f t="shared" si="51"/>
        <v>device_tracker.unknown_11</v>
      </c>
    </row>
    <row r="243" spans="2:16" x14ac:dyDescent="0.25">
      <c r="B243" s="11" t="s">
        <v>556</v>
      </c>
      <c r="C243">
        <f t="shared" si="43"/>
        <v>0</v>
      </c>
      <c r="D243">
        <f t="shared" si="39"/>
        <v>0</v>
      </c>
      <c r="E243">
        <f t="shared" si="44"/>
        <v>0</v>
      </c>
      <c r="F243">
        <f t="shared" si="40"/>
        <v>0</v>
      </c>
      <c r="G243">
        <f t="shared" si="41"/>
        <v>1</v>
      </c>
      <c r="H243" t="str">
        <f t="shared" si="42"/>
        <v/>
      </c>
      <c r="I243" t="str">
        <f t="shared" si="45"/>
        <v/>
      </c>
      <c r="J243" t="str">
        <f ca="1">IF(  Table1[[#This Row],[group single]]&lt;&gt;"",Table1[[#This Row],[group single]],  OFFSET(Table1[[#This Row],[group ]],-1,0))</f>
        <v>unknown_devices</v>
      </c>
      <c r="K243" t="str">
        <f t="shared" si="46"/>
        <v/>
      </c>
      <c r="L243" t="str">
        <f t="shared" si="47"/>
        <v/>
      </c>
      <c r="M243" t="str">
        <f t="shared" si="48"/>
        <v/>
      </c>
      <c r="N243" t="str">
        <f t="shared" si="49"/>
        <v>Unknown Devices</v>
      </c>
      <c r="O243" t="str">
        <f t="shared" si="50"/>
        <v xml:space="preserve">    - device_tracker.unknown_12</v>
      </c>
      <c r="P243" t="str">
        <f t="shared" si="51"/>
        <v>device_tracker.unknown_12</v>
      </c>
    </row>
    <row r="244" spans="2:16" x14ac:dyDescent="0.25">
      <c r="B244" s="11" t="s">
        <v>557</v>
      </c>
      <c r="C244">
        <f t="shared" si="43"/>
        <v>0</v>
      </c>
      <c r="D244">
        <f t="shared" si="39"/>
        <v>0</v>
      </c>
      <c r="E244">
        <f t="shared" si="44"/>
        <v>0</v>
      </c>
      <c r="F244">
        <f t="shared" si="40"/>
        <v>0</v>
      </c>
      <c r="G244">
        <f t="shared" si="41"/>
        <v>1</v>
      </c>
      <c r="H244" t="str">
        <f t="shared" si="42"/>
        <v/>
      </c>
      <c r="I244" t="str">
        <f t="shared" si="45"/>
        <v/>
      </c>
      <c r="J244" t="str">
        <f ca="1">IF(  Table1[[#This Row],[group single]]&lt;&gt;"",Table1[[#This Row],[group single]],  OFFSET(Table1[[#This Row],[group ]],-1,0))</f>
        <v>unknown_devices</v>
      </c>
      <c r="K244" t="str">
        <f t="shared" si="46"/>
        <v/>
      </c>
      <c r="L244" t="str">
        <f t="shared" si="47"/>
        <v/>
      </c>
      <c r="M244" t="str">
        <f t="shared" si="48"/>
        <v/>
      </c>
      <c r="N244" t="str">
        <f t="shared" si="49"/>
        <v>Unknown Devices</v>
      </c>
      <c r="O244" t="str">
        <f t="shared" si="50"/>
        <v xml:space="preserve">    - device_tracker.unknown_13</v>
      </c>
      <c r="P244" t="str">
        <f t="shared" si="51"/>
        <v>device_tracker.unknown_13</v>
      </c>
    </row>
    <row r="245" spans="2:16" x14ac:dyDescent="0.25">
      <c r="B245" s="11" t="s">
        <v>558</v>
      </c>
      <c r="C245">
        <f t="shared" si="43"/>
        <v>0</v>
      </c>
      <c r="D245">
        <f t="shared" si="39"/>
        <v>0</v>
      </c>
      <c r="E245">
        <f t="shared" si="44"/>
        <v>0</v>
      </c>
      <c r="F245">
        <f t="shared" si="40"/>
        <v>0</v>
      </c>
      <c r="G245">
        <f t="shared" si="41"/>
        <v>1</v>
      </c>
      <c r="H245" t="str">
        <f t="shared" si="42"/>
        <v/>
      </c>
      <c r="I245" t="str">
        <f t="shared" si="45"/>
        <v/>
      </c>
      <c r="J245" t="str">
        <f ca="1">IF(  Table1[[#This Row],[group single]]&lt;&gt;"",Table1[[#This Row],[group single]],  OFFSET(Table1[[#This Row],[group ]],-1,0))</f>
        <v>unknown_devices</v>
      </c>
      <c r="K245" t="str">
        <f t="shared" si="46"/>
        <v/>
      </c>
      <c r="L245" t="str">
        <f t="shared" si="47"/>
        <v/>
      </c>
      <c r="M245" t="str">
        <f t="shared" si="48"/>
        <v/>
      </c>
      <c r="N245" t="str">
        <f t="shared" si="49"/>
        <v>Unknown Devices</v>
      </c>
      <c r="O245" t="str">
        <f t="shared" si="50"/>
        <v xml:space="preserve">    - device_tracker.unknown_14</v>
      </c>
      <c r="P245" t="str">
        <f t="shared" si="51"/>
        <v>device_tracker.unknown_14</v>
      </c>
    </row>
    <row r="246" spans="2:16" x14ac:dyDescent="0.25">
      <c r="B246" s="11" t="s">
        <v>559</v>
      </c>
      <c r="C246">
        <f t="shared" si="43"/>
        <v>0</v>
      </c>
      <c r="D246">
        <f t="shared" si="39"/>
        <v>0</v>
      </c>
      <c r="E246">
        <f t="shared" si="44"/>
        <v>0</v>
      </c>
      <c r="F246">
        <f t="shared" si="40"/>
        <v>0</v>
      </c>
      <c r="G246">
        <f t="shared" si="41"/>
        <v>1</v>
      </c>
      <c r="H246" t="str">
        <f t="shared" si="42"/>
        <v/>
      </c>
      <c r="I246" t="str">
        <f t="shared" si="45"/>
        <v/>
      </c>
      <c r="J246" t="str">
        <f ca="1">IF(  Table1[[#This Row],[group single]]&lt;&gt;"",Table1[[#This Row],[group single]],  OFFSET(Table1[[#This Row],[group ]],-1,0))</f>
        <v>unknown_devices</v>
      </c>
      <c r="K246" t="str">
        <f t="shared" si="46"/>
        <v/>
      </c>
      <c r="L246" t="str">
        <f t="shared" si="47"/>
        <v/>
      </c>
      <c r="M246" t="str">
        <f t="shared" si="48"/>
        <v/>
      </c>
      <c r="N246" t="str">
        <f t="shared" si="49"/>
        <v>Unknown Devices</v>
      </c>
      <c r="O246" t="str">
        <f t="shared" si="50"/>
        <v xml:space="preserve">    - device_tracker.unknown_15</v>
      </c>
      <c r="P246" t="str">
        <f t="shared" si="51"/>
        <v>device_tracker.unknown_15</v>
      </c>
    </row>
    <row r="247" spans="2:16" x14ac:dyDescent="0.25">
      <c r="B247" s="11" t="s">
        <v>560</v>
      </c>
      <c r="C247">
        <f t="shared" si="43"/>
        <v>0</v>
      </c>
      <c r="D247">
        <f t="shared" si="39"/>
        <v>0</v>
      </c>
      <c r="E247">
        <f t="shared" si="44"/>
        <v>0</v>
      </c>
      <c r="F247">
        <f t="shared" si="40"/>
        <v>0</v>
      </c>
      <c r="G247">
        <f t="shared" si="41"/>
        <v>1</v>
      </c>
      <c r="H247" t="str">
        <f t="shared" si="42"/>
        <v/>
      </c>
      <c r="I247" t="str">
        <f t="shared" si="45"/>
        <v/>
      </c>
      <c r="J247" t="str">
        <f ca="1">IF(  Table1[[#This Row],[group single]]&lt;&gt;"",Table1[[#This Row],[group single]],  OFFSET(Table1[[#This Row],[group ]],-1,0))</f>
        <v>unknown_devices</v>
      </c>
      <c r="K247" t="str">
        <f t="shared" si="46"/>
        <v/>
      </c>
      <c r="L247" t="str">
        <f t="shared" si="47"/>
        <v/>
      </c>
      <c r="M247" t="str">
        <f t="shared" si="48"/>
        <v/>
      </c>
      <c r="N247" t="str">
        <f t="shared" si="49"/>
        <v>Unknown Devices</v>
      </c>
      <c r="O247" t="str">
        <f t="shared" si="50"/>
        <v xml:space="preserve">    - device_tracker.unknown_16</v>
      </c>
      <c r="P247" t="str">
        <f t="shared" si="51"/>
        <v>device_tracker.unknown_16</v>
      </c>
    </row>
    <row r="248" spans="2:16" x14ac:dyDescent="0.25">
      <c r="B248" s="11" t="s">
        <v>561</v>
      </c>
      <c r="C248">
        <f t="shared" si="43"/>
        <v>0</v>
      </c>
      <c r="D248">
        <f t="shared" si="39"/>
        <v>0</v>
      </c>
      <c r="E248">
        <f t="shared" si="44"/>
        <v>0</v>
      </c>
      <c r="F248">
        <f t="shared" si="40"/>
        <v>0</v>
      </c>
      <c r="G248">
        <f t="shared" si="41"/>
        <v>1</v>
      </c>
      <c r="H248" t="str">
        <f t="shared" si="42"/>
        <v/>
      </c>
      <c r="I248" t="str">
        <f t="shared" si="45"/>
        <v/>
      </c>
      <c r="J248" t="str">
        <f ca="1">IF(  Table1[[#This Row],[group single]]&lt;&gt;"",Table1[[#This Row],[group single]],  OFFSET(Table1[[#This Row],[group ]],-1,0))</f>
        <v>unknown_devices</v>
      </c>
      <c r="K248" t="str">
        <f t="shared" si="46"/>
        <v/>
      </c>
      <c r="L248" t="str">
        <f t="shared" si="47"/>
        <v/>
      </c>
      <c r="M248" t="str">
        <f t="shared" si="48"/>
        <v/>
      </c>
      <c r="N248" t="str">
        <f t="shared" si="49"/>
        <v>Unknown Devices</v>
      </c>
      <c r="O248" t="str">
        <f t="shared" si="50"/>
        <v xml:space="preserve">    - device_tracker.unknown_17</v>
      </c>
      <c r="P248" t="str">
        <f t="shared" si="51"/>
        <v>device_tracker.unknown_17</v>
      </c>
    </row>
    <row r="249" spans="2:16" x14ac:dyDescent="0.25">
      <c r="B249" s="11" t="s">
        <v>562</v>
      </c>
      <c r="C249">
        <f t="shared" si="43"/>
        <v>0</v>
      </c>
      <c r="D249">
        <f t="shared" si="39"/>
        <v>0</v>
      </c>
      <c r="E249">
        <f t="shared" si="44"/>
        <v>0</v>
      </c>
      <c r="F249">
        <f t="shared" si="40"/>
        <v>0</v>
      </c>
      <c r="G249">
        <f t="shared" si="41"/>
        <v>1</v>
      </c>
      <c r="H249" t="str">
        <f t="shared" si="42"/>
        <v/>
      </c>
      <c r="I249" t="str">
        <f t="shared" si="45"/>
        <v/>
      </c>
      <c r="J249" t="str">
        <f ca="1">IF(  Table1[[#This Row],[group single]]&lt;&gt;"",Table1[[#This Row],[group single]],  OFFSET(Table1[[#This Row],[group ]],-1,0))</f>
        <v>unknown_devices</v>
      </c>
      <c r="K249" t="str">
        <f t="shared" si="46"/>
        <v/>
      </c>
      <c r="L249" t="str">
        <f t="shared" si="47"/>
        <v/>
      </c>
      <c r="M249" t="str">
        <f t="shared" si="48"/>
        <v/>
      </c>
      <c r="N249" t="str">
        <f t="shared" si="49"/>
        <v>Unknown Devices</v>
      </c>
      <c r="O249" t="str">
        <f t="shared" si="50"/>
        <v xml:space="preserve">    - device_tracker.unknown_18</v>
      </c>
      <c r="P249" t="str">
        <f t="shared" si="51"/>
        <v>device_tracker.unknown_18</v>
      </c>
    </row>
    <row r="250" spans="2:16" x14ac:dyDescent="0.25">
      <c r="B250" s="11" t="s">
        <v>563</v>
      </c>
      <c r="C250">
        <f t="shared" si="43"/>
        <v>0</v>
      </c>
      <c r="D250">
        <f t="shared" si="39"/>
        <v>0</v>
      </c>
      <c r="E250">
        <f t="shared" si="44"/>
        <v>0</v>
      </c>
      <c r="F250">
        <f t="shared" si="40"/>
        <v>0</v>
      </c>
      <c r="G250">
        <f t="shared" si="41"/>
        <v>1</v>
      </c>
      <c r="H250" t="str">
        <f t="shared" si="42"/>
        <v/>
      </c>
      <c r="I250" t="str">
        <f t="shared" si="45"/>
        <v/>
      </c>
      <c r="J250" t="str">
        <f ca="1">IF(  Table1[[#This Row],[group single]]&lt;&gt;"",Table1[[#This Row],[group single]],  OFFSET(Table1[[#This Row],[group ]],-1,0))</f>
        <v>unknown_devices</v>
      </c>
      <c r="K250" t="str">
        <f t="shared" si="46"/>
        <v/>
      </c>
      <c r="L250" t="str">
        <f t="shared" si="47"/>
        <v/>
      </c>
      <c r="M250" t="str">
        <f t="shared" si="48"/>
        <v/>
      </c>
      <c r="N250" t="str">
        <f t="shared" si="49"/>
        <v>Unknown Devices</v>
      </c>
      <c r="O250" t="str">
        <f t="shared" si="50"/>
        <v xml:space="preserve">    - device_tracker.unknown_19</v>
      </c>
      <c r="P250" t="str">
        <f t="shared" si="51"/>
        <v>device_tracker.unknown_19</v>
      </c>
    </row>
    <row r="251" spans="2:16" x14ac:dyDescent="0.25">
      <c r="B251" s="11" t="s">
        <v>564</v>
      </c>
      <c r="C251">
        <f t="shared" si="43"/>
        <v>0</v>
      </c>
      <c r="D251">
        <f t="shared" si="39"/>
        <v>0</v>
      </c>
      <c r="E251">
        <f t="shared" si="44"/>
        <v>0</v>
      </c>
      <c r="F251">
        <f t="shared" si="40"/>
        <v>0</v>
      </c>
      <c r="G251">
        <f t="shared" si="41"/>
        <v>1</v>
      </c>
      <c r="H251" t="str">
        <f t="shared" si="42"/>
        <v/>
      </c>
      <c r="I251" t="str">
        <f t="shared" si="45"/>
        <v/>
      </c>
      <c r="J251" t="str">
        <f ca="1">IF(  Table1[[#This Row],[group single]]&lt;&gt;"",Table1[[#This Row],[group single]],  OFFSET(Table1[[#This Row],[group ]],-1,0))</f>
        <v>unknown_devices</v>
      </c>
      <c r="K251" t="str">
        <f t="shared" si="46"/>
        <v/>
      </c>
      <c r="L251" t="str">
        <f t="shared" si="47"/>
        <v/>
      </c>
      <c r="M251" t="str">
        <f t="shared" si="48"/>
        <v/>
      </c>
      <c r="N251" t="str">
        <f t="shared" si="49"/>
        <v>Unknown Devices</v>
      </c>
      <c r="O251" t="str">
        <f t="shared" si="50"/>
        <v xml:space="preserve">    - device_tracker.unknown_20</v>
      </c>
      <c r="P251" t="str">
        <f t="shared" si="51"/>
        <v>device_tracker.unknown_20</v>
      </c>
    </row>
    <row r="252" spans="2:16" x14ac:dyDescent="0.25">
      <c r="B252" s="11" t="s">
        <v>565</v>
      </c>
      <c r="C252">
        <f t="shared" si="43"/>
        <v>0</v>
      </c>
      <c r="D252">
        <f t="shared" si="39"/>
        <v>0</v>
      </c>
      <c r="E252">
        <f t="shared" si="44"/>
        <v>0</v>
      </c>
      <c r="F252">
        <f t="shared" si="40"/>
        <v>0</v>
      </c>
      <c r="G252">
        <f t="shared" si="41"/>
        <v>1</v>
      </c>
      <c r="H252" t="str">
        <f t="shared" si="42"/>
        <v/>
      </c>
      <c r="I252" t="str">
        <f t="shared" si="45"/>
        <v/>
      </c>
      <c r="J252" t="str">
        <f ca="1">IF(  Table1[[#This Row],[group single]]&lt;&gt;"",Table1[[#This Row],[group single]],  OFFSET(Table1[[#This Row],[group ]],-1,0))</f>
        <v>unknown_devices</v>
      </c>
      <c r="K252" t="str">
        <f t="shared" si="46"/>
        <v/>
      </c>
      <c r="L252" t="str">
        <f t="shared" si="47"/>
        <v/>
      </c>
      <c r="M252" t="str">
        <f t="shared" si="48"/>
        <v/>
      </c>
      <c r="N252" t="str">
        <f t="shared" si="49"/>
        <v>Unknown Devices</v>
      </c>
      <c r="O252" t="str">
        <f t="shared" si="50"/>
        <v xml:space="preserve">    - device_tracker.unknown_21</v>
      </c>
      <c r="P252" t="str">
        <f t="shared" si="51"/>
        <v>device_tracker.unknown_21</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vt:lpstr>
      <vt:lpstr>States</vt:lpstr>
      <vt:lpstr>Entities</vt:lpstr>
      <vt:lpstr>Cards and Views</vt:lpstr>
      <vt:lpstr>Customize code</vt:lpstr>
      <vt:lpstr>Group code</vt:lpstr>
      <vt:lpstr>Misc &gt;&gt;</vt:lpstr>
      <vt:lpstr>YAML Processing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marconet@gmail.com</dc:creator>
  <cp:lastModifiedBy>marconet@gmail.com</cp:lastModifiedBy>
  <dcterms:created xsi:type="dcterms:W3CDTF">2017-03-08T01:47:40Z</dcterms:created>
  <dcterms:modified xsi:type="dcterms:W3CDTF">2017-04-12T18:40:12Z</dcterms:modified>
</cp:coreProperties>
</file>