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" sheetId="1" r:id="rId4"/>
    <sheet state="visible" name="Salary" sheetId="2" r:id="rId5"/>
    <sheet state="visible" name="Costs" sheetId="3" r:id="rId6"/>
    <sheet state="visible" name="Favorites" sheetId="4" r:id="rId7"/>
    <sheet state="visible" name="Conditions" sheetId="5" r:id="rId8"/>
    <sheet state="visible" name="Top" sheetId="6" r:id="rId9"/>
    <sheet state="visible" name="skill" sheetId="7" r:id="rId10"/>
    <sheet state="visible" name="Comparison" sheetId="8" r:id="rId11"/>
  </sheets>
  <definedNames>
    <definedName hidden="1" localSheetId="3" name="_xlnm._FilterDatabase">Favorites!$A$1:$N$31</definedName>
    <definedName hidden="1" localSheetId="5" name="_xlnm._FilterDatabase">Top!$A$1:$Y$40</definedName>
  </definedNames>
  <calcPr/>
</workbook>
</file>

<file path=xl/sharedStrings.xml><?xml version="1.0" encoding="utf-8"?>
<sst xmlns="http://schemas.openxmlformats.org/spreadsheetml/2006/main" count="203" uniqueCount="188">
  <si>
    <t>Country</t>
  </si>
  <si>
    <t>Salary</t>
  </si>
  <si>
    <t>Cost of living</t>
  </si>
  <si>
    <t>Rent</t>
  </si>
  <si>
    <t>Grocery</t>
  </si>
  <si>
    <t>Restaurant</t>
  </si>
  <si>
    <t>Purch. Power</t>
  </si>
  <si>
    <t>Property</t>
  </si>
  <si>
    <t>Quality</t>
  </si>
  <si>
    <t>Security</t>
  </si>
  <si>
    <t>Entry lvl yearly</t>
  </si>
  <si>
    <t>Netto</t>
  </si>
  <si>
    <t>Monthly</t>
  </si>
  <si>
    <t>Source</t>
  </si>
  <si>
    <t>50.000</t>
  </si>
  <si>
    <t>33.800</t>
  </si>
  <si>
    <t>2.350</t>
  </si>
  <si>
    <t>https://bruttonetto.arbeiterkammer.at</t>
  </si>
  <si>
    <t>53.000</t>
  </si>
  <si>
    <t>32.500</t>
  </si>
  <si>
    <t>2.700</t>
  </si>
  <si>
    <t>https://salaryaftertax.com/be/salary-calculator</t>
  </si>
  <si>
    <t>35.000</t>
  </si>
  <si>
    <t>https://salaryaftertax.com/ca/salary-calculator</t>
  </si>
  <si>
    <t>54.000</t>
  </si>
  <si>
    <t>31.080</t>
  </si>
  <si>
    <t>2.500</t>
  </si>
  <si>
    <t>https://fi.talent.com/en/tax-calculator?salary=54000&amp;from=year&amp;region=Finland</t>
  </si>
  <si>
    <t>49.100</t>
  </si>
  <si>
    <t>33.000</t>
  </si>
  <si>
    <t>https://salaryaftertax.com/fr/salary-calculator</t>
  </si>
  <si>
    <t>60.000</t>
  </si>
  <si>
    <t>37.300</t>
  </si>
  <si>
    <t>3.100</t>
  </si>
  <si>
    <t>https://salaryaftertax.com/tax-calculator/germany</t>
  </si>
  <si>
    <t>37.700</t>
  </si>
  <si>
    <t>3.140</t>
  </si>
  <si>
    <t>https://salaryaftertax.com/jp/salary-calculator</t>
  </si>
  <si>
    <t>52.000</t>
  </si>
  <si>
    <t>37.100</t>
  </si>
  <si>
    <t>https://thetax.nl/?year=2022&amp;startFrom=Year&amp;salary=52000&amp;allowance=0&amp;socialSecurity=1&amp;retired=0&amp;ruling=0&amp;rulingChoice=normal</t>
  </si>
  <si>
    <t>51.000</t>
  </si>
  <si>
    <t>38.500</t>
  </si>
  <si>
    <t>3.190</t>
  </si>
  <si>
    <t>https://salaryaftertax.com/nz/salary-calculator</t>
  </si>
  <si>
    <t>42.000</t>
  </si>
  <si>
    <t>33.100</t>
  </si>
  <si>
    <t>https://salaryaftertax.com/salary-calculator/uk</t>
  </si>
  <si>
    <t>https://www.salaryexpert.com/salary</t>
  </si>
  <si>
    <t>Austria</t>
  </si>
  <si>
    <t>Germany</t>
  </si>
  <si>
    <t>Запрос</t>
  </si>
  <si>
    <t>Ресурс</t>
  </si>
  <si>
    <t>Residence Permission Austria</t>
  </si>
  <si>
    <t>Link</t>
  </si>
  <si>
    <t>Residence Permission Germany</t>
  </si>
  <si>
    <t>Apartments for rent in austria</t>
  </si>
  <si>
    <t>Apartments for rent in Germany</t>
  </si>
  <si>
    <r>
      <rPr>
        <rFont val="Times New Roman"/>
        <color rgb="FF1155CC"/>
        <sz val="12.0"/>
        <u/>
      </rPr>
      <t>Company</t>
    </r>
    <r>
      <rPr>
        <rFont val="Times New Roman"/>
        <color rgb="FF000000"/>
        <sz val="12.0"/>
      </rPr>
      <t xml:space="preserve"> / </t>
    </r>
    <r>
      <rPr>
        <rFont val="Times New Roman"/>
        <color rgb="FF1155CC"/>
        <sz val="12.0"/>
        <u/>
      </rPr>
      <t>Skills</t>
    </r>
  </si>
  <si>
    <t>Education</t>
  </si>
  <si>
    <t>Experience</t>
  </si>
  <si>
    <t>ISTQB FL</t>
  </si>
  <si>
    <t>ISTQB TTA</t>
  </si>
  <si>
    <t>Basics in Software Development</t>
  </si>
  <si>
    <t>Experience in Testautomation</t>
  </si>
  <si>
    <t>Mobile</t>
  </si>
  <si>
    <t>Cypress</t>
  </si>
  <si>
    <t>Agile</t>
  </si>
  <si>
    <t>DE</t>
  </si>
  <si>
    <t>EN</t>
  </si>
  <si>
    <t>Any</t>
  </si>
  <si>
    <t>Java</t>
  </si>
  <si>
    <t>Py</t>
  </si>
  <si>
    <t>SQL</t>
  </si>
  <si>
    <t>REST</t>
  </si>
  <si>
    <t>Azure DevOps</t>
  </si>
  <si>
    <t>Jira</t>
  </si>
  <si>
    <t>Selenium</t>
  </si>
  <si>
    <t>SOAP UI</t>
  </si>
  <si>
    <t>Postman</t>
  </si>
  <si>
    <t>Tosca</t>
  </si>
  <si>
    <t>Linux</t>
  </si>
  <si>
    <t>Cucumber</t>
  </si>
  <si>
    <t>Energie AG Oberösterreich</t>
  </si>
  <si>
    <t>Institute of Science and Technology Austria</t>
  </si>
  <si>
    <t>Roche</t>
  </si>
  <si>
    <t>Energie Steiermark</t>
  </si>
  <si>
    <t>Verbund</t>
  </si>
  <si>
    <t>dm drogerie markt</t>
  </si>
  <si>
    <t>Porsche Holding</t>
  </si>
  <si>
    <t>ÖBB (Österreichischen Bundesbahnen)</t>
  </si>
  <si>
    <t>Hilti</t>
  </si>
  <si>
    <t>Würth</t>
  </si>
  <si>
    <t>Mercedes-Benz</t>
  </si>
  <si>
    <t>ASFINAG</t>
  </si>
  <si>
    <t>SKF</t>
  </si>
  <si>
    <t>Lam Research Corporation</t>
  </si>
  <si>
    <t>Schlotterer</t>
  </si>
  <si>
    <t>Red Bull</t>
  </si>
  <si>
    <t>Hypo Oberösterreich</t>
  </si>
  <si>
    <t>Helvetia</t>
  </si>
  <si>
    <t>Microsoft</t>
  </si>
  <si>
    <t>Bearing Point</t>
  </si>
  <si>
    <t>VACE</t>
  </si>
  <si>
    <t>Bezirkskrankenhaus Kufstein</t>
  </si>
  <si>
    <t>Österreichische Post AG</t>
  </si>
  <si>
    <t>Erste Bank Sparkasse</t>
  </si>
  <si>
    <t>Reiffaisen Bank</t>
  </si>
  <si>
    <t>Bank Austria</t>
  </si>
  <si>
    <t>Wien IT GmbH</t>
  </si>
  <si>
    <t>Tesla</t>
  </si>
  <si>
    <t>Binance</t>
  </si>
  <si>
    <t>Amazon</t>
  </si>
  <si>
    <t>IBM iX</t>
  </si>
  <si>
    <t>IBM</t>
  </si>
  <si>
    <t>Zurich Ensurance</t>
  </si>
  <si>
    <t>EBCONT</t>
  </si>
  <si>
    <t>Company/Feature</t>
  </si>
  <si>
    <t>Manual Test</t>
  </si>
  <si>
    <t>Automation Py</t>
  </si>
  <si>
    <t>Automation Java</t>
  </si>
  <si>
    <t>Skillbox</t>
  </si>
  <si>
    <t>мнимые скидки и нельзя посмотреть итоговую стоимость курса, пришлось высчитывать из рассрочки на 31 и 24 мес</t>
  </si>
  <si>
    <t>https://skillbox.ru/sale/2022/code/</t>
  </si>
  <si>
    <t>Skillfactory</t>
  </si>
  <si>
    <t>Полная стоимость курса без рассрочки по заверениям контактных лиц - это стоимость рассрочки помноженная на 10</t>
  </si>
  <si>
    <t>https://skillfactory.ru/qa-engineer-po-ruchnomu-testirovaniyu-syllabus-thankyou</t>
  </si>
  <si>
    <t>Yandex Practicum</t>
  </si>
  <si>
    <t>7% скидки дали при прохождении бесплатной части</t>
  </si>
  <si>
    <t>https://practicum.yandex.ru/qa-automation-engineer-java/</t>
  </si>
  <si>
    <t>Netologia</t>
  </si>
  <si>
    <t>"скидка" сразу процентов 40, явно байт</t>
  </si>
  <si>
    <t>https://netology.ru/programs/qa-middle#/resume</t>
  </si>
  <si>
    <t>GeekBrains</t>
  </si>
  <si>
    <t>невероятно долгий сбор инфы на старте...</t>
  </si>
  <si>
    <t>выдуманная скидка 60%, хотя написано, что 45%</t>
  </si>
  <si>
    <t>и еще от менеджера скидка...</t>
  </si>
  <si>
    <t>https://gb.ru/geek_university/it-specialist/qa</t>
  </si>
  <si>
    <t>из плюсов - нашел список других платформ в опроснике</t>
  </si>
  <si>
    <t>Сбер.университет</t>
  </si>
  <si>
    <t>программу не нашел</t>
  </si>
  <si>
    <t>Учи.ру</t>
  </si>
  <si>
    <t>прикольный ресурс, но для детей</t>
  </si>
  <si>
    <t>фоксфорд</t>
  </si>
  <si>
    <t>тоже интересно, но для детей</t>
  </si>
  <si>
    <t>Синергия</t>
  </si>
  <si>
    <t>при переходе на сайт вылезло предупреждение о том, что сайт имеет проблемы: обман</t>
  </si>
  <si>
    <t>SkyPro</t>
  </si>
  <si>
    <t>отдельно автоматизации нет</t>
  </si>
  <si>
    <t>снова нереальные скидки в 40%</t>
  </si>
  <si>
    <t>https://sky.pro/courses/programming/qa-engineer</t>
  </si>
  <si>
    <t>из альтернатив:</t>
  </si>
  <si>
    <t>YouTube</t>
  </si>
  <si>
    <t>Udemy</t>
  </si>
  <si>
    <t>WayUp</t>
  </si>
  <si>
    <t>Simply Learn</t>
  </si>
  <si>
    <t>M1M0</t>
  </si>
  <si>
    <t>Coursera</t>
  </si>
  <si>
    <t>Edx</t>
  </si>
  <si>
    <t>Pluralsight</t>
  </si>
  <si>
    <t xml:space="preserve">не забывай, что есть: </t>
  </si>
  <si>
    <t>Курсы от мировых университетов бесплатно БЕЗ сертификации * но за сертификат можно доплатить</t>
  </si>
  <si>
    <t>Есть академические пути от того же LinkedIn, Microsoft, Amazon, IBM и многих других</t>
  </si>
  <si>
    <t>+4317121229</t>
  </si>
  <si>
    <t>max.mustermann.oida@protonmail.com</t>
  </si>
  <si>
    <t>max</t>
  </si>
  <si>
    <t>Mustermann</t>
  </si>
  <si>
    <t>https://journal.tinkoff.ru/news/obuchenie-so-skidkoi/</t>
  </si>
  <si>
    <t>https://leader-id.ru</t>
  </si>
  <si>
    <t>Skill / Platform</t>
  </si>
  <si>
    <t>SkillBox</t>
  </si>
  <si>
    <t>SkillFactory</t>
  </si>
  <si>
    <t>С#</t>
  </si>
  <si>
    <t>Playwright</t>
  </si>
  <si>
    <t>Jest</t>
  </si>
  <si>
    <t>JS</t>
  </si>
  <si>
    <t>Espresso</t>
  </si>
  <si>
    <t>Appium</t>
  </si>
  <si>
    <t>SOAP</t>
  </si>
  <si>
    <t>Git</t>
  </si>
  <si>
    <t>JMeter</t>
  </si>
  <si>
    <t>SUMM</t>
  </si>
  <si>
    <t>здесь нужно брать оба курса, чтобы покрыть всё, то есть итого выйдет 142тр</t>
  </si>
  <si>
    <t>за основу взял курс "от нуля до миддл" за 132тр</t>
  </si>
  <si>
    <t>не совсем понял по программе. Может, упустил чего, но снова нужно брать два курса общей стоимостью выше 100тр</t>
  </si>
  <si>
    <t>Совсем нет блока про автоматизацию</t>
  </si>
  <si>
    <t>цена по единовременному платежу неизвестна, но из рассчета рассрочки выходит баснословная сумма за 250 тр</t>
  </si>
  <si>
    <t>в принципе, все необходимое есть в автомате, который за 130к, но для уверенности можно взять и второй курс, но это уже слишком дорого - под 200к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</si>
</sst>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Times New Roman"/>
    </font>
    <font>
      <sz val="12.0"/>
      <color theme="1"/>
      <name val="Times New Roman"/>
    </font>
    <font>
      <u/>
      <sz val="12.0"/>
      <color rgb="FF000000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color rgb="FF0000FF"/>
    </font>
    <font>
      <sz val="12.0"/>
      <color rgb="FF000051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quotePrefix="1" borderId="0" fillId="7" fontId="10" numFmtId="0" xfId="0" applyAlignment="1" applyFill="1" applyFont="1">
      <alignment horizontal="center" readingOrder="0" shrinkToFit="0" vertical="center" wrapText="1"/>
    </xf>
    <xf borderId="0" fillId="8" fontId="3" numFmtId="0" xfId="0" applyAlignment="1" applyFill="1" applyFont="1">
      <alignment horizontal="center" shrinkToFit="0" vertical="center" wrapText="1"/>
    </xf>
    <xf borderId="0" fillId="9" fontId="3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10" fontId="3" numFmtId="0" xfId="0" applyAlignment="1" applyFill="1" applyFont="1">
      <alignment horizontal="center" readingOrder="0" shrinkToFit="0" vertical="center" wrapText="1"/>
    </xf>
    <xf borderId="0" fillId="11" fontId="3" numFmtId="0" xfId="0" applyAlignment="1" applyFill="1" applyFont="1">
      <alignment horizontal="center" readingOrder="0" shrinkToFit="0" vertical="center" wrapText="1"/>
    </xf>
    <xf borderId="0" fillId="12" fontId="3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ruttonetto.arbeiterkammer.at" TargetMode="External"/><Relationship Id="rId2" Type="http://schemas.openxmlformats.org/officeDocument/2006/relationships/hyperlink" Target="https://salaryaftertax.com/be/salary-calculator" TargetMode="External"/><Relationship Id="rId3" Type="http://schemas.openxmlformats.org/officeDocument/2006/relationships/hyperlink" Target="https://salaryaftertax.com/ca/salary-calculator" TargetMode="External"/><Relationship Id="rId4" Type="http://schemas.openxmlformats.org/officeDocument/2006/relationships/hyperlink" Target="https://fi.talent.com/en/tax-calculator?salary=54000&amp;from=year&amp;region=Finland" TargetMode="External"/><Relationship Id="rId11" Type="http://schemas.openxmlformats.org/officeDocument/2006/relationships/hyperlink" Target="https://www.salaryexpert.com/salary" TargetMode="External"/><Relationship Id="rId10" Type="http://schemas.openxmlformats.org/officeDocument/2006/relationships/hyperlink" Target="https://salaryaftertax.com/salary-calculator/uk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salaryaftertax.com/nz/salary-calculator" TargetMode="External"/><Relationship Id="rId5" Type="http://schemas.openxmlformats.org/officeDocument/2006/relationships/hyperlink" Target="https://salaryaftertax.com/fr/salary-calculator" TargetMode="External"/><Relationship Id="rId6" Type="http://schemas.openxmlformats.org/officeDocument/2006/relationships/hyperlink" Target="https://salaryaftertax.com/tax-calculator/germany" TargetMode="External"/><Relationship Id="rId7" Type="http://schemas.openxmlformats.org/officeDocument/2006/relationships/hyperlink" Target="https://salaryaftertax.com/jp/salary-calculator" TargetMode="External"/><Relationship Id="rId8" Type="http://schemas.openxmlformats.org/officeDocument/2006/relationships/hyperlink" Target="https://thetax.nl/?year=2022&amp;startFrom=Year&amp;salary=52000&amp;allowance=0&amp;socialSecurity=1&amp;retired=0&amp;ruling=0&amp;rulingChoice=norma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gration.gv.at/en/welcome/?no_cache=1" TargetMode="External"/><Relationship Id="rId2" Type="http://schemas.openxmlformats.org/officeDocument/2006/relationships/hyperlink" Target="https://www.germany-visa.org/immigration-residence-permit/german-residence-permit/" TargetMode="External"/><Relationship Id="rId3" Type="http://schemas.openxmlformats.org/officeDocument/2006/relationships/hyperlink" Target="https://www.housingtarget.com/austria/for-rent/apartment?srt_field=default&amp;srt_dir=asc" TargetMode="External"/><Relationship Id="rId4" Type="http://schemas.openxmlformats.org/officeDocument/2006/relationships/hyperlink" Target="https://www.expatrio.com/living-germany/renting-germany/how-rent-apartment-germany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kununu.com/beste-arbeitgeber-oesterreich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ursera.org/" TargetMode="External"/><Relationship Id="rId10" Type="http://schemas.openxmlformats.org/officeDocument/2006/relationships/hyperlink" Target="https://getmimo.com/" TargetMode="External"/><Relationship Id="rId13" Type="http://schemas.openxmlformats.org/officeDocument/2006/relationships/hyperlink" Target="https://www.pluralsight.com/" TargetMode="External"/><Relationship Id="rId12" Type="http://schemas.openxmlformats.org/officeDocument/2006/relationships/hyperlink" Target="https://www.edx.org/" TargetMode="External"/><Relationship Id="rId1" Type="http://schemas.openxmlformats.org/officeDocument/2006/relationships/hyperlink" Target="https://skillbox.ru/sale/2022/code/" TargetMode="External"/><Relationship Id="rId2" Type="http://schemas.openxmlformats.org/officeDocument/2006/relationships/hyperlink" Target="https://skillfactory.ru/qa-engineer-po-ruchnomu-testirovaniyu-syllabus-thankyou" TargetMode="External"/><Relationship Id="rId3" Type="http://schemas.openxmlformats.org/officeDocument/2006/relationships/hyperlink" Target="https://practicum.yandex.ru/qa-automation-engineer-java/" TargetMode="External"/><Relationship Id="rId4" Type="http://schemas.openxmlformats.org/officeDocument/2006/relationships/hyperlink" Target="https://netology.ru/programs/qa-middle" TargetMode="External"/><Relationship Id="rId9" Type="http://schemas.openxmlformats.org/officeDocument/2006/relationships/hyperlink" Target="https://www.simplilearn.com/" TargetMode="External"/><Relationship Id="rId15" Type="http://schemas.openxmlformats.org/officeDocument/2006/relationships/hyperlink" Target="https://leader-id.ru" TargetMode="External"/><Relationship Id="rId14" Type="http://schemas.openxmlformats.org/officeDocument/2006/relationships/hyperlink" Target="https://journal.tinkoff.ru/news/obuchenie-so-skidkoi/" TargetMode="External"/><Relationship Id="rId16" Type="http://schemas.openxmlformats.org/officeDocument/2006/relationships/drawing" Target="../drawings/drawing7.xml"/><Relationship Id="rId5" Type="http://schemas.openxmlformats.org/officeDocument/2006/relationships/hyperlink" Target="https://gb.ru/geek_university/it-specialist/qa" TargetMode="External"/><Relationship Id="rId6" Type="http://schemas.openxmlformats.org/officeDocument/2006/relationships/hyperlink" Target="https://sky.pro/courses/programming/qa-engineer" TargetMode="External"/><Relationship Id="rId7" Type="http://schemas.openxmlformats.org/officeDocument/2006/relationships/hyperlink" Target="https://www.udemy.com/" TargetMode="External"/><Relationship Id="rId8" Type="http://schemas.openxmlformats.org/officeDocument/2006/relationships/hyperlink" Target="https://wayup.in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0"/>
    <col customWidth="1" min="8" max="8" width="25.5"/>
    <col customWidth="1" min="9" max="9" width="22.13"/>
  </cols>
  <sheetData>
    <row r="1">
      <c r="A1" s="1" t="str">
        <f>IFERROR(__xludf.DUMMYFUNCTION("IMPORTHTML(""https://www.numbeo.com/quality-of-life/rankings_by_country.jsp"",""table"",2,""EN_US"")"),"Rank")</f>
        <v>Rank</v>
      </c>
      <c r="B1" s="1" t="str">
        <f>IFERROR(__xludf.DUMMYFUNCTION("""COMPUTED_VALUE"""),"Country")</f>
        <v>Country</v>
      </c>
      <c r="C1" s="1" t="str">
        <f>IFERROR(__xludf.DUMMYFUNCTION("""COMPUTED_VALUE"""),"Quality of Life Index")</f>
        <v>Quality of Life Index</v>
      </c>
      <c r="D1" s="1" t="str">
        <f>IFERROR(__xludf.DUMMYFUNCTION("""COMPUTED_VALUE"""),"Purchasing Power Index")</f>
        <v>Purchasing Power Index</v>
      </c>
      <c r="E1" s="1" t="str">
        <f>IFERROR(__xludf.DUMMYFUNCTION("""COMPUTED_VALUE"""),"Safety Index")</f>
        <v>Safety Index</v>
      </c>
      <c r="F1" s="1" t="str">
        <f>IFERROR(__xludf.DUMMYFUNCTION("""COMPUTED_VALUE"""),"Health Care Index")</f>
        <v>Health Care Index</v>
      </c>
      <c r="G1" s="1" t="str">
        <f>IFERROR(__xludf.DUMMYFUNCTION("""COMPUTED_VALUE"""),"Cost of Living Index")</f>
        <v>Cost of Living Index</v>
      </c>
      <c r="H1" s="1" t="str">
        <f>IFERROR(__xludf.DUMMYFUNCTION("""COMPUTED_VALUE"""),"Property Price to Income Ratio")</f>
        <v>Property Price to Income Ratio</v>
      </c>
      <c r="I1" s="1" t="str">
        <f>IFERROR(__xludf.DUMMYFUNCTION("""COMPUTED_VALUE"""),"Traffic Commute Time Index")</f>
        <v>Traffic Commute Time Index</v>
      </c>
      <c r="J1" s="1" t="str">
        <f>IFERROR(__xludf.DUMMYFUNCTION("""COMPUTED_VALUE"""),"Pollution Index")</f>
        <v>Pollution Index</v>
      </c>
      <c r="K1" s="1" t="str">
        <f>IFERROR(__xludf.DUMMYFUNCTION("""COMPUTED_VALUE"""),"Climate Index")</f>
        <v>Climate Index</v>
      </c>
    </row>
    <row r="2">
      <c r="A2" s="1"/>
      <c r="B2" s="1" t="str">
        <f>IFERROR(__xludf.DUMMYFUNCTION("""COMPUTED_VALUE"""),"Switzerland")</f>
        <v>Switzerland</v>
      </c>
      <c r="C2" s="1">
        <f>IFERROR(__xludf.DUMMYFUNCTION("""COMPUTED_VALUE"""),195.06)</f>
        <v>195.06</v>
      </c>
      <c r="D2" s="1">
        <f>IFERROR(__xludf.DUMMYFUNCTION("""COMPUTED_VALUE"""),116.19)</f>
        <v>116.19</v>
      </c>
      <c r="E2" s="1">
        <f>IFERROR(__xludf.DUMMYFUNCTION("""COMPUTED_VALUE"""),77.88)</f>
        <v>77.88</v>
      </c>
      <c r="F2" s="1">
        <f>IFERROR(__xludf.DUMMYFUNCTION("""COMPUTED_VALUE"""),75.32)</f>
        <v>75.32</v>
      </c>
      <c r="G2" s="1">
        <f>IFERROR(__xludf.DUMMYFUNCTION("""COMPUTED_VALUE"""),110.34)</f>
        <v>110.34</v>
      </c>
      <c r="H2" s="1">
        <f>IFERROR(__xludf.DUMMYFUNCTION("""COMPUTED_VALUE"""),8.86)</f>
        <v>8.86</v>
      </c>
      <c r="I2" s="1">
        <f>IFERROR(__xludf.DUMMYFUNCTION("""COMPUTED_VALUE"""),28.37)</f>
        <v>28.37</v>
      </c>
      <c r="J2" s="1">
        <f>IFERROR(__xludf.DUMMYFUNCTION("""COMPUTED_VALUE"""),19.39)</f>
        <v>19.39</v>
      </c>
      <c r="K2" s="1">
        <f>IFERROR(__xludf.DUMMYFUNCTION("""COMPUTED_VALUE"""),79.56)</f>
        <v>79.56</v>
      </c>
    </row>
    <row r="3">
      <c r="A3" s="1"/>
      <c r="B3" s="1" t="str">
        <f>IFERROR(__xludf.DUMMYFUNCTION("""COMPUTED_VALUE"""),"Denmark")</f>
        <v>Denmark</v>
      </c>
      <c r="C3" s="1">
        <f>IFERROR(__xludf.DUMMYFUNCTION("""COMPUTED_VALUE"""),194.15)</f>
        <v>194.15</v>
      </c>
      <c r="D3" s="1">
        <f>IFERROR(__xludf.DUMMYFUNCTION("""COMPUTED_VALUE"""),99.76)</f>
        <v>99.76</v>
      </c>
      <c r="E3" s="1">
        <f>IFERROR(__xludf.DUMMYFUNCTION("""COMPUTED_VALUE"""),73.66)</f>
        <v>73.66</v>
      </c>
      <c r="F3" s="1">
        <f>IFERROR(__xludf.DUMMYFUNCTION("""COMPUTED_VALUE"""),79.77)</f>
        <v>79.77</v>
      </c>
      <c r="G3" s="1">
        <f>IFERROR(__xludf.DUMMYFUNCTION("""COMPUTED_VALUE"""),73.09)</f>
        <v>73.09</v>
      </c>
      <c r="H3" s="1">
        <f>IFERROR(__xludf.DUMMYFUNCTION("""COMPUTED_VALUE"""),6.3)</f>
        <v>6.3</v>
      </c>
      <c r="I3" s="1">
        <f>IFERROR(__xludf.DUMMYFUNCTION("""COMPUTED_VALUE"""),28.41)</f>
        <v>28.41</v>
      </c>
      <c r="J3" s="1">
        <f>IFERROR(__xludf.DUMMYFUNCTION("""COMPUTED_VALUE"""),20.92)</f>
        <v>20.92</v>
      </c>
      <c r="K3" s="1">
        <f>IFERROR(__xludf.DUMMYFUNCTION("""COMPUTED_VALUE"""),81.8)</f>
        <v>81.8</v>
      </c>
    </row>
    <row r="4">
      <c r="A4" s="1"/>
      <c r="B4" s="1" t="str">
        <f>IFERROR(__xludf.DUMMYFUNCTION("""COMPUTED_VALUE"""),"Netherlands")</f>
        <v>Netherlands</v>
      </c>
      <c r="C4" s="1">
        <f>IFERROR(__xludf.DUMMYFUNCTION("""COMPUTED_VALUE"""),191.46)</f>
        <v>191.46</v>
      </c>
      <c r="D4" s="1">
        <f>IFERROR(__xludf.DUMMYFUNCTION("""COMPUTED_VALUE"""),99.58)</f>
        <v>99.58</v>
      </c>
      <c r="E4" s="1">
        <f>IFERROR(__xludf.DUMMYFUNCTION("""COMPUTED_VALUE"""),72.43)</f>
        <v>72.43</v>
      </c>
      <c r="F4" s="1">
        <f>IFERROR(__xludf.DUMMYFUNCTION("""COMPUTED_VALUE"""),75.93)</f>
        <v>75.93</v>
      </c>
      <c r="G4" s="1">
        <f>IFERROR(__xludf.DUMMYFUNCTION("""COMPUTED_VALUE"""),67.71)</f>
        <v>67.71</v>
      </c>
      <c r="H4" s="1">
        <f>IFERROR(__xludf.DUMMYFUNCTION("""COMPUTED_VALUE"""),7.36)</f>
        <v>7.36</v>
      </c>
      <c r="I4" s="1">
        <f>IFERROR(__xludf.DUMMYFUNCTION("""COMPUTED_VALUE"""),26.63)</f>
        <v>26.63</v>
      </c>
      <c r="J4" s="1">
        <f>IFERROR(__xludf.DUMMYFUNCTION("""COMPUTED_VALUE"""),24.72)</f>
        <v>24.72</v>
      </c>
      <c r="K4" s="1">
        <f>IFERROR(__xludf.DUMMYFUNCTION("""COMPUTED_VALUE"""),86.92)</f>
        <v>86.92</v>
      </c>
    </row>
    <row r="5">
      <c r="A5" s="1"/>
      <c r="B5" s="1" t="str">
        <f>IFERROR(__xludf.DUMMYFUNCTION("""COMPUTED_VALUE"""),"Australia")</f>
        <v>Australia</v>
      </c>
      <c r="C5" s="1">
        <f>IFERROR(__xludf.DUMMYFUNCTION("""COMPUTED_VALUE"""),190.72)</f>
        <v>190.72</v>
      </c>
      <c r="D5" s="1">
        <f>IFERROR(__xludf.DUMMYFUNCTION("""COMPUTED_VALUE"""),117.56)</f>
        <v>117.56</v>
      </c>
      <c r="E5" s="1">
        <f>IFERROR(__xludf.DUMMYFUNCTION("""COMPUTED_VALUE"""),55.17)</f>
        <v>55.17</v>
      </c>
      <c r="F5" s="1">
        <f>IFERROR(__xludf.DUMMYFUNCTION("""COMPUTED_VALUE"""),77.76)</f>
        <v>77.76</v>
      </c>
      <c r="G5" s="1">
        <f>IFERROR(__xludf.DUMMYFUNCTION("""COMPUTED_VALUE"""),72.27)</f>
        <v>72.27</v>
      </c>
      <c r="H5" s="1">
        <f>IFERROR(__xludf.DUMMYFUNCTION("""COMPUTED_VALUE"""),5.6)</f>
        <v>5.6</v>
      </c>
      <c r="I5" s="1">
        <f>IFERROR(__xludf.DUMMYFUNCTION("""COMPUTED_VALUE"""),34.68)</f>
        <v>34.68</v>
      </c>
      <c r="J5" s="1">
        <f>IFERROR(__xludf.DUMMYFUNCTION("""COMPUTED_VALUE"""),24.19)</f>
        <v>24.19</v>
      </c>
      <c r="K5" s="1">
        <f>IFERROR(__xludf.DUMMYFUNCTION("""COMPUTED_VALUE"""),93.9)</f>
        <v>93.9</v>
      </c>
    </row>
    <row r="6">
      <c r="A6" s="1"/>
      <c r="B6" s="1" t="str">
        <f>IFERROR(__xludf.DUMMYFUNCTION("""COMPUTED_VALUE"""),"Finland")</f>
        <v>Finland</v>
      </c>
      <c r="C6" s="1">
        <f>IFERROR(__xludf.DUMMYFUNCTION("""COMPUTED_VALUE"""),186.84)</f>
        <v>186.84</v>
      </c>
      <c r="D6" s="1">
        <f>IFERROR(__xludf.DUMMYFUNCTION("""COMPUTED_VALUE"""),91.0)</f>
        <v>91</v>
      </c>
      <c r="E6" s="1">
        <f>IFERROR(__xludf.DUMMYFUNCTION("""COMPUTED_VALUE"""),73.16)</f>
        <v>73.16</v>
      </c>
      <c r="F6" s="1">
        <f>IFERROR(__xludf.DUMMYFUNCTION("""COMPUTED_VALUE"""),76.75)</f>
        <v>76.75</v>
      </c>
      <c r="G6" s="1">
        <f>IFERROR(__xludf.DUMMYFUNCTION("""COMPUTED_VALUE"""),63.75)</f>
        <v>63.75</v>
      </c>
      <c r="H6" s="1">
        <f>IFERROR(__xludf.DUMMYFUNCTION("""COMPUTED_VALUE"""),7.54)</f>
        <v>7.54</v>
      </c>
      <c r="I6" s="1">
        <f>IFERROR(__xludf.DUMMYFUNCTION("""COMPUTED_VALUE"""),27.58)</f>
        <v>27.58</v>
      </c>
      <c r="J6" s="1">
        <f>IFERROR(__xludf.DUMMYFUNCTION("""COMPUTED_VALUE"""),12.02)</f>
        <v>12.02</v>
      </c>
      <c r="K6" s="1">
        <f>IFERROR(__xludf.DUMMYFUNCTION("""COMPUTED_VALUE"""),56.64)</f>
        <v>56.64</v>
      </c>
    </row>
    <row r="7">
      <c r="A7" s="1"/>
      <c r="B7" s="1" t="str">
        <f>IFERROR(__xludf.DUMMYFUNCTION("""COMPUTED_VALUE"""),"Iceland")</f>
        <v>Iceland</v>
      </c>
      <c r="C7" s="1">
        <f>IFERROR(__xludf.DUMMYFUNCTION("""COMPUTED_VALUE"""),184.48)</f>
        <v>184.48</v>
      </c>
      <c r="D7" s="1">
        <f>IFERROR(__xludf.DUMMYFUNCTION("""COMPUTED_VALUE"""),82.62)</f>
        <v>82.62</v>
      </c>
      <c r="E7" s="1">
        <f>IFERROR(__xludf.DUMMYFUNCTION("""COMPUTED_VALUE"""),75.7)</f>
        <v>75.7</v>
      </c>
      <c r="F7" s="1">
        <f>IFERROR(__xludf.DUMMYFUNCTION("""COMPUTED_VALUE"""),66.61)</f>
        <v>66.61</v>
      </c>
      <c r="G7" s="1">
        <f>IFERROR(__xludf.DUMMYFUNCTION("""COMPUTED_VALUE"""),86.59)</f>
        <v>86.59</v>
      </c>
      <c r="H7" s="1">
        <f>IFERROR(__xludf.DUMMYFUNCTION("""COMPUTED_VALUE"""),6.8)</f>
        <v>6.8</v>
      </c>
      <c r="I7" s="1">
        <f>IFERROR(__xludf.DUMMYFUNCTION("""COMPUTED_VALUE"""),19.96)</f>
        <v>19.96</v>
      </c>
      <c r="J7" s="1">
        <f>IFERROR(__xludf.DUMMYFUNCTION("""COMPUTED_VALUE"""),15.83)</f>
        <v>15.83</v>
      </c>
      <c r="K7" s="1">
        <f>IFERROR(__xludf.DUMMYFUNCTION("""COMPUTED_VALUE"""),68.81)</f>
        <v>68.81</v>
      </c>
    </row>
    <row r="8">
      <c r="A8" s="1"/>
      <c r="B8" s="1" t="str">
        <f>IFERROR(__xludf.DUMMYFUNCTION("""COMPUTED_VALUE"""),"Norway")</f>
        <v>Norway</v>
      </c>
      <c r="C8" s="1">
        <f>IFERROR(__xludf.DUMMYFUNCTION("""COMPUTED_VALUE"""),179.63)</f>
        <v>179.63</v>
      </c>
      <c r="D8" s="1">
        <f>IFERROR(__xludf.DUMMYFUNCTION("""COMPUTED_VALUE"""),86.27)</f>
        <v>86.27</v>
      </c>
      <c r="E8" s="1">
        <f>IFERROR(__xludf.DUMMYFUNCTION("""COMPUTED_VALUE"""),66.49)</f>
        <v>66.49</v>
      </c>
      <c r="F8" s="1">
        <f>IFERROR(__xludf.DUMMYFUNCTION("""COMPUTED_VALUE"""),77.08)</f>
        <v>77.08</v>
      </c>
      <c r="G8" s="1">
        <f>IFERROR(__xludf.DUMMYFUNCTION("""COMPUTED_VALUE"""),85.93)</f>
        <v>85.93</v>
      </c>
      <c r="H8" s="1">
        <f>IFERROR(__xludf.DUMMYFUNCTION("""COMPUTED_VALUE"""),7.83)</f>
        <v>7.83</v>
      </c>
      <c r="I8" s="1">
        <f>IFERROR(__xludf.DUMMYFUNCTION("""COMPUTED_VALUE"""),26.87)</f>
        <v>26.87</v>
      </c>
      <c r="J8" s="1">
        <f>IFERROR(__xludf.DUMMYFUNCTION("""COMPUTED_VALUE"""),17.99)</f>
        <v>17.99</v>
      </c>
      <c r="K8" s="1">
        <f>IFERROR(__xludf.DUMMYFUNCTION("""COMPUTED_VALUE"""),68.68)</f>
        <v>68.68</v>
      </c>
    </row>
    <row r="9">
      <c r="A9" s="1"/>
      <c r="B9" s="1" t="str">
        <f>IFERROR(__xludf.DUMMYFUNCTION("""COMPUTED_VALUE"""),"Germany")</f>
        <v>Germany</v>
      </c>
      <c r="C9" s="1">
        <f>IFERROR(__xludf.DUMMYFUNCTION("""COMPUTED_VALUE"""),178.32)</f>
        <v>178.32</v>
      </c>
      <c r="D9" s="1">
        <f>IFERROR(__xludf.DUMMYFUNCTION("""COMPUTED_VALUE"""),102.75)</f>
        <v>102.75</v>
      </c>
      <c r="E9" s="1">
        <f>IFERROR(__xludf.DUMMYFUNCTION("""COMPUTED_VALUE"""),62.99)</f>
        <v>62.99</v>
      </c>
      <c r="F9" s="1">
        <f>IFERROR(__xludf.DUMMYFUNCTION("""COMPUTED_VALUE"""),72.45)</f>
        <v>72.45</v>
      </c>
      <c r="G9" s="1">
        <f>IFERROR(__xludf.DUMMYFUNCTION("""COMPUTED_VALUE"""),59.62)</f>
        <v>59.62</v>
      </c>
      <c r="H9" s="1">
        <f>IFERROR(__xludf.DUMMYFUNCTION("""COMPUTED_VALUE"""),10.6)</f>
        <v>10.6</v>
      </c>
      <c r="I9" s="1">
        <f>IFERROR(__xludf.DUMMYFUNCTION("""COMPUTED_VALUE"""),31.14)</f>
        <v>31.14</v>
      </c>
      <c r="J9" s="1">
        <f>IFERROR(__xludf.DUMMYFUNCTION("""COMPUTED_VALUE"""),28.14)</f>
        <v>28.14</v>
      </c>
      <c r="K9" s="1">
        <f>IFERROR(__xludf.DUMMYFUNCTION("""COMPUTED_VALUE"""),82.92)</f>
        <v>82.92</v>
      </c>
    </row>
    <row r="10">
      <c r="A10" s="1"/>
      <c r="B10" s="1" t="str">
        <f>IFERROR(__xludf.DUMMYFUNCTION("""COMPUTED_VALUE"""),"Austria")</f>
        <v>Austria</v>
      </c>
      <c r="C10" s="1">
        <f>IFERROR(__xludf.DUMMYFUNCTION("""COMPUTED_VALUE"""),178.06)</f>
        <v>178.06</v>
      </c>
      <c r="D10" s="1">
        <f>IFERROR(__xludf.DUMMYFUNCTION("""COMPUTED_VALUE"""),75.09)</f>
        <v>75.09</v>
      </c>
      <c r="E10" s="1">
        <f>IFERROR(__xludf.DUMMYFUNCTION("""COMPUTED_VALUE"""),73.18)</f>
        <v>73.18</v>
      </c>
      <c r="F10" s="1">
        <f>IFERROR(__xludf.DUMMYFUNCTION("""COMPUTED_VALUE"""),76.19)</f>
        <v>76.19</v>
      </c>
      <c r="G10" s="1">
        <f>IFERROR(__xludf.DUMMYFUNCTION("""COMPUTED_VALUE"""),64.11)</f>
        <v>64.11</v>
      </c>
      <c r="H10" s="1">
        <f>IFERROR(__xludf.DUMMYFUNCTION("""COMPUTED_VALUE"""),10.88)</f>
        <v>10.88</v>
      </c>
      <c r="I10" s="1">
        <f>IFERROR(__xludf.DUMMYFUNCTION("""COMPUTED_VALUE"""),25.38)</f>
        <v>25.38</v>
      </c>
      <c r="J10" s="1">
        <f>IFERROR(__xludf.DUMMYFUNCTION("""COMPUTED_VALUE"""),22.16)</f>
        <v>22.16</v>
      </c>
      <c r="K10" s="1">
        <f>IFERROR(__xludf.DUMMYFUNCTION("""COMPUTED_VALUE"""),77.15)</f>
        <v>77.15</v>
      </c>
    </row>
    <row r="11">
      <c r="A11" s="1"/>
      <c r="B11" s="1" t="str">
        <f>IFERROR(__xludf.DUMMYFUNCTION("""COMPUTED_VALUE"""),"New Zealand")</f>
        <v>New Zealand</v>
      </c>
      <c r="C11" s="1">
        <f>IFERROR(__xludf.DUMMYFUNCTION("""COMPUTED_VALUE"""),176.83)</f>
        <v>176.83</v>
      </c>
      <c r="D11" s="1">
        <f>IFERROR(__xludf.DUMMYFUNCTION("""COMPUTED_VALUE"""),85.02)</f>
        <v>85.02</v>
      </c>
      <c r="E11" s="1">
        <f>IFERROR(__xludf.DUMMYFUNCTION("""COMPUTED_VALUE"""),55.39)</f>
        <v>55.39</v>
      </c>
      <c r="F11" s="1">
        <f>IFERROR(__xludf.DUMMYFUNCTION("""COMPUTED_VALUE"""),72.97)</f>
        <v>72.97</v>
      </c>
      <c r="G11" s="1">
        <f>IFERROR(__xludf.DUMMYFUNCTION("""COMPUTED_VALUE"""),68.96)</f>
        <v>68.96</v>
      </c>
      <c r="H11" s="1">
        <f>IFERROR(__xludf.DUMMYFUNCTION("""COMPUTED_VALUE"""),8.01)</f>
        <v>8.01</v>
      </c>
      <c r="I11" s="1">
        <f>IFERROR(__xludf.DUMMYFUNCTION("""COMPUTED_VALUE"""),30.73)</f>
        <v>30.73</v>
      </c>
      <c r="J11" s="1">
        <f>IFERROR(__xludf.DUMMYFUNCTION("""COMPUTED_VALUE"""),23.87)</f>
        <v>23.87</v>
      </c>
      <c r="K11" s="1">
        <f>IFERROR(__xludf.DUMMYFUNCTION("""COMPUTED_VALUE"""),96.35)</f>
        <v>96.35</v>
      </c>
    </row>
    <row r="12">
      <c r="A12" s="1"/>
      <c r="B12" s="1" t="str">
        <f>IFERROR(__xludf.DUMMYFUNCTION("""COMPUTED_VALUE"""),"United Arab Emirates")</f>
        <v>United Arab Emirates</v>
      </c>
      <c r="C12" s="1">
        <f>IFERROR(__xludf.DUMMYFUNCTION("""COMPUTED_VALUE"""),174.37)</f>
        <v>174.37</v>
      </c>
      <c r="D12" s="1">
        <f>IFERROR(__xludf.DUMMYFUNCTION("""COMPUTED_VALUE"""),118.94)</f>
        <v>118.94</v>
      </c>
      <c r="E12" s="1">
        <f>IFERROR(__xludf.DUMMYFUNCTION("""COMPUTED_VALUE"""),85.13)</f>
        <v>85.13</v>
      </c>
      <c r="F12" s="1">
        <f>IFERROR(__xludf.DUMMYFUNCTION("""COMPUTED_VALUE"""),69.68)</f>
        <v>69.68</v>
      </c>
      <c r="G12" s="1">
        <f>IFERROR(__xludf.DUMMYFUNCTION("""COMPUTED_VALUE"""),58.01)</f>
        <v>58.01</v>
      </c>
      <c r="H12" s="1">
        <f>IFERROR(__xludf.DUMMYFUNCTION("""COMPUTED_VALUE"""),2.91)</f>
        <v>2.91</v>
      </c>
      <c r="I12" s="1">
        <f>IFERROR(__xludf.DUMMYFUNCTION("""COMPUTED_VALUE"""),36.1)</f>
        <v>36.1</v>
      </c>
      <c r="J12" s="1">
        <f>IFERROR(__xludf.DUMMYFUNCTION("""COMPUTED_VALUE"""),47.94)</f>
        <v>47.94</v>
      </c>
      <c r="K12" s="1">
        <f>IFERROR(__xludf.DUMMYFUNCTION("""COMPUTED_VALUE"""),45.23)</f>
        <v>45.23</v>
      </c>
    </row>
    <row r="13">
      <c r="A13" s="1"/>
      <c r="B13" s="1" t="str">
        <f>IFERROR(__xludf.DUMMYFUNCTION("""COMPUTED_VALUE"""),"Estonia")</f>
        <v>Estonia</v>
      </c>
      <c r="C13" s="1">
        <f>IFERROR(__xludf.DUMMYFUNCTION("""COMPUTED_VALUE"""),173.83)</f>
        <v>173.83</v>
      </c>
      <c r="D13" s="1">
        <f>IFERROR(__xludf.DUMMYFUNCTION("""COMPUTED_VALUE"""),60.41)</f>
        <v>60.41</v>
      </c>
      <c r="E13" s="1">
        <f>IFERROR(__xludf.DUMMYFUNCTION("""COMPUTED_VALUE"""),75.86)</f>
        <v>75.86</v>
      </c>
      <c r="F13" s="1">
        <f>IFERROR(__xludf.DUMMYFUNCTION("""COMPUTED_VALUE"""),73.87)</f>
        <v>73.87</v>
      </c>
      <c r="G13" s="1">
        <f>IFERROR(__xludf.DUMMYFUNCTION("""COMPUTED_VALUE"""),49.47)</f>
        <v>49.47</v>
      </c>
      <c r="H13" s="1">
        <f>IFERROR(__xludf.DUMMYFUNCTION("""COMPUTED_VALUE"""),10.06)</f>
        <v>10.06</v>
      </c>
      <c r="I13" s="1">
        <f>IFERROR(__xludf.DUMMYFUNCTION("""COMPUTED_VALUE"""),23.97)</f>
        <v>23.97</v>
      </c>
      <c r="J13" s="1">
        <f>IFERROR(__xludf.DUMMYFUNCTION("""COMPUTED_VALUE"""),18.36)</f>
        <v>18.36</v>
      </c>
      <c r="K13" s="1">
        <f>IFERROR(__xludf.DUMMYFUNCTION("""COMPUTED_VALUE"""),64.28)</f>
        <v>64.28</v>
      </c>
    </row>
    <row r="14">
      <c r="A14" s="1"/>
      <c r="B14" s="1" t="str">
        <f>IFERROR(__xludf.DUMMYFUNCTION("""COMPUTED_VALUE"""),"Luxembourg")</f>
        <v>Luxembourg</v>
      </c>
      <c r="C14" s="1">
        <f>IFERROR(__xludf.DUMMYFUNCTION("""COMPUTED_VALUE"""),173.76)</f>
        <v>173.76</v>
      </c>
      <c r="D14" s="1">
        <f>IFERROR(__xludf.DUMMYFUNCTION("""COMPUTED_VALUE"""),96.13)</f>
        <v>96.13</v>
      </c>
      <c r="E14" s="1">
        <f>IFERROR(__xludf.DUMMYFUNCTION("""COMPUTED_VALUE"""),64.42)</f>
        <v>64.42</v>
      </c>
      <c r="F14" s="1">
        <f>IFERROR(__xludf.DUMMYFUNCTION("""COMPUTED_VALUE"""),71.54)</f>
        <v>71.54</v>
      </c>
      <c r="G14" s="1">
        <f>IFERROR(__xludf.DUMMYFUNCTION("""COMPUTED_VALUE"""),72.15)</f>
        <v>72.15</v>
      </c>
      <c r="H14" s="1">
        <f>IFERROR(__xludf.DUMMYFUNCTION("""COMPUTED_VALUE"""),13.95)</f>
        <v>13.95</v>
      </c>
      <c r="I14" s="1">
        <f>IFERROR(__xludf.DUMMYFUNCTION("""COMPUTED_VALUE"""),31.66)</f>
        <v>31.66</v>
      </c>
      <c r="J14" s="1">
        <f>IFERROR(__xludf.DUMMYFUNCTION("""COMPUTED_VALUE"""),24.1)</f>
        <v>24.1</v>
      </c>
      <c r="K14" s="1">
        <f>IFERROR(__xludf.DUMMYFUNCTION("""COMPUTED_VALUE"""),82.62)</f>
        <v>82.62</v>
      </c>
    </row>
    <row r="15">
      <c r="A15" s="1"/>
      <c r="B15" s="1" t="str">
        <f>IFERROR(__xludf.DUMMYFUNCTION("""COMPUTED_VALUE"""),"Sweden")</f>
        <v>Sweden</v>
      </c>
      <c r="C15" s="1">
        <f>IFERROR(__xludf.DUMMYFUNCTION("""COMPUTED_VALUE"""),173.71)</f>
        <v>173.71</v>
      </c>
      <c r="D15" s="1">
        <f>IFERROR(__xludf.DUMMYFUNCTION("""COMPUTED_VALUE"""),94.93)</f>
        <v>94.93</v>
      </c>
      <c r="E15" s="1">
        <f>IFERROR(__xludf.DUMMYFUNCTION("""COMPUTED_VALUE"""),51.23)</f>
        <v>51.23</v>
      </c>
      <c r="F15" s="1">
        <f>IFERROR(__xludf.DUMMYFUNCTION("""COMPUTED_VALUE"""),68.81)</f>
        <v>68.81</v>
      </c>
      <c r="G15" s="1">
        <f>IFERROR(__xludf.DUMMYFUNCTION("""COMPUTED_VALUE"""),61.77)</f>
        <v>61.77</v>
      </c>
      <c r="H15" s="1">
        <f>IFERROR(__xludf.DUMMYFUNCTION("""COMPUTED_VALUE"""),9.52)</f>
        <v>9.52</v>
      </c>
      <c r="I15" s="1">
        <f>IFERROR(__xludf.DUMMYFUNCTION("""COMPUTED_VALUE"""),29.42)</f>
        <v>29.42</v>
      </c>
      <c r="J15" s="1">
        <f>IFERROR(__xludf.DUMMYFUNCTION("""COMPUTED_VALUE"""),17.96)</f>
        <v>17.96</v>
      </c>
      <c r="K15" s="1">
        <f>IFERROR(__xludf.DUMMYFUNCTION("""COMPUTED_VALUE"""),74.92)</f>
        <v>74.92</v>
      </c>
    </row>
    <row r="16">
      <c r="A16" s="1"/>
      <c r="B16" s="1" t="str">
        <f>IFERROR(__xludf.DUMMYFUNCTION("""COMPUTED_VALUE"""),"Spain")</f>
        <v>Spain</v>
      </c>
      <c r="C16" s="1">
        <f>IFERROR(__xludf.DUMMYFUNCTION("""COMPUTED_VALUE"""),173.01)</f>
        <v>173.01</v>
      </c>
      <c r="D16" s="1">
        <f>IFERROR(__xludf.DUMMYFUNCTION("""COMPUTED_VALUE"""),77.29)</f>
        <v>77.29</v>
      </c>
      <c r="E16" s="1">
        <f>IFERROR(__xludf.DUMMYFUNCTION("""COMPUTED_VALUE"""),65.03)</f>
        <v>65.03</v>
      </c>
      <c r="F16" s="1">
        <f>IFERROR(__xludf.DUMMYFUNCTION("""COMPUTED_VALUE"""),78.14)</f>
        <v>78.14</v>
      </c>
      <c r="G16" s="1">
        <f>IFERROR(__xludf.DUMMYFUNCTION("""COMPUTED_VALUE"""),47.51)</f>
        <v>47.51</v>
      </c>
      <c r="H16" s="1">
        <f>IFERROR(__xludf.DUMMYFUNCTION("""COMPUTED_VALUE"""),7.49)</f>
        <v>7.49</v>
      </c>
      <c r="I16" s="1">
        <f>IFERROR(__xludf.DUMMYFUNCTION("""COMPUTED_VALUE"""),29.2)</f>
        <v>29.2</v>
      </c>
      <c r="J16" s="1">
        <f>IFERROR(__xludf.DUMMYFUNCTION("""COMPUTED_VALUE"""),39.08)</f>
        <v>39.08</v>
      </c>
      <c r="K16" s="1">
        <f>IFERROR(__xludf.DUMMYFUNCTION("""COMPUTED_VALUE"""),93.65)</f>
        <v>93.65</v>
      </c>
    </row>
    <row r="17">
      <c r="A17" s="1"/>
      <c r="B17" s="1" t="str">
        <f>IFERROR(__xludf.DUMMYFUNCTION("""COMPUTED_VALUE"""),"Japan")</f>
        <v>Japan</v>
      </c>
      <c r="C17" s="1">
        <f>IFERROR(__xludf.DUMMYFUNCTION("""COMPUTED_VALUE"""),172.65)</f>
        <v>172.65</v>
      </c>
      <c r="D17" s="1">
        <f>IFERROR(__xludf.DUMMYFUNCTION("""COMPUTED_VALUE"""),91.13)</f>
        <v>91.13</v>
      </c>
      <c r="E17" s="1">
        <f>IFERROR(__xludf.DUMMYFUNCTION("""COMPUTED_VALUE"""),77.76)</f>
        <v>77.76</v>
      </c>
      <c r="F17" s="1">
        <f>IFERROR(__xludf.DUMMYFUNCTION("""COMPUTED_VALUE"""),80.52)</f>
        <v>80.52</v>
      </c>
      <c r="G17" s="1">
        <f>IFERROR(__xludf.DUMMYFUNCTION("""COMPUTED_VALUE"""),62.77)</f>
        <v>62.77</v>
      </c>
      <c r="H17" s="1">
        <f>IFERROR(__xludf.DUMMYFUNCTION("""COMPUTED_VALUE"""),10.49)</f>
        <v>10.49</v>
      </c>
      <c r="I17" s="1">
        <f>IFERROR(__xludf.DUMMYFUNCTION("""COMPUTED_VALUE"""),40.65)</f>
        <v>40.65</v>
      </c>
      <c r="J17" s="1">
        <f>IFERROR(__xludf.DUMMYFUNCTION("""COMPUTED_VALUE"""),39.09)</f>
        <v>39.09</v>
      </c>
      <c r="K17" s="1">
        <f>IFERROR(__xludf.DUMMYFUNCTION("""COMPUTED_VALUE"""),84.79)</f>
        <v>84.79</v>
      </c>
    </row>
    <row r="18">
      <c r="A18" s="1"/>
      <c r="B18" s="1" t="str">
        <f>IFERROR(__xludf.DUMMYFUNCTION("""COMPUTED_VALUE"""),"Oman")</f>
        <v>Oman</v>
      </c>
      <c r="C18" s="1">
        <f>IFERROR(__xludf.DUMMYFUNCTION("""COMPUTED_VALUE"""),172.12)</f>
        <v>172.12</v>
      </c>
      <c r="D18" s="1">
        <f>IFERROR(__xludf.DUMMYFUNCTION("""COMPUTED_VALUE"""),78.78)</f>
        <v>78.78</v>
      </c>
      <c r="E18" s="1">
        <f>IFERROR(__xludf.DUMMYFUNCTION("""COMPUTED_VALUE"""),80.28)</f>
        <v>80.28</v>
      </c>
      <c r="F18" s="1">
        <f>IFERROR(__xludf.DUMMYFUNCTION("""COMPUTED_VALUE"""),58.23)</f>
        <v>58.23</v>
      </c>
      <c r="G18" s="1">
        <f>IFERROR(__xludf.DUMMYFUNCTION("""COMPUTED_VALUE"""),48.11)</f>
        <v>48.11</v>
      </c>
      <c r="H18" s="1">
        <f>IFERROR(__xludf.DUMMYFUNCTION("""COMPUTED_VALUE"""),4.59)</f>
        <v>4.59</v>
      </c>
      <c r="I18" s="1">
        <f>IFERROR(__xludf.DUMMYFUNCTION("""COMPUTED_VALUE"""),22.63)</f>
        <v>22.63</v>
      </c>
      <c r="J18" s="1">
        <f>IFERROR(__xludf.DUMMYFUNCTION("""COMPUTED_VALUE"""),36.76)</f>
        <v>36.76</v>
      </c>
      <c r="K18" s="1">
        <f>IFERROR(__xludf.DUMMYFUNCTION("""COMPUTED_VALUE"""),67.22)</f>
        <v>67.22</v>
      </c>
    </row>
    <row r="19">
      <c r="A19" s="1"/>
      <c r="B19" s="1" t="str">
        <f>IFERROR(__xludf.DUMMYFUNCTION("""COMPUTED_VALUE"""),"Slovenia")</f>
        <v>Slovenia</v>
      </c>
      <c r="C19" s="1">
        <f>IFERROR(__xludf.DUMMYFUNCTION("""COMPUTED_VALUE"""),168.74)</f>
        <v>168.74</v>
      </c>
      <c r="D19" s="1">
        <f>IFERROR(__xludf.DUMMYFUNCTION("""COMPUTED_VALUE"""),57.95)</f>
        <v>57.95</v>
      </c>
      <c r="E19" s="1">
        <f>IFERROR(__xludf.DUMMYFUNCTION("""COMPUTED_VALUE"""),76.83)</f>
        <v>76.83</v>
      </c>
      <c r="F19" s="1">
        <f>IFERROR(__xludf.DUMMYFUNCTION("""COMPUTED_VALUE"""),65.14)</f>
        <v>65.14</v>
      </c>
      <c r="G19" s="1">
        <f>IFERROR(__xludf.DUMMYFUNCTION("""COMPUTED_VALUE"""),47.3)</f>
        <v>47.3</v>
      </c>
      <c r="H19" s="1">
        <f>IFERROR(__xludf.DUMMYFUNCTION("""COMPUTED_VALUE"""),11.7)</f>
        <v>11.7</v>
      </c>
      <c r="I19" s="1">
        <f>IFERROR(__xludf.DUMMYFUNCTION("""COMPUTED_VALUE"""),26.32)</f>
        <v>26.32</v>
      </c>
      <c r="J19" s="1">
        <f>IFERROR(__xludf.DUMMYFUNCTION("""COMPUTED_VALUE"""),22.76)</f>
        <v>22.76</v>
      </c>
      <c r="K19" s="1">
        <f>IFERROR(__xludf.DUMMYFUNCTION("""COMPUTED_VALUE"""),77.56)</f>
        <v>77.56</v>
      </c>
    </row>
    <row r="20">
      <c r="A20" s="1"/>
      <c r="B20" s="1" t="str">
        <f>IFERROR(__xludf.DUMMYFUNCTION("""COMPUTED_VALUE"""),"United States")</f>
        <v>United States</v>
      </c>
      <c r="C20" s="1">
        <f>IFERROR(__xludf.DUMMYFUNCTION("""COMPUTED_VALUE"""),167.19)</f>
        <v>167.19</v>
      </c>
      <c r="D20" s="1">
        <f>IFERROR(__xludf.DUMMYFUNCTION("""COMPUTED_VALUE"""),99.88)</f>
        <v>99.88</v>
      </c>
      <c r="E20" s="1">
        <f>IFERROR(__xludf.DUMMYFUNCTION("""COMPUTED_VALUE"""),51.59)</f>
        <v>51.59</v>
      </c>
      <c r="F20" s="1">
        <f>IFERROR(__xludf.DUMMYFUNCTION("""COMPUTED_VALUE"""),68.93)</f>
        <v>68.93</v>
      </c>
      <c r="G20" s="1">
        <f>IFERROR(__xludf.DUMMYFUNCTION("""COMPUTED_VALUE"""),69.92)</f>
        <v>69.92</v>
      </c>
      <c r="H20" s="1">
        <f>IFERROR(__xludf.DUMMYFUNCTION("""COMPUTED_VALUE"""),4.58)</f>
        <v>4.58</v>
      </c>
      <c r="I20" s="1">
        <f>IFERROR(__xludf.DUMMYFUNCTION("""COMPUTED_VALUE"""),32.88)</f>
        <v>32.88</v>
      </c>
      <c r="J20" s="1">
        <f>IFERROR(__xludf.DUMMYFUNCTION("""COMPUTED_VALUE"""),35.72)</f>
        <v>35.72</v>
      </c>
      <c r="K20" s="1">
        <f>IFERROR(__xludf.DUMMYFUNCTION("""COMPUTED_VALUE"""),77.07)</f>
        <v>77.07</v>
      </c>
    </row>
    <row r="21">
      <c r="A21" s="1"/>
      <c r="B21" s="1" t="str">
        <f>IFERROR(__xludf.DUMMYFUNCTION("""COMPUTED_VALUE"""),"United Kingdom")</f>
        <v>United Kingdom</v>
      </c>
      <c r="C21" s="1">
        <f>IFERROR(__xludf.DUMMYFUNCTION("""COMPUTED_VALUE"""),164.8)</f>
        <v>164.8</v>
      </c>
      <c r="D21" s="1">
        <f>IFERROR(__xludf.DUMMYFUNCTION("""COMPUTED_VALUE"""),92.86)</f>
        <v>92.86</v>
      </c>
      <c r="E21" s="1">
        <f>IFERROR(__xludf.DUMMYFUNCTION("""COMPUTED_VALUE"""),53.38)</f>
        <v>53.38</v>
      </c>
      <c r="F21" s="1">
        <f>IFERROR(__xludf.DUMMYFUNCTION("""COMPUTED_VALUE"""),74.46)</f>
        <v>74.46</v>
      </c>
      <c r="G21" s="1">
        <f>IFERROR(__xludf.DUMMYFUNCTION("""COMPUTED_VALUE"""),60.42)</f>
        <v>60.42</v>
      </c>
      <c r="H21" s="1">
        <f>IFERROR(__xludf.DUMMYFUNCTION("""COMPUTED_VALUE"""),7.99)</f>
        <v>7.99</v>
      </c>
      <c r="I21" s="1">
        <f>IFERROR(__xludf.DUMMYFUNCTION("""COMPUTED_VALUE"""),34.43)</f>
        <v>34.43</v>
      </c>
      <c r="J21" s="1">
        <f>IFERROR(__xludf.DUMMYFUNCTION("""COMPUTED_VALUE"""),40.37)</f>
        <v>40.37</v>
      </c>
      <c r="K21" s="1">
        <f>IFERROR(__xludf.DUMMYFUNCTION("""COMPUTED_VALUE"""),88.02)</f>
        <v>88.02</v>
      </c>
    </row>
    <row r="22">
      <c r="A22" s="1"/>
      <c r="B22" s="1" t="str">
        <f>IFERROR(__xludf.DUMMYFUNCTION("""COMPUTED_VALUE"""),"Czech Republic")</f>
        <v>Czech Republic</v>
      </c>
      <c r="C22" s="1">
        <f>IFERROR(__xludf.DUMMYFUNCTION("""COMPUTED_VALUE"""),163.78)</f>
        <v>163.78</v>
      </c>
      <c r="D22" s="1">
        <f>IFERROR(__xludf.DUMMYFUNCTION("""COMPUTED_VALUE"""),69.94)</f>
        <v>69.94</v>
      </c>
      <c r="E22" s="1">
        <f>IFERROR(__xludf.DUMMYFUNCTION("""COMPUTED_VALUE"""),74.22)</f>
        <v>74.22</v>
      </c>
      <c r="F22" s="1">
        <f>IFERROR(__xludf.DUMMYFUNCTION("""COMPUTED_VALUE"""),75.45)</f>
        <v>75.45</v>
      </c>
      <c r="G22" s="1">
        <f>IFERROR(__xludf.DUMMYFUNCTION("""COMPUTED_VALUE"""),44.33)</f>
        <v>44.33</v>
      </c>
      <c r="H22" s="1">
        <f>IFERROR(__xludf.DUMMYFUNCTION("""COMPUTED_VALUE"""),14.93)</f>
        <v>14.93</v>
      </c>
      <c r="I22" s="1">
        <f>IFERROR(__xludf.DUMMYFUNCTION("""COMPUTED_VALUE"""),29.37)</f>
        <v>29.37</v>
      </c>
      <c r="J22" s="1">
        <f>IFERROR(__xludf.DUMMYFUNCTION("""COMPUTED_VALUE"""),35.32)</f>
        <v>35.32</v>
      </c>
      <c r="K22" s="1">
        <f>IFERROR(__xludf.DUMMYFUNCTION("""COMPUTED_VALUE"""),78.32)</f>
        <v>78.32</v>
      </c>
    </row>
    <row r="23">
      <c r="A23" s="1"/>
      <c r="B23" s="1" t="str">
        <f>IFERROR(__xludf.DUMMYFUNCTION("""COMPUTED_VALUE"""),"Canada")</f>
        <v>Canada</v>
      </c>
      <c r="C23" s="1">
        <f>IFERROR(__xludf.DUMMYFUNCTION("""COMPUTED_VALUE"""),163.77)</f>
        <v>163.77</v>
      </c>
      <c r="D23" s="1">
        <f>IFERROR(__xludf.DUMMYFUNCTION("""COMPUTED_VALUE"""),101.67)</f>
        <v>101.67</v>
      </c>
      <c r="E23" s="1">
        <f>IFERROR(__xludf.DUMMYFUNCTION("""COMPUTED_VALUE"""),56.37)</f>
        <v>56.37</v>
      </c>
      <c r="F23" s="1">
        <f>IFERROR(__xludf.DUMMYFUNCTION("""COMPUTED_VALUE"""),70.8)</f>
        <v>70.8</v>
      </c>
      <c r="G23" s="1">
        <f>IFERROR(__xludf.DUMMYFUNCTION("""COMPUTED_VALUE"""),68.78)</f>
        <v>68.78</v>
      </c>
      <c r="H23" s="1">
        <f>IFERROR(__xludf.DUMMYFUNCTION("""COMPUTED_VALUE"""),8.91)</f>
        <v>8.91</v>
      </c>
      <c r="I23" s="1">
        <f>IFERROR(__xludf.DUMMYFUNCTION("""COMPUTED_VALUE"""),33.56)</f>
        <v>33.56</v>
      </c>
      <c r="J23" s="1">
        <f>IFERROR(__xludf.DUMMYFUNCTION("""COMPUTED_VALUE"""),28.93)</f>
        <v>28.93</v>
      </c>
      <c r="K23" s="1">
        <f>IFERROR(__xludf.DUMMYFUNCTION("""COMPUTED_VALUE"""),55.34)</f>
        <v>55.34</v>
      </c>
    </row>
    <row r="24">
      <c r="A24" s="1"/>
      <c r="B24" s="1" t="str">
        <f>IFERROR(__xludf.DUMMYFUNCTION("""COMPUTED_VALUE"""),"Lithuania")</f>
        <v>Lithuania</v>
      </c>
      <c r="C24" s="1">
        <f>IFERROR(__xludf.DUMMYFUNCTION("""COMPUTED_VALUE"""),162.95)</f>
        <v>162.95</v>
      </c>
      <c r="D24" s="1">
        <f>IFERROR(__xludf.DUMMYFUNCTION("""COMPUTED_VALUE"""),55.67)</f>
        <v>55.67</v>
      </c>
      <c r="E24" s="1">
        <f>IFERROR(__xludf.DUMMYFUNCTION("""COMPUTED_VALUE"""),67.45)</f>
        <v>67.45</v>
      </c>
      <c r="F24" s="1">
        <f>IFERROR(__xludf.DUMMYFUNCTION("""COMPUTED_VALUE"""),73.4)</f>
        <v>73.4</v>
      </c>
      <c r="G24" s="1">
        <f>IFERROR(__xludf.DUMMYFUNCTION("""COMPUTED_VALUE"""),43.1)</f>
        <v>43.1</v>
      </c>
      <c r="H24" s="1">
        <f>IFERROR(__xludf.DUMMYFUNCTION("""COMPUTED_VALUE"""),12.19)</f>
        <v>12.19</v>
      </c>
      <c r="I24" s="1">
        <f>IFERROR(__xludf.DUMMYFUNCTION("""COMPUTED_VALUE"""),25.31)</f>
        <v>25.31</v>
      </c>
      <c r="J24" s="1">
        <f>IFERROR(__xludf.DUMMYFUNCTION("""COMPUTED_VALUE"""),24.8)</f>
        <v>24.8</v>
      </c>
      <c r="K24" s="1">
        <f>IFERROR(__xludf.DUMMYFUNCTION("""COMPUTED_VALUE"""),69.86)</f>
        <v>69.86</v>
      </c>
    </row>
    <row r="25">
      <c r="A25" s="1"/>
      <c r="B25" s="1" t="str">
        <f>IFERROR(__xludf.DUMMYFUNCTION("""COMPUTED_VALUE"""),"Croatia")</f>
        <v>Croatia</v>
      </c>
      <c r="C25" s="1">
        <f>IFERROR(__xludf.DUMMYFUNCTION("""COMPUTED_VALUE"""),162.74)</f>
        <v>162.74</v>
      </c>
      <c r="D25" s="1">
        <f>IFERROR(__xludf.DUMMYFUNCTION("""COMPUTED_VALUE"""),52.79)</f>
        <v>52.79</v>
      </c>
      <c r="E25" s="1">
        <f>IFERROR(__xludf.DUMMYFUNCTION("""COMPUTED_VALUE"""),76.01)</f>
        <v>76.01</v>
      </c>
      <c r="F25" s="1">
        <f>IFERROR(__xludf.DUMMYFUNCTION("""COMPUTED_VALUE"""),63.75)</f>
        <v>63.75</v>
      </c>
      <c r="G25" s="1">
        <f>IFERROR(__xludf.DUMMYFUNCTION("""COMPUTED_VALUE"""),43.74)</f>
        <v>43.74</v>
      </c>
      <c r="H25" s="1">
        <f>IFERROR(__xludf.DUMMYFUNCTION("""COMPUTED_VALUE"""),13.16)</f>
        <v>13.16</v>
      </c>
      <c r="I25" s="1">
        <f>IFERROR(__xludf.DUMMYFUNCTION("""COMPUTED_VALUE"""),26.74)</f>
        <v>26.74</v>
      </c>
      <c r="J25" s="1">
        <f>IFERROR(__xludf.DUMMYFUNCTION("""COMPUTED_VALUE"""),31.41)</f>
        <v>31.41</v>
      </c>
      <c r="K25" s="1">
        <f>IFERROR(__xludf.DUMMYFUNCTION("""COMPUTED_VALUE"""),89.89)</f>
        <v>89.89</v>
      </c>
    </row>
    <row r="26">
      <c r="A26" s="1"/>
      <c r="B26" s="1" t="str">
        <f>IFERROR(__xludf.DUMMYFUNCTION("""COMPUTED_VALUE"""),"Portugal")</f>
        <v>Portugal</v>
      </c>
      <c r="C26" s="1">
        <f>IFERROR(__xludf.DUMMYFUNCTION("""COMPUTED_VALUE"""),162.17)</f>
        <v>162.17</v>
      </c>
      <c r="D26" s="1">
        <f>IFERROR(__xludf.DUMMYFUNCTION("""COMPUTED_VALUE"""),47.89)</f>
        <v>47.89</v>
      </c>
      <c r="E26" s="1">
        <f>IFERROR(__xludf.DUMMYFUNCTION("""COMPUTED_VALUE"""),68.47)</f>
        <v>68.47</v>
      </c>
      <c r="F26" s="1">
        <f>IFERROR(__xludf.DUMMYFUNCTION("""COMPUTED_VALUE"""),72.09)</f>
        <v>72.09</v>
      </c>
      <c r="G26" s="1">
        <f>IFERROR(__xludf.DUMMYFUNCTION("""COMPUTED_VALUE"""),42.18)</f>
        <v>42.18</v>
      </c>
      <c r="H26" s="1">
        <f>IFERROR(__xludf.DUMMYFUNCTION("""COMPUTED_VALUE"""),12.97)</f>
        <v>12.97</v>
      </c>
      <c r="I26" s="1">
        <f>IFERROR(__xludf.DUMMYFUNCTION("""COMPUTED_VALUE"""),29.64)</f>
        <v>29.64</v>
      </c>
      <c r="J26" s="1">
        <f>IFERROR(__xludf.DUMMYFUNCTION("""COMPUTED_VALUE"""),30.98)</f>
        <v>30.98</v>
      </c>
      <c r="K26" s="1">
        <f>IFERROR(__xludf.DUMMYFUNCTION("""COMPUTED_VALUE"""),97.81)</f>
        <v>97.81</v>
      </c>
    </row>
    <row r="27">
      <c r="A27" s="1"/>
      <c r="B27" s="1" t="str">
        <f>IFERROR(__xludf.DUMMYFUNCTION("""COMPUTED_VALUE"""),"Belgium")</f>
        <v>Belgium</v>
      </c>
      <c r="C27" s="1">
        <f>IFERROR(__xludf.DUMMYFUNCTION("""COMPUTED_VALUE"""),155.76)</f>
        <v>155.76</v>
      </c>
      <c r="D27" s="1">
        <f>IFERROR(__xludf.DUMMYFUNCTION("""COMPUTED_VALUE"""),86.27)</f>
        <v>86.27</v>
      </c>
      <c r="E27" s="1">
        <f>IFERROR(__xludf.DUMMYFUNCTION("""COMPUTED_VALUE"""),53.29)</f>
        <v>53.29</v>
      </c>
      <c r="F27" s="1">
        <f>IFERROR(__xludf.DUMMYFUNCTION("""COMPUTED_VALUE"""),75.53)</f>
        <v>75.53</v>
      </c>
      <c r="G27" s="1">
        <f>IFERROR(__xludf.DUMMYFUNCTION("""COMPUTED_VALUE"""),62.8)</f>
        <v>62.8</v>
      </c>
      <c r="H27" s="1">
        <f>IFERROR(__xludf.DUMMYFUNCTION("""COMPUTED_VALUE"""),6.6)</f>
        <v>6.6</v>
      </c>
      <c r="I27" s="1">
        <f>IFERROR(__xludf.DUMMYFUNCTION("""COMPUTED_VALUE"""),36.36)</f>
        <v>36.36</v>
      </c>
      <c r="J27" s="1">
        <f>IFERROR(__xludf.DUMMYFUNCTION("""COMPUTED_VALUE"""),49.84)</f>
        <v>49.84</v>
      </c>
      <c r="K27" s="1">
        <f>IFERROR(__xludf.DUMMYFUNCTION("""COMPUTED_VALUE"""),86.03)</f>
        <v>86.03</v>
      </c>
    </row>
    <row r="28">
      <c r="A28" s="1"/>
      <c r="B28" s="1" t="str">
        <f>IFERROR(__xludf.DUMMYFUNCTION("""COMPUTED_VALUE"""),"Qatar")</f>
        <v>Qatar</v>
      </c>
      <c r="C28" s="1">
        <f>IFERROR(__xludf.DUMMYFUNCTION("""COMPUTED_VALUE"""),155.64)</f>
        <v>155.64</v>
      </c>
      <c r="D28" s="1">
        <f>IFERROR(__xludf.DUMMYFUNCTION("""COMPUTED_VALUE"""),98.13)</f>
        <v>98.13</v>
      </c>
      <c r="E28" s="1">
        <f>IFERROR(__xludf.DUMMYFUNCTION("""COMPUTED_VALUE"""),85.85)</f>
        <v>85.85</v>
      </c>
      <c r="F28" s="1">
        <f>IFERROR(__xludf.DUMMYFUNCTION("""COMPUTED_VALUE"""),73.67)</f>
        <v>73.67</v>
      </c>
      <c r="G28" s="1">
        <f>IFERROR(__xludf.DUMMYFUNCTION("""COMPUTED_VALUE"""),60.56)</f>
        <v>60.56</v>
      </c>
      <c r="H28" s="1">
        <f>IFERROR(__xludf.DUMMYFUNCTION("""COMPUTED_VALUE"""),6.95)</f>
        <v>6.95</v>
      </c>
      <c r="I28" s="1">
        <f>IFERROR(__xludf.DUMMYFUNCTION("""COMPUTED_VALUE"""),29.96)</f>
        <v>29.96</v>
      </c>
      <c r="J28" s="1">
        <f>IFERROR(__xludf.DUMMYFUNCTION("""COMPUTED_VALUE"""),60.05)</f>
        <v>60.05</v>
      </c>
      <c r="K28" s="1">
        <f>IFERROR(__xludf.DUMMYFUNCTION("""COMPUTED_VALUE"""),36.03)</f>
        <v>36.03</v>
      </c>
    </row>
    <row r="29">
      <c r="A29" s="1"/>
      <c r="B29" s="1" t="str">
        <f>IFERROR(__xludf.DUMMYFUNCTION("""COMPUTED_VALUE"""),"Singapore")</f>
        <v>Singapore</v>
      </c>
      <c r="C29" s="1">
        <f>IFERROR(__xludf.DUMMYFUNCTION("""COMPUTED_VALUE"""),154.54)</f>
        <v>154.54</v>
      </c>
      <c r="D29" s="1">
        <f>IFERROR(__xludf.DUMMYFUNCTION("""COMPUTED_VALUE"""),94.65)</f>
        <v>94.65</v>
      </c>
      <c r="E29" s="1">
        <f>IFERROR(__xludf.DUMMYFUNCTION("""COMPUTED_VALUE"""),72.78)</f>
        <v>72.78</v>
      </c>
      <c r="F29" s="1">
        <f>IFERROR(__xludf.DUMMYFUNCTION("""COMPUTED_VALUE"""),71.09)</f>
        <v>71.09</v>
      </c>
      <c r="G29" s="1">
        <f>IFERROR(__xludf.DUMMYFUNCTION("""COMPUTED_VALUE"""),79.09)</f>
        <v>79.09</v>
      </c>
      <c r="H29" s="1">
        <f>IFERROR(__xludf.DUMMYFUNCTION("""COMPUTED_VALUE"""),16.78)</f>
        <v>16.78</v>
      </c>
      <c r="I29" s="1">
        <f>IFERROR(__xludf.DUMMYFUNCTION("""COMPUTED_VALUE"""),41.19)</f>
        <v>41.19</v>
      </c>
      <c r="J29" s="1">
        <f>IFERROR(__xludf.DUMMYFUNCTION("""COMPUTED_VALUE"""),33.02)</f>
        <v>33.02</v>
      </c>
      <c r="K29" s="1">
        <f>IFERROR(__xludf.DUMMYFUNCTION("""COMPUTED_VALUE"""),57.45)</f>
        <v>57.45</v>
      </c>
    </row>
    <row r="30">
      <c r="A30" s="1"/>
      <c r="B30" s="1" t="str">
        <f>IFERROR(__xludf.DUMMYFUNCTION("""COMPUTED_VALUE"""),"France")</f>
        <v>France</v>
      </c>
      <c r="C30" s="1">
        <f>IFERROR(__xludf.DUMMYFUNCTION("""COMPUTED_VALUE"""),152.74)</f>
        <v>152.74</v>
      </c>
      <c r="D30" s="1">
        <f>IFERROR(__xludf.DUMMYFUNCTION("""COMPUTED_VALUE"""),79.61)</f>
        <v>79.61</v>
      </c>
      <c r="E30" s="1">
        <f>IFERROR(__xludf.DUMMYFUNCTION("""COMPUTED_VALUE"""),45.61)</f>
        <v>45.61</v>
      </c>
      <c r="F30" s="1">
        <f>IFERROR(__xludf.DUMMYFUNCTION("""COMPUTED_VALUE"""),79.96)</f>
        <v>79.96</v>
      </c>
      <c r="G30" s="1">
        <f>IFERROR(__xludf.DUMMYFUNCTION("""COMPUTED_VALUE"""),65.55)</f>
        <v>65.55</v>
      </c>
      <c r="H30" s="1">
        <f>IFERROR(__xludf.DUMMYFUNCTION("""COMPUTED_VALUE"""),11.85)</f>
        <v>11.85</v>
      </c>
      <c r="I30" s="1">
        <f>IFERROR(__xludf.DUMMYFUNCTION("""COMPUTED_VALUE"""),34.67)</f>
        <v>34.67</v>
      </c>
      <c r="J30" s="1">
        <f>IFERROR(__xludf.DUMMYFUNCTION("""COMPUTED_VALUE"""),42.21)</f>
        <v>42.21</v>
      </c>
      <c r="K30" s="1">
        <f>IFERROR(__xludf.DUMMYFUNCTION("""COMPUTED_VALUE"""),89.97)</f>
        <v>89.97</v>
      </c>
    </row>
    <row r="31">
      <c r="A31" s="1"/>
      <c r="B31" s="1" t="str">
        <f>IFERROR(__xludf.DUMMYFUNCTION("""COMPUTED_VALUE"""),"Latvia")</f>
        <v>Latvia</v>
      </c>
      <c r="C31" s="1">
        <f>IFERROR(__xludf.DUMMYFUNCTION("""COMPUTED_VALUE"""),152.22)</f>
        <v>152.22</v>
      </c>
      <c r="D31" s="1">
        <f>IFERROR(__xludf.DUMMYFUNCTION("""COMPUTED_VALUE"""),49.84)</f>
        <v>49.84</v>
      </c>
      <c r="E31" s="1">
        <f>IFERROR(__xludf.DUMMYFUNCTION("""COMPUTED_VALUE"""),61.51)</f>
        <v>61.51</v>
      </c>
      <c r="F31" s="1">
        <f>IFERROR(__xludf.DUMMYFUNCTION("""COMPUTED_VALUE"""),63.16)</f>
        <v>63.16</v>
      </c>
      <c r="G31" s="1">
        <f>IFERROR(__xludf.DUMMYFUNCTION("""COMPUTED_VALUE"""),45.21)</f>
        <v>45.21</v>
      </c>
      <c r="H31" s="1">
        <f>IFERROR(__xludf.DUMMYFUNCTION("""COMPUTED_VALUE"""),7.66)</f>
        <v>7.66</v>
      </c>
      <c r="I31" s="1">
        <f>IFERROR(__xludf.DUMMYFUNCTION("""COMPUTED_VALUE"""),30.25)</f>
        <v>30.25</v>
      </c>
      <c r="J31" s="1">
        <f>IFERROR(__xludf.DUMMYFUNCTION("""COMPUTED_VALUE"""),31.99)</f>
        <v>31.99</v>
      </c>
      <c r="K31" s="1">
        <f>IFERROR(__xludf.DUMMYFUNCTION("""COMPUTED_VALUE"""),74.7)</f>
        <v>74.7</v>
      </c>
    </row>
    <row r="32">
      <c r="A32" s="1"/>
      <c r="B32" s="1" t="str">
        <f>IFERROR(__xludf.DUMMYFUNCTION("""COMPUTED_VALUE"""),"Ireland")</f>
        <v>Ireland</v>
      </c>
      <c r="C32" s="1">
        <f>IFERROR(__xludf.DUMMYFUNCTION("""COMPUTED_VALUE"""),151.73)</f>
        <v>151.73</v>
      </c>
      <c r="D32" s="1">
        <f>IFERROR(__xludf.DUMMYFUNCTION("""COMPUTED_VALUE"""),75.2)</f>
        <v>75.2</v>
      </c>
      <c r="E32" s="1">
        <f>IFERROR(__xludf.DUMMYFUNCTION("""COMPUTED_VALUE"""),54.13)</f>
        <v>54.13</v>
      </c>
      <c r="F32" s="1">
        <f>IFERROR(__xludf.DUMMYFUNCTION("""COMPUTED_VALUE"""),52.03)</f>
        <v>52.03</v>
      </c>
      <c r="G32" s="1">
        <f>IFERROR(__xludf.DUMMYFUNCTION("""COMPUTED_VALUE"""),66.73)</f>
        <v>66.73</v>
      </c>
      <c r="H32" s="1">
        <f>IFERROR(__xludf.DUMMYFUNCTION("""COMPUTED_VALUE"""),6.97)</f>
        <v>6.97</v>
      </c>
      <c r="I32" s="1">
        <f>IFERROR(__xludf.DUMMYFUNCTION("""COMPUTED_VALUE"""),37.91)</f>
        <v>37.91</v>
      </c>
      <c r="J32" s="1">
        <f>IFERROR(__xludf.DUMMYFUNCTION("""COMPUTED_VALUE"""),35.0)</f>
        <v>35</v>
      </c>
      <c r="K32" s="1">
        <f>IFERROR(__xludf.DUMMYFUNCTION("""COMPUTED_VALUE"""),89.13)</f>
        <v>89.13</v>
      </c>
    </row>
    <row r="33">
      <c r="A33" s="1"/>
      <c r="B33" s="1" t="str">
        <f>IFERROR(__xludf.DUMMYFUNCTION("""COMPUTED_VALUE"""),"Slovakia")</f>
        <v>Slovakia</v>
      </c>
      <c r="C33" s="1">
        <f>IFERROR(__xludf.DUMMYFUNCTION("""COMPUTED_VALUE"""),150.5)</f>
        <v>150.5</v>
      </c>
      <c r="D33" s="1">
        <f>IFERROR(__xludf.DUMMYFUNCTION("""COMPUTED_VALUE"""),53.84)</f>
        <v>53.84</v>
      </c>
      <c r="E33" s="1">
        <f>IFERROR(__xludf.DUMMYFUNCTION("""COMPUTED_VALUE"""),69.46)</f>
        <v>69.46</v>
      </c>
      <c r="F33" s="1">
        <f>IFERROR(__xludf.DUMMYFUNCTION("""COMPUTED_VALUE"""),60.14)</f>
        <v>60.14</v>
      </c>
      <c r="G33" s="1">
        <f>IFERROR(__xludf.DUMMYFUNCTION("""COMPUTED_VALUE"""),41.03)</f>
        <v>41.03</v>
      </c>
      <c r="H33" s="1">
        <f>IFERROR(__xludf.DUMMYFUNCTION("""COMPUTED_VALUE"""),12.0)</f>
        <v>12</v>
      </c>
      <c r="I33" s="1">
        <f>IFERROR(__xludf.DUMMYFUNCTION("""COMPUTED_VALUE"""),28.1)</f>
        <v>28.1</v>
      </c>
      <c r="J33" s="1">
        <f>IFERROR(__xludf.DUMMYFUNCTION("""COMPUTED_VALUE"""),38.57)</f>
        <v>38.57</v>
      </c>
      <c r="K33" s="1">
        <f>IFERROR(__xludf.DUMMYFUNCTION("""COMPUTED_VALUE"""),78.13)</f>
        <v>78.13</v>
      </c>
    </row>
    <row r="34">
      <c r="A34" s="1"/>
      <c r="B34" s="1" t="str">
        <f>IFERROR(__xludf.DUMMYFUNCTION("""COMPUTED_VALUE"""),"Saudi Arabia")</f>
        <v>Saudi Arabia</v>
      </c>
      <c r="C34" s="1">
        <f>IFERROR(__xludf.DUMMYFUNCTION("""COMPUTED_VALUE"""),150.17)</f>
        <v>150.17</v>
      </c>
      <c r="D34" s="1">
        <f>IFERROR(__xludf.DUMMYFUNCTION("""COMPUTED_VALUE"""),93.26)</f>
        <v>93.26</v>
      </c>
      <c r="E34" s="1">
        <f>IFERROR(__xludf.DUMMYFUNCTION("""COMPUTED_VALUE"""),75.38)</f>
        <v>75.38</v>
      </c>
      <c r="F34" s="1">
        <f>IFERROR(__xludf.DUMMYFUNCTION("""COMPUTED_VALUE"""),61.16)</f>
        <v>61.16</v>
      </c>
      <c r="G34" s="1">
        <f>IFERROR(__xludf.DUMMYFUNCTION("""COMPUTED_VALUE"""),50.35)</f>
        <v>50.35</v>
      </c>
      <c r="H34" s="1">
        <f>IFERROR(__xludf.DUMMYFUNCTION("""COMPUTED_VALUE"""),2.87)</f>
        <v>2.87</v>
      </c>
      <c r="I34" s="1">
        <f>IFERROR(__xludf.DUMMYFUNCTION("""COMPUTED_VALUE"""),29.04)</f>
        <v>29.04</v>
      </c>
      <c r="J34" s="1">
        <f>IFERROR(__xludf.DUMMYFUNCTION("""COMPUTED_VALUE"""),63.28)</f>
        <v>63.28</v>
      </c>
      <c r="K34" s="1">
        <f>IFERROR(__xludf.DUMMYFUNCTION("""COMPUTED_VALUE"""),45.98)</f>
        <v>45.98</v>
      </c>
    </row>
    <row r="35">
      <c r="A35" s="1"/>
      <c r="B35" s="1" t="str">
        <f>IFERROR(__xludf.DUMMYFUNCTION("""COMPUTED_VALUE"""),"Cyprus")</f>
        <v>Cyprus</v>
      </c>
      <c r="C35" s="1">
        <f>IFERROR(__xludf.DUMMYFUNCTION("""COMPUTED_VALUE"""),148.25)</f>
        <v>148.25</v>
      </c>
      <c r="D35" s="1">
        <f>IFERROR(__xludf.DUMMYFUNCTION("""COMPUTED_VALUE"""),54.47)</f>
        <v>54.47</v>
      </c>
      <c r="E35" s="1">
        <f>IFERROR(__xludf.DUMMYFUNCTION("""COMPUTED_VALUE"""),68.94)</f>
        <v>68.94</v>
      </c>
      <c r="F35" s="1">
        <f>IFERROR(__xludf.DUMMYFUNCTION("""COMPUTED_VALUE"""),54.12)</f>
        <v>54.12</v>
      </c>
      <c r="G35" s="1">
        <f>IFERROR(__xludf.DUMMYFUNCTION("""COMPUTED_VALUE"""),52.48)</f>
        <v>52.48</v>
      </c>
      <c r="H35" s="1">
        <f>IFERROR(__xludf.DUMMYFUNCTION("""COMPUTED_VALUE"""),6.76)</f>
        <v>6.76</v>
      </c>
      <c r="I35" s="1">
        <f>IFERROR(__xludf.DUMMYFUNCTION("""COMPUTED_VALUE"""),23.14)</f>
        <v>23.14</v>
      </c>
      <c r="J35" s="1">
        <f>IFERROR(__xludf.DUMMYFUNCTION("""COMPUTED_VALUE"""),55.23)</f>
        <v>55.23</v>
      </c>
      <c r="K35" s="1">
        <f>IFERROR(__xludf.DUMMYFUNCTION("""COMPUTED_VALUE"""),92.23)</f>
        <v>92.23</v>
      </c>
    </row>
    <row r="36">
      <c r="A36" s="1"/>
      <c r="B36" s="1" t="str">
        <f>IFERROR(__xludf.DUMMYFUNCTION("""COMPUTED_VALUE"""),"Israel")</f>
        <v>Israel</v>
      </c>
      <c r="C36" s="1">
        <f>IFERROR(__xludf.DUMMYFUNCTION("""COMPUTED_VALUE"""),146.39)</f>
        <v>146.39</v>
      </c>
      <c r="D36" s="1">
        <f>IFERROR(__xludf.DUMMYFUNCTION("""COMPUTED_VALUE"""),73.54)</f>
        <v>73.54</v>
      </c>
      <c r="E36" s="1">
        <f>IFERROR(__xludf.DUMMYFUNCTION("""COMPUTED_VALUE"""),67.82)</f>
        <v>67.82</v>
      </c>
      <c r="F36" s="1">
        <f>IFERROR(__xludf.DUMMYFUNCTION("""COMPUTED_VALUE"""),73.73)</f>
        <v>73.73</v>
      </c>
      <c r="G36" s="1">
        <f>IFERROR(__xludf.DUMMYFUNCTION("""COMPUTED_VALUE"""),77.28)</f>
        <v>77.28</v>
      </c>
      <c r="H36" s="1">
        <f>IFERROR(__xludf.DUMMYFUNCTION("""COMPUTED_VALUE"""),13.26)</f>
        <v>13.26</v>
      </c>
      <c r="I36" s="1">
        <f>IFERROR(__xludf.DUMMYFUNCTION("""COMPUTED_VALUE"""),36.4)</f>
        <v>36.4</v>
      </c>
      <c r="J36" s="1">
        <f>IFERROR(__xludf.DUMMYFUNCTION("""COMPUTED_VALUE"""),57.79)</f>
        <v>57.79</v>
      </c>
      <c r="K36" s="1">
        <f>IFERROR(__xludf.DUMMYFUNCTION("""COMPUTED_VALUE"""),93.86)</f>
        <v>93.86</v>
      </c>
    </row>
    <row r="37">
      <c r="A37" s="1"/>
      <c r="B37" s="1" t="str">
        <f>IFERROR(__xludf.DUMMYFUNCTION("""COMPUTED_VALUE"""),"Taiwan")</f>
        <v>Taiwan</v>
      </c>
      <c r="C37" s="1">
        <f>IFERROR(__xludf.DUMMYFUNCTION("""COMPUTED_VALUE"""),143.83)</f>
        <v>143.83</v>
      </c>
      <c r="D37" s="1">
        <f>IFERROR(__xludf.DUMMYFUNCTION("""COMPUTED_VALUE"""),61.78)</f>
        <v>61.78</v>
      </c>
      <c r="E37" s="1">
        <f>IFERROR(__xludf.DUMMYFUNCTION("""COMPUTED_VALUE"""),83.85)</f>
        <v>83.85</v>
      </c>
      <c r="F37" s="1">
        <f>IFERROR(__xludf.DUMMYFUNCTION("""COMPUTED_VALUE"""),86.04)</f>
        <v>86.04</v>
      </c>
      <c r="G37" s="1">
        <f>IFERROR(__xludf.DUMMYFUNCTION("""COMPUTED_VALUE"""),55.95)</f>
        <v>55.95</v>
      </c>
      <c r="H37" s="1">
        <f>IFERROR(__xludf.DUMMYFUNCTION("""COMPUTED_VALUE"""),19.73)</f>
        <v>19.73</v>
      </c>
      <c r="I37" s="1">
        <f>IFERROR(__xludf.DUMMYFUNCTION("""COMPUTED_VALUE"""),31.68)</f>
        <v>31.68</v>
      </c>
      <c r="J37" s="1">
        <f>IFERROR(__xludf.DUMMYFUNCTION("""COMPUTED_VALUE"""),64.88)</f>
        <v>64.88</v>
      </c>
      <c r="K37" s="1">
        <f>IFERROR(__xludf.DUMMYFUNCTION("""COMPUTED_VALUE"""),81.6)</f>
        <v>81.6</v>
      </c>
    </row>
    <row r="38">
      <c r="A38" s="1"/>
      <c r="B38" s="1" t="str">
        <f>IFERROR(__xludf.DUMMYFUNCTION("""COMPUTED_VALUE"""),"Italy")</f>
        <v>Italy</v>
      </c>
      <c r="C38" s="1">
        <f>IFERROR(__xludf.DUMMYFUNCTION("""COMPUTED_VALUE"""),137.27)</f>
        <v>137.27</v>
      </c>
      <c r="D38" s="1">
        <f>IFERROR(__xludf.DUMMYFUNCTION("""COMPUTED_VALUE"""),58.0)</f>
        <v>58</v>
      </c>
      <c r="E38" s="1">
        <f>IFERROR(__xludf.DUMMYFUNCTION("""COMPUTED_VALUE"""),53.76)</f>
        <v>53.76</v>
      </c>
      <c r="F38" s="1">
        <f>IFERROR(__xludf.DUMMYFUNCTION("""COMPUTED_VALUE"""),66.67)</f>
        <v>66.67</v>
      </c>
      <c r="G38" s="1">
        <f>IFERROR(__xludf.DUMMYFUNCTION("""COMPUTED_VALUE"""),58.47)</f>
        <v>58.47</v>
      </c>
      <c r="H38" s="1">
        <f>IFERROR(__xludf.DUMMYFUNCTION("""COMPUTED_VALUE"""),11.1)</f>
        <v>11.1</v>
      </c>
      <c r="I38" s="1">
        <f>IFERROR(__xludf.DUMMYFUNCTION("""COMPUTED_VALUE"""),33.61)</f>
        <v>33.61</v>
      </c>
      <c r="J38" s="1">
        <f>IFERROR(__xludf.DUMMYFUNCTION("""COMPUTED_VALUE"""),54.44)</f>
        <v>54.44</v>
      </c>
      <c r="K38" s="1">
        <f>IFERROR(__xludf.DUMMYFUNCTION("""COMPUTED_VALUE"""),91.7)</f>
        <v>91.7</v>
      </c>
    </row>
    <row r="39">
      <c r="A39" s="1"/>
      <c r="B39" s="1" t="str">
        <f>IFERROR(__xludf.DUMMYFUNCTION("""COMPUTED_VALUE"""),"South Africa")</f>
        <v>South Africa</v>
      </c>
      <c r="C39" s="1">
        <f>IFERROR(__xludf.DUMMYFUNCTION("""COMPUTED_VALUE"""),136.55)</f>
        <v>136.55</v>
      </c>
      <c r="D39" s="1">
        <f>IFERROR(__xludf.DUMMYFUNCTION("""COMPUTED_VALUE"""),77.84)</f>
        <v>77.84</v>
      </c>
      <c r="E39" s="1">
        <f>IFERROR(__xludf.DUMMYFUNCTION("""COMPUTED_VALUE"""),24.63)</f>
        <v>24.63</v>
      </c>
      <c r="F39" s="1">
        <f>IFERROR(__xludf.DUMMYFUNCTION("""COMPUTED_VALUE"""),63.95)</f>
        <v>63.95</v>
      </c>
      <c r="G39" s="1">
        <f>IFERROR(__xludf.DUMMYFUNCTION("""COMPUTED_VALUE"""),37.94)</f>
        <v>37.94</v>
      </c>
      <c r="H39" s="1">
        <f>IFERROR(__xludf.DUMMYFUNCTION("""COMPUTED_VALUE"""),3.25)</f>
        <v>3.25</v>
      </c>
      <c r="I39" s="1">
        <f>IFERROR(__xludf.DUMMYFUNCTION("""COMPUTED_VALUE"""),39.18)</f>
        <v>39.18</v>
      </c>
      <c r="J39" s="1">
        <f>IFERROR(__xludf.DUMMYFUNCTION("""COMPUTED_VALUE"""),56.39)</f>
        <v>56.39</v>
      </c>
      <c r="K39" s="1">
        <f>IFERROR(__xludf.DUMMYFUNCTION("""COMPUTED_VALUE"""),95.25)</f>
        <v>95.25</v>
      </c>
    </row>
    <row r="40">
      <c r="A40" s="1"/>
      <c r="B40" s="1" t="str">
        <f>IFERROR(__xludf.DUMMYFUNCTION("""COMPUTED_VALUE"""),"Hungary")</f>
        <v>Hungary</v>
      </c>
      <c r="C40" s="1">
        <f>IFERROR(__xludf.DUMMYFUNCTION("""COMPUTED_VALUE"""),136.22)</f>
        <v>136.22</v>
      </c>
      <c r="D40" s="1">
        <f>IFERROR(__xludf.DUMMYFUNCTION("""COMPUTED_VALUE"""),53.24)</f>
        <v>53.24</v>
      </c>
      <c r="E40" s="1">
        <f>IFERROR(__xludf.DUMMYFUNCTION("""COMPUTED_VALUE"""),66.09)</f>
        <v>66.09</v>
      </c>
      <c r="F40" s="1">
        <f>IFERROR(__xludf.DUMMYFUNCTION("""COMPUTED_VALUE"""),54.27)</f>
        <v>54.27</v>
      </c>
      <c r="G40" s="1">
        <f>IFERROR(__xludf.DUMMYFUNCTION("""COMPUTED_VALUE"""),34.64)</f>
        <v>34.64</v>
      </c>
      <c r="H40" s="1">
        <f>IFERROR(__xludf.DUMMYFUNCTION("""COMPUTED_VALUE"""),13.22)</f>
        <v>13.22</v>
      </c>
      <c r="I40" s="1">
        <f>IFERROR(__xludf.DUMMYFUNCTION("""COMPUTED_VALUE"""),35.61)</f>
        <v>35.61</v>
      </c>
      <c r="J40" s="1">
        <f>IFERROR(__xludf.DUMMYFUNCTION("""COMPUTED_VALUE"""),47.75)</f>
        <v>47.75</v>
      </c>
      <c r="K40" s="1">
        <f>IFERROR(__xludf.DUMMYFUNCTION("""COMPUTED_VALUE"""),79.48)</f>
        <v>79.48</v>
      </c>
    </row>
    <row r="41">
      <c r="A41" s="1"/>
      <c r="B41" s="1" t="str">
        <f>IFERROR(__xludf.DUMMYFUNCTION("""COMPUTED_VALUE"""),"Poland")</f>
        <v>Poland</v>
      </c>
      <c r="C41" s="1">
        <f>IFERROR(__xludf.DUMMYFUNCTION("""COMPUTED_VALUE"""),132.16)</f>
        <v>132.16</v>
      </c>
      <c r="D41" s="1">
        <f>IFERROR(__xludf.DUMMYFUNCTION("""COMPUTED_VALUE"""),60.65)</f>
        <v>60.65</v>
      </c>
      <c r="E41" s="1">
        <f>IFERROR(__xludf.DUMMYFUNCTION("""COMPUTED_VALUE"""),67.87)</f>
        <v>67.87</v>
      </c>
      <c r="F41" s="1">
        <f>IFERROR(__xludf.DUMMYFUNCTION("""COMPUTED_VALUE"""),54.57)</f>
        <v>54.57</v>
      </c>
      <c r="G41" s="1">
        <f>IFERROR(__xludf.DUMMYFUNCTION("""COMPUTED_VALUE"""),35.06)</f>
        <v>35.06</v>
      </c>
      <c r="H41" s="1">
        <f>IFERROR(__xludf.DUMMYFUNCTION("""COMPUTED_VALUE"""),13.49)</f>
        <v>13.49</v>
      </c>
      <c r="I41" s="1">
        <f>IFERROR(__xludf.DUMMYFUNCTION("""COMPUTED_VALUE"""),32.32)</f>
        <v>32.32</v>
      </c>
      <c r="J41" s="1">
        <f>IFERROR(__xludf.DUMMYFUNCTION("""COMPUTED_VALUE"""),60.06)</f>
        <v>60.06</v>
      </c>
      <c r="K41" s="1">
        <f>IFERROR(__xludf.DUMMYFUNCTION("""COMPUTED_VALUE"""),76.03)</f>
        <v>76.03</v>
      </c>
    </row>
    <row r="42">
      <c r="A42" s="1"/>
      <c r="B42" s="1" t="str">
        <f>IFERROR(__xludf.DUMMYFUNCTION("""COMPUTED_VALUE"""),"Puerto Rico")</f>
        <v>Puerto Rico</v>
      </c>
      <c r="C42" s="1">
        <f>IFERROR(__xludf.DUMMYFUNCTION("""COMPUTED_VALUE"""),131.13)</f>
        <v>131.13</v>
      </c>
      <c r="D42" s="1">
        <f>IFERROR(__xludf.DUMMYFUNCTION("""COMPUTED_VALUE"""),65.41)</f>
        <v>65.41</v>
      </c>
      <c r="E42" s="1">
        <f>IFERROR(__xludf.DUMMYFUNCTION("""COMPUTED_VALUE"""),38.23)</f>
        <v>38.23</v>
      </c>
      <c r="F42" s="1">
        <f>IFERROR(__xludf.DUMMYFUNCTION("""COMPUTED_VALUE"""),56.93)</f>
        <v>56.93</v>
      </c>
      <c r="G42" s="1">
        <f>IFERROR(__xludf.DUMMYFUNCTION("""COMPUTED_VALUE"""),64.58)</f>
        <v>64.58</v>
      </c>
      <c r="H42" s="1">
        <f>IFERROR(__xludf.DUMMYFUNCTION("""COMPUTED_VALUE"""),4.2)</f>
        <v>4.2</v>
      </c>
      <c r="I42" s="1">
        <f>IFERROR(__xludf.DUMMYFUNCTION("""COMPUTED_VALUE"""),34.85)</f>
        <v>34.85</v>
      </c>
      <c r="J42" s="1">
        <f>IFERROR(__xludf.DUMMYFUNCTION("""COMPUTED_VALUE"""),48.9)</f>
        <v>48.9</v>
      </c>
      <c r="K42" s="1">
        <f>IFERROR(__xludf.DUMMYFUNCTION("""COMPUTED_VALUE"""),71.25)</f>
        <v>71.25</v>
      </c>
    </row>
    <row r="43">
      <c r="A43" s="1"/>
      <c r="B43" s="1" t="str">
        <f>IFERROR(__xludf.DUMMYFUNCTION("""COMPUTED_VALUE"""),"Romania")</f>
        <v>Romania</v>
      </c>
      <c r="C43" s="1">
        <f>IFERROR(__xludf.DUMMYFUNCTION("""COMPUTED_VALUE"""),131.09)</f>
        <v>131.09</v>
      </c>
      <c r="D43" s="1">
        <f>IFERROR(__xludf.DUMMYFUNCTION("""COMPUTED_VALUE"""),48.84)</f>
        <v>48.84</v>
      </c>
      <c r="E43" s="1">
        <f>IFERROR(__xludf.DUMMYFUNCTION("""COMPUTED_VALUE"""),67.5)</f>
        <v>67.5</v>
      </c>
      <c r="F43" s="1">
        <f>IFERROR(__xludf.DUMMYFUNCTION("""COMPUTED_VALUE"""),56.51)</f>
        <v>56.51</v>
      </c>
      <c r="G43" s="1">
        <f>IFERROR(__xludf.DUMMYFUNCTION("""COMPUTED_VALUE"""),34.93)</f>
        <v>34.93</v>
      </c>
      <c r="H43" s="1">
        <f>IFERROR(__xludf.DUMMYFUNCTION("""COMPUTED_VALUE"""),11.1)</f>
        <v>11.1</v>
      </c>
      <c r="I43" s="1">
        <f>IFERROR(__xludf.DUMMYFUNCTION("""COMPUTED_VALUE"""),33.38)</f>
        <v>33.38</v>
      </c>
      <c r="J43" s="1">
        <f>IFERROR(__xludf.DUMMYFUNCTION("""COMPUTED_VALUE"""),58.52)</f>
        <v>58.52</v>
      </c>
      <c r="K43" s="1">
        <f>IFERROR(__xludf.DUMMYFUNCTION("""COMPUTED_VALUE"""),76.5)</f>
        <v>76.5</v>
      </c>
    </row>
    <row r="44">
      <c r="A44" s="1"/>
      <c r="B44" s="1" t="str">
        <f>IFERROR(__xludf.DUMMYFUNCTION("""COMPUTED_VALUE"""),"South Korea")</f>
        <v>South Korea</v>
      </c>
      <c r="C44" s="1">
        <f>IFERROR(__xludf.DUMMYFUNCTION("""COMPUTED_VALUE"""),130.82)</f>
        <v>130.82</v>
      </c>
      <c r="D44" s="1">
        <f>IFERROR(__xludf.DUMMYFUNCTION("""COMPUTED_VALUE"""),81.3)</f>
        <v>81.3</v>
      </c>
      <c r="E44" s="1">
        <f>IFERROR(__xludf.DUMMYFUNCTION("""COMPUTED_VALUE"""),73.87)</f>
        <v>73.87</v>
      </c>
      <c r="F44" s="1">
        <f>IFERROR(__xludf.DUMMYFUNCTION("""COMPUTED_VALUE"""),83.04)</f>
        <v>83.04</v>
      </c>
      <c r="G44" s="1">
        <f>IFERROR(__xludf.DUMMYFUNCTION("""COMPUTED_VALUE"""),66.95)</f>
        <v>66.95</v>
      </c>
      <c r="H44" s="1">
        <f>IFERROR(__xludf.DUMMYFUNCTION("""COMPUTED_VALUE"""),26.51)</f>
        <v>26.51</v>
      </c>
      <c r="I44" s="1">
        <f>IFERROR(__xludf.DUMMYFUNCTION("""COMPUTED_VALUE"""),39.65)</f>
        <v>39.65</v>
      </c>
      <c r="J44" s="1">
        <f>IFERROR(__xludf.DUMMYFUNCTION("""COMPUTED_VALUE"""),62.42)</f>
        <v>62.42</v>
      </c>
      <c r="K44" s="1">
        <f>IFERROR(__xludf.DUMMYFUNCTION("""COMPUTED_VALUE"""),68.39)</f>
        <v>68.39</v>
      </c>
    </row>
    <row r="45">
      <c r="A45" s="1"/>
      <c r="B45" s="1" t="str">
        <f>IFERROR(__xludf.DUMMYFUNCTION("""COMPUTED_VALUE"""),"Bosnia And Herzegovina")</f>
        <v>Bosnia And Herzegovina</v>
      </c>
      <c r="C45" s="1">
        <f>IFERROR(__xludf.DUMMYFUNCTION("""COMPUTED_VALUE"""),129.37)</f>
        <v>129.37</v>
      </c>
      <c r="D45" s="1">
        <f>IFERROR(__xludf.DUMMYFUNCTION("""COMPUTED_VALUE"""),46.51)</f>
        <v>46.51</v>
      </c>
      <c r="E45" s="1">
        <f>IFERROR(__xludf.DUMMYFUNCTION("""COMPUTED_VALUE"""),57.29)</f>
        <v>57.29</v>
      </c>
      <c r="F45" s="1">
        <f>IFERROR(__xludf.DUMMYFUNCTION("""COMPUTED_VALUE"""),55.26)</f>
        <v>55.26</v>
      </c>
      <c r="G45" s="1">
        <f>IFERROR(__xludf.DUMMYFUNCTION("""COMPUTED_VALUE"""),32.24)</f>
        <v>32.24</v>
      </c>
      <c r="H45" s="1">
        <f>IFERROR(__xludf.DUMMYFUNCTION("""COMPUTED_VALUE"""),10.35)</f>
        <v>10.35</v>
      </c>
      <c r="I45" s="1">
        <f>IFERROR(__xludf.DUMMYFUNCTION("""COMPUTED_VALUE"""),26.22)</f>
        <v>26.22</v>
      </c>
      <c r="J45" s="1">
        <f>IFERROR(__xludf.DUMMYFUNCTION("""COMPUTED_VALUE"""),60.2)</f>
        <v>60.2</v>
      </c>
      <c r="K45" s="1">
        <f>IFERROR(__xludf.DUMMYFUNCTION("""COMPUTED_VALUE"""),80.48)</f>
        <v>80.48</v>
      </c>
    </row>
    <row r="46">
      <c r="A46" s="1"/>
      <c r="B46" s="1" t="str">
        <f>IFERROR(__xludf.DUMMYFUNCTION("""COMPUTED_VALUE"""),"Bulgaria")</f>
        <v>Bulgaria</v>
      </c>
      <c r="C46" s="1">
        <f>IFERROR(__xludf.DUMMYFUNCTION("""COMPUTED_VALUE"""),128.96)</f>
        <v>128.96</v>
      </c>
      <c r="D46" s="1">
        <f>IFERROR(__xludf.DUMMYFUNCTION("""COMPUTED_VALUE"""),46.9)</f>
        <v>46.9</v>
      </c>
      <c r="E46" s="1">
        <f>IFERROR(__xludf.DUMMYFUNCTION("""COMPUTED_VALUE"""),61.63)</f>
        <v>61.63</v>
      </c>
      <c r="F46" s="1">
        <f>IFERROR(__xludf.DUMMYFUNCTION("""COMPUTED_VALUE"""),56.82)</f>
        <v>56.82</v>
      </c>
      <c r="G46" s="1">
        <f>IFERROR(__xludf.DUMMYFUNCTION("""COMPUTED_VALUE"""),37.58)</f>
        <v>37.58</v>
      </c>
      <c r="H46" s="1">
        <f>IFERROR(__xludf.DUMMYFUNCTION("""COMPUTED_VALUE"""),9.59)</f>
        <v>9.59</v>
      </c>
      <c r="I46" s="1">
        <f>IFERROR(__xludf.DUMMYFUNCTION("""COMPUTED_VALUE"""),29.01)</f>
        <v>29.01</v>
      </c>
      <c r="J46" s="1">
        <f>IFERROR(__xludf.DUMMYFUNCTION("""COMPUTED_VALUE"""),63.84)</f>
        <v>63.84</v>
      </c>
      <c r="K46" s="1">
        <f>IFERROR(__xludf.DUMMYFUNCTION("""COMPUTED_VALUE"""),81.22)</f>
        <v>81.22</v>
      </c>
    </row>
    <row r="47">
      <c r="A47" s="1"/>
      <c r="B47" s="1" t="str">
        <f>IFERROR(__xludf.DUMMYFUNCTION("""COMPUTED_VALUE"""),"Greece")</f>
        <v>Greece</v>
      </c>
      <c r="C47" s="1">
        <f>IFERROR(__xludf.DUMMYFUNCTION("""COMPUTED_VALUE"""),127.08)</f>
        <v>127.08</v>
      </c>
      <c r="D47" s="1">
        <f>IFERROR(__xludf.DUMMYFUNCTION("""COMPUTED_VALUE"""),38.39)</f>
        <v>38.39</v>
      </c>
      <c r="E47" s="1">
        <f>IFERROR(__xludf.DUMMYFUNCTION("""COMPUTED_VALUE"""),52.03)</f>
        <v>52.03</v>
      </c>
      <c r="F47" s="1">
        <f>IFERROR(__xludf.DUMMYFUNCTION("""COMPUTED_VALUE"""),57.24)</f>
        <v>57.24</v>
      </c>
      <c r="G47" s="1">
        <f>IFERROR(__xludf.DUMMYFUNCTION("""COMPUTED_VALUE"""),50.23)</f>
        <v>50.23</v>
      </c>
      <c r="H47" s="1">
        <f>IFERROR(__xludf.DUMMYFUNCTION("""COMPUTED_VALUE"""),12.08)</f>
        <v>12.08</v>
      </c>
      <c r="I47" s="1">
        <f>IFERROR(__xludf.DUMMYFUNCTION("""COMPUTED_VALUE"""),33.68)</f>
        <v>33.68</v>
      </c>
      <c r="J47" s="1">
        <f>IFERROR(__xludf.DUMMYFUNCTION("""COMPUTED_VALUE"""),51.79)</f>
        <v>51.79</v>
      </c>
      <c r="K47" s="1">
        <f>IFERROR(__xludf.DUMMYFUNCTION("""COMPUTED_VALUE"""),93.83)</f>
        <v>93.83</v>
      </c>
    </row>
    <row r="48">
      <c r="A48" s="1"/>
      <c r="B48" s="1" t="str">
        <f>IFERROR(__xludf.DUMMYFUNCTION("""COMPUTED_VALUE"""),"Mexico")</f>
        <v>Mexico</v>
      </c>
      <c r="C48" s="1">
        <f>IFERROR(__xludf.DUMMYFUNCTION("""COMPUTED_VALUE"""),126.94)</f>
        <v>126.94</v>
      </c>
      <c r="D48" s="1">
        <f>IFERROR(__xludf.DUMMYFUNCTION("""COMPUTED_VALUE"""),41.1)</f>
        <v>41.1</v>
      </c>
      <c r="E48" s="1">
        <f>IFERROR(__xludf.DUMMYFUNCTION("""COMPUTED_VALUE"""),46.1)</f>
        <v>46.1</v>
      </c>
      <c r="F48" s="1">
        <f>IFERROR(__xludf.DUMMYFUNCTION("""COMPUTED_VALUE"""),72.82)</f>
        <v>72.82</v>
      </c>
      <c r="G48" s="1">
        <f>IFERROR(__xludf.DUMMYFUNCTION("""COMPUTED_VALUE"""),35.14)</f>
        <v>35.14</v>
      </c>
      <c r="H48" s="1">
        <f>IFERROR(__xludf.DUMMYFUNCTION("""COMPUTED_VALUE"""),8.25)</f>
        <v>8.25</v>
      </c>
      <c r="I48" s="1">
        <f>IFERROR(__xludf.DUMMYFUNCTION("""COMPUTED_VALUE"""),39.15)</f>
        <v>39.15</v>
      </c>
      <c r="J48" s="1">
        <f>IFERROR(__xludf.DUMMYFUNCTION("""COMPUTED_VALUE"""),58.27)</f>
        <v>58.27</v>
      </c>
      <c r="K48" s="1">
        <f>IFERROR(__xludf.DUMMYFUNCTION("""COMPUTED_VALUE"""),85.52)</f>
        <v>85.52</v>
      </c>
    </row>
    <row r="49">
      <c r="A49" s="1"/>
      <c r="B49" s="1" t="str">
        <f>IFERROR(__xludf.DUMMYFUNCTION("""COMPUTED_VALUE"""),"India")</f>
        <v>India</v>
      </c>
      <c r="C49" s="1">
        <f>IFERROR(__xludf.DUMMYFUNCTION("""COMPUTED_VALUE"""),124.38)</f>
        <v>124.38</v>
      </c>
      <c r="D49" s="1">
        <f>IFERROR(__xludf.DUMMYFUNCTION("""COMPUTED_VALUE"""),76.44)</f>
        <v>76.44</v>
      </c>
      <c r="E49" s="1">
        <f>IFERROR(__xludf.DUMMYFUNCTION("""COMPUTED_VALUE"""),55.43)</f>
        <v>55.43</v>
      </c>
      <c r="F49" s="1">
        <f>IFERROR(__xludf.DUMMYFUNCTION("""COMPUTED_VALUE"""),65.59)</f>
        <v>65.59</v>
      </c>
      <c r="G49" s="1">
        <f>IFERROR(__xludf.DUMMYFUNCTION("""COMPUTED_VALUE"""),23.89)</f>
        <v>23.89</v>
      </c>
      <c r="H49" s="1">
        <f>IFERROR(__xludf.DUMMYFUNCTION("""COMPUTED_VALUE"""),7.44)</f>
        <v>7.44</v>
      </c>
      <c r="I49" s="1">
        <f>IFERROR(__xludf.DUMMYFUNCTION("""COMPUTED_VALUE"""),46.4)</f>
        <v>46.4</v>
      </c>
      <c r="J49" s="1">
        <f>IFERROR(__xludf.DUMMYFUNCTION("""COMPUTED_VALUE"""),73.04)</f>
        <v>73.04</v>
      </c>
      <c r="K49" s="1">
        <f>IFERROR(__xludf.DUMMYFUNCTION("""COMPUTED_VALUE"""),64.73)</f>
        <v>64.73</v>
      </c>
    </row>
    <row r="50">
      <c r="A50" s="1"/>
      <c r="B50" s="1" t="str">
        <f>IFERROR(__xludf.DUMMYFUNCTION("""COMPUTED_VALUE"""),"Costa Rica")</f>
        <v>Costa Rica</v>
      </c>
      <c r="C50" s="1">
        <f>IFERROR(__xludf.DUMMYFUNCTION("""COMPUTED_VALUE"""),122.94)</f>
        <v>122.94</v>
      </c>
      <c r="D50" s="1">
        <f>IFERROR(__xludf.DUMMYFUNCTION("""COMPUTED_VALUE"""),38.59)</f>
        <v>38.59</v>
      </c>
      <c r="E50" s="1">
        <f>IFERROR(__xludf.DUMMYFUNCTION("""COMPUTED_VALUE"""),46.14)</f>
        <v>46.14</v>
      </c>
      <c r="F50" s="1">
        <f>IFERROR(__xludf.DUMMYFUNCTION("""COMPUTED_VALUE"""),62.97)</f>
        <v>62.97</v>
      </c>
      <c r="G50" s="1">
        <f>IFERROR(__xludf.DUMMYFUNCTION("""COMPUTED_VALUE"""),43.65)</f>
        <v>43.65</v>
      </c>
      <c r="H50" s="1">
        <f>IFERROR(__xludf.DUMMYFUNCTION("""COMPUTED_VALUE"""),10.0)</f>
        <v>10</v>
      </c>
      <c r="I50" s="1">
        <f>IFERROR(__xludf.DUMMYFUNCTION("""COMPUTED_VALUE"""),60.19)</f>
        <v>60.19</v>
      </c>
      <c r="J50" s="1">
        <f>IFERROR(__xludf.DUMMYFUNCTION("""COMPUTED_VALUE"""),44.19)</f>
        <v>44.19</v>
      </c>
      <c r="K50" s="1">
        <f>IFERROR(__xludf.DUMMYFUNCTION("""COMPUTED_VALUE"""),99.48)</f>
        <v>99.48</v>
      </c>
    </row>
    <row r="51">
      <c r="A51" s="1"/>
      <c r="B51" s="1" t="str">
        <f>IFERROR(__xludf.DUMMYFUNCTION("""COMPUTED_VALUE"""),"Uruguay")</f>
        <v>Uruguay</v>
      </c>
      <c r="C51" s="1">
        <f>IFERROR(__xludf.DUMMYFUNCTION("""COMPUTED_VALUE"""),122.73)</f>
        <v>122.73</v>
      </c>
      <c r="D51" s="1">
        <f>IFERROR(__xludf.DUMMYFUNCTION("""COMPUTED_VALUE"""),28.64)</f>
        <v>28.64</v>
      </c>
      <c r="E51" s="1">
        <f>IFERROR(__xludf.DUMMYFUNCTION("""COMPUTED_VALUE"""),47.87)</f>
        <v>47.87</v>
      </c>
      <c r="F51" s="1">
        <f>IFERROR(__xludf.DUMMYFUNCTION("""COMPUTED_VALUE"""),67.97)</f>
        <v>67.97</v>
      </c>
      <c r="G51" s="1">
        <f>IFERROR(__xludf.DUMMYFUNCTION("""COMPUTED_VALUE"""),59.05)</f>
        <v>59.05</v>
      </c>
      <c r="H51" s="1">
        <f>IFERROR(__xludf.DUMMYFUNCTION("""COMPUTED_VALUE"""),18.08)</f>
        <v>18.08</v>
      </c>
      <c r="I51" s="1">
        <f>IFERROR(__xludf.DUMMYFUNCTION("""COMPUTED_VALUE"""),37.31)</f>
        <v>37.31</v>
      </c>
      <c r="J51" s="1">
        <f>IFERROR(__xludf.DUMMYFUNCTION("""COMPUTED_VALUE"""),44.82)</f>
        <v>44.82</v>
      </c>
      <c r="K51" s="1">
        <f>IFERROR(__xludf.DUMMYFUNCTION("""COMPUTED_VALUE"""),98.04)</f>
        <v>98.04</v>
      </c>
    </row>
    <row r="52">
      <c r="A52" s="1"/>
      <c r="B52" s="1" t="str">
        <f>IFERROR(__xludf.DUMMYFUNCTION("""COMPUTED_VALUE"""),"Malaysia")</f>
        <v>Malaysia</v>
      </c>
      <c r="C52" s="1">
        <f>IFERROR(__xludf.DUMMYFUNCTION("""COMPUTED_VALUE"""),121.63)</f>
        <v>121.63</v>
      </c>
      <c r="D52" s="1">
        <f>IFERROR(__xludf.DUMMYFUNCTION("""COMPUTED_VALUE"""),59.41)</f>
        <v>59.41</v>
      </c>
      <c r="E52" s="1">
        <f>IFERROR(__xludf.DUMMYFUNCTION("""COMPUTED_VALUE"""),45.63)</f>
        <v>45.63</v>
      </c>
      <c r="F52" s="1">
        <f>IFERROR(__xludf.DUMMYFUNCTION("""COMPUTED_VALUE"""),70.14)</f>
        <v>70.14</v>
      </c>
      <c r="G52" s="1">
        <f>IFERROR(__xludf.DUMMYFUNCTION("""COMPUTED_VALUE"""),34.41)</f>
        <v>34.41</v>
      </c>
      <c r="H52" s="1">
        <f>IFERROR(__xludf.DUMMYFUNCTION("""COMPUTED_VALUE"""),8.67)</f>
        <v>8.67</v>
      </c>
      <c r="I52" s="1">
        <f>IFERROR(__xludf.DUMMYFUNCTION("""COMPUTED_VALUE"""),37.22)</f>
        <v>37.22</v>
      </c>
      <c r="J52" s="1">
        <f>IFERROR(__xludf.DUMMYFUNCTION("""COMPUTED_VALUE"""),62.16)</f>
        <v>62.16</v>
      </c>
      <c r="K52" s="1">
        <f>IFERROR(__xludf.DUMMYFUNCTION("""COMPUTED_VALUE"""),57.46)</f>
        <v>57.46</v>
      </c>
    </row>
    <row r="53">
      <c r="A53" s="1"/>
      <c r="B53" s="1" t="str">
        <f>IFERROR(__xludf.DUMMYFUNCTION("""COMPUTED_VALUE"""),"Serbia")</f>
        <v>Serbia</v>
      </c>
      <c r="C53" s="1">
        <f>IFERROR(__xludf.DUMMYFUNCTION("""COMPUTED_VALUE"""),120.4)</f>
        <v>120.4</v>
      </c>
      <c r="D53" s="1">
        <f>IFERROR(__xludf.DUMMYFUNCTION("""COMPUTED_VALUE"""),41.56)</f>
        <v>41.56</v>
      </c>
      <c r="E53" s="1">
        <f>IFERROR(__xludf.DUMMYFUNCTION("""COMPUTED_VALUE"""),61.82)</f>
        <v>61.82</v>
      </c>
      <c r="F53" s="1">
        <f>IFERROR(__xludf.DUMMYFUNCTION("""COMPUTED_VALUE"""),52.42)</f>
        <v>52.42</v>
      </c>
      <c r="G53" s="1">
        <f>IFERROR(__xludf.DUMMYFUNCTION("""COMPUTED_VALUE"""),33.35)</f>
        <v>33.35</v>
      </c>
      <c r="H53" s="1">
        <f>IFERROR(__xludf.DUMMYFUNCTION("""COMPUTED_VALUE"""),14.8)</f>
        <v>14.8</v>
      </c>
      <c r="I53" s="1">
        <f>IFERROR(__xludf.DUMMYFUNCTION("""COMPUTED_VALUE"""),31.02)</f>
        <v>31.02</v>
      </c>
      <c r="J53" s="1">
        <f>IFERROR(__xludf.DUMMYFUNCTION("""COMPUTED_VALUE"""),63.29)</f>
        <v>63.29</v>
      </c>
      <c r="K53" s="1">
        <f>IFERROR(__xludf.DUMMYFUNCTION("""COMPUTED_VALUE"""),83.23)</f>
        <v>83.23</v>
      </c>
    </row>
    <row r="54">
      <c r="A54" s="1"/>
      <c r="B54" s="1" t="str">
        <f>IFERROR(__xludf.DUMMYFUNCTION("""COMPUTED_VALUE"""),"Ecuador")</f>
        <v>Ecuador</v>
      </c>
      <c r="C54" s="1">
        <f>IFERROR(__xludf.DUMMYFUNCTION("""COMPUTED_VALUE"""),120.34)</f>
        <v>120.34</v>
      </c>
      <c r="D54" s="1">
        <f>IFERROR(__xludf.DUMMYFUNCTION("""COMPUTED_VALUE"""),33.55)</f>
        <v>33.55</v>
      </c>
      <c r="E54" s="1">
        <f>IFERROR(__xludf.DUMMYFUNCTION("""COMPUTED_VALUE"""),42.13)</f>
        <v>42.13</v>
      </c>
      <c r="F54" s="1">
        <f>IFERROR(__xludf.DUMMYFUNCTION("""COMPUTED_VALUE"""),68.89)</f>
        <v>68.89</v>
      </c>
      <c r="G54" s="1">
        <f>IFERROR(__xludf.DUMMYFUNCTION("""COMPUTED_VALUE"""),35.73)</f>
        <v>35.73</v>
      </c>
      <c r="H54" s="1">
        <f>IFERROR(__xludf.DUMMYFUNCTION("""COMPUTED_VALUE"""),11.8)</f>
        <v>11.8</v>
      </c>
      <c r="I54" s="1">
        <f>IFERROR(__xludf.DUMMYFUNCTION("""COMPUTED_VALUE"""),37.88)</f>
        <v>37.88</v>
      </c>
      <c r="J54" s="1">
        <f>IFERROR(__xludf.DUMMYFUNCTION("""COMPUTED_VALUE"""),58.34)</f>
        <v>58.34</v>
      </c>
      <c r="K54" s="1">
        <f>IFERROR(__xludf.DUMMYFUNCTION("""COMPUTED_VALUE"""),94.51)</f>
        <v>94.51</v>
      </c>
    </row>
    <row r="55">
      <c r="A55" s="1"/>
      <c r="B55" s="1" t="str">
        <f>IFERROR(__xludf.DUMMYFUNCTION("""COMPUTED_VALUE"""),"Turkey")</f>
        <v>Turkey</v>
      </c>
      <c r="C55" s="1">
        <f>IFERROR(__xludf.DUMMYFUNCTION("""COMPUTED_VALUE"""),119.53)</f>
        <v>119.53</v>
      </c>
      <c r="D55" s="1">
        <f>IFERROR(__xludf.DUMMYFUNCTION("""COMPUTED_VALUE"""),28.04)</f>
        <v>28.04</v>
      </c>
      <c r="E55" s="1">
        <f>IFERROR(__xludf.DUMMYFUNCTION("""COMPUTED_VALUE"""),60.11)</f>
        <v>60.11</v>
      </c>
      <c r="F55" s="1">
        <f>IFERROR(__xludf.DUMMYFUNCTION("""COMPUTED_VALUE"""),70.7)</f>
        <v>70.7</v>
      </c>
      <c r="G55" s="1">
        <f>IFERROR(__xludf.DUMMYFUNCTION("""COMPUTED_VALUE"""),28.38)</f>
        <v>28.38</v>
      </c>
      <c r="H55" s="1">
        <f>IFERROR(__xludf.DUMMYFUNCTION("""COMPUTED_VALUE"""),11.91)</f>
        <v>11.91</v>
      </c>
      <c r="I55" s="1">
        <f>IFERROR(__xludf.DUMMYFUNCTION("""COMPUTED_VALUE"""),44.01)</f>
        <v>44.01</v>
      </c>
      <c r="J55" s="1">
        <f>IFERROR(__xludf.DUMMYFUNCTION("""COMPUTED_VALUE"""),65.1)</f>
        <v>65.1</v>
      </c>
      <c r="K55" s="1">
        <f>IFERROR(__xludf.DUMMYFUNCTION("""COMPUTED_VALUE"""),90.4)</f>
        <v>90.4</v>
      </c>
    </row>
    <row r="56">
      <c r="A56" s="1"/>
      <c r="B56" s="1" t="str">
        <f>IFERROR(__xludf.DUMMYFUNCTION("""COMPUTED_VALUE"""),"Georgia")</f>
        <v>Georgia</v>
      </c>
      <c r="C56" s="1">
        <f>IFERROR(__xludf.DUMMYFUNCTION("""COMPUTED_VALUE"""),119.15)</f>
        <v>119.15</v>
      </c>
      <c r="D56" s="1">
        <f>IFERROR(__xludf.DUMMYFUNCTION("""COMPUTED_VALUE"""),25.13)</f>
        <v>25.13</v>
      </c>
      <c r="E56" s="1">
        <f>IFERROR(__xludf.DUMMYFUNCTION("""COMPUTED_VALUE"""),74.75)</f>
        <v>74.75</v>
      </c>
      <c r="F56" s="1">
        <f>IFERROR(__xludf.DUMMYFUNCTION("""COMPUTED_VALUE"""),54.49)</f>
        <v>54.49</v>
      </c>
      <c r="G56" s="1">
        <f>IFERROR(__xludf.DUMMYFUNCTION("""COMPUTED_VALUE"""),34.85)</f>
        <v>34.85</v>
      </c>
      <c r="H56" s="1">
        <f>IFERROR(__xludf.DUMMYFUNCTION("""COMPUTED_VALUE"""),12.26)</f>
        <v>12.26</v>
      </c>
      <c r="I56" s="1">
        <f>IFERROR(__xludf.DUMMYFUNCTION("""COMPUTED_VALUE"""),35.59)</f>
        <v>35.59</v>
      </c>
      <c r="J56" s="1">
        <f>IFERROR(__xludf.DUMMYFUNCTION("""COMPUTED_VALUE"""),69.05)</f>
        <v>69.05</v>
      </c>
      <c r="K56" s="1">
        <f>IFERROR(__xludf.DUMMYFUNCTION("""COMPUTED_VALUE"""),88.53)</f>
        <v>88.53</v>
      </c>
    </row>
    <row r="57">
      <c r="A57" s="1"/>
      <c r="B57" s="1" t="str">
        <f>IFERROR(__xludf.DUMMYFUNCTION("""COMPUTED_VALUE"""),"Kuwait")</f>
        <v>Kuwait</v>
      </c>
      <c r="C57" s="1">
        <f>IFERROR(__xludf.DUMMYFUNCTION("""COMPUTED_VALUE"""),118.83)</f>
        <v>118.83</v>
      </c>
      <c r="D57" s="1">
        <f>IFERROR(__xludf.DUMMYFUNCTION("""COMPUTED_VALUE"""),81.76)</f>
        <v>81.76</v>
      </c>
      <c r="E57" s="1">
        <f>IFERROR(__xludf.DUMMYFUNCTION("""COMPUTED_VALUE"""),66.99)</f>
        <v>66.99</v>
      </c>
      <c r="F57" s="1">
        <f>IFERROR(__xludf.DUMMYFUNCTION("""COMPUTED_VALUE"""),58.95)</f>
        <v>58.95</v>
      </c>
      <c r="G57" s="1">
        <f>IFERROR(__xludf.DUMMYFUNCTION("""COMPUTED_VALUE"""),46.0)</f>
        <v>46</v>
      </c>
      <c r="H57" s="1">
        <f>IFERROR(__xludf.DUMMYFUNCTION("""COMPUTED_VALUE"""),11.19)</f>
        <v>11.19</v>
      </c>
      <c r="I57" s="1">
        <f>IFERROR(__xludf.DUMMYFUNCTION("""COMPUTED_VALUE"""),33.37)</f>
        <v>33.37</v>
      </c>
      <c r="J57" s="1">
        <f>IFERROR(__xludf.DUMMYFUNCTION("""COMPUTED_VALUE"""),67.83)</f>
        <v>67.83</v>
      </c>
      <c r="K57" s="1">
        <f>IFERROR(__xludf.DUMMYFUNCTION("""COMPUTED_VALUE"""),20.22)</f>
        <v>20.22</v>
      </c>
    </row>
    <row r="58">
      <c r="A58" s="1"/>
      <c r="B58" s="1" t="str">
        <f>IFERROR(__xludf.DUMMYFUNCTION("""COMPUTED_VALUE"""),"Tunisia")</f>
        <v>Tunisia</v>
      </c>
      <c r="C58" s="1">
        <f>IFERROR(__xludf.DUMMYFUNCTION("""COMPUTED_VALUE"""),117.33)</f>
        <v>117.33</v>
      </c>
      <c r="D58" s="1">
        <f>IFERROR(__xludf.DUMMYFUNCTION("""COMPUTED_VALUE"""),28.62)</f>
        <v>28.62</v>
      </c>
      <c r="E58" s="1">
        <f>IFERROR(__xludf.DUMMYFUNCTION("""COMPUTED_VALUE"""),56.06)</f>
        <v>56.06</v>
      </c>
      <c r="F58" s="1">
        <f>IFERROR(__xludf.DUMMYFUNCTION("""COMPUTED_VALUE"""),57.26)</f>
        <v>57.26</v>
      </c>
      <c r="G58" s="1">
        <f>IFERROR(__xludf.DUMMYFUNCTION("""COMPUTED_VALUE"""),25.48)</f>
        <v>25.48</v>
      </c>
      <c r="H58" s="1">
        <f>IFERROR(__xludf.DUMMYFUNCTION("""COMPUTED_VALUE"""),11.15)</f>
        <v>11.15</v>
      </c>
      <c r="I58" s="1">
        <f>IFERROR(__xludf.DUMMYFUNCTION("""COMPUTED_VALUE"""),32.51)</f>
        <v>32.51</v>
      </c>
      <c r="J58" s="1">
        <f>IFERROR(__xludf.DUMMYFUNCTION("""COMPUTED_VALUE"""),69.91)</f>
        <v>69.91</v>
      </c>
      <c r="K58" s="1">
        <f>IFERROR(__xludf.DUMMYFUNCTION("""COMPUTED_VALUE"""),94.52)</f>
        <v>94.52</v>
      </c>
    </row>
    <row r="59">
      <c r="A59" s="1"/>
      <c r="B59" s="1" t="str">
        <f>IFERROR(__xludf.DUMMYFUNCTION("""COMPUTED_VALUE"""),"Panama")</f>
        <v>Panama</v>
      </c>
      <c r="C59" s="1">
        <f>IFERROR(__xludf.DUMMYFUNCTION("""COMPUTED_VALUE"""),115.3)</f>
        <v>115.3</v>
      </c>
      <c r="D59" s="1">
        <f>IFERROR(__xludf.DUMMYFUNCTION("""COMPUTED_VALUE"""),32.66)</f>
        <v>32.66</v>
      </c>
      <c r="E59" s="1">
        <f>IFERROR(__xludf.DUMMYFUNCTION("""COMPUTED_VALUE"""),56.39)</f>
        <v>56.39</v>
      </c>
      <c r="F59" s="1">
        <f>IFERROR(__xludf.DUMMYFUNCTION("""COMPUTED_VALUE"""),61.06)</f>
        <v>61.06</v>
      </c>
      <c r="G59" s="1">
        <f>IFERROR(__xludf.DUMMYFUNCTION("""COMPUTED_VALUE"""),48.25)</f>
        <v>48.25</v>
      </c>
      <c r="H59" s="1">
        <f>IFERROR(__xludf.DUMMYFUNCTION("""COMPUTED_VALUE"""),11.28)</f>
        <v>11.28</v>
      </c>
      <c r="I59" s="1">
        <f>IFERROR(__xludf.DUMMYFUNCTION("""COMPUTED_VALUE"""),36.66)</f>
        <v>36.66</v>
      </c>
      <c r="J59" s="1">
        <f>IFERROR(__xludf.DUMMYFUNCTION("""COMPUTED_VALUE"""),57.82)</f>
        <v>57.82</v>
      </c>
      <c r="K59" s="1">
        <f>IFERROR(__xludf.DUMMYFUNCTION("""COMPUTED_VALUE"""),67.84)</f>
        <v>67.84</v>
      </c>
    </row>
    <row r="60">
      <c r="A60" s="1"/>
      <c r="B60" s="1" t="str">
        <f>IFERROR(__xludf.DUMMYFUNCTION("""COMPUTED_VALUE"""),"Jordan")</f>
        <v>Jordan</v>
      </c>
      <c r="C60" s="1">
        <f>IFERROR(__xludf.DUMMYFUNCTION("""COMPUTED_VALUE"""),113.69)</f>
        <v>113.69</v>
      </c>
      <c r="D60" s="1">
        <f>IFERROR(__xludf.DUMMYFUNCTION("""COMPUTED_VALUE"""),32.23)</f>
        <v>32.23</v>
      </c>
      <c r="E60" s="1">
        <f>IFERROR(__xludf.DUMMYFUNCTION("""COMPUTED_VALUE"""),58.99)</f>
        <v>58.99</v>
      </c>
      <c r="F60" s="1">
        <f>IFERROR(__xludf.DUMMYFUNCTION("""COMPUTED_VALUE"""),64.95)</f>
        <v>64.95</v>
      </c>
      <c r="G60" s="1">
        <f>IFERROR(__xludf.DUMMYFUNCTION("""COMPUTED_VALUE"""),47.53)</f>
        <v>47.53</v>
      </c>
      <c r="H60" s="1">
        <f>IFERROR(__xludf.DUMMYFUNCTION("""COMPUTED_VALUE"""),8.18)</f>
        <v>8.18</v>
      </c>
      <c r="I60" s="1">
        <f>IFERROR(__xludf.DUMMYFUNCTION("""COMPUTED_VALUE"""),41.23)</f>
        <v>41.23</v>
      </c>
      <c r="J60" s="1">
        <f>IFERROR(__xludf.DUMMYFUNCTION("""COMPUTED_VALUE"""),76.21)</f>
        <v>76.21</v>
      </c>
      <c r="K60" s="1">
        <f>IFERROR(__xludf.DUMMYFUNCTION("""COMPUTED_VALUE"""),89.05)</f>
        <v>89.05</v>
      </c>
    </row>
    <row r="61">
      <c r="A61" s="1"/>
      <c r="B61" s="1" t="str">
        <f>IFERROR(__xludf.DUMMYFUNCTION("""COMPUTED_VALUE"""),"Ukraine")</f>
        <v>Ukraine</v>
      </c>
      <c r="C61" s="1">
        <f>IFERROR(__xludf.DUMMYFUNCTION("""COMPUTED_VALUE"""),112.06)</f>
        <v>112.06</v>
      </c>
      <c r="D61" s="1">
        <f>IFERROR(__xludf.DUMMYFUNCTION("""COMPUTED_VALUE"""),36.29)</f>
        <v>36.29</v>
      </c>
      <c r="E61" s="1">
        <f>IFERROR(__xludf.DUMMYFUNCTION("""COMPUTED_VALUE"""),53.43)</f>
        <v>53.43</v>
      </c>
      <c r="F61" s="1">
        <f>IFERROR(__xludf.DUMMYFUNCTION("""COMPUTED_VALUE"""),55.22)</f>
        <v>55.22</v>
      </c>
      <c r="G61" s="1">
        <f>IFERROR(__xludf.DUMMYFUNCTION("""COMPUTED_VALUE"""),30.7)</f>
        <v>30.7</v>
      </c>
      <c r="H61" s="1">
        <f>IFERROR(__xludf.DUMMYFUNCTION("""COMPUTED_VALUE"""),11.31)</f>
        <v>11.31</v>
      </c>
      <c r="I61" s="1">
        <f>IFERROR(__xludf.DUMMYFUNCTION("""COMPUTED_VALUE"""),37.87)</f>
        <v>37.87</v>
      </c>
      <c r="J61" s="1">
        <f>IFERROR(__xludf.DUMMYFUNCTION("""COMPUTED_VALUE"""),62.26)</f>
        <v>62.26</v>
      </c>
      <c r="K61" s="1">
        <f>IFERROR(__xludf.DUMMYFUNCTION("""COMPUTED_VALUE"""),70.69)</f>
        <v>70.69</v>
      </c>
    </row>
    <row r="62">
      <c r="A62" s="1"/>
      <c r="B62" s="1" t="str">
        <f>IFERROR(__xludf.DUMMYFUNCTION("""COMPUTED_VALUE"""),"Argentina")</f>
        <v>Argentina</v>
      </c>
      <c r="C62" s="1">
        <f>IFERROR(__xludf.DUMMYFUNCTION("""COMPUTED_VALUE"""),110.14)</f>
        <v>110.14</v>
      </c>
      <c r="D62" s="1">
        <f>IFERROR(__xludf.DUMMYFUNCTION("""COMPUTED_VALUE"""),33.64)</f>
        <v>33.64</v>
      </c>
      <c r="E62" s="1">
        <f>IFERROR(__xludf.DUMMYFUNCTION("""COMPUTED_VALUE"""),35.91)</f>
        <v>35.91</v>
      </c>
      <c r="F62" s="1">
        <f>IFERROR(__xludf.DUMMYFUNCTION("""COMPUTED_VALUE"""),69.0)</f>
        <v>69</v>
      </c>
      <c r="G62" s="1">
        <f>IFERROR(__xludf.DUMMYFUNCTION("""COMPUTED_VALUE"""),32.13)</f>
        <v>32.13</v>
      </c>
      <c r="H62" s="1">
        <f>IFERROR(__xludf.DUMMYFUNCTION("""COMPUTED_VALUE"""),22.81)</f>
        <v>22.81</v>
      </c>
      <c r="I62" s="1">
        <f>IFERROR(__xludf.DUMMYFUNCTION("""COMPUTED_VALUE"""),43.39)</f>
        <v>43.39</v>
      </c>
      <c r="J62" s="1">
        <f>IFERROR(__xludf.DUMMYFUNCTION("""COMPUTED_VALUE"""),50.86)</f>
        <v>50.86</v>
      </c>
      <c r="K62" s="1">
        <f>IFERROR(__xludf.DUMMYFUNCTION("""COMPUTED_VALUE"""),98.28)</f>
        <v>98.28</v>
      </c>
    </row>
    <row r="63">
      <c r="A63" s="1"/>
      <c r="B63" s="1" t="str">
        <f>IFERROR(__xludf.DUMMYFUNCTION("""COMPUTED_VALUE"""),"North Macedonia")</f>
        <v>North Macedonia</v>
      </c>
      <c r="C63" s="1">
        <f>IFERROR(__xludf.DUMMYFUNCTION("""COMPUTED_VALUE"""),109.82)</f>
        <v>109.82</v>
      </c>
      <c r="D63" s="1">
        <f>IFERROR(__xludf.DUMMYFUNCTION("""COMPUTED_VALUE"""),35.57)</f>
        <v>35.57</v>
      </c>
      <c r="E63" s="1">
        <f>IFERROR(__xludf.DUMMYFUNCTION("""COMPUTED_VALUE"""),59.03)</f>
        <v>59.03</v>
      </c>
      <c r="F63" s="1">
        <f>IFERROR(__xludf.DUMMYFUNCTION("""COMPUTED_VALUE"""),55.62)</f>
        <v>55.62</v>
      </c>
      <c r="G63" s="1">
        <f>IFERROR(__xludf.DUMMYFUNCTION("""COMPUTED_VALUE"""),28.51)</f>
        <v>28.51</v>
      </c>
      <c r="H63" s="1">
        <f>IFERROR(__xludf.DUMMYFUNCTION("""COMPUTED_VALUE"""),12.75)</f>
        <v>12.75</v>
      </c>
      <c r="I63" s="1">
        <f>IFERROR(__xludf.DUMMYFUNCTION("""COMPUTED_VALUE"""),25.98)</f>
        <v>25.98</v>
      </c>
      <c r="J63" s="1">
        <f>IFERROR(__xludf.DUMMYFUNCTION("""COMPUTED_VALUE"""),79.52)</f>
        <v>79.52</v>
      </c>
      <c r="K63" s="1">
        <f>IFERROR(__xludf.DUMMYFUNCTION("""COMPUTED_VALUE"""),76.3)</f>
        <v>76.3</v>
      </c>
    </row>
    <row r="64">
      <c r="A64" s="1"/>
      <c r="B64" s="1" t="str">
        <f>IFERROR(__xludf.DUMMYFUNCTION("""COMPUTED_VALUE"""),"Belarus")</f>
        <v>Belarus</v>
      </c>
      <c r="C64" s="1">
        <f>IFERROR(__xludf.DUMMYFUNCTION("""COMPUTED_VALUE"""),109.6)</f>
        <v>109.6</v>
      </c>
      <c r="D64" s="1">
        <f>IFERROR(__xludf.DUMMYFUNCTION("""COMPUTED_VALUE"""),32.31)</f>
        <v>32.31</v>
      </c>
      <c r="E64" s="1">
        <f>IFERROR(__xludf.DUMMYFUNCTION("""COMPUTED_VALUE"""),42.82)</f>
        <v>42.82</v>
      </c>
      <c r="F64" s="1">
        <f>IFERROR(__xludf.DUMMYFUNCTION("""COMPUTED_VALUE"""),46.14)</f>
        <v>46.14</v>
      </c>
      <c r="G64" s="1">
        <f>IFERROR(__xludf.DUMMYFUNCTION("""COMPUTED_VALUE"""),26.39)</f>
        <v>26.39</v>
      </c>
      <c r="H64" s="1">
        <f>IFERROR(__xludf.DUMMYFUNCTION("""COMPUTED_VALUE"""),17.45)</f>
        <v>17.45</v>
      </c>
      <c r="I64" s="1">
        <f>IFERROR(__xludf.DUMMYFUNCTION("""COMPUTED_VALUE"""),29.86)</f>
        <v>29.86</v>
      </c>
      <c r="J64" s="1">
        <f>IFERROR(__xludf.DUMMYFUNCTION("""COMPUTED_VALUE"""),44.43)</f>
        <v>44.43</v>
      </c>
      <c r="K64" s="1">
        <f>IFERROR(__xludf.DUMMYFUNCTION("""COMPUTED_VALUE"""),64.37)</f>
        <v>64.37</v>
      </c>
    </row>
    <row r="65">
      <c r="A65" s="1"/>
      <c r="B65" s="1" t="str">
        <f>IFERROR(__xludf.DUMMYFUNCTION("""COMPUTED_VALUE"""),"Azerbaijan")</f>
        <v>Azerbaijan</v>
      </c>
      <c r="C65" s="1">
        <f>IFERROR(__xludf.DUMMYFUNCTION("""COMPUTED_VALUE"""),108.84)</f>
        <v>108.84</v>
      </c>
      <c r="D65" s="1">
        <f>IFERROR(__xludf.DUMMYFUNCTION("""COMPUTED_VALUE"""),29.36)</f>
        <v>29.36</v>
      </c>
      <c r="E65" s="1">
        <f>IFERROR(__xludf.DUMMYFUNCTION("""COMPUTED_VALUE"""),68.27)</f>
        <v>68.27</v>
      </c>
      <c r="F65" s="1">
        <f>IFERROR(__xludf.DUMMYFUNCTION("""COMPUTED_VALUE"""),46.56)</f>
        <v>46.56</v>
      </c>
      <c r="G65" s="1">
        <f>IFERROR(__xludf.DUMMYFUNCTION("""COMPUTED_VALUE"""),28.33)</f>
        <v>28.33</v>
      </c>
      <c r="H65" s="1">
        <f>IFERROR(__xludf.DUMMYFUNCTION("""COMPUTED_VALUE"""),14.14)</f>
        <v>14.14</v>
      </c>
      <c r="I65" s="1">
        <f>IFERROR(__xludf.DUMMYFUNCTION("""COMPUTED_VALUE"""),39.64)</f>
        <v>39.64</v>
      </c>
      <c r="J65" s="1">
        <f>IFERROR(__xludf.DUMMYFUNCTION("""COMPUTED_VALUE"""),74.01)</f>
        <v>74.01</v>
      </c>
      <c r="K65" s="1">
        <f>IFERROR(__xludf.DUMMYFUNCTION("""COMPUTED_VALUE"""),91.4)</f>
        <v>91.4</v>
      </c>
    </row>
    <row r="66">
      <c r="A66" s="1"/>
      <c r="B66" s="1" t="str">
        <f>IFERROR(__xludf.DUMMYFUNCTION("""COMPUTED_VALUE"""),"Morocco")</f>
        <v>Morocco</v>
      </c>
      <c r="C66" s="1">
        <f>IFERROR(__xludf.DUMMYFUNCTION("""COMPUTED_VALUE"""),107.19)</f>
        <v>107.19</v>
      </c>
      <c r="D66" s="1">
        <f>IFERROR(__xludf.DUMMYFUNCTION("""COMPUTED_VALUE"""),32.67)</f>
        <v>32.67</v>
      </c>
      <c r="E66" s="1">
        <f>IFERROR(__xludf.DUMMYFUNCTION("""COMPUTED_VALUE"""),52.63)</f>
        <v>52.63</v>
      </c>
      <c r="F66" s="1">
        <f>IFERROR(__xludf.DUMMYFUNCTION("""COMPUTED_VALUE"""),46.37)</f>
        <v>46.37</v>
      </c>
      <c r="G66" s="1">
        <f>IFERROR(__xludf.DUMMYFUNCTION("""COMPUTED_VALUE"""),29.71)</f>
        <v>29.71</v>
      </c>
      <c r="H66" s="1">
        <f>IFERROR(__xludf.DUMMYFUNCTION("""COMPUTED_VALUE"""),13.16)</f>
        <v>13.16</v>
      </c>
      <c r="I66" s="1">
        <f>IFERROR(__xludf.DUMMYFUNCTION("""COMPUTED_VALUE"""),36.88)</f>
        <v>36.88</v>
      </c>
      <c r="J66" s="1">
        <f>IFERROR(__xludf.DUMMYFUNCTION("""COMPUTED_VALUE"""),69.27)</f>
        <v>69.27</v>
      </c>
      <c r="K66" s="1">
        <f>IFERROR(__xludf.DUMMYFUNCTION("""COMPUTED_VALUE"""),90.04)</f>
        <v>90.04</v>
      </c>
    </row>
    <row r="67">
      <c r="A67" s="1"/>
      <c r="B67" s="1" t="str">
        <f>IFERROR(__xludf.DUMMYFUNCTION("""COMPUTED_VALUE"""),"Malta")</f>
        <v>Malta</v>
      </c>
      <c r="C67" s="1">
        <f>IFERROR(__xludf.DUMMYFUNCTION("""COMPUTED_VALUE"""),106.08)</f>
        <v>106.08</v>
      </c>
      <c r="D67" s="1">
        <f>IFERROR(__xludf.DUMMYFUNCTION("""COMPUTED_VALUE"""),44.8)</f>
        <v>44.8</v>
      </c>
      <c r="E67" s="1">
        <f>IFERROR(__xludf.DUMMYFUNCTION("""COMPUTED_VALUE"""),56.28)</f>
        <v>56.28</v>
      </c>
      <c r="F67" s="1">
        <f>IFERROR(__xludf.DUMMYFUNCTION("""COMPUTED_VALUE"""),38.24)</f>
        <v>38.24</v>
      </c>
      <c r="G67" s="1">
        <f>IFERROR(__xludf.DUMMYFUNCTION("""COMPUTED_VALUE"""),57.71)</f>
        <v>57.71</v>
      </c>
      <c r="H67" s="1">
        <f>IFERROR(__xludf.DUMMYFUNCTION("""COMPUTED_VALUE"""),12.93)</f>
        <v>12.93</v>
      </c>
      <c r="I67" s="1">
        <f>IFERROR(__xludf.DUMMYFUNCTION("""COMPUTED_VALUE"""),30.02)</f>
        <v>30.02</v>
      </c>
      <c r="J67" s="1">
        <f>IFERROR(__xludf.DUMMYFUNCTION("""COMPUTED_VALUE"""),81.08)</f>
        <v>81.08</v>
      </c>
      <c r="K67" s="1">
        <f>IFERROR(__xludf.DUMMYFUNCTION("""COMPUTED_VALUE"""),97.44)</f>
        <v>97.44</v>
      </c>
    </row>
    <row r="68">
      <c r="A68" s="1"/>
      <c r="B68" s="1" t="str">
        <f>IFERROR(__xludf.DUMMYFUNCTION("""COMPUTED_VALUE"""),"Brazil")</f>
        <v>Brazil</v>
      </c>
      <c r="C68" s="1">
        <f>IFERROR(__xludf.DUMMYFUNCTION("""COMPUTED_VALUE"""),103.98)</f>
        <v>103.98</v>
      </c>
      <c r="D68" s="1">
        <f>IFERROR(__xludf.DUMMYFUNCTION("""COMPUTED_VALUE"""),27.28)</f>
        <v>27.28</v>
      </c>
      <c r="E68" s="1">
        <f>IFERROR(__xludf.DUMMYFUNCTION("""COMPUTED_VALUE"""),33.21)</f>
        <v>33.21</v>
      </c>
      <c r="F68" s="1">
        <f>IFERROR(__xludf.DUMMYFUNCTION("""COMPUTED_VALUE"""),57.89)</f>
        <v>57.89</v>
      </c>
      <c r="G68" s="1">
        <f>IFERROR(__xludf.DUMMYFUNCTION("""COMPUTED_VALUE"""),34.81)</f>
        <v>34.81</v>
      </c>
      <c r="H68" s="1">
        <f>IFERROR(__xludf.DUMMYFUNCTION("""COMPUTED_VALUE"""),18.48)</f>
        <v>18.48</v>
      </c>
      <c r="I68" s="1">
        <f>IFERROR(__xludf.DUMMYFUNCTION("""COMPUTED_VALUE"""),41.11)</f>
        <v>41.11</v>
      </c>
      <c r="J68" s="1">
        <f>IFERROR(__xludf.DUMMYFUNCTION("""COMPUTED_VALUE"""),53.72)</f>
        <v>53.72</v>
      </c>
      <c r="K68" s="1">
        <f>IFERROR(__xludf.DUMMYFUNCTION("""COMPUTED_VALUE"""),94.92)</f>
        <v>94.92</v>
      </c>
    </row>
    <row r="69">
      <c r="A69" s="1"/>
      <c r="B69" s="1" t="str">
        <f>IFERROR(__xludf.DUMMYFUNCTION("""COMPUTED_VALUE"""),"Hong Kong")</f>
        <v>Hong Kong</v>
      </c>
      <c r="C69" s="1">
        <f>IFERROR(__xludf.DUMMYFUNCTION("""COMPUTED_VALUE"""),103.85)</f>
        <v>103.85</v>
      </c>
      <c r="D69" s="1">
        <f>IFERROR(__xludf.DUMMYFUNCTION("""COMPUTED_VALUE"""),66.93)</f>
        <v>66.93</v>
      </c>
      <c r="E69" s="1">
        <f>IFERROR(__xludf.DUMMYFUNCTION("""COMPUTED_VALUE"""),78.38)</f>
        <v>78.38</v>
      </c>
      <c r="F69" s="1">
        <f>IFERROR(__xludf.DUMMYFUNCTION("""COMPUTED_VALUE"""),66.16)</f>
        <v>66.16</v>
      </c>
      <c r="G69" s="1">
        <f>IFERROR(__xludf.DUMMYFUNCTION("""COMPUTED_VALUE"""),76.55)</f>
        <v>76.55</v>
      </c>
      <c r="H69" s="1">
        <f>IFERROR(__xludf.DUMMYFUNCTION("""COMPUTED_VALUE"""),42.59)</f>
        <v>42.59</v>
      </c>
      <c r="I69" s="1">
        <f>IFERROR(__xludf.DUMMYFUNCTION("""COMPUTED_VALUE"""),42.86)</f>
        <v>42.86</v>
      </c>
      <c r="J69" s="1">
        <f>IFERROR(__xludf.DUMMYFUNCTION("""COMPUTED_VALUE"""),67.16)</f>
        <v>67.16</v>
      </c>
      <c r="K69" s="1">
        <f>IFERROR(__xludf.DUMMYFUNCTION("""COMPUTED_VALUE"""),83.64)</f>
        <v>83.64</v>
      </c>
    </row>
    <row r="70">
      <c r="A70" s="1"/>
      <c r="B70" s="1" t="str">
        <f>IFERROR(__xludf.DUMMYFUNCTION("""COMPUTED_VALUE"""),"Russia")</f>
        <v>Russia</v>
      </c>
      <c r="C70" s="1">
        <f>IFERROR(__xludf.DUMMYFUNCTION("""COMPUTED_VALUE"""),103.19)</f>
        <v>103.19</v>
      </c>
      <c r="D70" s="1">
        <f>IFERROR(__xludf.DUMMYFUNCTION("""COMPUTED_VALUE"""),42.22)</f>
        <v>42.22</v>
      </c>
      <c r="E70" s="1">
        <f>IFERROR(__xludf.DUMMYFUNCTION("""COMPUTED_VALUE"""),60.68)</f>
        <v>60.68</v>
      </c>
      <c r="F70" s="1">
        <f>IFERROR(__xludf.DUMMYFUNCTION("""COMPUTED_VALUE"""),59.86)</f>
        <v>59.86</v>
      </c>
      <c r="G70" s="1">
        <f>IFERROR(__xludf.DUMMYFUNCTION("""COMPUTED_VALUE"""),48.07)</f>
        <v>48.07</v>
      </c>
      <c r="H70" s="1">
        <f>IFERROR(__xludf.DUMMYFUNCTION("""COMPUTED_VALUE"""),16.89)</f>
        <v>16.89</v>
      </c>
      <c r="I70" s="1">
        <f>IFERROR(__xludf.DUMMYFUNCTION("""COMPUTED_VALUE"""),44.1)</f>
        <v>44.1</v>
      </c>
      <c r="J70" s="1">
        <f>IFERROR(__xludf.DUMMYFUNCTION("""COMPUTED_VALUE"""),60.83)</f>
        <v>60.83</v>
      </c>
      <c r="K70" s="1">
        <f>IFERROR(__xludf.DUMMYFUNCTION("""COMPUTED_VALUE"""),48.95)</f>
        <v>48.95</v>
      </c>
    </row>
    <row r="71">
      <c r="A71" s="1"/>
      <c r="B71" s="1" t="str">
        <f>IFERROR(__xludf.DUMMYFUNCTION("""COMPUTED_VALUE"""),"Pakistan")</f>
        <v>Pakistan</v>
      </c>
      <c r="C71" s="1">
        <f>IFERROR(__xludf.DUMMYFUNCTION("""COMPUTED_VALUE"""),103.07)</f>
        <v>103.07</v>
      </c>
      <c r="D71" s="1">
        <f>IFERROR(__xludf.DUMMYFUNCTION("""COMPUTED_VALUE"""),24.45)</f>
        <v>24.45</v>
      </c>
      <c r="E71" s="1">
        <f>IFERROR(__xludf.DUMMYFUNCTION("""COMPUTED_VALUE"""),58.44)</f>
        <v>58.44</v>
      </c>
      <c r="F71" s="1">
        <f>IFERROR(__xludf.DUMMYFUNCTION("""COMPUTED_VALUE"""),59.54)</f>
        <v>59.54</v>
      </c>
      <c r="G71" s="1">
        <f>IFERROR(__xludf.DUMMYFUNCTION("""COMPUTED_VALUE"""),17.78)</f>
        <v>17.78</v>
      </c>
      <c r="H71" s="1">
        <f>IFERROR(__xludf.DUMMYFUNCTION("""COMPUTED_VALUE"""),13.35)</f>
        <v>13.35</v>
      </c>
      <c r="I71" s="1">
        <f>IFERROR(__xludf.DUMMYFUNCTION("""COMPUTED_VALUE"""),38.22)</f>
        <v>38.22</v>
      </c>
      <c r="J71" s="1">
        <f>IFERROR(__xludf.DUMMYFUNCTION("""COMPUTED_VALUE"""),73.67)</f>
        <v>73.67</v>
      </c>
      <c r="K71" s="1">
        <f>IFERROR(__xludf.DUMMYFUNCTION("""COMPUTED_VALUE"""),70.82)</f>
        <v>70.82</v>
      </c>
    </row>
    <row r="72">
      <c r="A72" s="1"/>
      <c r="B72" s="1" t="str">
        <f>IFERROR(__xludf.DUMMYFUNCTION("""COMPUTED_VALUE"""),"Colombia")</f>
        <v>Colombia</v>
      </c>
      <c r="C72" s="1">
        <f>IFERROR(__xludf.DUMMYFUNCTION("""COMPUTED_VALUE"""),102.93)</f>
        <v>102.93</v>
      </c>
      <c r="D72" s="1">
        <f>IFERROR(__xludf.DUMMYFUNCTION("""COMPUTED_VALUE"""),28.27)</f>
        <v>28.27</v>
      </c>
      <c r="E72" s="1">
        <f>IFERROR(__xludf.DUMMYFUNCTION("""COMPUTED_VALUE"""),41.29)</f>
        <v>41.29</v>
      </c>
      <c r="F72" s="1">
        <f>IFERROR(__xludf.DUMMYFUNCTION("""COMPUTED_VALUE"""),67.49)</f>
        <v>67.49</v>
      </c>
      <c r="G72" s="1">
        <f>IFERROR(__xludf.DUMMYFUNCTION("""COMPUTED_VALUE"""),25.23)</f>
        <v>25.23</v>
      </c>
      <c r="H72" s="1">
        <f>IFERROR(__xludf.DUMMYFUNCTION("""COMPUTED_VALUE"""),16.9)</f>
        <v>16.9</v>
      </c>
      <c r="I72" s="1">
        <f>IFERROR(__xludf.DUMMYFUNCTION("""COMPUTED_VALUE"""),47.9)</f>
        <v>47.9</v>
      </c>
      <c r="J72" s="1">
        <f>IFERROR(__xludf.DUMMYFUNCTION("""COMPUTED_VALUE"""),63.12)</f>
        <v>63.12</v>
      </c>
      <c r="K72" s="1">
        <f>IFERROR(__xludf.DUMMYFUNCTION("""COMPUTED_VALUE"""),88.3)</f>
        <v>88.3</v>
      </c>
    </row>
    <row r="73">
      <c r="A73" s="1"/>
      <c r="B73" s="1" t="str">
        <f>IFERROR(__xludf.DUMMYFUNCTION("""COMPUTED_VALUE"""),"Chile")</f>
        <v>Chile</v>
      </c>
      <c r="C73" s="1">
        <f>IFERROR(__xludf.DUMMYFUNCTION("""COMPUTED_VALUE"""),102.89)</f>
        <v>102.89</v>
      </c>
      <c r="D73" s="1">
        <f>IFERROR(__xludf.DUMMYFUNCTION("""COMPUTED_VALUE"""),35.79)</f>
        <v>35.79</v>
      </c>
      <c r="E73" s="1">
        <f>IFERROR(__xludf.DUMMYFUNCTION("""COMPUTED_VALUE"""),43.49)</f>
        <v>43.49</v>
      </c>
      <c r="F73" s="1">
        <f>IFERROR(__xludf.DUMMYFUNCTION("""COMPUTED_VALUE"""),64.21)</f>
        <v>64.21</v>
      </c>
      <c r="G73" s="1">
        <f>IFERROR(__xludf.DUMMYFUNCTION("""COMPUTED_VALUE"""),37.16)</f>
        <v>37.16</v>
      </c>
      <c r="H73" s="1">
        <f>IFERROR(__xludf.DUMMYFUNCTION("""COMPUTED_VALUE"""),15.12)</f>
        <v>15.12</v>
      </c>
      <c r="I73" s="1">
        <f>IFERROR(__xludf.DUMMYFUNCTION("""COMPUTED_VALUE"""),35.79)</f>
        <v>35.79</v>
      </c>
      <c r="J73" s="1">
        <f>IFERROR(__xludf.DUMMYFUNCTION("""COMPUTED_VALUE"""),78.3)</f>
        <v>78.3</v>
      </c>
      <c r="K73" s="1">
        <f>IFERROR(__xludf.DUMMYFUNCTION("""COMPUTED_VALUE"""),90.21)</f>
        <v>90.21</v>
      </c>
    </row>
    <row r="74">
      <c r="A74" s="1"/>
      <c r="B74" s="1" t="str">
        <f>IFERROR(__xludf.DUMMYFUNCTION("""COMPUTED_VALUE"""),"Thailand")</f>
        <v>Thailand</v>
      </c>
      <c r="C74" s="1">
        <f>IFERROR(__xludf.DUMMYFUNCTION("""COMPUTED_VALUE"""),101.85)</f>
        <v>101.85</v>
      </c>
      <c r="D74" s="1">
        <f>IFERROR(__xludf.DUMMYFUNCTION("""COMPUTED_VALUE"""),30.82)</f>
        <v>30.82</v>
      </c>
      <c r="E74" s="1">
        <f>IFERROR(__xludf.DUMMYFUNCTION("""COMPUTED_VALUE"""),61.08)</f>
        <v>61.08</v>
      </c>
      <c r="F74" s="1">
        <f>IFERROR(__xludf.DUMMYFUNCTION("""COMPUTED_VALUE"""),77.57)</f>
        <v>77.57</v>
      </c>
      <c r="G74" s="1">
        <f>IFERROR(__xludf.DUMMYFUNCTION("""COMPUTED_VALUE"""),38.62)</f>
        <v>38.62</v>
      </c>
      <c r="H74" s="1">
        <f>IFERROR(__xludf.DUMMYFUNCTION("""COMPUTED_VALUE"""),21.55)</f>
        <v>21.55</v>
      </c>
      <c r="I74" s="1">
        <f>IFERROR(__xludf.DUMMYFUNCTION("""COMPUTED_VALUE"""),39.07)</f>
        <v>39.07</v>
      </c>
      <c r="J74" s="1">
        <f>IFERROR(__xludf.DUMMYFUNCTION("""COMPUTED_VALUE"""),75.37)</f>
        <v>75.37</v>
      </c>
      <c r="K74" s="1">
        <f>IFERROR(__xludf.DUMMYFUNCTION("""COMPUTED_VALUE"""),69.45)</f>
        <v>69.45</v>
      </c>
    </row>
    <row r="75">
      <c r="A75" s="1"/>
      <c r="B75" s="1" t="str">
        <f>IFERROR(__xludf.DUMMYFUNCTION("""COMPUTED_VALUE"""),"Lebanon")</f>
        <v>Lebanon</v>
      </c>
      <c r="C75" s="1">
        <f>IFERROR(__xludf.DUMMYFUNCTION("""COMPUTED_VALUE"""),97.72)</f>
        <v>97.72</v>
      </c>
      <c r="D75" s="1">
        <f>IFERROR(__xludf.DUMMYFUNCTION("""COMPUTED_VALUE"""),31.98)</f>
        <v>31.98</v>
      </c>
      <c r="E75" s="1">
        <f>IFERROR(__xludf.DUMMYFUNCTION("""COMPUTED_VALUE"""),53.41)</f>
        <v>53.41</v>
      </c>
      <c r="F75" s="1">
        <f>IFERROR(__xludf.DUMMYFUNCTION("""COMPUTED_VALUE"""),62.95)</f>
        <v>62.95</v>
      </c>
      <c r="G75" s="1">
        <f>IFERROR(__xludf.DUMMYFUNCTION("""COMPUTED_VALUE"""),68.53)</f>
        <v>68.53</v>
      </c>
      <c r="H75" s="1">
        <f>IFERROR(__xludf.DUMMYFUNCTION("""COMPUTED_VALUE"""),12.67)</f>
        <v>12.67</v>
      </c>
      <c r="I75" s="1">
        <f>IFERROR(__xludf.DUMMYFUNCTION("""COMPUTED_VALUE"""),38.69)</f>
        <v>38.69</v>
      </c>
      <c r="J75" s="1">
        <f>IFERROR(__xludf.DUMMYFUNCTION("""COMPUTED_VALUE"""),89.5)</f>
        <v>89.5</v>
      </c>
      <c r="K75" s="1">
        <f>IFERROR(__xludf.DUMMYFUNCTION("""COMPUTED_VALUE"""),94.74)</f>
        <v>94.74</v>
      </c>
    </row>
    <row r="76">
      <c r="A76" s="1"/>
      <c r="B76" s="1" t="str">
        <f>IFERROR(__xludf.DUMMYFUNCTION("""COMPUTED_VALUE"""),"Indonesia")</f>
        <v>Indonesia</v>
      </c>
      <c r="C76" s="1">
        <f>IFERROR(__xludf.DUMMYFUNCTION("""COMPUTED_VALUE"""),96.85)</f>
        <v>96.85</v>
      </c>
      <c r="D76" s="1">
        <f>IFERROR(__xludf.DUMMYFUNCTION("""COMPUTED_VALUE"""),25.52)</f>
        <v>25.52</v>
      </c>
      <c r="E76" s="1">
        <f>IFERROR(__xludf.DUMMYFUNCTION("""COMPUTED_VALUE"""),53.94)</f>
        <v>53.94</v>
      </c>
      <c r="F76" s="1">
        <f>IFERROR(__xludf.DUMMYFUNCTION("""COMPUTED_VALUE"""),60.48)</f>
        <v>60.48</v>
      </c>
      <c r="G76" s="1">
        <f>IFERROR(__xludf.DUMMYFUNCTION("""COMPUTED_VALUE"""),32.2)</f>
        <v>32.2</v>
      </c>
      <c r="H76" s="1">
        <f>IFERROR(__xludf.DUMMYFUNCTION("""COMPUTED_VALUE"""),17.81)</f>
        <v>17.81</v>
      </c>
      <c r="I76" s="1">
        <f>IFERROR(__xludf.DUMMYFUNCTION("""COMPUTED_VALUE"""),43.38)</f>
        <v>43.38</v>
      </c>
      <c r="J76" s="1">
        <f>IFERROR(__xludf.DUMMYFUNCTION("""COMPUTED_VALUE"""),67.17)</f>
        <v>67.17</v>
      </c>
      <c r="K76" s="1">
        <f>IFERROR(__xludf.DUMMYFUNCTION("""COMPUTED_VALUE"""),68.96)</f>
        <v>68.96</v>
      </c>
    </row>
    <row r="77">
      <c r="A77" s="1"/>
      <c r="B77" s="1" t="str">
        <f>IFERROR(__xludf.DUMMYFUNCTION("""COMPUTED_VALUE"""),"Kazakhstan")</f>
        <v>Kazakhstan</v>
      </c>
      <c r="C77" s="1">
        <f>IFERROR(__xludf.DUMMYFUNCTION("""COMPUTED_VALUE"""),96.56)</f>
        <v>96.56</v>
      </c>
      <c r="D77" s="1">
        <f>IFERROR(__xludf.DUMMYFUNCTION("""COMPUTED_VALUE"""),35.23)</f>
        <v>35.23</v>
      </c>
      <c r="E77" s="1">
        <f>IFERROR(__xludf.DUMMYFUNCTION("""COMPUTED_VALUE"""),46.96)</f>
        <v>46.96</v>
      </c>
      <c r="F77" s="1">
        <f>IFERROR(__xludf.DUMMYFUNCTION("""COMPUTED_VALUE"""),59.89)</f>
        <v>59.89</v>
      </c>
      <c r="G77" s="1">
        <f>IFERROR(__xludf.DUMMYFUNCTION("""COMPUTED_VALUE"""),26.45)</f>
        <v>26.45</v>
      </c>
      <c r="H77" s="1">
        <f>IFERROR(__xludf.DUMMYFUNCTION("""COMPUTED_VALUE"""),9.58)</f>
        <v>9.58</v>
      </c>
      <c r="I77" s="1">
        <f>IFERROR(__xludf.DUMMYFUNCTION("""COMPUTED_VALUE"""),34.73)</f>
        <v>34.73</v>
      </c>
      <c r="J77" s="1">
        <f>IFERROR(__xludf.DUMMYFUNCTION("""COMPUTED_VALUE"""),72.96)</f>
        <v>72.96</v>
      </c>
      <c r="K77" s="1">
        <f>IFERROR(__xludf.DUMMYFUNCTION("""COMPUTED_VALUE"""),39.78)</f>
        <v>39.78</v>
      </c>
    </row>
    <row r="78">
      <c r="A78" s="1"/>
      <c r="B78" s="1" t="str">
        <f>IFERROR(__xludf.DUMMYFUNCTION("""COMPUTED_VALUE"""),"China")</f>
        <v>China</v>
      </c>
      <c r="C78" s="1">
        <f>IFERROR(__xludf.DUMMYFUNCTION("""COMPUTED_VALUE"""),95.55)</f>
        <v>95.55</v>
      </c>
      <c r="D78" s="1">
        <f>IFERROR(__xludf.DUMMYFUNCTION("""COMPUTED_VALUE"""),56.24)</f>
        <v>56.24</v>
      </c>
      <c r="E78" s="1">
        <f>IFERROR(__xludf.DUMMYFUNCTION("""COMPUTED_VALUE"""),71.18)</f>
        <v>71.18</v>
      </c>
      <c r="F78" s="1">
        <f>IFERROR(__xludf.DUMMYFUNCTION("""COMPUTED_VALUE"""),66.7)</f>
        <v>66.7</v>
      </c>
      <c r="G78" s="1">
        <f>IFERROR(__xludf.DUMMYFUNCTION("""COMPUTED_VALUE"""),40.31)</f>
        <v>40.31</v>
      </c>
      <c r="H78" s="1">
        <f>IFERROR(__xludf.DUMMYFUNCTION("""COMPUTED_VALUE"""),38.43)</f>
        <v>38.43</v>
      </c>
      <c r="I78" s="1">
        <f>IFERROR(__xludf.DUMMYFUNCTION("""COMPUTED_VALUE"""),39.51)</f>
        <v>39.51</v>
      </c>
      <c r="J78" s="1">
        <f>IFERROR(__xludf.DUMMYFUNCTION("""COMPUTED_VALUE"""),80.21)</f>
        <v>80.21</v>
      </c>
      <c r="K78" s="1">
        <f>IFERROR(__xludf.DUMMYFUNCTION("""COMPUTED_VALUE"""),79.41)</f>
        <v>79.41</v>
      </c>
    </row>
    <row r="79">
      <c r="A79" s="1"/>
      <c r="B79" s="1" t="str">
        <f>IFERROR(__xludf.DUMMYFUNCTION("""COMPUTED_VALUE"""),"Egypt")</f>
        <v>Egypt</v>
      </c>
      <c r="C79" s="1">
        <f>IFERROR(__xludf.DUMMYFUNCTION("""COMPUTED_VALUE"""),91.19)</f>
        <v>91.19</v>
      </c>
      <c r="D79" s="1">
        <f>IFERROR(__xludf.DUMMYFUNCTION("""COMPUTED_VALUE"""),21.72)</f>
        <v>21.72</v>
      </c>
      <c r="E79" s="1">
        <f>IFERROR(__xludf.DUMMYFUNCTION("""COMPUTED_VALUE"""),53.39)</f>
        <v>53.39</v>
      </c>
      <c r="F79" s="1">
        <f>IFERROR(__xludf.DUMMYFUNCTION("""COMPUTED_VALUE"""),47.41)</f>
        <v>47.41</v>
      </c>
      <c r="G79" s="1">
        <f>IFERROR(__xludf.DUMMYFUNCTION("""COMPUTED_VALUE"""),26.27)</f>
        <v>26.27</v>
      </c>
      <c r="H79" s="1">
        <f>IFERROR(__xludf.DUMMYFUNCTION("""COMPUTED_VALUE"""),11.07)</f>
        <v>11.07</v>
      </c>
      <c r="I79" s="1">
        <f>IFERROR(__xludf.DUMMYFUNCTION("""COMPUTED_VALUE"""),48.29)</f>
        <v>48.29</v>
      </c>
      <c r="J79" s="1">
        <f>IFERROR(__xludf.DUMMYFUNCTION("""COMPUTED_VALUE"""),83.37)</f>
        <v>83.37</v>
      </c>
      <c r="K79" s="1">
        <f>IFERROR(__xludf.DUMMYFUNCTION("""COMPUTED_VALUE"""),90.8)</f>
        <v>90.8</v>
      </c>
    </row>
    <row r="80">
      <c r="A80" s="1"/>
      <c r="B80" s="1" t="str">
        <f>IFERROR(__xludf.DUMMYFUNCTION("""COMPUTED_VALUE"""),"Kenya")</f>
        <v>Kenya</v>
      </c>
      <c r="C80" s="1">
        <f>IFERROR(__xludf.DUMMYFUNCTION("""COMPUTED_VALUE"""),90.94)</f>
        <v>90.94</v>
      </c>
      <c r="D80" s="1">
        <f>IFERROR(__xludf.DUMMYFUNCTION("""COMPUTED_VALUE"""),32.19)</f>
        <v>32.19</v>
      </c>
      <c r="E80" s="1">
        <f>IFERROR(__xludf.DUMMYFUNCTION("""COMPUTED_VALUE"""),43.67)</f>
        <v>43.67</v>
      </c>
      <c r="F80" s="1">
        <f>IFERROR(__xludf.DUMMYFUNCTION("""COMPUTED_VALUE"""),63.44)</f>
        <v>63.44</v>
      </c>
      <c r="G80" s="1">
        <f>IFERROR(__xludf.DUMMYFUNCTION("""COMPUTED_VALUE"""),33.36)</f>
        <v>33.36</v>
      </c>
      <c r="H80" s="1">
        <f>IFERROR(__xludf.DUMMYFUNCTION("""COMPUTED_VALUE"""),26.86)</f>
        <v>26.86</v>
      </c>
      <c r="I80" s="1">
        <f>IFERROR(__xludf.DUMMYFUNCTION("""COMPUTED_VALUE"""),52.13)</f>
        <v>52.13</v>
      </c>
      <c r="J80" s="1">
        <f>IFERROR(__xludf.DUMMYFUNCTION("""COMPUTED_VALUE"""),69.21)</f>
        <v>69.21</v>
      </c>
      <c r="K80" s="1">
        <f>IFERROR(__xludf.DUMMYFUNCTION("""COMPUTED_VALUE"""),99.79)</f>
        <v>99.79</v>
      </c>
    </row>
    <row r="81">
      <c r="A81" s="1"/>
      <c r="B81" s="1" t="str">
        <f>IFERROR(__xludf.DUMMYFUNCTION("""COMPUTED_VALUE"""),"Vietnam")</f>
        <v>Vietnam</v>
      </c>
      <c r="C81" s="1">
        <f>IFERROR(__xludf.DUMMYFUNCTION("""COMPUTED_VALUE"""),86.26)</f>
        <v>86.26</v>
      </c>
      <c r="D81" s="1">
        <f>IFERROR(__xludf.DUMMYFUNCTION("""COMPUTED_VALUE"""),28.18)</f>
        <v>28.18</v>
      </c>
      <c r="E81" s="1">
        <f>IFERROR(__xludf.DUMMYFUNCTION("""COMPUTED_VALUE"""),54.24)</f>
        <v>54.24</v>
      </c>
      <c r="F81" s="1">
        <f>IFERROR(__xludf.DUMMYFUNCTION("""COMPUTED_VALUE"""),59.09)</f>
        <v>59.09</v>
      </c>
      <c r="G81" s="1">
        <f>IFERROR(__xludf.DUMMYFUNCTION("""COMPUTED_VALUE"""),35.59)</f>
        <v>35.59</v>
      </c>
      <c r="H81" s="1">
        <f>IFERROR(__xludf.DUMMYFUNCTION("""COMPUTED_VALUE"""),24.05)</f>
        <v>24.05</v>
      </c>
      <c r="I81" s="1">
        <f>IFERROR(__xludf.DUMMYFUNCTION("""COMPUTED_VALUE"""),29.68)</f>
        <v>29.68</v>
      </c>
      <c r="J81" s="1">
        <f>IFERROR(__xludf.DUMMYFUNCTION("""COMPUTED_VALUE"""),85.59)</f>
        <v>85.59</v>
      </c>
      <c r="K81" s="1">
        <f>IFERROR(__xludf.DUMMYFUNCTION("""COMPUTED_VALUE"""),71.24)</f>
        <v>71.24</v>
      </c>
    </row>
    <row r="82">
      <c r="A82" s="1"/>
      <c r="B82" s="1" t="str">
        <f>IFERROR(__xludf.DUMMYFUNCTION("""COMPUTED_VALUE"""),"Philippines")</f>
        <v>Philippines</v>
      </c>
      <c r="C82" s="1">
        <f>IFERROR(__xludf.DUMMYFUNCTION("""COMPUTED_VALUE"""),81.4)</f>
        <v>81.4</v>
      </c>
      <c r="D82" s="1">
        <f>IFERROR(__xludf.DUMMYFUNCTION("""COMPUTED_VALUE"""),20.06)</f>
        <v>20.06</v>
      </c>
      <c r="E82" s="1">
        <f>IFERROR(__xludf.DUMMYFUNCTION("""COMPUTED_VALUE"""),57.64)</f>
        <v>57.64</v>
      </c>
      <c r="F82" s="1">
        <f>IFERROR(__xludf.DUMMYFUNCTION("""COMPUTED_VALUE"""),67.71)</f>
        <v>67.71</v>
      </c>
      <c r="G82" s="1">
        <f>IFERROR(__xludf.DUMMYFUNCTION("""COMPUTED_VALUE"""),33.62)</f>
        <v>33.62</v>
      </c>
      <c r="H82" s="1">
        <f>IFERROR(__xludf.DUMMYFUNCTION("""COMPUTED_VALUE"""),29.65)</f>
        <v>29.65</v>
      </c>
      <c r="I82" s="1">
        <f>IFERROR(__xludf.DUMMYFUNCTION("""COMPUTED_VALUE"""),42.88)</f>
        <v>42.88</v>
      </c>
      <c r="J82" s="1">
        <f>IFERROR(__xludf.DUMMYFUNCTION("""COMPUTED_VALUE"""),72.94)</f>
        <v>72.94</v>
      </c>
      <c r="K82" s="1">
        <f>IFERROR(__xludf.DUMMYFUNCTION("""COMPUTED_VALUE"""),61.65)</f>
        <v>61.65</v>
      </c>
    </row>
    <row r="83">
      <c r="A83" s="1"/>
      <c r="B83" s="1" t="str">
        <f>IFERROR(__xludf.DUMMYFUNCTION("""COMPUTED_VALUE"""),"Peru")</f>
        <v>Peru</v>
      </c>
      <c r="C83" s="1">
        <f>IFERROR(__xludf.DUMMYFUNCTION("""COMPUTED_VALUE"""),81.29)</f>
        <v>81.29</v>
      </c>
      <c r="D83" s="1">
        <f>IFERROR(__xludf.DUMMYFUNCTION("""COMPUTED_VALUE"""),28.52)</f>
        <v>28.52</v>
      </c>
      <c r="E83" s="1">
        <f>IFERROR(__xludf.DUMMYFUNCTION("""COMPUTED_VALUE"""),32.76)</f>
        <v>32.76</v>
      </c>
      <c r="F83" s="1">
        <f>IFERROR(__xludf.DUMMYFUNCTION("""COMPUTED_VALUE"""),55.83)</f>
        <v>55.83</v>
      </c>
      <c r="G83" s="1">
        <f>IFERROR(__xludf.DUMMYFUNCTION("""COMPUTED_VALUE"""),30.74)</f>
        <v>30.74</v>
      </c>
      <c r="H83" s="1">
        <f>IFERROR(__xludf.DUMMYFUNCTION("""COMPUTED_VALUE"""),18.59)</f>
        <v>18.59</v>
      </c>
      <c r="I83" s="1">
        <f>IFERROR(__xludf.DUMMYFUNCTION("""COMPUTED_VALUE"""),49.6)</f>
        <v>49.6</v>
      </c>
      <c r="J83" s="1">
        <f>IFERROR(__xludf.DUMMYFUNCTION("""COMPUTED_VALUE"""),82.4)</f>
        <v>82.4</v>
      </c>
      <c r="K83" s="1">
        <f>IFERROR(__xludf.DUMMYFUNCTION("""COMPUTED_VALUE"""),97.69)</f>
        <v>97.69</v>
      </c>
    </row>
    <row r="84">
      <c r="A84" s="1"/>
      <c r="B84" s="1" t="str">
        <f>IFERROR(__xludf.DUMMYFUNCTION("""COMPUTED_VALUE"""),"Venezuela")</f>
        <v>Venezuela</v>
      </c>
      <c r="C84" s="1">
        <f>IFERROR(__xludf.DUMMYFUNCTION("""COMPUTED_VALUE"""),73.03)</f>
        <v>73.03</v>
      </c>
      <c r="D84" s="1">
        <f>IFERROR(__xludf.DUMMYFUNCTION("""COMPUTED_VALUE"""),12.72)</f>
        <v>12.72</v>
      </c>
      <c r="E84" s="1">
        <f>IFERROR(__xludf.DUMMYFUNCTION("""COMPUTED_VALUE"""),16.84)</f>
        <v>16.84</v>
      </c>
      <c r="F84" s="1">
        <f>IFERROR(__xludf.DUMMYFUNCTION("""COMPUTED_VALUE"""),39.15)</f>
        <v>39.15</v>
      </c>
      <c r="G84" s="1">
        <f>IFERROR(__xludf.DUMMYFUNCTION("""COMPUTED_VALUE"""),41.77)</f>
        <v>41.77</v>
      </c>
      <c r="H84" s="1">
        <f>IFERROR(__xludf.DUMMYFUNCTION("""COMPUTED_VALUE"""),18.27)</f>
        <v>18.27</v>
      </c>
      <c r="I84" s="1">
        <f>IFERROR(__xludf.DUMMYFUNCTION("""COMPUTED_VALUE"""),33.14)</f>
        <v>33.14</v>
      </c>
      <c r="J84" s="1">
        <f>IFERROR(__xludf.DUMMYFUNCTION("""COMPUTED_VALUE"""),75.65)</f>
        <v>75.65</v>
      </c>
      <c r="K84" s="1">
        <f>IFERROR(__xludf.DUMMYFUNCTION("""COMPUTED_VALUE"""),99.93)</f>
        <v>99.93</v>
      </c>
    </row>
    <row r="85">
      <c r="A85" s="1"/>
      <c r="B85" s="1" t="str">
        <f>IFERROR(__xludf.DUMMYFUNCTION("""COMPUTED_VALUE"""),"Iran")</f>
        <v>Iran</v>
      </c>
      <c r="C85" s="1">
        <f>IFERROR(__xludf.DUMMYFUNCTION("""COMPUTED_VALUE"""),69.38)</f>
        <v>69.38</v>
      </c>
      <c r="D85" s="1">
        <f>IFERROR(__xludf.DUMMYFUNCTION("""COMPUTED_VALUE"""),18.03)</f>
        <v>18.03</v>
      </c>
      <c r="E85" s="1">
        <f>IFERROR(__xludf.DUMMYFUNCTION("""COMPUTED_VALUE"""),50.25)</f>
        <v>50.25</v>
      </c>
      <c r="F85" s="1">
        <f>IFERROR(__xludf.DUMMYFUNCTION("""COMPUTED_VALUE"""),52.31)</f>
        <v>52.31</v>
      </c>
      <c r="G85" s="1">
        <f>IFERROR(__xludf.DUMMYFUNCTION("""COMPUTED_VALUE"""),36.49)</f>
        <v>36.49</v>
      </c>
      <c r="H85" s="1">
        <f>IFERROR(__xludf.DUMMYFUNCTION("""COMPUTED_VALUE"""),28.62)</f>
        <v>28.62</v>
      </c>
      <c r="I85" s="1">
        <f>IFERROR(__xludf.DUMMYFUNCTION("""COMPUTED_VALUE"""),46.72)</f>
        <v>46.72</v>
      </c>
      <c r="J85" s="1">
        <f>IFERROR(__xludf.DUMMYFUNCTION("""COMPUTED_VALUE"""),75.22)</f>
        <v>75.22</v>
      </c>
      <c r="K85" s="1">
        <f>IFERROR(__xludf.DUMMYFUNCTION("""COMPUTED_VALUE"""),65.69)</f>
        <v>65.69</v>
      </c>
    </row>
    <row r="86">
      <c r="A86" s="1"/>
      <c r="B86" s="1" t="str">
        <f>IFERROR(__xludf.DUMMYFUNCTION("""COMPUTED_VALUE"""),"Sri Lanka")</f>
        <v>Sri Lanka</v>
      </c>
      <c r="C86" s="1">
        <f>IFERROR(__xludf.DUMMYFUNCTION("""COMPUTED_VALUE"""),68.9)</f>
        <v>68.9</v>
      </c>
      <c r="D86" s="1">
        <f>IFERROR(__xludf.DUMMYFUNCTION("""COMPUTED_VALUE"""),15.28)</f>
        <v>15.28</v>
      </c>
      <c r="E86" s="1">
        <f>IFERROR(__xludf.DUMMYFUNCTION("""COMPUTED_VALUE"""),59.03)</f>
        <v>59.03</v>
      </c>
      <c r="F86" s="1">
        <f>IFERROR(__xludf.DUMMYFUNCTION("""COMPUTED_VALUE"""),72.02)</f>
        <v>72.02</v>
      </c>
      <c r="G86" s="1">
        <f>IFERROR(__xludf.DUMMYFUNCTION("""COMPUTED_VALUE"""),22.41)</f>
        <v>22.41</v>
      </c>
      <c r="H86" s="1">
        <f>IFERROR(__xludf.DUMMYFUNCTION("""COMPUTED_VALUE"""),44.39)</f>
        <v>44.39</v>
      </c>
      <c r="I86" s="1">
        <f>IFERROR(__xludf.DUMMYFUNCTION("""COMPUTED_VALUE"""),56.89)</f>
        <v>56.89</v>
      </c>
      <c r="J86" s="1">
        <f>IFERROR(__xludf.DUMMYFUNCTION("""COMPUTED_VALUE"""),60.25)</f>
        <v>60.25</v>
      </c>
      <c r="K86" s="1">
        <f>IFERROR(__xludf.DUMMYFUNCTION("""COMPUTED_VALUE"""),59.11)</f>
        <v>59.11</v>
      </c>
    </row>
    <row r="87">
      <c r="A87" s="1"/>
      <c r="B87" s="1" t="str">
        <f>IFERROR(__xludf.DUMMYFUNCTION("""COMPUTED_VALUE"""),"Bangladesh")</f>
        <v>Bangladesh</v>
      </c>
      <c r="C87" s="1">
        <f>IFERROR(__xludf.DUMMYFUNCTION("""COMPUTED_VALUE"""),68.49)</f>
        <v>68.49</v>
      </c>
      <c r="D87" s="1">
        <f>IFERROR(__xludf.DUMMYFUNCTION("""COMPUTED_VALUE"""),25.34)</f>
        <v>25.34</v>
      </c>
      <c r="E87" s="1">
        <f>IFERROR(__xludf.DUMMYFUNCTION("""COMPUTED_VALUE"""),36.94)</f>
        <v>36.94</v>
      </c>
      <c r="F87" s="1">
        <f>IFERROR(__xludf.DUMMYFUNCTION("""COMPUTED_VALUE"""),41.74)</f>
        <v>41.74</v>
      </c>
      <c r="G87" s="1">
        <f>IFERROR(__xludf.DUMMYFUNCTION("""COMPUTED_VALUE"""),29.28)</f>
        <v>29.28</v>
      </c>
      <c r="H87" s="1">
        <f>IFERROR(__xludf.DUMMYFUNCTION("""COMPUTED_VALUE"""),11.87)</f>
        <v>11.87</v>
      </c>
      <c r="I87" s="1">
        <f>IFERROR(__xludf.DUMMYFUNCTION("""COMPUTED_VALUE"""),57.51)</f>
        <v>57.51</v>
      </c>
      <c r="J87" s="1">
        <f>IFERROR(__xludf.DUMMYFUNCTION("""COMPUTED_VALUE"""),85.53)</f>
        <v>85.53</v>
      </c>
      <c r="K87" s="1">
        <f>IFERROR(__xludf.DUMMYFUNCTION("""COMPUTED_VALUE"""),71.29)</f>
        <v>71.29</v>
      </c>
    </row>
    <row r="88">
      <c r="A88" s="1"/>
      <c r="B88" s="1" t="str">
        <f>IFERROR(__xludf.DUMMYFUNCTION("""COMPUTED_VALUE"""),"Nigeria")</f>
        <v>Nigeria</v>
      </c>
      <c r="C88" s="1">
        <f>IFERROR(__xludf.DUMMYFUNCTION("""COMPUTED_VALUE"""),45.13)</f>
        <v>45.13</v>
      </c>
      <c r="D88" s="1">
        <f>IFERROR(__xludf.DUMMYFUNCTION("""COMPUTED_VALUE"""),8.25)</f>
        <v>8.25</v>
      </c>
      <c r="E88" s="1">
        <f>IFERROR(__xludf.DUMMYFUNCTION("""COMPUTED_VALUE"""),35.91)</f>
        <v>35.91</v>
      </c>
      <c r="F88" s="1">
        <f>IFERROR(__xludf.DUMMYFUNCTION("""COMPUTED_VALUE"""),48.49)</f>
        <v>48.49</v>
      </c>
      <c r="G88" s="1">
        <f>IFERROR(__xludf.DUMMYFUNCTION("""COMPUTED_VALUE"""),30.01)</f>
        <v>30.01</v>
      </c>
      <c r="H88" s="1">
        <f>IFERROR(__xludf.DUMMYFUNCTION("""COMPUTED_VALUE"""),22.35)</f>
        <v>22.35</v>
      </c>
      <c r="I88" s="1">
        <f>IFERROR(__xludf.DUMMYFUNCTION("""COMPUTED_VALUE"""),63.39)</f>
        <v>63.39</v>
      </c>
      <c r="J88" s="1">
        <f>IFERROR(__xludf.DUMMYFUNCTION("""COMPUTED_VALUE"""),88.09)</f>
        <v>88.09</v>
      </c>
      <c r="K88" s="1">
        <f>IFERROR(__xludf.DUMMYFUNCTION("""COMPUTED_VALUE"""),60.75)</f>
        <v>60.75</v>
      </c>
    </row>
  </sheetData>
  <conditionalFormatting sqref="C2:C88">
    <cfRule type="cellIs" dxfId="0" priority="1" operator="greaterThan">
      <formula>149</formula>
    </cfRule>
  </conditionalFormatting>
  <conditionalFormatting sqref="C2:C88">
    <cfRule type="cellIs" dxfId="1" priority="2" operator="between">
      <formula>99</formula>
      <formula>149</formula>
    </cfRule>
  </conditionalFormatting>
  <conditionalFormatting sqref="C2:C88">
    <cfRule type="cellIs" dxfId="2" priority="3" operator="lessThan">
      <formula>99</formula>
    </cfRule>
  </conditionalFormatting>
  <conditionalFormatting sqref="D2:D88">
    <cfRule type="cellIs" dxfId="0" priority="4" operator="greaterThan">
      <formula>74</formula>
    </cfRule>
  </conditionalFormatting>
  <conditionalFormatting sqref="D2:D88">
    <cfRule type="cellIs" dxfId="1" priority="5" operator="between">
      <formula>49</formula>
      <formula>74</formula>
    </cfRule>
  </conditionalFormatting>
  <conditionalFormatting sqref="D2:D88">
    <cfRule type="cellIs" dxfId="2" priority="6" operator="lessThan">
      <formula>49</formula>
    </cfRule>
  </conditionalFormatting>
  <conditionalFormatting sqref="E2:E88">
    <cfRule type="cellIs" dxfId="0" priority="7" operator="greaterThan">
      <formula>64</formula>
    </cfRule>
  </conditionalFormatting>
  <conditionalFormatting sqref="E2:E88">
    <cfRule type="cellIs" dxfId="1" priority="8" operator="between">
      <formula>44</formula>
      <formula>64</formula>
    </cfRule>
  </conditionalFormatting>
  <conditionalFormatting sqref="E2:E88">
    <cfRule type="cellIs" dxfId="2" priority="9" operator="lessThan">
      <formula>44</formula>
    </cfRule>
  </conditionalFormatting>
  <conditionalFormatting sqref="F2:F88">
    <cfRule type="cellIs" dxfId="0" priority="10" operator="greaterThan">
      <formula>69</formula>
    </cfRule>
  </conditionalFormatting>
  <conditionalFormatting sqref="F2:F88">
    <cfRule type="cellIs" dxfId="1" priority="11" operator="between">
      <formula>49</formula>
      <formula>69</formula>
    </cfRule>
  </conditionalFormatting>
  <conditionalFormatting sqref="F2:F88">
    <cfRule type="cellIs" dxfId="2" priority="12" operator="lessThan">
      <formula>49</formula>
    </cfRule>
  </conditionalFormatting>
  <conditionalFormatting sqref="G2:G88">
    <cfRule type="cellIs" dxfId="3" priority="13" operator="lessThan">
      <formula>30</formula>
    </cfRule>
  </conditionalFormatting>
  <conditionalFormatting sqref="G2:G88">
    <cfRule type="cellIs" dxfId="0" priority="14" operator="between">
      <formula>30</formula>
      <formula>50</formula>
    </cfRule>
  </conditionalFormatting>
  <conditionalFormatting sqref="G2:G88">
    <cfRule type="cellIs" dxfId="1" priority="15" operator="between">
      <formula>50</formula>
      <formula>80</formula>
    </cfRule>
  </conditionalFormatting>
  <conditionalFormatting sqref="G2:G88">
    <cfRule type="cellIs" dxfId="2" priority="16" operator="between">
      <formula>80</formula>
      <formula>100</formula>
    </cfRule>
  </conditionalFormatting>
  <conditionalFormatting sqref="G2:G88">
    <cfRule type="cellIs" dxfId="4" priority="17" operator="greaterThan">
      <formula>100</formula>
    </cfRule>
  </conditionalFormatting>
  <conditionalFormatting sqref="H2:H88">
    <cfRule type="cellIs" dxfId="0" priority="18" operator="lessThan">
      <formula>7</formula>
    </cfRule>
  </conditionalFormatting>
  <conditionalFormatting sqref="H2:H88">
    <cfRule type="cellIs" dxfId="1" priority="19" operator="between">
      <formula>7</formula>
      <formula>12</formula>
    </cfRule>
  </conditionalFormatting>
  <conditionalFormatting sqref="H2:H88">
    <cfRule type="cellIs" dxfId="2" priority="20" operator="between">
      <formula>12</formula>
      <formula>20</formula>
    </cfRule>
  </conditionalFormatting>
  <conditionalFormatting sqref="H2:H88">
    <cfRule type="cellIs" dxfId="4" priority="21" operator="greaterThan">
      <formula>20</formula>
    </cfRule>
  </conditionalFormatting>
  <conditionalFormatting sqref="I2:I88">
    <cfRule type="cellIs" dxfId="0" priority="22" operator="lessThan">
      <formula>30</formula>
    </cfRule>
  </conditionalFormatting>
  <conditionalFormatting sqref="I2:I88">
    <cfRule type="cellIs" dxfId="1" priority="23" operator="between">
      <formula>30</formula>
      <formula>40</formula>
    </cfRule>
  </conditionalFormatting>
  <conditionalFormatting sqref="I2:I88">
    <cfRule type="cellIs" dxfId="2" priority="24" operator="greaterThan">
      <formula>40</formula>
    </cfRule>
  </conditionalFormatting>
  <conditionalFormatting sqref="J2:J88">
    <cfRule type="cellIs" dxfId="0" priority="25" operator="lessThan">
      <formula>30</formula>
    </cfRule>
  </conditionalFormatting>
  <conditionalFormatting sqref="J2:J88">
    <cfRule type="cellIs" dxfId="1" priority="26" operator="between">
      <formula>30</formula>
      <formula>50</formula>
    </cfRule>
  </conditionalFormatting>
  <conditionalFormatting sqref="J2:J88">
    <cfRule type="cellIs" dxfId="2" priority="27" operator="greaterThan">
      <formula>50</formula>
    </cfRule>
  </conditionalFormatting>
  <conditionalFormatting sqref="K2:K88">
    <cfRule type="cellIs" dxfId="0" priority="28" operator="greaterThan">
      <formula>70</formula>
    </cfRule>
  </conditionalFormatting>
  <conditionalFormatting sqref="K2:K88">
    <cfRule type="cellIs" dxfId="1" priority="29" operator="between">
      <formula>50</formula>
      <formula>70</formula>
    </cfRule>
  </conditionalFormatting>
  <conditionalFormatting sqref="K2:K88">
    <cfRule type="cellIs" dxfId="2" priority="30" operator="lessThan">
      <formula>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IFERROR(__xludf.DUMMYFUNCTION("IMPORTHTML(""https://www.numbeo.com/cost-of-living/country_price_rankings?itemId=105&amp;displayCurrency=EUR"",""table"",2,""EN_US"")"),1.0)</f>
        <v>1</v>
      </c>
      <c r="B1" s="1" t="str">
        <f>IFERROR(__xludf.DUMMYFUNCTION("""COMPUTED_VALUE"""),"Switzerland")</f>
        <v>Switzerland</v>
      </c>
      <c r="C1" s="1"/>
      <c r="D1" s="2">
        <f>IFERROR(__xludf.DUMMYFUNCTION("""COMPUTED_VALUE"""),5529.93)</f>
        <v>5529.93</v>
      </c>
    </row>
    <row r="2">
      <c r="A2" s="1">
        <f>IFERROR(__xludf.DUMMYFUNCTION("""COMPUTED_VALUE"""),2.0)</f>
        <v>2</v>
      </c>
      <c r="B2" s="1" t="str">
        <f>IFERROR(__xludf.DUMMYFUNCTION("""COMPUTED_VALUE"""),"Qatar")</f>
        <v>Qatar</v>
      </c>
      <c r="C2" s="1"/>
      <c r="D2" s="2">
        <f>IFERROR(__xludf.DUMMYFUNCTION("""COMPUTED_VALUE"""),4925.88)</f>
        <v>4925.88</v>
      </c>
    </row>
    <row r="3">
      <c r="A3" s="1">
        <f>IFERROR(__xludf.DUMMYFUNCTION("""COMPUTED_VALUE"""),3.0)</f>
        <v>3</v>
      </c>
      <c r="B3" s="1" t="str">
        <f>IFERROR(__xludf.DUMMYFUNCTION("""COMPUTED_VALUE"""),"Singapore")</f>
        <v>Singapore</v>
      </c>
      <c r="C3" s="1"/>
      <c r="D3" s="2">
        <f>IFERROR(__xludf.DUMMYFUNCTION("""COMPUTED_VALUE"""),4471.44)</f>
        <v>4471.44</v>
      </c>
    </row>
    <row r="4">
      <c r="A4" s="1">
        <f>IFERROR(__xludf.DUMMYFUNCTION("""COMPUTED_VALUE"""),4.0)</f>
        <v>4</v>
      </c>
      <c r="B4" s="1" t="str">
        <f>IFERROR(__xludf.DUMMYFUNCTION("""COMPUTED_VALUE"""),"United States")</f>
        <v>United States</v>
      </c>
      <c r="C4" s="1"/>
      <c r="D4" s="2">
        <f>IFERROR(__xludf.DUMMYFUNCTION("""COMPUTED_VALUE"""),4009.88)</f>
        <v>4009.88</v>
      </c>
    </row>
    <row r="5">
      <c r="A5" s="1">
        <f>IFERROR(__xludf.DUMMYFUNCTION("""COMPUTED_VALUE"""),5.0)</f>
        <v>5</v>
      </c>
      <c r="B5" s="1" t="str">
        <f>IFERROR(__xludf.DUMMYFUNCTION("""COMPUTED_VALUE"""),"Australia")</f>
        <v>Australia</v>
      </c>
      <c r="C5" s="1"/>
      <c r="D5" s="2">
        <f>IFERROR(__xludf.DUMMYFUNCTION("""COMPUTED_VALUE"""),3857.94)</f>
        <v>3857.94</v>
      </c>
    </row>
    <row r="6">
      <c r="A6" s="1">
        <f>IFERROR(__xludf.DUMMYFUNCTION("""COMPUTED_VALUE"""),6.0)</f>
        <v>6</v>
      </c>
      <c r="B6" s="1" t="str">
        <f>IFERROR(__xludf.DUMMYFUNCTION("""COMPUTED_VALUE"""),"United Arab Emirates")</f>
        <v>United Arab Emirates</v>
      </c>
      <c r="C6" s="1"/>
      <c r="D6" s="2">
        <f>IFERROR(__xludf.DUMMYFUNCTION("""COMPUTED_VALUE"""),3838.1)</f>
        <v>3838.1</v>
      </c>
    </row>
    <row r="7">
      <c r="A7" s="1">
        <f>IFERROR(__xludf.DUMMYFUNCTION("""COMPUTED_VALUE"""),7.0)</f>
        <v>7</v>
      </c>
      <c r="B7" s="1" t="str">
        <f>IFERROR(__xludf.DUMMYFUNCTION("""COMPUTED_VALUE"""),"Denmark")</f>
        <v>Denmark</v>
      </c>
      <c r="C7" s="1"/>
      <c r="D7" s="2">
        <f>IFERROR(__xludf.DUMMYFUNCTION("""COMPUTED_VALUE"""),3228.89)</f>
        <v>3228.89</v>
      </c>
    </row>
    <row r="8">
      <c r="A8" s="1">
        <f>IFERROR(__xludf.DUMMYFUNCTION("""COMPUTED_VALUE"""),8.0)</f>
        <v>8</v>
      </c>
      <c r="B8" s="1" t="str">
        <f>IFERROR(__xludf.DUMMYFUNCTION("""COMPUTED_VALUE"""),"Norway")</f>
        <v>Norway</v>
      </c>
      <c r="C8" s="1"/>
      <c r="D8" s="2">
        <f>IFERROR(__xludf.DUMMYFUNCTION("""COMPUTED_VALUE"""),3175.43)</f>
        <v>3175.43</v>
      </c>
    </row>
    <row r="9">
      <c r="A9" s="1">
        <f>IFERROR(__xludf.DUMMYFUNCTION("""COMPUTED_VALUE"""),9.0)</f>
        <v>9</v>
      </c>
      <c r="B9" s="1" t="str">
        <f>IFERROR(__xludf.DUMMYFUNCTION("""COMPUTED_VALUE"""),"Netherlands")</f>
        <v>Netherlands</v>
      </c>
      <c r="C9" s="1"/>
      <c r="D9" s="2">
        <f>IFERROR(__xludf.DUMMYFUNCTION("""COMPUTED_VALUE"""),3138.82)</f>
        <v>3138.82</v>
      </c>
    </row>
    <row r="10">
      <c r="A10" s="1">
        <f>IFERROR(__xludf.DUMMYFUNCTION("""COMPUTED_VALUE"""),10.0)</f>
        <v>10</v>
      </c>
      <c r="B10" s="1" t="str">
        <f>IFERROR(__xludf.DUMMYFUNCTION("""COMPUTED_VALUE"""),"Canada")</f>
        <v>Canada</v>
      </c>
      <c r="C10" s="1"/>
      <c r="D10" s="2">
        <f>IFERROR(__xludf.DUMMYFUNCTION("""COMPUTED_VALUE"""),3124.46)</f>
        <v>3124.46</v>
      </c>
    </row>
    <row r="11">
      <c r="A11" s="1">
        <f>IFERROR(__xludf.DUMMYFUNCTION("""COMPUTED_VALUE"""),11.0)</f>
        <v>11</v>
      </c>
      <c r="B11" s="1" t="str">
        <f>IFERROR(__xludf.DUMMYFUNCTION("""COMPUTED_VALUE"""),"Iceland")</f>
        <v>Iceland</v>
      </c>
      <c r="C11" s="1"/>
      <c r="D11" s="2">
        <f>IFERROR(__xludf.DUMMYFUNCTION("""COMPUTED_VALUE"""),3092.49)</f>
        <v>3092.49</v>
      </c>
    </row>
    <row r="12">
      <c r="A12" s="1">
        <f>IFERROR(__xludf.DUMMYFUNCTION("""COMPUTED_VALUE"""),12.0)</f>
        <v>12</v>
      </c>
      <c r="B12" s="1" t="str">
        <f>IFERROR(__xludf.DUMMYFUNCTION("""COMPUTED_VALUE"""),"Hong Kong")</f>
        <v>Hong Kong</v>
      </c>
      <c r="C12" s="1"/>
      <c r="D12" s="2">
        <f>IFERROR(__xludf.DUMMYFUNCTION("""COMPUTED_VALUE"""),2991.76)</f>
        <v>2991.76</v>
      </c>
    </row>
    <row r="13">
      <c r="A13" s="1">
        <f>IFERROR(__xludf.DUMMYFUNCTION("""COMPUTED_VALUE"""),13.0)</f>
        <v>13</v>
      </c>
      <c r="B13" s="1" t="str">
        <f>IFERROR(__xludf.DUMMYFUNCTION("""COMPUTED_VALUE"""),"Germany")</f>
        <v>Germany</v>
      </c>
      <c r="C13" s="1"/>
      <c r="D13" s="2">
        <f>IFERROR(__xludf.DUMMYFUNCTION("""COMPUTED_VALUE"""),2754.91)</f>
        <v>2754.91</v>
      </c>
    </row>
    <row r="14">
      <c r="A14" s="1">
        <f>IFERROR(__xludf.DUMMYFUNCTION("""COMPUTED_VALUE"""),14.0)</f>
        <v>14</v>
      </c>
      <c r="B14" s="1" t="str">
        <f>IFERROR(__xludf.DUMMYFUNCTION("""COMPUTED_VALUE"""),"New Zealand")</f>
        <v>New Zealand</v>
      </c>
      <c r="C14" s="1"/>
      <c r="D14" s="2">
        <f>IFERROR(__xludf.DUMMYFUNCTION("""COMPUTED_VALUE"""),2678.24)</f>
        <v>2678.24</v>
      </c>
    </row>
    <row r="15">
      <c r="A15" s="1">
        <f>IFERROR(__xludf.DUMMYFUNCTION("""COMPUTED_VALUE"""),15.0)</f>
        <v>15</v>
      </c>
      <c r="B15" s="1" t="str">
        <f>IFERROR(__xludf.DUMMYFUNCTION("""COMPUTED_VALUE"""),"Ireland")</f>
        <v>Ireland</v>
      </c>
      <c r="C15" s="1"/>
      <c r="D15" s="2">
        <f>IFERROR(__xludf.DUMMYFUNCTION("""COMPUTED_VALUE"""),2640.94)</f>
        <v>2640.94</v>
      </c>
    </row>
    <row r="16">
      <c r="A16" s="1">
        <f>IFERROR(__xludf.DUMMYFUNCTION("""COMPUTED_VALUE"""),16.0)</f>
        <v>16</v>
      </c>
      <c r="B16" s="1" t="str">
        <f>IFERROR(__xludf.DUMMYFUNCTION("""COMPUTED_VALUE"""),"United Kingdom")</f>
        <v>United Kingdom</v>
      </c>
      <c r="C16" s="1"/>
      <c r="D16" s="2">
        <f>IFERROR(__xludf.DUMMYFUNCTION("""COMPUTED_VALUE"""),2573.01)</f>
        <v>2573.01</v>
      </c>
    </row>
    <row r="17">
      <c r="A17" s="1">
        <f>IFERROR(__xludf.DUMMYFUNCTION("""COMPUTED_VALUE"""),17.0)</f>
        <v>17</v>
      </c>
      <c r="B17" s="1" t="str">
        <f>IFERROR(__xludf.DUMMYFUNCTION("""COMPUTED_VALUE"""),"Israel")</f>
        <v>Israel</v>
      </c>
      <c r="C17" s="1"/>
      <c r="D17" s="2">
        <f>IFERROR(__xludf.DUMMYFUNCTION("""COMPUTED_VALUE"""),2570.62)</f>
        <v>2570.62</v>
      </c>
    </row>
    <row r="18">
      <c r="A18" s="1">
        <f>IFERROR(__xludf.DUMMYFUNCTION("""COMPUTED_VALUE"""),18.0)</f>
        <v>18</v>
      </c>
      <c r="B18" s="1" t="str">
        <f>IFERROR(__xludf.DUMMYFUNCTION("""COMPUTED_VALUE"""),"Sweden")</f>
        <v>Sweden</v>
      </c>
      <c r="C18" s="1"/>
      <c r="D18" s="2">
        <f>IFERROR(__xludf.DUMMYFUNCTION("""COMPUTED_VALUE"""),2520.62)</f>
        <v>2520.62</v>
      </c>
    </row>
    <row r="19">
      <c r="A19" s="1">
        <f>IFERROR(__xludf.DUMMYFUNCTION("""COMPUTED_VALUE"""),19.0)</f>
        <v>19</v>
      </c>
      <c r="B19" s="1" t="str">
        <f>IFERROR(__xludf.DUMMYFUNCTION("""COMPUTED_VALUE"""),"Finland")</f>
        <v>Finland</v>
      </c>
      <c r="C19" s="1"/>
      <c r="D19" s="2">
        <f>IFERROR(__xludf.DUMMYFUNCTION("""COMPUTED_VALUE"""),2481.13)</f>
        <v>2481.13</v>
      </c>
    </row>
    <row r="20">
      <c r="A20" s="1">
        <f>IFERROR(__xludf.DUMMYFUNCTION("""COMPUTED_VALUE"""),20.0)</f>
        <v>20</v>
      </c>
      <c r="B20" s="1" t="str">
        <f>IFERROR(__xludf.DUMMYFUNCTION("""COMPUTED_VALUE"""),"Kuwait")</f>
        <v>Kuwait</v>
      </c>
      <c r="C20" s="1"/>
      <c r="D20" s="2">
        <f>IFERROR(__xludf.DUMMYFUNCTION("""COMPUTED_VALUE"""),2427.57)</f>
        <v>2427.57</v>
      </c>
    </row>
    <row r="21">
      <c r="A21" s="1">
        <f>IFERROR(__xludf.DUMMYFUNCTION("""COMPUTED_VALUE"""),21.0)</f>
        <v>21</v>
      </c>
      <c r="B21" s="1" t="str">
        <f>IFERROR(__xludf.DUMMYFUNCTION("""COMPUTED_VALUE"""),"Belgium")</f>
        <v>Belgium</v>
      </c>
      <c r="C21" s="1"/>
      <c r="D21" s="2">
        <f>IFERROR(__xludf.DUMMYFUNCTION("""COMPUTED_VALUE"""),2354.86)</f>
        <v>2354.86</v>
      </c>
    </row>
    <row r="22">
      <c r="A22" s="1">
        <f>IFERROR(__xludf.DUMMYFUNCTION("""COMPUTED_VALUE"""),22.0)</f>
        <v>22</v>
      </c>
      <c r="B22" s="1" t="str">
        <f>IFERROR(__xludf.DUMMYFUNCTION("""COMPUTED_VALUE"""),"Japan")</f>
        <v>Japan</v>
      </c>
      <c r="C22" s="1"/>
      <c r="D22" s="2">
        <f>IFERROR(__xludf.DUMMYFUNCTION("""COMPUTED_VALUE"""),2334.47)</f>
        <v>2334.47</v>
      </c>
    </row>
    <row r="23">
      <c r="A23" s="1">
        <f>IFERROR(__xludf.DUMMYFUNCTION("""COMPUTED_VALUE"""),23.0)</f>
        <v>23</v>
      </c>
      <c r="B23" s="1" t="str">
        <f>IFERROR(__xludf.DUMMYFUNCTION("""COMPUTED_VALUE"""),"France")</f>
        <v>France</v>
      </c>
      <c r="C23" s="1"/>
      <c r="D23" s="2">
        <f>IFERROR(__xludf.DUMMYFUNCTION("""COMPUTED_VALUE"""),2266.35)</f>
        <v>2266.35</v>
      </c>
    </row>
    <row r="24">
      <c r="A24" s="1">
        <f>IFERROR(__xludf.DUMMYFUNCTION("""COMPUTED_VALUE"""),24.0)</f>
        <v>24</v>
      </c>
      <c r="B24" s="1" t="str">
        <f>IFERROR(__xludf.DUMMYFUNCTION("""COMPUTED_VALUE"""),"Austria")</f>
        <v>Austria</v>
      </c>
      <c r="C24" s="1"/>
      <c r="D24" s="2">
        <f>IFERROR(__xludf.DUMMYFUNCTION("""COMPUTED_VALUE"""),2173.11)</f>
        <v>2173.11</v>
      </c>
    </row>
    <row r="25">
      <c r="A25" s="1">
        <f>IFERROR(__xludf.DUMMYFUNCTION("""COMPUTED_VALUE"""),25.0)</f>
        <v>25</v>
      </c>
      <c r="B25" s="1" t="str">
        <f>IFERROR(__xludf.DUMMYFUNCTION("""COMPUTED_VALUE"""),"Saudi Arabia")</f>
        <v>Saudi Arabia</v>
      </c>
      <c r="C25" s="1"/>
      <c r="D25" s="2">
        <f>IFERROR(__xludf.DUMMYFUNCTION("""COMPUTED_VALUE"""),2168.18)</f>
        <v>2168.18</v>
      </c>
    </row>
    <row r="26">
      <c r="A26" s="1">
        <f>IFERROR(__xludf.DUMMYFUNCTION("""COMPUTED_VALUE"""),26.0)</f>
        <v>26</v>
      </c>
      <c r="B26" s="1" t="str">
        <f>IFERROR(__xludf.DUMMYFUNCTION("""COMPUTED_VALUE"""),"South Korea")</f>
        <v>South Korea</v>
      </c>
      <c r="C26" s="1"/>
      <c r="D26" s="2">
        <f>IFERROR(__xludf.DUMMYFUNCTION("""COMPUTED_VALUE"""),2052.58)</f>
        <v>2052.58</v>
      </c>
    </row>
    <row r="27">
      <c r="A27" s="1">
        <f>IFERROR(__xludf.DUMMYFUNCTION("""COMPUTED_VALUE"""),27.0)</f>
        <v>27</v>
      </c>
      <c r="B27" s="1" t="str">
        <f>IFERROR(__xludf.DUMMYFUNCTION("""COMPUTED_VALUE"""),"Bahrain")</f>
        <v>Bahrain</v>
      </c>
      <c r="C27" s="1"/>
      <c r="D27" s="2">
        <f>IFERROR(__xludf.DUMMYFUNCTION("""COMPUTED_VALUE"""),1799.82)</f>
        <v>1799.82</v>
      </c>
    </row>
    <row r="28">
      <c r="A28" s="1">
        <f>IFERROR(__xludf.DUMMYFUNCTION("""COMPUTED_VALUE"""),28.0)</f>
        <v>28</v>
      </c>
      <c r="B28" s="1" t="str">
        <f>IFERROR(__xludf.DUMMYFUNCTION("""COMPUTED_VALUE"""),"Puerto Rico")</f>
        <v>Puerto Rico</v>
      </c>
      <c r="C28" s="1"/>
      <c r="D28" s="2">
        <f>IFERROR(__xludf.DUMMYFUNCTION("""COMPUTED_VALUE"""),1779.27)</f>
        <v>1779.27</v>
      </c>
    </row>
    <row r="29">
      <c r="A29" s="1">
        <f>IFERROR(__xludf.DUMMYFUNCTION("""COMPUTED_VALUE"""),29.0)</f>
        <v>29</v>
      </c>
      <c r="B29" s="1" t="str">
        <f>IFERROR(__xludf.DUMMYFUNCTION("""COMPUTED_VALUE"""),"Spain")</f>
        <v>Spain</v>
      </c>
      <c r="C29" s="1"/>
      <c r="D29" s="2">
        <f>IFERROR(__xludf.DUMMYFUNCTION("""COMPUTED_VALUE"""),1675.22)</f>
        <v>1675.22</v>
      </c>
    </row>
    <row r="30">
      <c r="A30" s="1">
        <f>IFERROR(__xludf.DUMMYFUNCTION("""COMPUTED_VALUE"""),30.0)</f>
        <v>30</v>
      </c>
      <c r="B30" s="1" t="str">
        <f>IFERROR(__xludf.DUMMYFUNCTION("""COMPUTED_VALUE"""),"Italy")</f>
        <v>Italy</v>
      </c>
      <c r="C30" s="1"/>
      <c r="D30" s="2">
        <f>IFERROR(__xludf.DUMMYFUNCTION("""COMPUTED_VALUE"""),1463.16)</f>
        <v>1463.16</v>
      </c>
    </row>
    <row r="31">
      <c r="A31" s="1">
        <f>IFERROR(__xludf.DUMMYFUNCTION("""COMPUTED_VALUE"""),31.0)</f>
        <v>31</v>
      </c>
      <c r="B31" s="1" t="str">
        <f>IFERROR(__xludf.DUMMYFUNCTION("""COMPUTED_VALUE"""),"Taiwan")</f>
        <v>Taiwan</v>
      </c>
      <c r="C31" s="1"/>
      <c r="D31" s="2">
        <f>IFERROR(__xludf.DUMMYFUNCTION("""COMPUTED_VALUE"""),1408.77)</f>
        <v>1408.77</v>
      </c>
    </row>
    <row r="32">
      <c r="A32" s="1">
        <f>IFERROR(__xludf.DUMMYFUNCTION("""COMPUTED_VALUE"""),32.0)</f>
        <v>32</v>
      </c>
      <c r="B32" s="1" t="str">
        <f>IFERROR(__xludf.DUMMYFUNCTION("""COMPUTED_VALUE"""),"Czech Republic")</f>
        <v>Czech Republic</v>
      </c>
      <c r="C32" s="1"/>
      <c r="D32" s="2">
        <f>IFERROR(__xludf.DUMMYFUNCTION("""COMPUTED_VALUE"""),1387.93)</f>
        <v>1387.93</v>
      </c>
    </row>
    <row r="33">
      <c r="A33" s="1">
        <f>IFERROR(__xludf.DUMMYFUNCTION("""COMPUTED_VALUE"""),33.0)</f>
        <v>33</v>
      </c>
      <c r="B33" s="1" t="str">
        <f>IFERROR(__xludf.DUMMYFUNCTION("""COMPUTED_VALUE"""),"South Africa")</f>
        <v>South Africa</v>
      </c>
      <c r="C33" s="1"/>
      <c r="D33" s="2">
        <f>IFERROR(__xludf.DUMMYFUNCTION("""COMPUTED_VALUE"""),1278.11)</f>
        <v>1278.11</v>
      </c>
    </row>
    <row r="34">
      <c r="A34" s="1">
        <f>IFERROR(__xludf.DUMMYFUNCTION("""COMPUTED_VALUE"""),34.0)</f>
        <v>34</v>
      </c>
      <c r="B34" s="1" t="str">
        <f>IFERROR(__xludf.DUMMYFUNCTION("""COMPUTED_VALUE"""),"Cyprus")</f>
        <v>Cyprus</v>
      </c>
      <c r="C34" s="1"/>
      <c r="D34" s="2">
        <f>IFERROR(__xludf.DUMMYFUNCTION("""COMPUTED_VALUE"""),1264.65)</f>
        <v>1264.65</v>
      </c>
    </row>
    <row r="35">
      <c r="A35" s="1">
        <f>IFERROR(__xludf.DUMMYFUNCTION("""COMPUTED_VALUE"""),35.0)</f>
        <v>35</v>
      </c>
      <c r="B35" s="1" t="str">
        <f>IFERROR(__xludf.DUMMYFUNCTION("""COMPUTED_VALUE"""),"Estonia")</f>
        <v>Estonia</v>
      </c>
      <c r="C35" s="1"/>
      <c r="D35" s="2">
        <f>IFERROR(__xludf.DUMMYFUNCTION("""COMPUTED_VALUE"""),1244.29)</f>
        <v>1244.29</v>
      </c>
    </row>
    <row r="36">
      <c r="A36" s="1">
        <f>IFERROR(__xludf.DUMMYFUNCTION("""COMPUTED_VALUE"""),36.0)</f>
        <v>36</v>
      </c>
      <c r="B36" s="1" t="str">
        <f>IFERROR(__xludf.DUMMYFUNCTION("""COMPUTED_VALUE"""),"Malta")</f>
        <v>Malta</v>
      </c>
      <c r="C36" s="1"/>
      <c r="D36" s="2">
        <f>IFERROR(__xludf.DUMMYFUNCTION("""COMPUTED_VALUE"""),1177.77)</f>
        <v>1177.77</v>
      </c>
    </row>
    <row r="37">
      <c r="A37" s="1">
        <f>IFERROR(__xludf.DUMMYFUNCTION("""COMPUTED_VALUE"""),37.0)</f>
        <v>37</v>
      </c>
      <c r="B37" s="1" t="str">
        <f>IFERROR(__xludf.DUMMYFUNCTION("""COMPUTED_VALUE"""),"Slovenia")</f>
        <v>Slovenia</v>
      </c>
      <c r="C37" s="1"/>
      <c r="D37" s="2">
        <f>IFERROR(__xludf.DUMMYFUNCTION("""COMPUTED_VALUE"""),1175.33)</f>
        <v>1175.33</v>
      </c>
    </row>
    <row r="38">
      <c r="A38" s="1">
        <f>IFERROR(__xludf.DUMMYFUNCTION("""COMPUTED_VALUE"""),38.0)</f>
        <v>38</v>
      </c>
      <c r="B38" s="1" t="str">
        <f>IFERROR(__xludf.DUMMYFUNCTION("""COMPUTED_VALUE"""),"China")</f>
        <v>China</v>
      </c>
      <c r="C38" s="1"/>
      <c r="D38" s="2">
        <f>IFERROR(__xludf.DUMMYFUNCTION("""COMPUTED_VALUE"""),1067.04)</f>
        <v>1067.04</v>
      </c>
    </row>
    <row r="39">
      <c r="A39" s="1">
        <f>IFERROR(__xludf.DUMMYFUNCTION("""COMPUTED_VALUE"""),39.0)</f>
        <v>39</v>
      </c>
      <c r="B39" s="1" t="str">
        <f>IFERROR(__xludf.DUMMYFUNCTION("""COMPUTED_VALUE"""),"Lithuania")</f>
        <v>Lithuania</v>
      </c>
      <c r="C39" s="1"/>
      <c r="D39" s="2">
        <f>IFERROR(__xludf.DUMMYFUNCTION("""COMPUTED_VALUE"""),1051.47)</f>
        <v>1051.47</v>
      </c>
    </row>
    <row r="40">
      <c r="A40" s="1">
        <f>IFERROR(__xludf.DUMMYFUNCTION("""COMPUTED_VALUE"""),40.0)</f>
        <v>40</v>
      </c>
      <c r="B40" s="1" t="str">
        <f>IFERROR(__xludf.DUMMYFUNCTION("""COMPUTED_VALUE"""),"Portugal")</f>
        <v>Portugal</v>
      </c>
      <c r="C40" s="1"/>
      <c r="D40" s="2">
        <f>IFERROR(__xludf.DUMMYFUNCTION("""COMPUTED_VALUE"""),976.02)</f>
        <v>976.02</v>
      </c>
    </row>
    <row r="41">
      <c r="A41" s="1">
        <f>IFERROR(__xludf.DUMMYFUNCTION("""COMPUTED_VALUE"""),41.0)</f>
        <v>41</v>
      </c>
      <c r="B41" s="1" t="str">
        <f>IFERROR(__xludf.DUMMYFUNCTION("""COMPUTED_VALUE"""),"Slovakia")</f>
        <v>Slovakia</v>
      </c>
      <c r="C41" s="1"/>
      <c r="D41" s="2">
        <f>IFERROR(__xludf.DUMMYFUNCTION("""COMPUTED_VALUE"""),945.28)</f>
        <v>945.28</v>
      </c>
    </row>
    <row r="42">
      <c r="A42" s="1">
        <f>IFERROR(__xludf.DUMMYFUNCTION("""COMPUTED_VALUE"""),42.0)</f>
        <v>42</v>
      </c>
      <c r="B42" s="1" t="str">
        <f>IFERROR(__xludf.DUMMYFUNCTION("""COMPUTED_VALUE"""),"Poland")</f>
        <v>Poland</v>
      </c>
      <c r="C42" s="1"/>
      <c r="D42" s="2">
        <f>IFERROR(__xludf.DUMMYFUNCTION("""COMPUTED_VALUE"""),941.44)</f>
        <v>941.44</v>
      </c>
    </row>
    <row r="43">
      <c r="A43" s="1">
        <f>IFERROR(__xludf.DUMMYFUNCTION("""COMPUTED_VALUE"""),43.0)</f>
        <v>43</v>
      </c>
      <c r="B43" s="1" t="str">
        <f>IFERROR(__xludf.DUMMYFUNCTION("""COMPUTED_VALUE"""),"Croatia")</f>
        <v>Croatia</v>
      </c>
      <c r="C43" s="1"/>
      <c r="D43" s="2">
        <f>IFERROR(__xludf.DUMMYFUNCTION("""COMPUTED_VALUE"""),919.88)</f>
        <v>919.88</v>
      </c>
    </row>
    <row r="44">
      <c r="A44" s="1">
        <f>IFERROR(__xludf.DUMMYFUNCTION("""COMPUTED_VALUE"""),44.0)</f>
        <v>44</v>
      </c>
      <c r="B44" s="1" t="str">
        <f>IFERROR(__xludf.DUMMYFUNCTION("""COMPUTED_VALUE"""),"Latvia")</f>
        <v>Latvia</v>
      </c>
      <c r="C44" s="1"/>
      <c r="D44" s="2">
        <f>IFERROR(__xludf.DUMMYFUNCTION("""COMPUTED_VALUE"""),911.93)</f>
        <v>911.93</v>
      </c>
    </row>
    <row r="45">
      <c r="A45" s="1">
        <f>IFERROR(__xludf.DUMMYFUNCTION("""COMPUTED_VALUE"""),45.0)</f>
        <v>45</v>
      </c>
      <c r="B45" s="1" t="str">
        <f>IFERROR(__xludf.DUMMYFUNCTION("""COMPUTED_VALUE"""),"Malaysia")</f>
        <v>Malaysia</v>
      </c>
      <c r="C45" s="1"/>
      <c r="D45" s="2">
        <f>IFERROR(__xludf.DUMMYFUNCTION("""COMPUTED_VALUE"""),832.4)</f>
        <v>832.4</v>
      </c>
    </row>
    <row r="46">
      <c r="A46" s="1">
        <f>IFERROR(__xludf.DUMMYFUNCTION("""COMPUTED_VALUE"""),46.0)</f>
        <v>46</v>
      </c>
      <c r="B46" s="1" t="str">
        <f>IFERROR(__xludf.DUMMYFUNCTION("""COMPUTED_VALUE"""),"Trinidad And Tobago")</f>
        <v>Trinidad And Tobago</v>
      </c>
      <c r="C46" s="1"/>
      <c r="D46" s="2">
        <f>IFERROR(__xludf.DUMMYFUNCTION("""COMPUTED_VALUE"""),822.2)</f>
        <v>822.2</v>
      </c>
    </row>
    <row r="47">
      <c r="A47" s="1">
        <f>IFERROR(__xludf.DUMMYFUNCTION("""COMPUTED_VALUE"""),47.0)</f>
        <v>47</v>
      </c>
      <c r="B47" s="1" t="str">
        <f>IFERROR(__xludf.DUMMYFUNCTION("""COMPUTED_VALUE"""),"Russia")</f>
        <v>Russia</v>
      </c>
      <c r="C47" s="1"/>
      <c r="D47" s="2">
        <f>IFERROR(__xludf.DUMMYFUNCTION("""COMPUTED_VALUE"""),821.63)</f>
        <v>821.63</v>
      </c>
    </row>
    <row r="48">
      <c r="A48" s="1">
        <f>IFERROR(__xludf.DUMMYFUNCTION("""COMPUTED_VALUE"""),48.0)</f>
        <v>48</v>
      </c>
      <c r="B48" s="1" t="str">
        <f>IFERROR(__xludf.DUMMYFUNCTION("""COMPUTED_VALUE"""),"Greece")</f>
        <v>Greece</v>
      </c>
      <c r="C48" s="1"/>
      <c r="D48" s="2">
        <f>IFERROR(__xludf.DUMMYFUNCTION("""COMPUTED_VALUE"""),787.0)</f>
        <v>787</v>
      </c>
    </row>
    <row r="49">
      <c r="A49" s="1">
        <f>IFERROR(__xludf.DUMMYFUNCTION("""COMPUTED_VALUE"""),49.0)</f>
        <v>49</v>
      </c>
      <c r="B49" s="1" t="str">
        <f>IFERROR(__xludf.DUMMYFUNCTION("""COMPUTED_VALUE"""),"Lebanon")</f>
        <v>Lebanon</v>
      </c>
      <c r="C49" s="1"/>
      <c r="D49" s="2">
        <f>IFERROR(__xludf.DUMMYFUNCTION("""COMPUTED_VALUE"""),780.6)</f>
        <v>780.6</v>
      </c>
    </row>
    <row r="50">
      <c r="A50" s="1">
        <f>IFERROR(__xludf.DUMMYFUNCTION("""COMPUTED_VALUE"""),50.0)</f>
        <v>50</v>
      </c>
      <c r="B50" s="1" t="str">
        <f>IFERROR(__xludf.DUMMYFUNCTION("""COMPUTED_VALUE"""),"Costa Rica")</f>
        <v>Costa Rica</v>
      </c>
      <c r="C50" s="1"/>
      <c r="D50" s="2">
        <f>IFERROR(__xludf.DUMMYFUNCTION("""COMPUTED_VALUE"""),770.74)</f>
        <v>770.74</v>
      </c>
    </row>
    <row r="51">
      <c r="A51" s="1">
        <f>IFERROR(__xludf.DUMMYFUNCTION("""COMPUTED_VALUE"""),51.0)</f>
        <v>51</v>
      </c>
      <c r="B51" s="1" t="str">
        <f>IFERROR(__xludf.DUMMYFUNCTION("""COMPUTED_VALUE"""),"Iraq")</f>
        <v>Iraq</v>
      </c>
      <c r="C51" s="1"/>
      <c r="D51" s="2">
        <f>IFERROR(__xludf.DUMMYFUNCTION("""COMPUTED_VALUE"""),763.39)</f>
        <v>763.39</v>
      </c>
    </row>
    <row r="52">
      <c r="A52" s="1">
        <f>IFERROR(__xludf.DUMMYFUNCTION("""COMPUTED_VALUE"""),52.0)</f>
        <v>52</v>
      </c>
      <c r="B52" s="1" t="str">
        <f>IFERROR(__xludf.DUMMYFUNCTION("""COMPUTED_VALUE"""),"Uruguay")</f>
        <v>Uruguay</v>
      </c>
      <c r="C52" s="1"/>
      <c r="D52" s="2">
        <f>IFERROR(__xludf.DUMMYFUNCTION("""COMPUTED_VALUE"""),751.29)</f>
        <v>751.29</v>
      </c>
    </row>
    <row r="53">
      <c r="A53" s="1">
        <f>IFERROR(__xludf.DUMMYFUNCTION("""COMPUTED_VALUE"""),53.0)</f>
        <v>53</v>
      </c>
      <c r="B53" s="1" t="str">
        <f>IFERROR(__xludf.DUMMYFUNCTION("""COMPUTED_VALUE"""),"Hungary")</f>
        <v>Hungary</v>
      </c>
      <c r="C53" s="1"/>
      <c r="D53" s="2">
        <f>IFERROR(__xludf.DUMMYFUNCTION("""COMPUTED_VALUE"""),728.87)</f>
        <v>728.87</v>
      </c>
    </row>
    <row r="54">
      <c r="A54" s="1">
        <f>IFERROR(__xludf.DUMMYFUNCTION("""COMPUTED_VALUE"""),54.0)</f>
        <v>54</v>
      </c>
      <c r="B54" s="1" t="str">
        <f>IFERROR(__xludf.DUMMYFUNCTION("""COMPUTED_VALUE"""),"Panama")</f>
        <v>Panama</v>
      </c>
      <c r="C54" s="1"/>
      <c r="D54" s="2">
        <f>IFERROR(__xludf.DUMMYFUNCTION("""COMPUTED_VALUE"""),726.31)</f>
        <v>726.31</v>
      </c>
    </row>
    <row r="55">
      <c r="A55" s="1">
        <f>IFERROR(__xludf.DUMMYFUNCTION("""COMPUTED_VALUE"""),55.0)</f>
        <v>55</v>
      </c>
      <c r="B55" s="1" t="str">
        <f>IFERROR(__xludf.DUMMYFUNCTION("""COMPUTED_VALUE"""),"Palestine")</f>
        <v>Palestine</v>
      </c>
      <c r="C55" s="1"/>
      <c r="D55" s="2">
        <f>IFERROR(__xludf.DUMMYFUNCTION("""COMPUTED_VALUE"""),712.18)</f>
        <v>712.18</v>
      </c>
    </row>
    <row r="56">
      <c r="A56" s="1">
        <f>IFERROR(__xludf.DUMMYFUNCTION("""COMPUTED_VALUE"""),56.0)</f>
        <v>56</v>
      </c>
      <c r="B56" s="1" t="str">
        <f>IFERROR(__xludf.DUMMYFUNCTION("""COMPUTED_VALUE"""),"Bulgaria")</f>
        <v>Bulgaria</v>
      </c>
      <c r="C56" s="1"/>
      <c r="D56" s="2">
        <f>IFERROR(__xludf.DUMMYFUNCTION("""COMPUTED_VALUE"""),708.22)</f>
        <v>708.22</v>
      </c>
    </row>
    <row r="57">
      <c r="A57" s="1">
        <f>IFERROR(__xludf.DUMMYFUNCTION("""COMPUTED_VALUE"""),57.0)</f>
        <v>57</v>
      </c>
      <c r="B57" s="1" t="str">
        <f>IFERROR(__xludf.DUMMYFUNCTION("""COMPUTED_VALUE"""),"Romania")</f>
        <v>Romania</v>
      </c>
      <c r="C57" s="1"/>
      <c r="D57" s="2">
        <f>IFERROR(__xludf.DUMMYFUNCTION("""COMPUTED_VALUE"""),702.11)</f>
        <v>702.11</v>
      </c>
    </row>
    <row r="58">
      <c r="A58" s="1">
        <f>IFERROR(__xludf.DUMMYFUNCTION("""COMPUTED_VALUE"""),58.0)</f>
        <v>58</v>
      </c>
      <c r="B58" s="1" t="str">
        <f>IFERROR(__xludf.DUMMYFUNCTION("""COMPUTED_VALUE"""),"Mexico")</f>
        <v>Mexico</v>
      </c>
      <c r="C58" s="1"/>
      <c r="D58" s="2">
        <f>IFERROR(__xludf.DUMMYFUNCTION("""COMPUTED_VALUE"""),653.16)</f>
        <v>653.16</v>
      </c>
    </row>
    <row r="59">
      <c r="A59" s="1">
        <f>IFERROR(__xludf.DUMMYFUNCTION("""COMPUTED_VALUE"""),59.0)</f>
        <v>59</v>
      </c>
      <c r="B59" s="1" t="str">
        <f>IFERROR(__xludf.DUMMYFUNCTION("""COMPUTED_VALUE"""),"Jamaica")</f>
        <v>Jamaica</v>
      </c>
      <c r="C59" s="1"/>
      <c r="D59" s="2">
        <f>IFERROR(__xludf.DUMMYFUNCTION("""COMPUTED_VALUE"""),606.37)</f>
        <v>606.37</v>
      </c>
    </row>
    <row r="60">
      <c r="A60" s="1">
        <f>IFERROR(__xludf.DUMMYFUNCTION("""COMPUTED_VALUE"""),60.0)</f>
        <v>60</v>
      </c>
      <c r="B60" s="1" t="str">
        <f>IFERROR(__xludf.DUMMYFUNCTION("""COMPUTED_VALUE"""),"Jordan")</f>
        <v>Jordan</v>
      </c>
      <c r="C60" s="1"/>
      <c r="D60" s="2">
        <f>IFERROR(__xludf.DUMMYFUNCTION("""COMPUTED_VALUE"""),606.23)</f>
        <v>606.23</v>
      </c>
    </row>
    <row r="61">
      <c r="A61" s="1">
        <f>IFERROR(__xludf.DUMMYFUNCTION("""COMPUTED_VALUE"""),61.0)</f>
        <v>61</v>
      </c>
      <c r="B61" s="1" t="str">
        <f>IFERROR(__xludf.DUMMYFUNCTION("""COMPUTED_VALUE"""),"Montenegro")</f>
        <v>Montenegro</v>
      </c>
      <c r="C61" s="1"/>
      <c r="D61" s="2">
        <f>IFERROR(__xludf.DUMMYFUNCTION("""COMPUTED_VALUE"""),586.89)</f>
        <v>586.89</v>
      </c>
    </row>
    <row r="62">
      <c r="A62" s="1">
        <f>IFERROR(__xludf.DUMMYFUNCTION("""COMPUTED_VALUE"""),62.0)</f>
        <v>62</v>
      </c>
      <c r="B62" s="1" t="str">
        <f>IFERROR(__xludf.DUMMYFUNCTION("""COMPUTED_VALUE"""),"Chile")</f>
        <v>Chile</v>
      </c>
      <c r="C62" s="1"/>
      <c r="D62" s="2">
        <f>IFERROR(__xludf.DUMMYFUNCTION("""COMPUTED_VALUE"""),574.75)</f>
        <v>574.75</v>
      </c>
    </row>
    <row r="63">
      <c r="A63" s="1">
        <f>IFERROR(__xludf.DUMMYFUNCTION("""COMPUTED_VALUE"""),63.0)</f>
        <v>63</v>
      </c>
      <c r="B63" s="1" t="str">
        <f>IFERROR(__xludf.DUMMYFUNCTION("""COMPUTED_VALUE"""),"Bosnia And Herzegovina")</f>
        <v>Bosnia And Herzegovina</v>
      </c>
      <c r="C63" s="1"/>
      <c r="D63" s="2">
        <f>IFERROR(__xludf.DUMMYFUNCTION("""COMPUTED_VALUE"""),563.41)</f>
        <v>563.41</v>
      </c>
    </row>
    <row r="64">
      <c r="A64" s="1">
        <f>IFERROR(__xludf.DUMMYFUNCTION("""COMPUTED_VALUE"""),64.0)</f>
        <v>64</v>
      </c>
      <c r="B64" s="1" t="str">
        <f>IFERROR(__xludf.DUMMYFUNCTION("""COMPUTED_VALUE"""),"Serbia")</f>
        <v>Serbia</v>
      </c>
      <c r="C64" s="1"/>
      <c r="D64" s="2">
        <f>IFERROR(__xludf.DUMMYFUNCTION("""COMPUTED_VALUE"""),539.07)</f>
        <v>539.07</v>
      </c>
    </row>
    <row r="65">
      <c r="A65" s="1">
        <f>IFERROR(__xludf.DUMMYFUNCTION("""COMPUTED_VALUE"""),65.0)</f>
        <v>65</v>
      </c>
      <c r="B65" s="1" t="str">
        <f>IFERROR(__xludf.DUMMYFUNCTION("""COMPUTED_VALUE"""),"India")</f>
        <v>India</v>
      </c>
      <c r="C65" s="1"/>
      <c r="D65" s="2">
        <f>IFERROR(__xludf.DUMMYFUNCTION("""COMPUTED_VALUE"""),523.69)</f>
        <v>523.69</v>
      </c>
    </row>
    <row r="66">
      <c r="A66" s="1">
        <f>IFERROR(__xludf.DUMMYFUNCTION("""COMPUTED_VALUE"""),66.0)</f>
        <v>66</v>
      </c>
      <c r="B66" s="1" t="str">
        <f>IFERROR(__xludf.DUMMYFUNCTION("""COMPUTED_VALUE"""),"Iran")</f>
        <v>Iran</v>
      </c>
      <c r="C66" s="1"/>
      <c r="D66" s="2">
        <f>IFERROR(__xludf.DUMMYFUNCTION("""COMPUTED_VALUE"""),519.74)</f>
        <v>519.74</v>
      </c>
    </row>
    <row r="67">
      <c r="A67" s="1">
        <f>IFERROR(__xludf.DUMMYFUNCTION("""COMPUTED_VALUE"""),67.0)</f>
        <v>67</v>
      </c>
      <c r="B67" s="1" t="str">
        <f>IFERROR(__xludf.DUMMYFUNCTION("""COMPUTED_VALUE"""),"Honduras")</f>
        <v>Honduras</v>
      </c>
      <c r="C67" s="1"/>
      <c r="D67" s="2">
        <f>IFERROR(__xludf.DUMMYFUNCTION("""COMPUTED_VALUE"""),511.52)</f>
        <v>511.52</v>
      </c>
    </row>
    <row r="68">
      <c r="A68" s="1">
        <f>IFERROR(__xludf.DUMMYFUNCTION("""COMPUTED_VALUE"""),68.0)</f>
        <v>68</v>
      </c>
      <c r="B68" s="1" t="str">
        <f>IFERROR(__xludf.DUMMYFUNCTION("""COMPUTED_VALUE"""),"Ecuador")</f>
        <v>Ecuador</v>
      </c>
      <c r="C68" s="1"/>
      <c r="D68" s="2">
        <f>IFERROR(__xludf.DUMMYFUNCTION("""COMPUTED_VALUE"""),498.12)</f>
        <v>498.12</v>
      </c>
    </row>
    <row r="69">
      <c r="A69" s="1">
        <f>IFERROR(__xludf.DUMMYFUNCTION("""COMPUTED_VALUE"""),69.0)</f>
        <v>69</v>
      </c>
      <c r="B69" s="1" t="str">
        <f>IFERROR(__xludf.DUMMYFUNCTION("""COMPUTED_VALUE"""),"Guatemala")</f>
        <v>Guatemala</v>
      </c>
      <c r="C69" s="1"/>
      <c r="D69" s="2">
        <f>IFERROR(__xludf.DUMMYFUNCTION("""COMPUTED_VALUE"""),494.07)</f>
        <v>494.07</v>
      </c>
    </row>
    <row r="70">
      <c r="A70" s="1">
        <f>IFERROR(__xludf.DUMMYFUNCTION("""COMPUTED_VALUE"""),70.0)</f>
        <v>70</v>
      </c>
      <c r="B70" s="1" t="str">
        <f>IFERROR(__xludf.DUMMYFUNCTION("""COMPUTED_VALUE"""),"Thailand")</f>
        <v>Thailand</v>
      </c>
      <c r="C70" s="1"/>
      <c r="D70" s="2">
        <f>IFERROR(__xludf.DUMMYFUNCTION("""COMPUTED_VALUE"""),490.97)</f>
        <v>490.97</v>
      </c>
    </row>
    <row r="71">
      <c r="A71" s="1">
        <f>IFERROR(__xludf.DUMMYFUNCTION("""COMPUTED_VALUE"""),71.0)</f>
        <v>71</v>
      </c>
      <c r="B71" s="1" t="str">
        <f>IFERROR(__xludf.DUMMYFUNCTION("""COMPUTED_VALUE"""),"Belarus")</f>
        <v>Belarus</v>
      </c>
      <c r="C71" s="1"/>
      <c r="D71" s="2">
        <f>IFERROR(__xludf.DUMMYFUNCTION("""COMPUTED_VALUE"""),485.66)</f>
        <v>485.66</v>
      </c>
    </row>
    <row r="72">
      <c r="A72" s="1">
        <f>IFERROR(__xludf.DUMMYFUNCTION("""COMPUTED_VALUE"""),72.0)</f>
        <v>72</v>
      </c>
      <c r="B72" s="1" t="str">
        <f>IFERROR(__xludf.DUMMYFUNCTION("""COMPUTED_VALUE"""),"Mauritius")</f>
        <v>Mauritius</v>
      </c>
      <c r="C72" s="1"/>
      <c r="D72" s="2">
        <f>IFERROR(__xludf.DUMMYFUNCTION("""COMPUTED_VALUE"""),473.12)</f>
        <v>473.12</v>
      </c>
    </row>
    <row r="73">
      <c r="A73" s="1">
        <f>IFERROR(__xludf.DUMMYFUNCTION("""COMPUTED_VALUE"""),73.0)</f>
        <v>73</v>
      </c>
      <c r="B73" s="1" t="str">
        <f>IFERROR(__xludf.DUMMYFUNCTION("""COMPUTED_VALUE"""),"Armenia")</f>
        <v>Armenia</v>
      </c>
      <c r="C73" s="1"/>
      <c r="D73" s="2">
        <f>IFERROR(__xludf.DUMMYFUNCTION("""COMPUTED_VALUE"""),470.07)</f>
        <v>470.07</v>
      </c>
    </row>
    <row r="74">
      <c r="A74" s="1">
        <f>IFERROR(__xludf.DUMMYFUNCTION("""COMPUTED_VALUE"""),74.0)</f>
        <v>74</v>
      </c>
      <c r="B74" s="1" t="str">
        <f>IFERROR(__xludf.DUMMYFUNCTION("""COMPUTED_VALUE"""),"Bolivia")</f>
        <v>Bolivia</v>
      </c>
      <c r="C74" s="1"/>
      <c r="D74" s="2">
        <f>IFERROR(__xludf.DUMMYFUNCTION("""COMPUTED_VALUE"""),462.2)</f>
        <v>462.2</v>
      </c>
    </row>
    <row r="75">
      <c r="A75" s="1">
        <f>IFERROR(__xludf.DUMMYFUNCTION("""COMPUTED_VALUE"""),75.0)</f>
        <v>75</v>
      </c>
      <c r="B75" s="1" t="str">
        <f>IFERROR(__xludf.DUMMYFUNCTION("""COMPUTED_VALUE"""),"Vietnam")</f>
        <v>Vietnam</v>
      </c>
      <c r="C75" s="1"/>
      <c r="D75" s="2">
        <f>IFERROR(__xludf.DUMMYFUNCTION("""COMPUTED_VALUE"""),443.27)</f>
        <v>443.27</v>
      </c>
    </row>
    <row r="76">
      <c r="A76" s="1">
        <f>IFERROR(__xludf.DUMMYFUNCTION("""COMPUTED_VALUE"""),76.0)</f>
        <v>76</v>
      </c>
      <c r="B76" s="1" t="str">
        <f>IFERROR(__xludf.DUMMYFUNCTION("""COMPUTED_VALUE"""),"Kazakhstan")</f>
        <v>Kazakhstan</v>
      </c>
      <c r="C76" s="1"/>
      <c r="D76" s="2">
        <f>IFERROR(__xludf.DUMMYFUNCTION("""COMPUTED_VALUE"""),424.23)</f>
        <v>424.23</v>
      </c>
    </row>
    <row r="77">
      <c r="A77" s="1">
        <f>IFERROR(__xludf.DUMMYFUNCTION("""COMPUTED_VALUE"""),77.0)</f>
        <v>77</v>
      </c>
      <c r="B77" s="1" t="str">
        <f>IFERROR(__xludf.DUMMYFUNCTION("""COMPUTED_VALUE"""),"Argentina")</f>
        <v>Argentina</v>
      </c>
      <c r="C77" s="1"/>
      <c r="D77" s="2">
        <f>IFERROR(__xludf.DUMMYFUNCTION("""COMPUTED_VALUE"""),420.88)</f>
        <v>420.88</v>
      </c>
    </row>
    <row r="78">
      <c r="A78" s="1">
        <f>IFERROR(__xludf.DUMMYFUNCTION("""COMPUTED_VALUE"""),78.0)</f>
        <v>78</v>
      </c>
      <c r="B78" s="1" t="str">
        <f>IFERROR(__xludf.DUMMYFUNCTION("""COMPUTED_VALUE"""),"Kenya")</f>
        <v>Kenya</v>
      </c>
      <c r="C78" s="1"/>
      <c r="D78" s="2">
        <f>IFERROR(__xludf.DUMMYFUNCTION("""COMPUTED_VALUE"""),410.09)</f>
        <v>410.09</v>
      </c>
    </row>
    <row r="79">
      <c r="A79" s="1">
        <f>IFERROR(__xludf.DUMMYFUNCTION("""COMPUTED_VALUE"""),79.0)</f>
        <v>79</v>
      </c>
      <c r="B79" s="1" t="str">
        <f>IFERROR(__xludf.DUMMYFUNCTION("""COMPUTED_VALUE"""),"El Salvador")</f>
        <v>El Salvador</v>
      </c>
      <c r="C79" s="1"/>
      <c r="D79" s="2">
        <f>IFERROR(__xludf.DUMMYFUNCTION("""COMPUTED_VALUE"""),399.74)</f>
        <v>399.74</v>
      </c>
    </row>
    <row r="80">
      <c r="A80" s="1">
        <f>IFERROR(__xludf.DUMMYFUNCTION("""COMPUTED_VALUE"""),80.0)</f>
        <v>80</v>
      </c>
      <c r="B80" s="1" t="str">
        <f>IFERROR(__xludf.DUMMYFUNCTION("""COMPUTED_VALUE"""),"Kosovo (Disputed Territory)")</f>
        <v>Kosovo (Disputed Territory)</v>
      </c>
      <c r="C80" s="1"/>
      <c r="D80" s="2">
        <f>IFERROR(__xludf.DUMMYFUNCTION("""COMPUTED_VALUE"""),397.54)</f>
        <v>397.54</v>
      </c>
    </row>
    <row r="81">
      <c r="A81" s="1">
        <f>IFERROR(__xludf.DUMMYFUNCTION("""COMPUTED_VALUE"""),81.0)</f>
        <v>81</v>
      </c>
      <c r="B81" s="1" t="str">
        <f>IFERROR(__xludf.DUMMYFUNCTION("""COMPUTED_VALUE"""),"Moldova")</f>
        <v>Moldova</v>
      </c>
      <c r="C81" s="1"/>
      <c r="D81" s="2">
        <f>IFERROR(__xludf.DUMMYFUNCTION("""COMPUTED_VALUE"""),397.01)</f>
        <v>397.01</v>
      </c>
    </row>
    <row r="82">
      <c r="A82" s="1">
        <f>IFERROR(__xludf.DUMMYFUNCTION("""COMPUTED_VALUE"""),82.0)</f>
        <v>82</v>
      </c>
      <c r="B82" s="1" t="str">
        <f>IFERROR(__xludf.DUMMYFUNCTION("""COMPUTED_VALUE"""),"Ukraine")</f>
        <v>Ukraine</v>
      </c>
      <c r="C82" s="1"/>
      <c r="D82" s="2">
        <f>IFERROR(__xludf.DUMMYFUNCTION("""COMPUTED_VALUE"""),394.64)</f>
        <v>394.64</v>
      </c>
    </row>
    <row r="83">
      <c r="A83" s="1">
        <f>IFERROR(__xludf.DUMMYFUNCTION("""COMPUTED_VALUE"""),83.0)</f>
        <v>83</v>
      </c>
      <c r="B83" s="1" t="str">
        <f>IFERROR(__xludf.DUMMYFUNCTION("""COMPUTED_VALUE"""),"Brazil")</f>
        <v>Brazil</v>
      </c>
      <c r="C83" s="1"/>
      <c r="D83" s="2">
        <f>IFERROR(__xludf.DUMMYFUNCTION("""COMPUTED_VALUE"""),392.64)</f>
        <v>392.64</v>
      </c>
    </row>
    <row r="84">
      <c r="A84" s="1">
        <f>IFERROR(__xludf.DUMMYFUNCTION("""COMPUTED_VALUE"""),84.0)</f>
        <v>84</v>
      </c>
      <c r="B84" s="1" t="str">
        <f>IFERROR(__xludf.DUMMYFUNCTION("""COMPUTED_VALUE"""),"Dominican Republic")</f>
        <v>Dominican Republic</v>
      </c>
      <c r="C84" s="1"/>
      <c r="D84" s="2">
        <f>IFERROR(__xludf.DUMMYFUNCTION("""COMPUTED_VALUE"""),390.18)</f>
        <v>390.18</v>
      </c>
    </row>
    <row r="85">
      <c r="A85" s="1">
        <f>IFERROR(__xludf.DUMMYFUNCTION("""COMPUTED_VALUE"""),85.0)</f>
        <v>85</v>
      </c>
      <c r="B85" s="1" t="str">
        <f>IFERROR(__xludf.DUMMYFUNCTION("""COMPUTED_VALUE"""),"Peru")</f>
        <v>Peru</v>
      </c>
      <c r="C85" s="1"/>
      <c r="D85" s="2">
        <f>IFERROR(__xludf.DUMMYFUNCTION("""COMPUTED_VALUE"""),388.29)</f>
        <v>388.29</v>
      </c>
    </row>
    <row r="86">
      <c r="A86" s="1">
        <f>IFERROR(__xludf.DUMMYFUNCTION("""COMPUTED_VALUE"""),86.0)</f>
        <v>86</v>
      </c>
      <c r="B86" s="1" t="str">
        <f>IFERROR(__xludf.DUMMYFUNCTION("""COMPUTED_VALUE"""),"Albania")</f>
        <v>Albania</v>
      </c>
      <c r="C86" s="1"/>
      <c r="D86" s="2">
        <f>IFERROR(__xludf.DUMMYFUNCTION("""COMPUTED_VALUE"""),382.96)</f>
        <v>382.96</v>
      </c>
    </row>
    <row r="87">
      <c r="A87" s="1">
        <f>IFERROR(__xludf.DUMMYFUNCTION("""COMPUTED_VALUE"""),87.0)</f>
        <v>87</v>
      </c>
      <c r="B87" s="1" t="str">
        <f>IFERROR(__xludf.DUMMYFUNCTION("""COMPUTED_VALUE"""),"North Macedonia")</f>
        <v>North Macedonia</v>
      </c>
      <c r="C87" s="1"/>
      <c r="D87" s="2">
        <f>IFERROR(__xludf.DUMMYFUNCTION("""COMPUTED_VALUE"""),375.76)</f>
        <v>375.76</v>
      </c>
    </row>
    <row r="88">
      <c r="A88" s="1">
        <f>IFERROR(__xludf.DUMMYFUNCTION("""COMPUTED_VALUE"""),88.0)</f>
        <v>88</v>
      </c>
      <c r="B88" s="1" t="str">
        <f>IFERROR(__xludf.DUMMYFUNCTION("""COMPUTED_VALUE"""),"Morocco")</f>
        <v>Morocco</v>
      </c>
      <c r="C88" s="1"/>
      <c r="D88" s="2">
        <f>IFERROR(__xludf.DUMMYFUNCTION("""COMPUTED_VALUE"""),368.52)</f>
        <v>368.52</v>
      </c>
    </row>
    <row r="89">
      <c r="A89" s="1">
        <f>IFERROR(__xludf.DUMMYFUNCTION("""COMPUTED_VALUE"""),89.0)</f>
        <v>89</v>
      </c>
      <c r="B89" s="1" t="str">
        <f>IFERROR(__xludf.DUMMYFUNCTION("""COMPUTED_VALUE"""),"Azerbaijan")</f>
        <v>Azerbaijan</v>
      </c>
      <c r="C89" s="1"/>
      <c r="D89" s="2">
        <f>IFERROR(__xludf.DUMMYFUNCTION("""COMPUTED_VALUE"""),364.73)</f>
        <v>364.73</v>
      </c>
    </row>
    <row r="90">
      <c r="A90" s="1">
        <f>IFERROR(__xludf.DUMMYFUNCTION("""COMPUTED_VALUE"""),90.0)</f>
        <v>90</v>
      </c>
      <c r="B90" s="1" t="str">
        <f>IFERROR(__xludf.DUMMYFUNCTION("""COMPUTED_VALUE"""),"Indonesia")</f>
        <v>Indonesia</v>
      </c>
      <c r="C90" s="1"/>
      <c r="D90" s="2">
        <f>IFERROR(__xludf.DUMMYFUNCTION("""COMPUTED_VALUE"""),337.75)</f>
        <v>337.75</v>
      </c>
    </row>
    <row r="91">
      <c r="A91" s="1">
        <f>IFERROR(__xludf.DUMMYFUNCTION("""COMPUTED_VALUE"""),91.0)</f>
        <v>91</v>
      </c>
      <c r="B91" s="1" t="str">
        <f>IFERROR(__xludf.DUMMYFUNCTION("""COMPUTED_VALUE"""),"Turkey")</f>
        <v>Turkey</v>
      </c>
      <c r="C91" s="1"/>
      <c r="D91" s="2">
        <f>IFERROR(__xludf.DUMMYFUNCTION("""COMPUTED_VALUE"""),315.94)</f>
        <v>315.94</v>
      </c>
    </row>
    <row r="92">
      <c r="A92" s="1">
        <f>IFERROR(__xludf.DUMMYFUNCTION("""COMPUTED_VALUE"""),92.0)</f>
        <v>92</v>
      </c>
      <c r="B92" s="1" t="str">
        <f>IFERROR(__xludf.DUMMYFUNCTION("""COMPUTED_VALUE"""),"Colombia")</f>
        <v>Colombia</v>
      </c>
      <c r="C92" s="1"/>
      <c r="D92" s="2">
        <f>IFERROR(__xludf.DUMMYFUNCTION("""COMPUTED_VALUE"""),298.33)</f>
        <v>298.33</v>
      </c>
    </row>
    <row r="93">
      <c r="A93" s="1">
        <f>IFERROR(__xludf.DUMMYFUNCTION("""COMPUTED_VALUE"""),93.0)</f>
        <v>93</v>
      </c>
      <c r="B93" s="1" t="str">
        <f>IFERROR(__xludf.DUMMYFUNCTION("""COMPUTED_VALUE"""),"Philippines")</f>
        <v>Philippines</v>
      </c>
      <c r="C93" s="1"/>
      <c r="D93" s="2">
        <f>IFERROR(__xludf.DUMMYFUNCTION("""COMPUTED_VALUE"""),280.98)</f>
        <v>280.98</v>
      </c>
    </row>
    <row r="94">
      <c r="A94" s="1">
        <f>IFERROR(__xludf.DUMMYFUNCTION("""COMPUTED_VALUE"""),94.0)</f>
        <v>94</v>
      </c>
      <c r="B94" s="1" t="str">
        <f>IFERROR(__xludf.DUMMYFUNCTION("""COMPUTED_VALUE"""),"Uzbekistan")</f>
        <v>Uzbekistan</v>
      </c>
      <c r="C94" s="1"/>
      <c r="D94" s="2">
        <f>IFERROR(__xludf.DUMMYFUNCTION("""COMPUTED_VALUE"""),276.89)</f>
        <v>276.89</v>
      </c>
    </row>
    <row r="95">
      <c r="A95" s="1">
        <f>IFERROR(__xludf.DUMMYFUNCTION("""COMPUTED_VALUE"""),95.0)</f>
        <v>95</v>
      </c>
      <c r="B95" s="1" t="str">
        <f>IFERROR(__xludf.DUMMYFUNCTION("""COMPUTED_VALUE"""),"Tunisia")</f>
        <v>Tunisia</v>
      </c>
      <c r="C95" s="1"/>
      <c r="D95" s="2">
        <f>IFERROR(__xludf.DUMMYFUNCTION("""COMPUTED_VALUE"""),275.92)</f>
        <v>275.92</v>
      </c>
    </row>
    <row r="96">
      <c r="A96" s="1">
        <f>IFERROR(__xludf.DUMMYFUNCTION("""COMPUTED_VALUE"""),96.0)</f>
        <v>96</v>
      </c>
      <c r="B96" s="1" t="str">
        <f>IFERROR(__xludf.DUMMYFUNCTION("""COMPUTED_VALUE"""),"Libya")</f>
        <v>Libya</v>
      </c>
      <c r="C96" s="1"/>
      <c r="D96" s="2">
        <f>IFERROR(__xludf.DUMMYFUNCTION("""COMPUTED_VALUE"""),270.87)</f>
        <v>270.87</v>
      </c>
    </row>
    <row r="97">
      <c r="A97" s="1">
        <f>IFERROR(__xludf.DUMMYFUNCTION("""COMPUTED_VALUE"""),97.0)</f>
        <v>97</v>
      </c>
      <c r="B97" s="1" t="str">
        <f>IFERROR(__xludf.DUMMYFUNCTION("""COMPUTED_VALUE"""),"Algeria")</f>
        <v>Algeria</v>
      </c>
      <c r="C97" s="1"/>
      <c r="D97" s="2">
        <f>IFERROR(__xludf.DUMMYFUNCTION("""COMPUTED_VALUE"""),257.92)</f>
        <v>257.92</v>
      </c>
    </row>
    <row r="98">
      <c r="A98" s="1">
        <f>IFERROR(__xludf.DUMMYFUNCTION("""COMPUTED_VALUE"""),98.0)</f>
        <v>98</v>
      </c>
      <c r="B98" s="1" t="str">
        <f>IFERROR(__xludf.DUMMYFUNCTION("""COMPUTED_VALUE"""),"Bangladesh")</f>
        <v>Bangladesh</v>
      </c>
      <c r="C98" s="1"/>
      <c r="D98" s="2">
        <f>IFERROR(__xludf.DUMMYFUNCTION("""COMPUTED_VALUE"""),255.94)</f>
        <v>255.94</v>
      </c>
    </row>
    <row r="99">
      <c r="A99" s="1">
        <f>IFERROR(__xludf.DUMMYFUNCTION("""COMPUTED_VALUE"""),99.0)</f>
        <v>99</v>
      </c>
      <c r="B99" s="1" t="str">
        <f>IFERROR(__xludf.DUMMYFUNCTION("""COMPUTED_VALUE"""),"Ghana")</f>
        <v>Ghana</v>
      </c>
      <c r="C99" s="1"/>
      <c r="D99" s="2">
        <f>IFERROR(__xludf.DUMMYFUNCTION("""COMPUTED_VALUE"""),221.48)</f>
        <v>221.48</v>
      </c>
    </row>
    <row r="100">
      <c r="A100" s="1">
        <f>IFERROR(__xludf.DUMMYFUNCTION("""COMPUTED_VALUE"""),100.0)</f>
        <v>100</v>
      </c>
      <c r="B100" s="1" t="str">
        <f>IFERROR(__xludf.DUMMYFUNCTION("""COMPUTED_VALUE"""),"Egypt")</f>
        <v>Egypt</v>
      </c>
      <c r="C100" s="1"/>
      <c r="D100" s="2">
        <f>IFERROR(__xludf.DUMMYFUNCTION("""COMPUTED_VALUE"""),212.76)</f>
        <v>212.76</v>
      </c>
    </row>
    <row r="101">
      <c r="A101" s="1">
        <f>IFERROR(__xludf.DUMMYFUNCTION("""COMPUTED_VALUE"""),101.0)</f>
        <v>101</v>
      </c>
      <c r="B101" s="1" t="str">
        <f>IFERROR(__xludf.DUMMYFUNCTION("""COMPUTED_VALUE"""),"Nepal")</f>
        <v>Nepal</v>
      </c>
      <c r="C101" s="1"/>
      <c r="D101" s="2">
        <f>IFERROR(__xludf.DUMMYFUNCTION("""COMPUTED_VALUE"""),191.56)</f>
        <v>191.56</v>
      </c>
    </row>
    <row r="102">
      <c r="A102" s="1">
        <f>IFERROR(__xludf.DUMMYFUNCTION("""COMPUTED_VALUE"""),102.0)</f>
        <v>102</v>
      </c>
      <c r="B102" s="1" t="str">
        <f>IFERROR(__xludf.DUMMYFUNCTION("""COMPUTED_VALUE"""),"Venezuela")</f>
        <v>Venezuela</v>
      </c>
      <c r="C102" s="1"/>
      <c r="D102" s="2">
        <f>IFERROR(__xludf.DUMMYFUNCTION("""COMPUTED_VALUE"""),173.74)</f>
        <v>173.74</v>
      </c>
    </row>
    <row r="103">
      <c r="A103" s="1">
        <f>IFERROR(__xludf.DUMMYFUNCTION("""COMPUTED_VALUE"""),103.0)</f>
        <v>103</v>
      </c>
      <c r="B103" s="1" t="str">
        <f>IFERROR(__xludf.DUMMYFUNCTION("""COMPUTED_VALUE"""),"Nigeria")</f>
        <v>Nigeria</v>
      </c>
      <c r="C103" s="1"/>
      <c r="D103" s="2">
        <f>IFERROR(__xludf.DUMMYFUNCTION("""COMPUTED_VALUE"""),163.92)</f>
        <v>163.92</v>
      </c>
    </row>
    <row r="104">
      <c r="A104" s="1">
        <f>IFERROR(__xludf.DUMMYFUNCTION("""COMPUTED_VALUE"""),104.0)</f>
        <v>104</v>
      </c>
      <c r="B104" s="1" t="str">
        <f>IFERROR(__xludf.DUMMYFUNCTION("""COMPUTED_VALUE"""),"Pakistan")</f>
        <v>Pakistan</v>
      </c>
      <c r="C104" s="1"/>
      <c r="D104" s="2">
        <f>IFERROR(__xludf.DUMMYFUNCTION("""COMPUTED_VALUE"""),159.65)</f>
        <v>159.65</v>
      </c>
    </row>
    <row r="105">
      <c r="A105" s="1">
        <f>IFERROR(__xludf.DUMMYFUNCTION("""COMPUTED_VALUE"""),105.0)</f>
        <v>105</v>
      </c>
      <c r="B105" s="1" t="str">
        <f>IFERROR(__xludf.DUMMYFUNCTION("""COMPUTED_VALUE"""),"Sri Lanka")</f>
        <v>Sri Lanka</v>
      </c>
      <c r="C105" s="1"/>
      <c r="D105" s="2">
        <f>IFERROR(__xludf.DUMMYFUNCTION("""COMPUTED_VALUE"""),149.6)</f>
        <v>149.6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25"/>
    <col customWidth="1" min="8" max="8" width="25.63"/>
  </cols>
  <sheetData>
    <row r="1">
      <c r="A1" s="1" t="str">
        <f>IFERROR(__xludf.DUMMYFUNCTION("IMPORTHTML(""https://www.numbeo.com/cost-of-living/rankings_by_country.jsp"",""table"",2,""EN_US"")"),"Rank")</f>
        <v>Rank</v>
      </c>
      <c r="B1" s="1" t="str">
        <f>IFERROR(__xludf.DUMMYFUNCTION("""COMPUTED_VALUE"""),"Country")</f>
        <v>Country</v>
      </c>
      <c r="C1" s="1" t="str">
        <f>IFERROR(__xludf.DUMMYFUNCTION("""COMPUTED_VALUE"""),"Cost of Living Index")</f>
        <v>Cost of Living Index</v>
      </c>
      <c r="D1" s="1" t="str">
        <f>IFERROR(__xludf.DUMMYFUNCTION("""COMPUTED_VALUE"""),"Rent Index")</f>
        <v>Rent Index</v>
      </c>
      <c r="E1" s="1" t="str">
        <f>IFERROR(__xludf.DUMMYFUNCTION("""COMPUTED_VALUE"""),"Cost of Living Plus Rent Index")</f>
        <v>Cost of Living Plus Rent Index</v>
      </c>
      <c r="F1" s="1" t="str">
        <f>IFERROR(__xludf.DUMMYFUNCTION("""COMPUTED_VALUE"""),"Groceries Index")</f>
        <v>Groceries Index</v>
      </c>
      <c r="G1" s="1" t="str">
        <f>IFERROR(__xludf.DUMMYFUNCTION("""COMPUTED_VALUE"""),"Restaurant Price Index")</f>
        <v>Restaurant Price Index</v>
      </c>
      <c r="H1" s="1" t="str">
        <f>IFERROR(__xludf.DUMMYFUNCTION("""COMPUTED_VALUE"""),"Local Purchasing Power Index")</f>
        <v>Local Purchasing Power Index</v>
      </c>
    </row>
    <row r="2">
      <c r="A2" s="1"/>
      <c r="B2" s="1" t="str">
        <f>IFERROR(__xludf.DUMMYFUNCTION("""COMPUTED_VALUE"""),"Bermuda")</f>
        <v>Bermuda</v>
      </c>
      <c r="C2" s="1">
        <f>IFERROR(__xludf.DUMMYFUNCTION("""COMPUTED_VALUE"""),141.74)</f>
        <v>141.74</v>
      </c>
      <c r="D2" s="1">
        <f>IFERROR(__xludf.DUMMYFUNCTION("""COMPUTED_VALUE"""),98.96)</f>
        <v>98.96</v>
      </c>
      <c r="E2" s="1">
        <f>IFERROR(__xludf.DUMMYFUNCTION("""COMPUTED_VALUE"""),121.39)</f>
        <v>121.39</v>
      </c>
      <c r="F2" s="1">
        <f>IFERROR(__xludf.DUMMYFUNCTION("""COMPUTED_VALUE"""),142.62)</f>
        <v>142.62</v>
      </c>
      <c r="G2" s="1">
        <f>IFERROR(__xludf.DUMMYFUNCTION("""COMPUTED_VALUE"""),144.74)</f>
        <v>144.74</v>
      </c>
      <c r="H2" s="1">
        <f>IFERROR(__xludf.DUMMYFUNCTION("""COMPUTED_VALUE"""),82.34)</f>
        <v>82.34</v>
      </c>
    </row>
    <row r="3">
      <c r="A3" s="1"/>
      <c r="B3" s="1" t="str">
        <f>IFERROR(__xludf.DUMMYFUNCTION("""COMPUTED_VALUE"""),"Switzerland")</f>
        <v>Switzerland</v>
      </c>
      <c r="C3" s="1">
        <f>IFERROR(__xludf.DUMMYFUNCTION("""COMPUTED_VALUE"""),110.34)</f>
        <v>110.34</v>
      </c>
      <c r="D3" s="1">
        <f>IFERROR(__xludf.DUMMYFUNCTION("""COMPUTED_VALUE"""),50.21)</f>
        <v>50.21</v>
      </c>
      <c r="E3" s="1">
        <f>IFERROR(__xludf.DUMMYFUNCTION("""COMPUTED_VALUE"""),81.73)</f>
        <v>81.73</v>
      </c>
      <c r="F3" s="1">
        <f>IFERROR(__xludf.DUMMYFUNCTION("""COMPUTED_VALUE"""),113.35)</f>
        <v>113.35</v>
      </c>
      <c r="G3" s="1">
        <f>IFERROR(__xludf.DUMMYFUNCTION("""COMPUTED_VALUE"""),104.3)</f>
        <v>104.3</v>
      </c>
      <c r="H3" s="1">
        <f>IFERROR(__xludf.DUMMYFUNCTION("""COMPUTED_VALUE"""),116.19)</f>
        <v>116.19</v>
      </c>
    </row>
    <row r="4">
      <c r="A4" s="1"/>
      <c r="B4" s="1" t="str">
        <f>IFERROR(__xludf.DUMMYFUNCTION("""COMPUTED_VALUE"""),"Bahamas")</f>
        <v>Bahamas</v>
      </c>
      <c r="C4" s="1">
        <f>IFERROR(__xludf.DUMMYFUNCTION("""COMPUTED_VALUE"""),88.27)</f>
        <v>88.27</v>
      </c>
      <c r="D4" s="1">
        <f>IFERROR(__xludf.DUMMYFUNCTION("""COMPUTED_VALUE"""),38.41)</f>
        <v>38.41</v>
      </c>
      <c r="E4" s="1">
        <f>IFERROR(__xludf.DUMMYFUNCTION("""COMPUTED_VALUE"""),64.55)</f>
        <v>64.55</v>
      </c>
      <c r="F4" s="1">
        <f>IFERROR(__xludf.DUMMYFUNCTION("""COMPUTED_VALUE"""),71.92)</f>
        <v>71.92</v>
      </c>
      <c r="G4" s="1">
        <f>IFERROR(__xludf.DUMMYFUNCTION("""COMPUTED_VALUE"""),94.29)</f>
        <v>94.29</v>
      </c>
      <c r="H4" s="1">
        <f>IFERROR(__xludf.DUMMYFUNCTION("""COMPUTED_VALUE"""),44.22)</f>
        <v>44.22</v>
      </c>
    </row>
    <row r="5">
      <c r="A5" s="1"/>
      <c r="B5" s="1" t="str">
        <f>IFERROR(__xludf.DUMMYFUNCTION("""COMPUTED_VALUE"""),"Barbados")</f>
        <v>Barbados</v>
      </c>
      <c r="C5" s="1">
        <f>IFERROR(__xludf.DUMMYFUNCTION("""COMPUTED_VALUE"""),87.07)</f>
        <v>87.07</v>
      </c>
      <c r="D5" s="1">
        <f>IFERROR(__xludf.DUMMYFUNCTION("""COMPUTED_VALUE"""),21.16)</f>
        <v>21.16</v>
      </c>
      <c r="E5" s="1">
        <f>IFERROR(__xludf.DUMMYFUNCTION("""COMPUTED_VALUE"""),55.71)</f>
        <v>55.71</v>
      </c>
      <c r="F5" s="1">
        <f>IFERROR(__xludf.DUMMYFUNCTION("""COMPUTED_VALUE"""),81.73)</f>
        <v>81.73</v>
      </c>
      <c r="G5" s="1">
        <f>IFERROR(__xludf.DUMMYFUNCTION("""COMPUTED_VALUE"""),74.5)</f>
        <v>74.5</v>
      </c>
      <c r="H5" s="1">
        <f>IFERROR(__xludf.DUMMYFUNCTION("""COMPUTED_VALUE"""),32.62)</f>
        <v>32.62</v>
      </c>
    </row>
    <row r="6">
      <c r="A6" s="1"/>
      <c r="B6" s="1" t="str">
        <f>IFERROR(__xludf.DUMMYFUNCTION("""COMPUTED_VALUE"""),"Iceland")</f>
        <v>Iceland</v>
      </c>
      <c r="C6" s="1">
        <f>IFERROR(__xludf.DUMMYFUNCTION("""COMPUTED_VALUE"""),86.59)</f>
        <v>86.59</v>
      </c>
      <c r="D6" s="1">
        <f>IFERROR(__xludf.DUMMYFUNCTION("""COMPUTED_VALUE"""),35.81)</f>
        <v>35.81</v>
      </c>
      <c r="E6" s="1">
        <f>IFERROR(__xludf.DUMMYFUNCTION("""COMPUTED_VALUE"""),62.43)</f>
        <v>62.43</v>
      </c>
      <c r="F6" s="1">
        <f>IFERROR(__xludf.DUMMYFUNCTION("""COMPUTED_VALUE"""),82.44)</f>
        <v>82.44</v>
      </c>
      <c r="G6" s="1">
        <f>IFERROR(__xludf.DUMMYFUNCTION("""COMPUTED_VALUE"""),88.64)</f>
        <v>88.64</v>
      </c>
      <c r="H6" s="1">
        <f>IFERROR(__xludf.DUMMYFUNCTION("""COMPUTED_VALUE"""),82.62)</f>
        <v>82.62</v>
      </c>
    </row>
    <row r="7">
      <c r="A7" s="1"/>
      <c r="B7" s="1" t="str">
        <f>IFERROR(__xludf.DUMMYFUNCTION("""COMPUTED_VALUE"""),"Norway")</f>
        <v>Norway</v>
      </c>
      <c r="C7" s="1">
        <f>IFERROR(__xludf.DUMMYFUNCTION("""COMPUTED_VALUE"""),85.93)</f>
        <v>85.93</v>
      </c>
      <c r="D7" s="1">
        <f>IFERROR(__xludf.DUMMYFUNCTION("""COMPUTED_VALUE"""),30.55)</f>
        <v>30.55</v>
      </c>
      <c r="E7" s="1">
        <f>IFERROR(__xludf.DUMMYFUNCTION("""COMPUTED_VALUE"""),59.59)</f>
        <v>59.59</v>
      </c>
      <c r="F7" s="1">
        <f>IFERROR(__xludf.DUMMYFUNCTION("""COMPUTED_VALUE"""),81.31)</f>
        <v>81.31</v>
      </c>
      <c r="G7" s="1">
        <f>IFERROR(__xludf.DUMMYFUNCTION("""COMPUTED_VALUE"""),87.59)</f>
        <v>87.59</v>
      </c>
      <c r="H7" s="1">
        <f>IFERROR(__xludf.DUMMYFUNCTION("""COMPUTED_VALUE"""),86.27)</f>
        <v>86.27</v>
      </c>
    </row>
    <row r="8">
      <c r="A8" s="1"/>
      <c r="B8" s="1" t="str">
        <f>IFERROR(__xludf.DUMMYFUNCTION("""COMPUTED_VALUE"""),"Jersey")</f>
        <v>Jersey</v>
      </c>
      <c r="C8" s="1">
        <f>IFERROR(__xludf.DUMMYFUNCTION("""COMPUTED_VALUE"""),80.38)</f>
        <v>80.38</v>
      </c>
      <c r="D8" s="1">
        <f>IFERROR(__xludf.DUMMYFUNCTION("""COMPUTED_VALUE"""),55.37)</f>
        <v>55.37</v>
      </c>
      <c r="E8" s="1">
        <f>IFERROR(__xludf.DUMMYFUNCTION("""COMPUTED_VALUE"""),68.48)</f>
        <v>68.48</v>
      </c>
      <c r="F8" s="1">
        <f>IFERROR(__xludf.DUMMYFUNCTION("""COMPUTED_VALUE"""),64.52)</f>
        <v>64.52</v>
      </c>
      <c r="G8" s="1">
        <f>IFERROR(__xludf.DUMMYFUNCTION("""COMPUTED_VALUE"""),89.23)</f>
        <v>89.23</v>
      </c>
      <c r="H8" s="1">
        <f>IFERROR(__xludf.DUMMYFUNCTION("""COMPUTED_VALUE"""),68.72)</f>
        <v>68.72</v>
      </c>
    </row>
    <row r="9">
      <c r="A9" s="1"/>
      <c r="B9" s="1" t="str">
        <f>IFERROR(__xludf.DUMMYFUNCTION("""COMPUTED_VALUE"""),"Singapore")</f>
        <v>Singapore</v>
      </c>
      <c r="C9" s="1">
        <f>IFERROR(__xludf.DUMMYFUNCTION("""COMPUTED_VALUE"""),79.09)</f>
        <v>79.09</v>
      </c>
      <c r="D9" s="1">
        <f>IFERROR(__xludf.DUMMYFUNCTION("""COMPUTED_VALUE"""),65.09)</f>
        <v>65.09</v>
      </c>
      <c r="E9" s="1">
        <f>IFERROR(__xludf.DUMMYFUNCTION("""COMPUTED_VALUE"""),72.43)</f>
        <v>72.43</v>
      </c>
      <c r="F9" s="1">
        <f>IFERROR(__xludf.DUMMYFUNCTION("""COMPUTED_VALUE"""),71.36)</f>
        <v>71.36</v>
      </c>
      <c r="G9" s="1">
        <f>IFERROR(__xludf.DUMMYFUNCTION("""COMPUTED_VALUE"""),52.2)</f>
        <v>52.2</v>
      </c>
      <c r="H9" s="1">
        <f>IFERROR(__xludf.DUMMYFUNCTION("""COMPUTED_VALUE"""),94.65)</f>
        <v>94.65</v>
      </c>
    </row>
    <row r="10">
      <c r="A10" s="1"/>
      <c r="B10" s="1" t="str">
        <f>IFERROR(__xludf.DUMMYFUNCTION("""COMPUTED_VALUE"""),"Israel")</f>
        <v>Israel</v>
      </c>
      <c r="C10" s="1">
        <f>IFERROR(__xludf.DUMMYFUNCTION("""COMPUTED_VALUE"""),77.28)</f>
        <v>77.28</v>
      </c>
      <c r="D10" s="1">
        <f>IFERROR(__xludf.DUMMYFUNCTION("""COMPUTED_VALUE"""),32.95)</f>
        <v>32.95</v>
      </c>
      <c r="E10" s="1">
        <f>IFERROR(__xludf.DUMMYFUNCTION("""COMPUTED_VALUE"""),56.19)</f>
        <v>56.19</v>
      </c>
      <c r="F10" s="1">
        <f>IFERROR(__xludf.DUMMYFUNCTION("""COMPUTED_VALUE"""),66.45)</f>
        <v>66.45</v>
      </c>
      <c r="G10" s="1">
        <f>IFERROR(__xludf.DUMMYFUNCTION("""COMPUTED_VALUE"""),83.92)</f>
        <v>83.92</v>
      </c>
      <c r="H10" s="1">
        <f>IFERROR(__xludf.DUMMYFUNCTION("""COMPUTED_VALUE"""),73.54)</f>
        <v>73.54</v>
      </c>
    </row>
    <row r="11">
      <c r="A11" s="1"/>
      <c r="B11" s="1" t="str">
        <f>IFERROR(__xludf.DUMMYFUNCTION("""COMPUTED_VALUE"""),"Hong Kong")</f>
        <v>Hong Kong</v>
      </c>
      <c r="C11" s="1">
        <f>IFERROR(__xludf.DUMMYFUNCTION("""COMPUTED_VALUE"""),76.55)</f>
        <v>76.55</v>
      </c>
      <c r="D11" s="1">
        <f>IFERROR(__xludf.DUMMYFUNCTION("""COMPUTED_VALUE"""),67.99)</f>
        <v>67.99</v>
      </c>
      <c r="E11" s="1">
        <f>IFERROR(__xludf.DUMMYFUNCTION("""COMPUTED_VALUE"""),72.48)</f>
        <v>72.48</v>
      </c>
      <c r="F11" s="1">
        <f>IFERROR(__xludf.DUMMYFUNCTION("""COMPUTED_VALUE"""),82.51)</f>
        <v>82.51</v>
      </c>
      <c r="G11" s="1">
        <f>IFERROR(__xludf.DUMMYFUNCTION("""COMPUTED_VALUE"""),53.23)</f>
        <v>53.23</v>
      </c>
      <c r="H11" s="1">
        <f>IFERROR(__xludf.DUMMYFUNCTION("""COMPUTED_VALUE"""),66.93)</f>
        <v>66.93</v>
      </c>
    </row>
    <row r="12">
      <c r="A12" s="1"/>
      <c r="B12" s="1" t="str">
        <f>IFERROR(__xludf.DUMMYFUNCTION("""COMPUTED_VALUE"""),"Denmark")</f>
        <v>Denmark</v>
      </c>
      <c r="C12" s="1">
        <f>IFERROR(__xludf.DUMMYFUNCTION("""COMPUTED_VALUE"""),73.09)</f>
        <v>73.09</v>
      </c>
      <c r="D12" s="1">
        <f>IFERROR(__xludf.DUMMYFUNCTION("""COMPUTED_VALUE"""),29.18)</f>
        <v>29.18</v>
      </c>
      <c r="E12" s="1">
        <f>IFERROR(__xludf.DUMMYFUNCTION("""COMPUTED_VALUE"""),52.21)</f>
        <v>52.21</v>
      </c>
      <c r="F12" s="1">
        <f>IFERROR(__xludf.DUMMYFUNCTION("""COMPUTED_VALUE"""),59.94)</f>
        <v>59.94</v>
      </c>
      <c r="G12" s="1">
        <f>IFERROR(__xludf.DUMMYFUNCTION("""COMPUTED_VALUE"""),81.12)</f>
        <v>81.12</v>
      </c>
      <c r="H12" s="1">
        <f>IFERROR(__xludf.DUMMYFUNCTION("""COMPUTED_VALUE"""),99.76)</f>
        <v>99.76</v>
      </c>
    </row>
    <row r="13">
      <c r="A13" s="1"/>
      <c r="B13" s="1" t="str">
        <f>IFERROR(__xludf.DUMMYFUNCTION("""COMPUTED_VALUE"""),"Australia")</f>
        <v>Australia</v>
      </c>
      <c r="C13" s="1">
        <f>IFERROR(__xludf.DUMMYFUNCTION("""COMPUTED_VALUE"""),72.27)</f>
        <v>72.27</v>
      </c>
      <c r="D13" s="1">
        <f>IFERROR(__xludf.DUMMYFUNCTION("""COMPUTED_VALUE"""),35.67)</f>
        <v>35.67</v>
      </c>
      <c r="E13" s="1">
        <f>IFERROR(__xludf.DUMMYFUNCTION("""COMPUTED_VALUE"""),54.86)</f>
        <v>54.86</v>
      </c>
      <c r="F13" s="1">
        <f>IFERROR(__xludf.DUMMYFUNCTION("""COMPUTED_VALUE"""),72.75)</f>
        <v>72.75</v>
      </c>
      <c r="G13" s="1">
        <f>IFERROR(__xludf.DUMMYFUNCTION("""COMPUTED_VALUE"""),64.07)</f>
        <v>64.07</v>
      </c>
      <c r="H13" s="1">
        <f>IFERROR(__xludf.DUMMYFUNCTION("""COMPUTED_VALUE"""),117.56)</f>
        <v>117.56</v>
      </c>
    </row>
    <row r="14">
      <c r="A14" s="1"/>
      <c r="B14" s="1" t="str">
        <f>IFERROR(__xludf.DUMMYFUNCTION("""COMPUTED_VALUE"""),"Luxembourg")</f>
        <v>Luxembourg</v>
      </c>
      <c r="C14" s="1">
        <f>IFERROR(__xludf.DUMMYFUNCTION("""COMPUTED_VALUE"""),72.15)</f>
        <v>72.15</v>
      </c>
      <c r="D14" s="1">
        <f>IFERROR(__xludf.DUMMYFUNCTION("""COMPUTED_VALUE"""),47.95)</f>
        <v>47.95</v>
      </c>
      <c r="E14" s="1">
        <f>IFERROR(__xludf.DUMMYFUNCTION("""COMPUTED_VALUE"""),60.64)</f>
        <v>60.64</v>
      </c>
      <c r="F14" s="1">
        <f>IFERROR(__xludf.DUMMYFUNCTION("""COMPUTED_VALUE"""),67.3)</f>
        <v>67.3</v>
      </c>
      <c r="G14" s="1">
        <f>IFERROR(__xludf.DUMMYFUNCTION("""COMPUTED_VALUE"""),73.74)</f>
        <v>73.74</v>
      </c>
      <c r="H14" s="1">
        <f>IFERROR(__xludf.DUMMYFUNCTION("""COMPUTED_VALUE"""),96.13)</f>
        <v>96.13</v>
      </c>
    </row>
    <row r="15">
      <c r="A15" s="1"/>
      <c r="B15" s="1" t="str">
        <f>IFERROR(__xludf.DUMMYFUNCTION("""COMPUTED_VALUE"""),"Guernsey")</f>
        <v>Guernsey</v>
      </c>
      <c r="C15" s="1">
        <f>IFERROR(__xludf.DUMMYFUNCTION("""COMPUTED_VALUE"""),70.88)</f>
        <v>70.88</v>
      </c>
      <c r="D15" s="1">
        <f>IFERROR(__xludf.DUMMYFUNCTION("""COMPUTED_VALUE"""),45.6)</f>
        <v>45.6</v>
      </c>
      <c r="E15" s="1">
        <f>IFERROR(__xludf.DUMMYFUNCTION("""COMPUTED_VALUE"""),58.85)</f>
        <v>58.85</v>
      </c>
      <c r="F15" s="1">
        <f>IFERROR(__xludf.DUMMYFUNCTION("""COMPUTED_VALUE"""),65.92)</f>
        <v>65.92</v>
      </c>
      <c r="G15" s="1">
        <f>IFERROR(__xludf.DUMMYFUNCTION("""COMPUTED_VALUE"""),71.79)</f>
        <v>71.79</v>
      </c>
      <c r="H15" s="1">
        <f>IFERROR(__xludf.DUMMYFUNCTION("""COMPUTED_VALUE"""),70.61)</f>
        <v>70.61</v>
      </c>
    </row>
    <row r="16">
      <c r="A16" s="1"/>
      <c r="B16" s="1" t="str">
        <f>IFERROR(__xludf.DUMMYFUNCTION("""COMPUTED_VALUE"""),"United States")</f>
        <v>United States</v>
      </c>
      <c r="C16" s="1">
        <f>IFERROR(__xludf.DUMMYFUNCTION("""COMPUTED_VALUE"""),69.92)</f>
        <v>69.92</v>
      </c>
      <c r="D16" s="1">
        <f>IFERROR(__xludf.DUMMYFUNCTION("""COMPUTED_VALUE"""),46.86)</f>
        <v>46.86</v>
      </c>
      <c r="E16" s="1">
        <f>IFERROR(__xludf.DUMMYFUNCTION("""COMPUTED_VALUE"""),58.95)</f>
        <v>58.95</v>
      </c>
      <c r="F16" s="1">
        <f>IFERROR(__xludf.DUMMYFUNCTION("""COMPUTED_VALUE"""),70.06)</f>
        <v>70.06</v>
      </c>
      <c r="G16" s="1">
        <f>IFERROR(__xludf.DUMMYFUNCTION("""COMPUTED_VALUE"""),65.75)</f>
        <v>65.75</v>
      </c>
      <c r="H16" s="1">
        <f>IFERROR(__xludf.DUMMYFUNCTION("""COMPUTED_VALUE"""),99.88)</f>
        <v>99.88</v>
      </c>
    </row>
    <row r="17">
      <c r="A17" s="1"/>
      <c r="B17" s="1" t="str">
        <f>IFERROR(__xludf.DUMMYFUNCTION("""COMPUTED_VALUE"""),"New Zealand")</f>
        <v>New Zealand</v>
      </c>
      <c r="C17" s="1">
        <f>IFERROR(__xludf.DUMMYFUNCTION("""COMPUTED_VALUE"""),68.96)</f>
        <v>68.96</v>
      </c>
      <c r="D17" s="1">
        <f>IFERROR(__xludf.DUMMYFUNCTION("""COMPUTED_VALUE"""),29.43)</f>
        <v>29.43</v>
      </c>
      <c r="E17" s="1">
        <f>IFERROR(__xludf.DUMMYFUNCTION("""COMPUTED_VALUE"""),50.15)</f>
        <v>50.15</v>
      </c>
      <c r="F17" s="1">
        <f>IFERROR(__xludf.DUMMYFUNCTION("""COMPUTED_VALUE"""),67.69)</f>
        <v>67.69</v>
      </c>
      <c r="G17" s="1">
        <f>IFERROR(__xludf.DUMMYFUNCTION("""COMPUTED_VALUE"""),63.87)</f>
        <v>63.87</v>
      </c>
      <c r="H17" s="1">
        <f>IFERROR(__xludf.DUMMYFUNCTION("""COMPUTED_VALUE"""),85.02)</f>
        <v>85.02</v>
      </c>
    </row>
    <row r="18">
      <c r="A18" s="1"/>
      <c r="B18" s="1" t="str">
        <f>IFERROR(__xludf.DUMMYFUNCTION("""COMPUTED_VALUE"""),"Canada")</f>
        <v>Canada</v>
      </c>
      <c r="C18" s="1">
        <f>IFERROR(__xludf.DUMMYFUNCTION("""COMPUTED_VALUE"""),68.78)</f>
        <v>68.78</v>
      </c>
      <c r="D18" s="1">
        <f>IFERROR(__xludf.DUMMYFUNCTION("""COMPUTED_VALUE"""),35.06)</f>
        <v>35.06</v>
      </c>
      <c r="E18" s="1">
        <f>IFERROR(__xludf.DUMMYFUNCTION("""COMPUTED_VALUE"""),52.74)</f>
        <v>52.74</v>
      </c>
      <c r="F18" s="1">
        <f>IFERROR(__xludf.DUMMYFUNCTION("""COMPUTED_VALUE"""),68.1)</f>
        <v>68.1</v>
      </c>
      <c r="G18" s="1">
        <f>IFERROR(__xludf.DUMMYFUNCTION("""COMPUTED_VALUE"""),64.28)</f>
        <v>64.28</v>
      </c>
      <c r="H18" s="1">
        <f>IFERROR(__xludf.DUMMYFUNCTION("""COMPUTED_VALUE"""),101.67)</f>
        <v>101.67</v>
      </c>
    </row>
    <row r="19">
      <c r="A19" s="1"/>
      <c r="B19" s="1" t="str">
        <f>IFERROR(__xludf.DUMMYFUNCTION("""COMPUTED_VALUE"""),"Lebanon")</f>
        <v>Lebanon</v>
      </c>
      <c r="C19" s="1">
        <f>IFERROR(__xludf.DUMMYFUNCTION("""COMPUTED_VALUE"""),68.53)</f>
        <v>68.53</v>
      </c>
      <c r="D19" s="1">
        <f>IFERROR(__xludf.DUMMYFUNCTION("""COMPUTED_VALUE"""),20.71)</f>
        <v>20.71</v>
      </c>
      <c r="E19" s="1">
        <f>IFERROR(__xludf.DUMMYFUNCTION("""COMPUTED_VALUE"""),45.78)</f>
        <v>45.78</v>
      </c>
      <c r="F19" s="1">
        <f>IFERROR(__xludf.DUMMYFUNCTION("""COMPUTED_VALUE"""),68.17)</f>
        <v>68.17</v>
      </c>
      <c r="G19" s="1">
        <f>IFERROR(__xludf.DUMMYFUNCTION("""COMPUTED_VALUE"""),48.91)</f>
        <v>48.91</v>
      </c>
      <c r="H19" s="1">
        <f>IFERROR(__xludf.DUMMYFUNCTION("""COMPUTED_VALUE"""),31.98)</f>
        <v>31.98</v>
      </c>
    </row>
    <row r="20">
      <c r="A20" s="1"/>
      <c r="B20" s="1" t="str">
        <f>IFERROR(__xludf.DUMMYFUNCTION("""COMPUTED_VALUE"""),"Macao")</f>
        <v>Macao</v>
      </c>
      <c r="C20" s="1">
        <f>IFERROR(__xludf.DUMMYFUNCTION("""COMPUTED_VALUE"""),68.39)</f>
        <v>68.39</v>
      </c>
      <c r="D20" s="1">
        <f>IFERROR(__xludf.DUMMYFUNCTION("""COMPUTED_VALUE"""),36.63)</f>
        <v>36.63</v>
      </c>
      <c r="E20" s="1">
        <f>IFERROR(__xludf.DUMMYFUNCTION("""COMPUTED_VALUE"""),53.28)</f>
        <v>53.28</v>
      </c>
      <c r="F20" s="1">
        <f>IFERROR(__xludf.DUMMYFUNCTION("""COMPUTED_VALUE"""),73.6)</f>
        <v>73.6</v>
      </c>
      <c r="G20" s="1">
        <f>IFERROR(__xludf.DUMMYFUNCTION("""COMPUTED_VALUE"""),48.7)</f>
        <v>48.7</v>
      </c>
      <c r="H20" s="1">
        <f>IFERROR(__xludf.DUMMYFUNCTION("""COMPUTED_VALUE"""),72.82)</f>
        <v>72.82</v>
      </c>
    </row>
    <row r="21">
      <c r="A21" s="1"/>
      <c r="B21" s="1" t="str">
        <f>IFERROR(__xludf.DUMMYFUNCTION("""COMPUTED_VALUE"""),"Netherlands")</f>
        <v>Netherlands</v>
      </c>
      <c r="C21" s="1">
        <f>IFERROR(__xludf.DUMMYFUNCTION("""COMPUTED_VALUE"""),67.71)</f>
        <v>67.71</v>
      </c>
      <c r="D21" s="1">
        <f>IFERROR(__xludf.DUMMYFUNCTION("""COMPUTED_VALUE"""),33.37)</f>
        <v>33.37</v>
      </c>
      <c r="E21" s="1">
        <f>IFERROR(__xludf.DUMMYFUNCTION("""COMPUTED_VALUE"""),51.37)</f>
        <v>51.37</v>
      </c>
      <c r="F21" s="1">
        <f>IFERROR(__xludf.DUMMYFUNCTION("""COMPUTED_VALUE"""),58.11)</f>
        <v>58.11</v>
      </c>
      <c r="G21" s="1">
        <f>IFERROR(__xludf.DUMMYFUNCTION("""COMPUTED_VALUE"""),64.7)</f>
        <v>64.7</v>
      </c>
      <c r="H21" s="1">
        <f>IFERROR(__xludf.DUMMYFUNCTION("""COMPUTED_VALUE"""),99.58)</f>
        <v>99.58</v>
      </c>
    </row>
    <row r="22">
      <c r="A22" s="1"/>
      <c r="B22" s="1" t="str">
        <f>IFERROR(__xludf.DUMMYFUNCTION("""COMPUTED_VALUE"""),"South Korea")</f>
        <v>South Korea</v>
      </c>
      <c r="C22" s="1">
        <f>IFERROR(__xludf.DUMMYFUNCTION("""COMPUTED_VALUE"""),66.95)</f>
        <v>66.95</v>
      </c>
      <c r="D22" s="1">
        <f>IFERROR(__xludf.DUMMYFUNCTION("""COMPUTED_VALUE"""),16.47)</f>
        <v>16.47</v>
      </c>
      <c r="E22" s="1">
        <f>IFERROR(__xludf.DUMMYFUNCTION("""COMPUTED_VALUE"""),42.94)</f>
        <v>42.94</v>
      </c>
      <c r="F22" s="1">
        <f>IFERROR(__xludf.DUMMYFUNCTION("""COMPUTED_VALUE"""),84.47)</f>
        <v>84.47</v>
      </c>
      <c r="G22" s="1">
        <f>IFERROR(__xludf.DUMMYFUNCTION("""COMPUTED_VALUE"""),36.82)</f>
        <v>36.82</v>
      </c>
      <c r="H22" s="1">
        <f>IFERROR(__xludf.DUMMYFUNCTION("""COMPUTED_VALUE"""),81.3)</f>
        <v>81.3</v>
      </c>
    </row>
    <row r="23">
      <c r="A23" s="1"/>
      <c r="B23" s="1" t="str">
        <f>IFERROR(__xludf.DUMMYFUNCTION("""COMPUTED_VALUE"""),"Ireland")</f>
        <v>Ireland</v>
      </c>
      <c r="C23" s="1">
        <f>IFERROR(__xludf.DUMMYFUNCTION("""COMPUTED_VALUE"""),66.73)</f>
        <v>66.73</v>
      </c>
      <c r="D23" s="1">
        <f>IFERROR(__xludf.DUMMYFUNCTION("""COMPUTED_VALUE"""),44.19)</f>
        <v>44.19</v>
      </c>
      <c r="E23" s="1">
        <f>IFERROR(__xludf.DUMMYFUNCTION("""COMPUTED_VALUE"""),56.0)</f>
        <v>56</v>
      </c>
      <c r="F23" s="1">
        <f>IFERROR(__xludf.DUMMYFUNCTION("""COMPUTED_VALUE"""),54.18)</f>
        <v>54.18</v>
      </c>
      <c r="G23" s="1">
        <f>IFERROR(__xludf.DUMMYFUNCTION("""COMPUTED_VALUE"""),66.72)</f>
        <v>66.72</v>
      </c>
      <c r="H23" s="1">
        <f>IFERROR(__xludf.DUMMYFUNCTION("""COMPUTED_VALUE"""),75.2)</f>
        <v>75.2</v>
      </c>
    </row>
    <row r="24">
      <c r="A24" s="1"/>
      <c r="B24" s="1" t="str">
        <f>IFERROR(__xludf.DUMMYFUNCTION("""COMPUTED_VALUE"""),"France")</f>
        <v>France</v>
      </c>
      <c r="C24" s="1">
        <f>IFERROR(__xludf.DUMMYFUNCTION("""COMPUTED_VALUE"""),65.55)</f>
        <v>65.55</v>
      </c>
      <c r="D24" s="1">
        <f>IFERROR(__xludf.DUMMYFUNCTION("""COMPUTED_VALUE"""),24.88)</f>
        <v>24.88</v>
      </c>
      <c r="E24" s="1">
        <f>IFERROR(__xludf.DUMMYFUNCTION("""COMPUTED_VALUE"""),46.2)</f>
        <v>46.2</v>
      </c>
      <c r="F24" s="1">
        <f>IFERROR(__xludf.DUMMYFUNCTION("""COMPUTED_VALUE"""),63.17)</f>
        <v>63.17</v>
      </c>
      <c r="G24" s="1">
        <f>IFERROR(__xludf.DUMMYFUNCTION("""COMPUTED_VALUE"""),63.58)</f>
        <v>63.58</v>
      </c>
      <c r="H24" s="1">
        <f>IFERROR(__xludf.DUMMYFUNCTION("""COMPUTED_VALUE"""),79.61)</f>
        <v>79.61</v>
      </c>
    </row>
    <row r="25">
      <c r="A25" s="1"/>
      <c r="B25" s="1" t="str">
        <f>IFERROR(__xludf.DUMMYFUNCTION("""COMPUTED_VALUE"""),"Puerto Rico")</f>
        <v>Puerto Rico</v>
      </c>
      <c r="C25" s="1">
        <f>IFERROR(__xludf.DUMMYFUNCTION("""COMPUTED_VALUE"""),64.58)</f>
        <v>64.58</v>
      </c>
      <c r="D25" s="1">
        <f>IFERROR(__xludf.DUMMYFUNCTION("""COMPUTED_VALUE"""),21.59)</f>
        <v>21.59</v>
      </c>
      <c r="E25" s="1">
        <f>IFERROR(__xludf.DUMMYFUNCTION("""COMPUTED_VALUE"""),44.13)</f>
        <v>44.13</v>
      </c>
      <c r="F25" s="1">
        <f>IFERROR(__xludf.DUMMYFUNCTION("""COMPUTED_VALUE"""),66.06)</f>
        <v>66.06</v>
      </c>
      <c r="G25" s="1">
        <f>IFERROR(__xludf.DUMMYFUNCTION("""COMPUTED_VALUE"""),53.57)</f>
        <v>53.57</v>
      </c>
      <c r="H25" s="1">
        <f>IFERROR(__xludf.DUMMYFUNCTION("""COMPUTED_VALUE"""),65.41)</f>
        <v>65.41</v>
      </c>
    </row>
    <row r="26">
      <c r="A26" s="1"/>
      <c r="B26" s="1" t="str">
        <f>IFERROR(__xludf.DUMMYFUNCTION("""COMPUTED_VALUE"""),"Austria")</f>
        <v>Austria</v>
      </c>
      <c r="C26" s="1">
        <f>IFERROR(__xludf.DUMMYFUNCTION("""COMPUTED_VALUE"""),64.11)</f>
        <v>64.11</v>
      </c>
      <c r="D26" s="1">
        <f>IFERROR(__xludf.DUMMYFUNCTION("""COMPUTED_VALUE"""),22.75)</f>
        <v>22.75</v>
      </c>
      <c r="E26" s="1">
        <f>IFERROR(__xludf.DUMMYFUNCTION("""COMPUTED_VALUE"""),44.44)</f>
        <v>44.44</v>
      </c>
      <c r="F26" s="1">
        <f>IFERROR(__xludf.DUMMYFUNCTION("""COMPUTED_VALUE"""),58.04)</f>
        <v>58.04</v>
      </c>
      <c r="G26" s="1">
        <f>IFERROR(__xludf.DUMMYFUNCTION("""COMPUTED_VALUE"""),60.66)</f>
        <v>60.66</v>
      </c>
      <c r="H26" s="1">
        <f>IFERROR(__xludf.DUMMYFUNCTION("""COMPUTED_VALUE"""),75.09)</f>
        <v>75.09</v>
      </c>
    </row>
    <row r="27">
      <c r="A27" s="1"/>
      <c r="B27" s="1" t="str">
        <f>IFERROR(__xludf.DUMMYFUNCTION("""COMPUTED_VALUE"""),"Finland")</f>
        <v>Finland</v>
      </c>
      <c r="C27" s="1">
        <f>IFERROR(__xludf.DUMMYFUNCTION("""COMPUTED_VALUE"""),63.75)</f>
        <v>63.75</v>
      </c>
      <c r="D27" s="1">
        <f>IFERROR(__xludf.DUMMYFUNCTION("""COMPUTED_VALUE"""),21.89)</f>
        <v>21.89</v>
      </c>
      <c r="E27" s="1">
        <f>IFERROR(__xludf.DUMMYFUNCTION("""COMPUTED_VALUE"""),43.83)</f>
        <v>43.83</v>
      </c>
      <c r="F27" s="1">
        <f>IFERROR(__xludf.DUMMYFUNCTION("""COMPUTED_VALUE"""),56.42)</f>
        <v>56.42</v>
      </c>
      <c r="G27" s="1">
        <f>IFERROR(__xludf.DUMMYFUNCTION("""COMPUTED_VALUE"""),63.59)</f>
        <v>63.59</v>
      </c>
      <c r="H27" s="1">
        <f>IFERROR(__xludf.DUMMYFUNCTION("""COMPUTED_VALUE"""),91.0)</f>
        <v>91</v>
      </c>
    </row>
    <row r="28">
      <c r="A28" s="1"/>
      <c r="B28" s="1" t="str">
        <f>IFERROR(__xludf.DUMMYFUNCTION("""COMPUTED_VALUE"""),"Belgium")</f>
        <v>Belgium</v>
      </c>
      <c r="C28" s="1">
        <f>IFERROR(__xludf.DUMMYFUNCTION("""COMPUTED_VALUE"""),62.8)</f>
        <v>62.8</v>
      </c>
      <c r="D28" s="1">
        <f>IFERROR(__xludf.DUMMYFUNCTION("""COMPUTED_VALUE"""),21.46)</f>
        <v>21.46</v>
      </c>
      <c r="E28" s="1">
        <f>IFERROR(__xludf.DUMMYFUNCTION("""COMPUTED_VALUE"""),43.14)</f>
        <v>43.14</v>
      </c>
      <c r="F28" s="1">
        <f>IFERROR(__xludf.DUMMYFUNCTION("""COMPUTED_VALUE"""),53.17)</f>
        <v>53.17</v>
      </c>
      <c r="G28" s="1">
        <f>IFERROR(__xludf.DUMMYFUNCTION("""COMPUTED_VALUE"""),65.92)</f>
        <v>65.92</v>
      </c>
      <c r="H28" s="1">
        <f>IFERROR(__xludf.DUMMYFUNCTION("""COMPUTED_VALUE"""),86.27)</f>
        <v>86.27</v>
      </c>
    </row>
    <row r="29">
      <c r="A29" s="1"/>
      <c r="B29" s="1" t="str">
        <f>IFERROR(__xludf.DUMMYFUNCTION("""COMPUTED_VALUE"""),"Japan")</f>
        <v>Japan</v>
      </c>
      <c r="C29" s="1">
        <f>IFERROR(__xludf.DUMMYFUNCTION("""COMPUTED_VALUE"""),62.77)</f>
        <v>62.77</v>
      </c>
      <c r="D29" s="1">
        <f>IFERROR(__xludf.DUMMYFUNCTION("""COMPUTED_VALUE"""),20.85)</f>
        <v>20.85</v>
      </c>
      <c r="E29" s="1">
        <f>IFERROR(__xludf.DUMMYFUNCTION("""COMPUTED_VALUE"""),42.83)</f>
        <v>42.83</v>
      </c>
      <c r="F29" s="1">
        <f>IFERROR(__xludf.DUMMYFUNCTION("""COMPUTED_VALUE"""),66.56)</f>
        <v>66.56</v>
      </c>
      <c r="G29" s="1">
        <f>IFERROR(__xludf.DUMMYFUNCTION("""COMPUTED_VALUE"""),35.57)</f>
        <v>35.57</v>
      </c>
      <c r="H29" s="1">
        <f>IFERROR(__xludf.DUMMYFUNCTION("""COMPUTED_VALUE"""),91.13)</f>
        <v>91.13</v>
      </c>
    </row>
    <row r="30">
      <c r="A30" s="1"/>
      <c r="B30" s="1" t="str">
        <f>IFERROR(__xludf.DUMMYFUNCTION("""COMPUTED_VALUE"""),"Sweden")</f>
        <v>Sweden</v>
      </c>
      <c r="C30" s="1">
        <f>IFERROR(__xludf.DUMMYFUNCTION("""COMPUTED_VALUE"""),61.77)</f>
        <v>61.77</v>
      </c>
      <c r="D30" s="1">
        <f>IFERROR(__xludf.DUMMYFUNCTION("""COMPUTED_VALUE"""),23.05)</f>
        <v>23.05</v>
      </c>
      <c r="E30" s="1">
        <f>IFERROR(__xludf.DUMMYFUNCTION("""COMPUTED_VALUE"""),43.35)</f>
        <v>43.35</v>
      </c>
      <c r="F30" s="1">
        <f>IFERROR(__xludf.DUMMYFUNCTION("""COMPUTED_VALUE"""),54.86)</f>
        <v>54.86</v>
      </c>
      <c r="G30" s="1">
        <f>IFERROR(__xludf.DUMMYFUNCTION("""COMPUTED_VALUE"""),62.29)</f>
        <v>62.29</v>
      </c>
      <c r="H30" s="1">
        <f>IFERROR(__xludf.DUMMYFUNCTION("""COMPUTED_VALUE"""),94.93)</f>
        <v>94.93</v>
      </c>
    </row>
    <row r="31">
      <c r="A31" s="1"/>
      <c r="B31" s="1" t="str">
        <f>IFERROR(__xludf.DUMMYFUNCTION("""COMPUTED_VALUE"""),"Qatar")</f>
        <v>Qatar</v>
      </c>
      <c r="C31" s="1">
        <f>IFERROR(__xludf.DUMMYFUNCTION("""COMPUTED_VALUE"""),60.56)</f>
        <v>60.56</v>
      </c>
      <c r="D31" s="1">
        <f>IFERROR(__xludf.DUMMYFUNCTION("""COMPUTED_VALUE"""),50.37)</f>
        <v>50.37</v>
      </c>
      <c r="E31" s="1">
        <f>IFERROR(__xludf.DUMMYFUNCTION("""COMPUTED_VALUE"""),55.71)</f>
        <v>55.71</v>
      </c>
      <c r="F31" s="1">
        <f>IFERROR(__xludf.DUMMYFUNCTION("""COMPUTED_VALUE"""),51.61)</f>
        <v>51.61</v>
      </c>
      <c r="G31" s="1">
        <f>IFERROR(__xludf.DUMMYFUNCTION("""COMPUTED_VALUE"""),58.46)</f>
        <v>58.46</v>
      </c>
      <c r="H31" s="1">
        <f>IFERROR(__xludf.DUMMYFUNCTION("""COMPUTED_VALUE"""),98.13)</f>
        <v>98.13</v>
      </c>
    </row>
    <row r="32">
      <c r="A32" s="1"/>
      <c r="B32" s="1" t="str">
        <f>IFERROR(__xludf.DUMMYFUNCTION("""COMPUTED_VALUE"""),"United Kingdom")</f>
        <v>United Kingdom</v>
      </c>
      <c r="C32" s="1">
        <f>IFERROR(__xludf.DUMMYFUNCTION("""COMPUTED_VALUE"""),60.42)</f>
        <v>60.42</v>
      </c>
      <c r="D32" s="1">
        <f>IFERROR(__xludf.DUMMYFUNCTION("""COMPUTED_VALUE"""),30.99)</f>
        <v>30.99</v>
      </c>
      <c r="E32" s="1">
        <f>IFERROR(__xludf.DUMMYFUNCTION("""COMPUTED_VALUE"""),46.42)</f>
        <v>46.42</v>
      </c>
      <c r="F32" s="1">
        <f>IFERROR(__xludf.DUMMYFUNCTION("""COMPUTED_VALUE"""),48.68)</f>
        <v>48.68</v>
      </c>
      <c r="G32" s="1">
        <f>IFERROR(__xludf.DUMMYFUNCTION("""COMPUTED_VALUE"""),63.73)</f>
        <v>63.73</v>
      </c>
      <c r="H32" s="1">
        <f>IFERROR(__xludf.DUMMYFUNCTION("""COMPUTED_VALUE"""),92.86)</f>
        <v>92.86</v>
      </c>
    </row>
    <row r="33">
      <c r="A33" s="1"/>
      <c r="B33" s="1" t="str">
        <f>IFERROR(__xludf.DUMMYFUNCTION("""COMPUTED_VALUE"""),"Germany")</f>
        <v>Germany</v>
      </c>
      <c r="C33" s="1">
        <f>IFERROR(__xludf.DUMMYFUNCTION("""COMPUTED_VALUE"""),59.62)</f>
        <v>59.62</v>
      </c>
      <c r="D33" s="1">
        <f>IFERROR(__xludf.DUMMYFUNCTION("""COMPUTED_VALUE"""),25.98)</f>
        <v>25.98</v>
      </c>
      <c r="E33" s="1">
        <f>IFERROR(__xludf.DUMMYFUNCTION("""COMPUTED_VALUE"""),43.62)</f>
        <v>43.62</v>
      </c>
      <c r="F33" s="1">
        <f>IFERROR(__xludf.DUMMYFUNCTION("""COMPUTED_VALUE"""),48.63)</f>
        <v>48.63</v>
      </c>
      <c r="G33" s="1">
        <f>IFERROR(__xludf.DUMMYFUNCTION("""COMPUTED_VALUE"""),52.44)</f>
        <v>52.44</v>
      </c>
      <c r="H33" s="1">
        <f>IFERROR(__xludf.DUMMYFUNCTION("""COMPUTED_VALUE"""),102.75)</f>
        <v>102.75</v>
      </c>
    </row>
    <row r="34">
      <c r="A34" s="1"/>
      <c r="B34" s="1" t="str">
        <f>IFERROR(__xludf.DUMMYFUNCTION("""COMPUTED_VALUE"""),"Uruguay")</f>
        <v>Uruguay</v>
      </c>
      <c r="C34" s="1">
        <f>IFERROR(__xludf.DUMMYFUNCTION("""COMPUTED_VALUE"""),59.05)</f>
        <v>59.05</v>
      </c>
      <c r="D34" s="1">
        <f>IFERROR(__xludf.DUMMYFUNCTION("""COMPUTED_VALUE"""),15.0)</f>
        <v>15</v>
      </c>
      <c r="E34" s="1">
        <f>IFERROR(__xludf.DUMMYFUNCTION("""COMPUTED_VALUE"""),38.09)</f>
        <v>38.09</v>
      </c>
      <c r="F34" s="1">
        <f>IFERROR(__xludf.DUMMYFUNCTION("""COMPUTED_VALUE"""),48.69)</f>
        <v>48.69</v>
      </c>
      <c r="G34" s="1">
        <f>IFERROR(__xludf.DUMMYFUNCTION("""COMPUTED_VALUE"""),57.73)</f>
        <v>57.73</v>
      </c>
      <c r="H34" s="1">
        <f>IFERROR(__xludf.DUMMYFUNCTION("""COMPUTED_VALUE"""),28.64)</f>
        <v>28.64</v>
      </c>
    </row>
    <row r="35">
      <c r="A35" s="1"/>
      <c r="B35" s="1" t="str">
        <f>IFERROR(__xludf.DUMMYFUNCTION("""COMPUTED_VALUE"""),"Italy")</f>
        <v>Italy</v>
      </c>
      <c r="C35" s="1">
        <f>IFERROR(__xludf.DUMMYFUNCTION("""COMPUTED_VALUE"""),58.47)</f>
        <v>58.47</v>
      </c>
      <c r="D35" s="1">
        <f>IFERROR(__xludf.DUMMYFUNCTION("""COMPUTED_VALUE"""),20.95)</f>
        <v>20.95</v>
      </c>
      <c r="E35" s="1">
        <f>IFERROR(__xludf.DUMMYFUNCTION("""COMPUTED_VALUE"""),40.62)</f>
        <v>40.62</v>
      </c>
      <c r="F35" s="1">
        <f>IFERROR(__xludf.DUMMYFUNCTION("""COMPUTED_VALUE"""),49.91)</f>
        <v>49.91</v>
      </c>
      <c r="G35" s="1">
        <f>IFERROR(__xludf.DUMMYFUNCTION("""COMPUTED_VALUE"""),59.12)</f>
        <v>59.12</v>
      </c>
      <c r="H35" s="1">
        <f>IFERROR(__xludf.DUMMYFUNCTION("""COMPUTED_VALUE"""),58.0)</f>
        <v>58</v>
      </c>
    </row>
    <row r="36">
      <c r="A36" s="1"/>
      <c r="B36" s="1" t="str">
        <f>IFERROR(__xludf.DUMMYFUNCTION("""COMPUTED_VALUE"""),"United Arab Emirates")</f>
        <v>United Arab Emirates</v>
      </c>
      <c r="C36" s="1">
        <f>IFERROR(__xludf.DUMMYFUNCTION("""COMPUTED_VALUE"""),58.01)</f>
        <v>58.01</v>
      </c>
      <c r="D36" s="1">
        <f>IFERROR(__xludf.DUMMYFUNCTION("""COMPUTED_VALUE"""),37.34)</f>
        <v>37.34</v>
      </c>
      <c r="E36" s="1">
        <f>IFERROR(__xludf.DUMMYFUNCTION("""COMPUTED_VALUE"""),48.18)</f>
        <v>48.18</v>
      </c>
      <c r="F36" s="1">
        <f>IFERROR(__xludf.DUMMYFUNCTION("""COMPUTED_VALUE"""),46.72)</f>
        <v>46.72</v>
      </c>
      <c r="G36" s="1">
        <f>IFERROR(__xludf.DUMMYFUNCTION("""COMPUTED_VALUE"""),53.87)</f>
        <v>53.87</v>
      </c>
      <c r="H36" s="1">
        <f>IFERROR(__xludf.DUMMYFUNCTION("""COMPUTED_VALUE"""),118.94)</f>
        <v>118.94</v>
      </c>
    </row>
    <row r="37">
      <c r="A37" s="1"/>
      <c r="B37" s="1" t="str">
        <f>IFERROR(__xludf.DUMMYFUNCTION("""COMPUTED_VALUE"""),"Malta")</f>
        <v>Malta</v>
      </c>
      <c r="C37" s="1">
        <f>IFERROR(__xludf.DUMMYFUNCTION("""COMPUTED_VALUE"""),57.71)</f>
        <v>57.71</v>
      </c>
      <c r="D37" s="1">
        <f>IFERROR(__xludf.DUMMYFUNCTION("""COMPUTED_VALUE"""),24.68)</f>
        <v>24.68</v>
      </c>
      <c r="E37" s="1">
        <f>IFERROR(__xludf.DUMMYFUNCTION("""COMPUTED_VALUE"""),41.99)</f>
        <v>41.99</v>
      </c>
      <c r="F37" s="1">
        <f>IFERROR(__xludf.DUMMYFUNCTION("""COMPUTED_VALUE"""),50.77)</f>
        <v>50.77</v>
      </c>
      <c r="G37" s="1">
        <f>IFERROR(__xludf.DUMMYFUNCTION("""COMPUTED_VALUE"""),58.76)</f>
        <v>58.76</v>
      </c>
      <c r="H37" s="1">
        <f>IFERROR(__xludf.DUMMYFUNCTION("""COMPUTED_VALUE"""),44.8)</f>
        <v>44.8</v>
      </c>
    </row>
    <row r="38">
      <c r="A38" s="1"/>
      <c r="B38" s="1" t="str">
        <f>IFERROR(__xludf.DUMMYFUNCTION("""COMPUTED_VALUE"""),"Taiwan")</f>
        <v>Taiwan</v>
      </c>
      <c r="C38" s="1">
        <f>IFERROR(__xludf.DUMMYFUNCTION("""COMPUTED_VALUE"""),55.95)</f>
        <v>55.95</v>
      </c>
      <c r="D38" s="1">
        <f>IFERROR(__xludf.DUMMYFUNCTION("""COMPUTED_VALUE"""),15.41)</f>
        <v>15.41</v>
      </c>
      <c r="E38" s="1">
        <f>IFERROR(__xludf.DUMMYFUNCTION("""COMPUTED_VALUE"""),36.66)</f>
        <v>36.66</v>
      </c>
      <c r="F38" s="1">
        <f>IFERROR(__xludf.DUMMYFUNCTION("""COMPUTED_VALUE"""),66.99)</f>
        <v>66.99</v>
      </c>
      <c r="G38" s="1">
        <f>IFERROR(__xludf.DUMMYFUNCTION("""COMPUTED_VALUE"""),27.04)</f>
        <v>27.04</v>
      </c>
      <c r="H38" s="1">
        <f>IFERROR(__xludf.DUMMYFUNCTION("""COMPUTED_VALUE"""),61.78)</f>
        <v>61.78</v>
      </c>
    </row>
    <row r="39">
      <c r="A39" s="1"/>
      <c r="B39" s="1" t="str">
        <f>IFERROR(__xludf.DUMMYFUNCTION("""COMPUTED_VALUE"""),"Maldives")</f>
        <v>Maldives</v>
      </c>
      <c r="C39" s="1">
        <f>IFERROR(__xludf.DUMMYFUNCTION("""COMPUTED_VALUE"""),54.49)</f>
        <v>54.49</v>
      </c>
      <c r="D39" s="1">
        <f>IFERROR(__xludf.DUMMYFUNCTION("""COMPUTED_VALUE"""),27.42)</f>
        <v>27.42</v>
      </c>
      <c r="E39" s="1">
        <f>IFERROR(__xludf.DUMMYFUNCTION("""COMPUTED_VALUE"""),41.61)</f>
        <v>41.61</v>
      </c>
      <c r="F39" s="1">
        <f>IFERROR(__xludf.DUMMYFUNCTION("""COMPUTED_VALUE"""),52.99)</f>
        <v>52.99</v>
      </c>
      <c r="G39" s="1">
        <f>IFERROR(__xludf.DUMMYFUNCTION("""COMPUTED_VALUE"""),32.27)</f>
        <v>32.27</v>
      </c>
      <c r="H39" s="1">
        <f>IFERROR(__xludf.DUMMYFUNCTION("""COMPUTED_VALUE"""),31.8)</f>
        <v>31.8</v>
      </c>
    </row>
    <row r="40">
      <c r="A40" s="1"/>
      <c r="B40" s="1" t="str">
        <f>IFERROR(__xludf.DUMMYFUNCTION("""COMPUTED_VALUE"""),"Cuba")</f>
        <v>Cuba</v>
      </c>
      <c r="C40" s="1">
        <f>IFERROR(__xludf.DUMMYFUNCTION("""COMPUTED_VALUE"""),54.02)</f>
        <v>54.02</v>
      </c>
      <c r="D40" s="1">
        <f>IFERROR(__xludf.DUMMYFUNCTION("""COMPUTED_VALUE"""),16.38)</f>
        <v>16.38</v>
      </c>
      <c r="E40" s="1">
        <f>IFERROR(__xludf.DUMMYFUNCTION("""COMPUTED_VALUE"""),36.12)</f>
        <v>36.12</v>
      </c>
      <c r="F40" s="1">
        <f>IFERROR(__xludf.DUMMYFUNCTION("""COMPUTED_VALUE"""),48.39)</f>
        <v>48.39</v>
      </c>
      <c r="G40" s="1">
        <f>IFERROR(__xludf.DUMMYFUNCTION("""COMPUTED_VALUE"""),31.63)</f>
        <v>31.63</v>
      </c>
      <c r="H40" s="1">
        <f>IFERROR(__xludf.DUMMYFUNCTION("""COMPUTED_VALUE"""),1.48)</f>
        <v>1.48</v>
      </c>
    </row>
    <row r="41">
      <c r="A41" s="1"/>
      <c r="B41" s="1" t="str">
        <f>IFERROR(__xludf.DUMMYFUNCTION("""COMPUTED_VALUE"""),"Bahrain")</f>
        <v>Bahrain</v>
      </c>
      <c r="C41" s="1">
        <f>IFERROR(__xludf.DUMMYFUNCTION("""COMPUTED_VALUE"""),53.84)</f>
        <v>53.84</v>
      </c>
      <c r="D41" s="1">
        <f>IFERROR(__xludf.DUMMYFUNCTION("""COMPUTED_VALUE"""),27.61)</f>
        <v>27.61</v>
      </c>
      <c r="E41" s="1">
        <f>IFERROR(__xludf.DUMMYFUNCTION("""COMPUTED_VALUE"""),41.36)</f>
        <v>41.36</v>
      </c>
      <c r="F41" s="1">
        <f>IFERROR(__xludf.DUMMYFUNCTION("""COMPUTED_VALUE"""),43.46)</f>
        <v>43.46</v>
      </c>
      <c r="G41" s="1">
        <f>IFERROR(__xludf.DUMMYFUNCTION("""COMPUTED_VALUE"""),47.34)</f>
        <v>47.34</v>
      </c>
      <c r="H41" s="1">
        <f>IFERROR(__xludf.DUMMYFUNCTION("""COMPUTED_VALUE"""),60.36)</f>
        <v>60.36</v>
      </c>
    </row>
    <row r="42">
      <c r="A42" s="1"/>
      <c r="B42" s="1" t="str">
        <f>IFERROR(__xludf.DUMMYFUNCTION("""COMPUTED_VALUE"""),"Trinidad And Tobago")</f>
        <v>Trinidad And Tobago</v>
      </c>
      <c r="C42" s="1">
        <f>IFERROR(__xludf.DUMMYFUNCTION("""COMPUTED_VALUE"""),53.38)</f>
        <v>53.38</v>
      </c>
      <c r="D42" s="1">
        <f>IFERROR(__xludf.DUMMYFUNCTION("""COMPUTED_VALUE"""),14.14)</f>
        <v>14.14</v>
      </c>
      <c r="E42" s="1">
        <f>IFERROR(__xludf.DUMMYFUNCTION("""COMPUTED_VALUE"""),34.71)</f>
        <v>34.71</v>
      </c>
      <c r="F42" s="1">
        <f>IFERROR(__xludf.DUMMYFUNCTION("""COMPUTED_VALUE"""),52.79)</f>
        <v>52.79</v>
      </c>
      <c r="G42" s="1">
        <f>IFERROR(__xludf.DUMMYFUNCTION("""COMPUTED_VALUE"""),50.59)</f>
        <v>50.59</v>
      </c>
      <c r="H42" s="1">
        <f>IFERROR(__xludf.DUMMYFUNCTION("""COMPUTED_VALUE"""),37.35)</f>
        <v>37.35</v>
      </c>
    </row>
    <row r="43">
      <c r="A43" s="1"/>
      <c r="B43" s="1" t="str">
        <f>IFERROR(__xludf.DUMMYFUNCTION("""COMPUTED_VALUE"""),"Cyprus")</f>
        <v>Cyprus</v>
      </c>
      <c r="C43" s="1">
        <f>IFERROR(__xludf.DUMMYFUNCTION("""COMPUTED_VALUE"""),52.48)</f>
        <v>52.48</v>
      </c>
      <c r="D43" s="1">
        <f>IFERROR(__xludf.DUMMYFUNCTION("""COMPUTED_VALUE"""),23.37)</f>
        <v>23.37</v>
      </c>
      <c r="E43" s="1">
        <f>IFERROR(__xludf.DUMMYFUNCTION("""COMPUTED_VALUE"""),38.63)</f>
        <v>38.63</v>
      </c>
      <c r="F43" s="1">
        <f>IFERROR(__xludf.DUMMYFUNCTION("""COMPUTED_VALUE"""),43.18)</f>
        <v>43.18</v>
      </c>
      <c r="G43" s="1">
        <f>IFERROR(__xludf.DUMMYFUNCTION("""COMPUTED_VALUE"""),52.62)</f>
        <v>52.62</v>
      </c>
      <c r="H43" s="1">
        <f>IFERROR(__xludf.DUMMYFUNCTION("""COMPUTED_VALUE"""),54.47)</f>
        <v>54.47</v>
      </c>
    </row>
    <row r="44">
      <c r="A44" s="1"/>
      <c r="B44" s="1" t="str">
        <f>IFERROR(__xludf.DUMMYFUNCTION("""COMPUTED_VALUE"""),"Jamaica")</f>
        <v>Jamaica</v>
      </c>
      <c r="C44" s="1">
        <f>IFERROR(__xludf.DUMMYFUNCTION("""COMPUTED_VALUE"""),50.75)</f>
        <v>50.75</v>
      </c>
      <c r="D44" s="1">
        <f>IFERROR(__xludf.DUMMYFUNCTION("""COMPUTED_VALUE"""),14.82)</f>
        <v>14.82</v>
      </c>
      <c r="E44" s="1">
        <f>IFERROR(__xludf.DUMMYFUNCTION("""COMPUTED_VALUE"""),33.66)</f>
        <v>33.66</v>
      </c>
      <c r="F44" s="1">
        <f>IFERROR(__xludf.DUMMYFUNCTION("""COMPUTED_VALUE"""),52.61)</f>
        <v>52.61</v>
      </c>
      <c r="G44" s="1">
        <f>IFERROR(__xludf.DUMMYFUNCTION("""COMPUTED_VALUE"""),35.51)</f>
        <v>35.51</v>
      </c>
      <c r="H44" s="1">
        <f>IFERROR(__xludf.DUMMYFUNCTION("""COMPUTED_VALUE"""),26.25)</f>
        <v>26.25</v>
      </c>
    </row>
    <row r="45">
      <c r="A45" s="1"/>
      <c r="B45" s="1" t="str">
        <f>IFERROR(__xludf.DUMMYFUNCTION("""COMPUTED_VALUE"""),"Saudi Arabia")</f>
        <v>Saudi Arabia</v>
      </c>
      <c r="C45" s="1">
        <f>IFERROR(__xludf.DUMMYFUNCTION("""COMPUTED_VALUE"""),50.35)</f>
        <v>50.35</v>
      </c>
      <c r="D45" s="1">
        <f>IFERROR(__xludf.DUMMYFUNCTION("""COMPUTED_VALUE"""),11.29)</f>
        <v>11.29</v>
      </c>
      <c r="E45" s="1">
        <f>IFERROR(__xludf.DUMMYFUNCTION("""COMPUTED_VALUE"""),31.77)</f>
        <v>31.77</v>
      </c>
      <c r="F45" s="1">
        <f>IFERROR(__xludf.DUMMYFUNCTION("""COMPUTED_VALUE"""),42.47)</f>
        <v>42.47</v>
      </c>
      <c r="G45" s="1">
        <f>IFERROR(__xludf.DUMMYFUNCTION("""COMPUTED_VALUE"""),36.67)</f>
        <v>36.67</v>
      </c>
      <c r="H45" s="1">
        <f>IFERROR(__xludf.DUMMYFUNCTION("""COMPUTED_VALUE"""),93.26)</f>
        <v>93.26</v>
      </c>
    </row>
    <row r="46">
      <c r="A46" s="1"/>
      <c r="B46" s="1" t="str">
        <f>IFERROR(__xludf.DUMMYFUNCTION("""COMPUTED_VALUE"""),"Palestine")</f>
        <v>Palestine</v>
      </c>
      <c r="C46" s="1">
        <f>IFERROR(__xludf.DUMMYFUNCTION("""COMPUTED_VALUE"""),50.25)</f>
        <v>50.25</v>
      </c>
      <c r="D46" s="1">
        <f>IFERROR(__xludf.DUMMYFUNCTION("""COMPUTED_VALUE"""),9.51)</f>
        <v>9.51</v>
      </c>
      <c r="E46" s="1">
        <f>IFERROR(__xludf.DUMMYFUNCTION("""COMPUTED_VALUE"""),30.87)</f>
        <v>30.87</v>
      </c>
      <c r="F46" s="1">
        <f>IFERROR(__xludf.DUMMYFUNCTION("""COMPUTED_VALUE"""),44.14)</f>
        <v>44.14</v>
      </c>
      <c r="G46" s="1">
        <f>IFERROR(__xludf.DUMMYFUNCTION("""COMPUTED_VALUE"""),37.6)</f>
        <v>37.6</v>
      </c>
      <c r="H46" s="1">
        <f>IFERROR(__xludf.DUMMYFUNCTION("""COMPUTED_VALUE"""),38.81)</f>
        <v>38.81</v>
      </c>
    </row>
    <row r="47">
      <c r="A47" s="1"/>
      <c r="B47" s="1" t="str">
        <f>IFERROR(__xludf.DUMMYFUNCTION("""COMPUTED_VALUE"""),"Greece")</f>
        <v>Greece</v>
      </c>
      <c r="C47" s="1">
        <f>IFERROR(__xludf.DUMMYFUNCTION("""COMPUTED_VALUE"""),50.23)</f>
        <v>50.23</v>
      </c>
      <c r="D47" s="1">
        <f>IFERROR(__xludf.DUMMYFUNCTION("""COMPUTED_VALUE"""),12.4)</f>
        <v>12.4</v>
      </c>
      <c r="E47" s="1">
        <f>IFERROR(__xludf.DUMMYFUNCTION("""COMPUTED_VALUE"""),32.23)</f>
        <v>32.23</v>
      </c>
      <c r="F47" s="1">
        <f>IFERROR(__xludf.DUMMYFUNCTION("""COMPUTED_VALUE"""),39.29)</f>
        <v>39.29</v>
      </c>
      <c r="G47" s="1">
        <f>IFERROR(__xludf.DUMMYFUNCTION("""COMPUTED_VALUE"""),46.17)</f>
        <v>46.17</v>
      </c>
      <c r="H47" s="1">
        <f>IFERROR(__xludf.DUMMYFUNCTION("""COMPUTED_VALUE"""),38.39)</f>
        <v>38.39</v>
      </c>
    </row>
    <row r="48">
      <c r="A48" s="1"/>
      <c r="B48" s="1" t="str">
        <f>IFERROR(__xludf.DUMMYFUNCTION("""COMPUTED_VALUE"""),"Belize")</f>
        <v>Belize</v>
      </c>
      <c r="C48" s="1">
        <f>IFERROR(__xludf.DUMMYFUNCTION("""COMPUTED_VALUE"""),49.55)</f>
        <v>49.55</v>
      </c>
      <c r="D48" s="1">
        <f>IFERROR(__xludf.DUMMYFUNCTION("""COMPUTED_VALUE"""),11.87)</f>
        <v>11.87</v>
      </c>
      <c r="E48" s="1">
        <f>IFERROR(__xludf.DUMMYFUNCTION("""COMPUTED_VALUE"""),31.62)</f>
        <v>31.62</v>
      </c>
      <c r="F48" s="1">
        <f>IFERROR(__xludf.DUMMYFUNCTION("""COMPUTED_VALUE"""),46.24)</f>
        <v>46.24</v>
      </c>
      <c r="G48" s="1">
        <f>IFERROR(__xludf.DUMMYFUNCTION("""COMPUTED_VALUE"""),32.35)</f>
        <v>32.35</v>
      </c>
      <c r="H48" s="1">
        <f>IFERROR(__xludf.DUMMYFUNCTION("""COMPUTED_VALUE"""),41.6)</f>
        <v>41.6</v>
      </c>
    </row>
    <row r="49">
      <c r="A49" s="1"/>
      <c r="B49" s="1" t="str">
        <f>IFERROR(__xludf.DUMMYFUNCTION("""COMPUTED_VALUE"""),"Estonia")</f>
        <v>Estonia</v>
      </c>
      <c r="C49" s="1">
        <f>IFERROR(__xludf.DUMMYFUNCTION("""COMPUTED_VALUE"""),49.47)</f>
        <v>49.47</v>
      </c>
      <c r="D49" s="1">
        <f>IFERROR(__xludf.DUMMYFUNCTION("""COMPUTED_VALUE"""),14.73)</f>
        <v>14.73</v>
      </c>
      <c r="E49" s="1">
        <f>IFERROR(__xludf.DUMMYFUNCTION("""COMPUTED_VALUE"""),32.94)</f>
        <v>32.94</v>
      </c>
      <c r="F49" s="1">
        <f>IFERROR(__xludf.DUMMYFUNCTION("""COMPUTED_VALUE"""),39.65)</f>
        <v>39.65</v>
      </c>
      <c r="G49" s="1">
        <f>IFERROR(__xludf.DUMMYFUNCTION("""COMPUTED_VALUE"""),47.84)</f>
        <v>47.84</v>
      </c>
      <c r="H49" s="1">
        <f>IFERROR(__xludf.DUMMYFUNCTION("""COMPUTED_VALUE"""),60.41)</f>
        <v>60.41</v>
      </c>
    </row>
    <row r="50">
      <c r="A50" s="1"/>
      <c r="B50" s="1" t="str">
        <f>IFERROR(__xludf.DUMMYFUNCTION("""COMPUTED_VALUE"""),"Panama")</f>
        <v>Panama</v>
      </c>
      <c r="C50" s="1">
        <f>IFERROR(__xludf.DUMMYFUNCTION("""COMPUTED_VALUE"""),48.25)</f>
        <v>48.25</v>
      </c>
      <c r="D50" s="1">
        <f>IFERROR(__xludf.DUMMYFUNCTION("""COMPUTED_VALUE"""),19.51)</f>
        <v>19.51</v>
      </c>
      <c r="E50" s="1">
        <f>IFERROR(__xludf.DUMMYFUNCTION("""COMPUTED_VALUE"""),34.58)</f>
        <v>34.58</v>
      </c>
      <c r="F50" s="1">
        <f>IFERROR(__xludf.DUMMYFUNCTION("""COMPUTED_VALUE"""),47.28)</f>
        <v>47.28</v>
      </c>
      <c r="G50" s="1">
        <f>IFERROR(__xludf.DUMMYFUNCTION("""COMPUTED_VALUE"""),40.15)</f>
        <v>40.15</v>
      </c>
      <c r="H50" s="1">
        <f>IFERROR(__xludf.DUMMYFUNCTION("""COMPUTED_VALUE"""),32.66)</f>
        <v>32.66</v>
      </c>
    </row>
    <row r="51">
      <c r="A51" s="1"/>
      <c r="B51" s="1" t="str">
        <f>IFERROR(__xludf.DUMMYFUNCTION("""COMPUTED_VALUE"""),"Oman")</f>
        <v>Oman</v>
      </c>
      <c r="C51" s="1">
        <f>IFERROR(__xludf.DUMMYFUNCTION("""COMPUTED_VALUE"""),48.11)</f>
        <v>48.11</v>
      </c>
      <c r="D51" s="1">
        <f>IFERROR(__xludf.DUMMYFUNCTION("""COMPUTED_VALUE"""),15.39)</f>
        <v>15.39</v>
      </c>
      <c r="E51" s="1">
        <f>IFERROR(__xludf.DUMMYFUNCTION("""COMPUTED_VALUE"""),32.54)</f>
        <v>32.54</v>
      </c>
      <c r="F51" s="1">
        <f>IFERROR(__xludf.DUMMYFUNCTION("""COMPUTED_VALUE"""),45.13)</f>
        <v>45.13</v>
      </c>
      <c r="G51" s="1">
        <f>IFERROR(__xludf.DUMMYFUNCTION("""COMPUTED_VALUE"""),39.78)</f>
        <v>39.78</v>
      </c>
      <c r="H51" s="1">
        <f>IFERROR(__xludf.DUMMYFUNCTION("""COMPUTED_VALUE"""),78.78)</f>
        <v>78.78</v>
      </c>
    </row>
    <row r="52">
      <c r="A52" s="1"/>
      <c r="B52" s="1" t="str">
        <f>IFERROR(__xludf.DUMMYFUNCTION("""COMPUTED_VALUE"""),"Russia")</f>
        <v>Russia</v>
      </c>
      <c r="C52" s="1">
        <f>IFERROR(__xludf.DUMMYFUNCTION("""COMPUTED_VALUE"""),48.07)</f>
        <v>48.07</v>
      </c>
      <c r="D52" s="1">
        <f>IFERROR(__xludf.DUMMYFUNCTION("""COMPUTED_VALUE"""),15.96)</f>
        <v>15.96</v>
      </c>
      <c r="E52" s="1">
        <f>IFERROR(__xludf.DUMMYFUNCTION("""COMPUTED_VALUE"""),32.8)</f>
        <v>32.8</v>
      </c>
      <c r="F52" s="1">
        <f>IFERROR(__xludf.DUMMYFUNCTION("""COMPUTED_VALUE"""),41.19)</f>
        <v>41.19</v>
      </c>
      <c r="G52" s="1">
        <f>IFERROR(__xludf.DUMMYFUNCTION("""COMPUTED_VALUE"""),44.2)</f>
        <v>44.2</v>
      </c>
      <c r="H52" s="1">
        <f>IFERROR(__xludf.DUMMYFUNCTION("""COMPUTED_VALUE"""),42.22)</f>
        <v>42.22</v>
      </c>
    </row>
    <row r="53">
      <c r="A53" s="1"/>
      <c r="B53" s="1" t="str">
        <f>IFERROR(__xludf.DUMMYFUNCTION("""COMPUTED_VALUE"""),"Jordan")</f>
        <v>Jordan</v>
      </c>
      <c r="C53" s="1">
        <f>IFERROR(__xludf.DUMMYFUNCTION("""COMPUTED_VALUE"""),47.53)</f>
        <v>47.53</v>
      </c>
      <c r="D53" s="1">
        <f>IFERROR(__xludf.DUMMYFUNCTION("""COMPUTED_VALUE"""),8.92)</f>
        <v>8.92</v>
      </c>
      <c r="E53" s="1">
        <f>IFERROR(__xludf.DUMMYFUNCTION("""COMPUTED_VALUE"""),29.16)</f>
        <v>29.16</v>
      </c>
      <c r="F53" s="1">
        <f>IFERROR(__xludf.DUMMYFUNCTION("""COMPUTED_VALUE"""),39.89)</f>
        <v>39.89</v>
      </c>
      <c r="G53" s="1">
        <f>IFERROR(__xludf.DUMMYFUNCTION("""COMPUTED_VALUE"""),39.37)</f>
        <v>39.37</v>
      </c>
      <c r="H53" s="1">
        <f>IFERROR(__xludf.DUMMYFUNCTION("""COMPUTED_VALUE"""),32.23)</f>
        <v>32.23</v>
      </c>
    </row>
    <row r="54">
      <c r="A54" s="1"/>
      <c r="B54" s="1" t="str">
        <f>IFERROR(__xludf.DUMMYFUNCTION("""COMPUTED_VALUE"""),"Spain")</f>
        <v>Spain</v>
      </c>
      <c r="C54" s="1">
        <f>IFERROR(__xludf.DUMMYFUNCTION("""COMPUTED_VALUE"""),47.51)</f>
        <v>47.51</v>
      </c>
      <c r="D54" s="1">
        <f>IFERROR(__xludf.DUMMYFUNCTION("""COMPUTED_VALUE"""),21.4)</f>
        <v>21.4</v>
      </c>
      <c r="E54" s="1">
        <f>IFERROR(__xludf.DUMMYFUNCTION("""COMPUTED_VALUE"""),35.09)</f>
        <v>35.09</v>
      </c>
      <c r="F54" s="1">
        <f>IFERROR(__xludf.DUMMYFUNCTION("""COMPUTED_VALUE"""),39.45)</f>
        <v>39.45</v>
      </c>
      <c r="G54" s="1">
        <f>IFERROR(__xludf.DUMMYFUNCTION("""COMPUTED_VALUE"""),47.54)</f>
        <v>47.54</v>
      </c>
      <c r="H54" s="1">
        <f>IFERROR(__xludf.DUMMYFUNCTION("""COMPUTED_VALUE"""),77.29)</f>
        <v>77.29</v>
      </c>
    </row>
    <row r="55">
      <c r="A55" s="1"/>
      <c r="B55" s="1" t="str">
        <f>IFERROR(__xludf.DUMMYFUNCTION("""COMPUTED_VALUE"""),"Slovenia")</f>
        <v>Slovenia</v>
      </c>
      <c r="C55" s="1">
        <f>IFERROR(__xludf.DUMMYFUNCTION("""COMPUTED_VALUE"""),47.3)</f>
        <v>47.3</v>
      </c>
      <c r="D55" s="1">
        <f>IFERROR(__xludf.DUMMYFUNCTION("""COMPUTED_VALUE"""),15.32)</f>
        <v>15.32</v>
      </c>
      <c r="E55" s="1">
        <f>IFERROR(__xludf.DUMMYFUNCTION("""COMPUTED_VALUE"""),32.09)</f>
        <v>32.09</v>
      </c>
      <c r="F55" s="1">
        <f>IFERROR(__xludf.DUMMYFUNCTION("""COMPUTED_VALUE"""),42.06)</f>
        <v>42.06</v>
      </c>
      <c r="G55" s="1">
        <f>IFERROR(__xludf.DUMMYFUNCTION("""COMPUTED_VALUE"""),39.38)</f>
        <v>39.38</v>
      </c>
      <c r="H55" s="1">
        <f>IFERROR(__xludf.DUMMYFUNCTION("""COMPUTED_VALUE"""),57.95)</f>
        <v>57.95</v>
      </c>
    </row>
    <row r="56">
      <c r="A56" s="1"/>
      <c r="B56" s="1" t="str">
        <f>IFERROR(__xludf.DUMMYFUNCTION("""COMPUTED_VALUE"""),"Guyana")</f>
        <v>Guyana</v>
      </c>
      <c r="C56" s="1">
        <f>IFERROR(__xludf.DUMMYFUNCTION("""COMPUTED_VALUE"""),46.87)</f>
        <v>46.87</v>
      </c>
      <c r="D56" s="1">
        <f>IFERROR(__xludf.DUMMYFUNCTION("""COMPUTED_VALUE"""),8.44)</f>
        <v>8.44</v>
      </c>
      <c r="E56" s="1">
        <f>IFERROR(__xludf.DUMMYFUNCTION("""COMPUTED_VALUE"""),28.58)</f>
        <v>28.58</v>
      </c>
      <c r="F56" s="1">
        <f>IFERROR(__xludf.DUMMYFUNCTION("""COMPUTED_VALUE"""),50.31)</f>
        <v>50.31</v>
      </c>
      <c r="G56" s="1">
        <f>IFERROR(__xludf.DUMMYFUNCTION("""COMPUTED_VALUE"""),37.08)</f>
        <v>37.08</v>
      </c>
      <c r="H56" s="1">
        <f>IFERROR(__xludf.DUMMYFUNCTION("""COMPUTED_VALUE"""),19.73)</f>
        <v>19.73</v>
      </c>
    </row>
    <row r="57">
      <c r="A57" s="1"/>
      <c r="B57" s="1" t="str">
        <f>IFERROR(__xludf.DUMMYFUNCTION("""COMPUTED_VALUE"""),"Kuwait")</f>
        <v>Kuwait</v>
      </c>
      <c r="C57" s="1">
        <f>IFERROR(__xludf.DUMMYFUNCTION("""COMPUTED_VALUE"""),46.0)</f>
        <v>46</v>
      </c>
      <c r="D57" s="1">
        <f>IFERROR(__xludf.DUMMYFUNCTION("""COMPUTED_VALUE"""),27.68)</f>
        <v>27.68</v>
      </c>
      <c r="E57" s="1">
        <f>IFERROR(__xludf.DUMMYFUNCTION("""COMPUTED_VALUE"""),37.28)</f>
        <v>37.28</v>
      </c>
      <c r="F57" s="1">
        <f>IFERROR(__xludf.DUMMYFUNCTION("""COMPUTED_VALUE"""),33.26)</f>
        <v>33.26</v>
      </c>
      <c r="G57" s="1">
        <f>IFERROR(__xludf.DUMMYFUNCTION("""COMPUTED_VALUE"""),41.99)</f>
        <v>41.99</v>
      </c>
      <c r="H57" s="1">
        <f>IFERROR(__xludf.DUMMYFUNCTION("""COMPUTED_VALUE"""),81.76)</f>
        <v>81.76</v>
      </c>
    </row>
    <row r="58">
      <c r="A58" s="1"/>
      <c r="B58" s="1" t="str">
        <f>IFERROR(__xludf.DUMMYFUNCTION("""COMPUTED_VALUE"""),"Cambodia")</f>
        <v>Cambodia</v>
      </c>
      <c r="C58" s="1">
        <f>IFERROR(__xludf.DUMMYFUNCTION("""COMPUTED_VALUE"""),45.73)</f>
        <v>45.73</v>
      </c>
      <c r="D58" s="1">
        <f>IFERROR(__xludf.DUMMYFUNCTION("""COMPUTED_VALUE"""),13.97)</f>
        <v>13.97</v>
      </c>
      <c r="E58" s="1">
        <f>IFERROR(__xludf.DUMMYFUNCTION("""COMPUTED_VALUE"""),30.62)</f>
        <v>30.62</v>
      </c>
      <c r="F58" s="1">
        <f>IFERROR(__xludf.DUMMYFUNCTION("""COMPUTED_VALUE"""),46.0)</f>
        <v>46</v>
      </c>
      <c r="G58" s="1">
        <f>IFERROR(__xludf.DUMMYFUNCTION("""COMPUTED_VALUE"""),20.64)</f>
        <v>20.64</v>
      </c>
      <c r="H58" s="1">
        <f>IFERROR(__xludf.DUMMYFUNCTION("""COMPUTED_VALUE"""),13.96)</f>
        <v>13.96</v>
      </c>
    </row>
    <row r="59">
      <c r="A59" s="1"/>
      <c r="B59" s="1" t="str">
        <f>IFERROR(__xludf.DUMMYFUNCTION("""COMPUTED_VALUE"""),"Latvia")</f>
        <v>Latvia</v>
      </c>
      <c r="C59" s="1">
        <f>IFERROR(__xludf.DUMMYFUNCTION("""COMPUTED_VALUE"""),45.21)</f>
        <v>45.21</v>
      </c>
      <c r="D59" s="1">
        <f>IFERROR(__xludf.DUMMYFUNCTION("""COMPUTED_VALUE"""),10.02)</f>
        <v>10.02</v>
      </c>
      <c r="E59" s="1">
        <f>IFERROR(__xludf.DUMMYFUNCTION("""COMPUTED_VALUE"""),28.47)</f>
        <v>28.47</v>
      </c>
      <c r="F59" s="1">
        <f>IFERROR(__xludf.DUMMYFUNCTION("""COMPUTED_VALUE"""),35.94)</f>
        <v>35.94</v>
      </c>
      <c r="G59" s="1">
        <f>IFERROR(__xludf.DUMMYFUNCTION("""COMPUTED_VALUE"""),37.89)</f>
        <v>37.89</v>
      </c>
      <c r="H59" s="1">
        <f>IFERROR(__xludf.DUMMYFUNCTION("""COMPUTED_VALUE"""),49.84)</f>
        <v>49.84</v>
      </c>
    </row>
    <row r="60">
      <c r="A60" s="1"/>
      <c r="B60" s="1" t="str">
        <f>IFERROR(__xludf.DUMMYFUNCTION("""COMPUTED_VALUE"""),"Czech Republic")</f>
        <v>Czech Republic</v>
      </c>
      <c r="C60" s="1">
        <f>IFERROR(__xludf.DUMMYFUNCTION("""COMPUTED_VALUE"""),44.33)</f>
        <v>44.33</v>
      </c>
      <c r="D60" s="1">
        <f>IFERROR(__xludf.DUMMYFUNCTION("""COMPUTED_VALUE"""),18.27)</f>
        <v>18.27</v>
      </c>
      <c r="E60" s="1">
        <f>IFERROR(__xludf.DUMMYFUNCTION("""COMPUTED_VALUE"""),31.93)</f>
        <v>31.93</v>
      </c>
      <c r="F60" s="1">
        <f>IFERROR(__xludf.DUMMYFUNCTION("""COMPUTED_VALUE"""),37.59)</f>
        <v>37.59</v>
      </c>
      <c r="G60" s="1">
        <f>IFERROR(__xludf.DUMMYFUNCTION("""COMPUTED_VALUE"""),33.4)</f>
        <v>33.4</v>
      </c>
      <c r="H60" s="1">
        <f>IFERROR(__xludf.DUMMYFUNCTION("""COMPUTED_VALUE"""),69.94)</f>
        <v>69.94</v>
      </c>
    </row>
    <row r="61">
      <c r="A61" s="1"/>
      <c r="B61" s="1" t="str">
        <f>IFERROR(__xludf.DUMMYFUNCTION("""COMPUTED_VALUE"""),"Croatia")</f>
        <v>Croatia</v>
      </c>
      <c r="C61" s="1">
        <f>IFERROR(__xludf.DUMMYFUNCTION("""COMPUTED_VALUE"""),43.74)</f>
        <v>43.74</v>
      </c>
      <c r="D61" s="1">
        <f>IFERROR(__xludf.DUMMYFUNCTION("""COMPUTED_VALUE"""),11.63)</f>
        <v>11.63</v>
      </c>
      <c r="E61" s="1">
        <f>IFERROR(__xludf.DUMMYFUNCTION("""COMPUTED_VALUE"""),28.47)</f>
        <v>28.47</v>
      </c>
      <c r="F61" s="1">
        <f>IFERROR(__xludf.DUMMYFUNCTION("""COMPUTED_VALUE"""),37.29)</f>
        <v>37.29</v>
      </c>
      <c r="G61" s="1">
        <f>IFERROR(__xludf.DUMMYFUNCTION("""COMPUTED_VALUE"""),36.47)</f>
        <v>36.47</v>
      </c>
      <c r="H61" s="1">
        <f>IFERROR(__xludf.DUMMYFUNCTION("""COMPUTED_VALUE"""),52.79)</f>
        <v>52.79</v>
      </c>
    </row>
    <row r="62">
      <c r="A62" s="1"/>
      <c r="B62" s="1" t="str">
        <f>IFERROR(__xludf.DUMMYFUNCTION("""COMPUTED_VALUE"""),"Costa Rica")</f>
        <v>Costa Rica</v>
      </c>
      <c r="C62" s="1">
        <f>IFERROR(__xludf.DUMMYFUNCTION("""COMPUTED_VALUE"""),43.65)</f>
        <v>43.65</v>
      </c>
      <c r="D62" s="1">
        <f>IFERROR(__xludf.DUMMYFUNCTION("""COMPUTED_VALUE"""),13.31)</f>
        <v>13.31</v>
      </c>
      <c r="E62" s="1">
        <f>IFERROR(__xludf.DUMMYFUNCTION("""COMPUTED_VALUE"""),29.21)</f>
        <v>29.21</v>
      </c>
      <c r="F62" s="1">
        <f>IFERROR(__xludf.DUMMYFUNCTION("""COMPUTED_VALUE"""),42.4)</f>
        <v>42.4</v>
      </c>
      <c r="G62" s="1">
        <f>IFERROR(__xludf.DUMMYFUNCTION("""COMPUTED_VALUE"""),36.29)</f>
        <v>36.29</v>
      </c>
      <c r="H62" s="1">
        <f>IFERROR(__xludf.DUMMYFUNCTION("""COMPUTED_VALUE"""),38.59)</f>
        <v>38.59</v>
      </c>
    </row>
    <row r="63">
      <c r="A63" s="1"/>
      <c r="B63" s="1" t="str">
        <f>IFERROR(__xludf.DUMMYFUNCTION("""COMPUTED_VALUE"""),"Brunei")</f>
        <v>Brunei</v>
      </c>
      <c r="C63" s="1">
        <f>IFERROR(__xludf.DUMMYFUNCTION("""COMPUTED_VALUE"""),43.37)</f>
        <v>43.37</v>
      </c>
      <c r="D63" s="1">
        <f>IFERROR(__xludf.DUMMYFUNCTION("""COMPUTED_VALUE"""),18.31)</f>
        <v>18.31</v>
      </c>
      <c r="E63" s="1">
        <f>IFERROR(__xludf.DUMMYFUNCTION("""COMPUTED_VALUE"""),31.45)</f>
        <v>31.45</v>
      </c>
      <c r="F63" s="1">
        <f>IFERROR(__xludf.DUMMYFUNCTION("""COMPUTED_VALUE"""),46.37)</f>
        <v>46.37</v>
      </c>
      <c r="G63" s="1">
        <f>IFERROR(__xludf.DUMMYFUNCTION("""COMPUTED_VALUE"""),27.92)</f>
        <v>27.92</v>
      </c>
      <c r="H63" s="1">
        <f>IFERROR(__xludf.DUMMYFUNCTION("""COMPUTED_VALUE"""),87.28)</f>
        <v>87.28</v>
      </c>
    </row>
    <row r="64">
      <c r="A64" s="1"/>
      <c r="B64" s="1" t="str">
        <f>IFERROR(__xludf.DUMMYFUNCTION("""COMPUTED_VALUE"""),"Lithuania")</f>
        <v>Lithuania</v>
      </c>
      <c r="C64" s="1">
        <f>IFERROR(__xludf.DUMMYFUNCTION("""COMPUTED_VALUE"""),43.1)</f>
        <v>43.1</v>
      </c>
      <c r="D64" s="1">
        <f>IFERROR(__xludf.DUMMYFUNCTION("""COMPUTED_VALUE"""),15.31)</f>
        <v>15.31</v>
      </c>
      <c r="E64" s="1">
        <f>IFERROR(__xludf.DUMMYFUNCTION("""COMPUTED_VALUE"""),29.88)</f>
        <v>29.88</v>
      </c>
      <c r="F64" s="1">
        <f>IFERROR(__xludf.DUMMYFUNCTION("""COMPUTED_VALUE"""),35.36)</f>
        <v>35.36</v>
      </c>
      <c r="G64" s="1">
        <f>IFERROR(__xludf.DUMMYFUNCTION("""COMPUTED_VALUE"""),39.19)</f>
        <v>39.19</v>
      </c>
      <c r="H64" s="1">
        <f>IFERROR(__xludf.DUMMYFUNCTION("""COMPUTED_VALUE"""),55.67)</f>
        <v>55.67</v>
      </c>
    </row>
    <row r="65">
      <c r="A65" s="1"/>
      <c r="B65" s="1" t="str">
        <f>IFERROR(__xludf.DUMMYFUNCTION("""COMPUTED_VALUE"""),"El Salvador")</f>
        <v>El Salvador</v>
      </c>
      <c r="C65" s="1">
        <f>IFERROR(__xludf.DUMMYFUNCTION("""COMPUTED_VALUE"""),42.94)</f>
        <v>42.94</v>
      </c>
      <c r="D65" s="1">
        <f>IFERROR(__xludf.DUMMYFUNCTION("""COMPUTED_VALUE"""),13.15)</f>
        <v>13.15</v>
      </c>
      <c r="E65" s="1">
        <f>IFERROR(__xludf.DUMMYFUNCTION("""COMPUTED_VALUE"""),28.77)</f>
        <v>28.77</v>
      </c>
      <c r="F65" s="1">
        <f>IFERROR(__xludf.DUMMYFUNCTION("""COMPUTED_VALUE"""),43.23)</f>
        <v>43.23</v>
      </c>
      <c r="G65" s="1">
        <f>IFERROR(__xludf.DUMMYFUNCTION("""COMPUTED_VALUE"""),32.35)</f>
        <v>32.35</v>
      </c>
      <c r="H65" s="1">
        <f>IFERROR(__xludf.DUMMYFUNCTION("""COMPUTED_VALUE"""),20.48)</f>
        <v>20.48</v>
      </c>
    </row>
    <row r="66">
      <c r="A66" s="1"/>
      <c r="B66" s="1" t="str">
        <f>IFERROR(__xludf.DUMMYFUNCTION("""COMPUTED_VALUE"""),"Zimbabwe")</f>
        <v>Zimbabwe</v>
      </c>
      <c r="C66" s="1">
        <f>IFERROR(__xludf.DUMMYFUNCTION("""COMPUTED_VALUE"""),42.54)</f>
        <v>42.54</v>
      </c>
      <c r="D66" s="1">
        <f>IFERROR(__xludf.DUMMYFUNCTION("""COMPUTED_VALUE"""),9.71)</f>
        <v>9.71</v>
      </c>
      <c r="E66" s="1">
        <f>IFERROR(__xludf.DUMMYFUNCTION("""COMPUTED_VALUE"""),26.92)</f>
        <v>26.92</v>
      </c>
      <c r="F66" s="1">
        <f>IFERROR(__xludf.DUMMYFUNCTION("""COMPUTED_VALUE"""),37.68)</f>
        <v>37.68</v>
      </c>
      <c r="G66" s="1">
        <f>IFERROR(__xludf.DUMMYFUNCTION("""COMPUTED_VALUE"""),34.27)</f>
        <v>34.27</v>
      </c>
      <c r="H66" s="1">
        <f>IFERROR(__xludf.DUMMYFUNCTION("""COMPUTED_VALUE"""),17.34)</f>
        <v>17.34</v>
      </c>
    </row>
    <row r="67">
      <c r="A67" s="1"/>
      <c r="B67" s="1" t="str">
        <f>IFERROR(__xludf.DUMMYFUNCTION("""COMPUTED_VALUE"""),"Portugal")</f>
        <v>Portugal</v>
      </c>
      <c r="C67" s="1">
        <f>IFERROR(__xludf.DUMMYFUNCTION("""COMPUTED_VALUE"""),42.18)</f>
        <v>42.18</v>
      </c>
      <c r="D67" s="1">
        <f>IFERROR(__xludf.DUMMYFUNCTION("""COMPUTED_VALUE"""),20.7)</f>
        <v>20.7</v>
      </c>
      <c r="E67" s="1">
        <f>IFERROR(__xludf.DUMMYFUNCTION("""COMPUTED_VALUE"""),31.96)</f>
        <v>31.96</v>
      </c>
      <c r="F67" s="1">
        <f>IFERROR(__xludf.DUMMYFUNCTION("""COMPUTED_VALUE"""),33.8)</f>
        <v>33.8</v>
      </c>
      <c r="G67" s="1">
        <f>IFERROR(__xludf.DUMMYFUNCTION("""COMPUTED_VALUE"""),34.88)</f>
        <v>34.88</v>
      </c>
      <c r="H67" s="1">
        <f>IFERROR(__xludf.DUMMYFUNCTION("""COMPUTED_VALUE"""),47.89)</f>
        <v>47.89</v>
      </c>
    </row>
    <row r="68">
      <c r="A68" s="1"/>
      <c r="B68" s="1" t="str">
        <f>IFERROR(__xludf.DUMMYFUNCTION("""COMPUTED_VALUE"""),"Dominican Republic")</f>
        <v>Dominican Republic</v>
      </c>
      <c r="C68" s="1">
        <f>IFERROR(__xludf.DUMMYFUNCTION("""COMPUTED_VALUE"""),41.97)</f>
        <v>41.97</v>
      </c>
      <c r="D68" s="1">
        <f>IFERROR(__xludf.DUMMYFUNCTION("""COMPUTED_VALUE"""),10.29)</f>
        <v>10.29</v>
      </c>
      <c r="E68" s="1">
        <f>IFERROR(__xludf.DUMMYFUNCTION("""COMPUTED_VALUE"""),26.9)</f>
        <v>26.9</v>
      </c>
      <c r="F68" s="1">
        <f>IFERROR(__xludf.DUMMYFUNCTION("""COMPUTED_VALUE"""),38.05)</f>
        <v>38.05</v>
      </c>
      <c r="G68" s="1">
        <f>IFERROR(__xludf.DUMMYFUNCTION("""COMPUTED_VALUE"""),34.35)</f>
        <v>34.35</v>
      </c>
      <c r="H68" s="1">
        <f>IFERROR(__xludf.DUMMYFUNCTION("""COMPUTED_VALUE"""),21.62)</f>
        <v>21.62</v>
      </c>
    </row>
    <row r="69">
      <c r="A69" s="1"/>
      <c r="B69" s="1" t="str">
        <f>IFERROR(__xludf.DUMMYFUNCTION("""COMPUTED_VALUE"""),"Venezuela")</f>
        <v>Venezuela</v>
      </c>
      <c r="C69" s="1">
        <f>IFERROR(__xludf.DUMMYFUNCTION("""COMPUTED_VALUE"""),41.77)</f>
        <v>41.77</v>
      </c>
      <c r="D69" s="1">
        <f>IFERROR(__xludf.DUMMYFUNCTION("""COMPUTED_VALUE"""),8.07)</f>
        <v>8.07</v>
      </c>
      <c r="E69" s="1">
        <f>IFERROR(__xludf.DUMMYFUNCTION("""COMPUTED_VALUE"""),25.74)</f>
        <v>25.74</v>
      </c>
      <c r="F69" s="1">
        <f>IFERROR(__xludf.DUMMYFUNCTION("""COMPUTED_VALUE"""),36.08)</f>
        <v>36.08</v>
      </c>
      <c r="G69" s="1">
        <f>IFERROR(__xludf.DUMMYFUNCTION("""COMPUTED_VALUE"""),42.92)</f>
        <v>42.92</v>
      </c>
      <c r="H69" s="1">
        <f>IFERROR(__xludf.DUMMYFUNCTION("""COMPUTED_VALUE"""),12.72)</f>
        <v>12.72</v>
      </c>
    </row>
    <row r="70">
      <c r="A70" s="1"/>
      <c r="B70" s="1" t="str">
        <f>IFERROR(__xludf.DUMMYFUNCTION("""COMPUTED_VALUE"""),"Ethiopia")</f>
        <v>Ethiopia</v>
      </c>
      <c r="C70" s="1">
        <f>IFERROR(__xludf.DUMMYFUNCTION("""COMPUTED_VALUE"""),41.74)</f>
        <v>41.74</v>
      </c>
      <c r="D70" s="1">
        <f>IFERROR(__xludf.DUMMYFUNCTION("""COMPUTED_VALUE"""),17.43)</f>
        <v>17.43</v>
      </c>
      <c r="E70" s="1">
        <f>IFERROR(__xludf.DUMMYFUNCTION("""COMPUTED_VALUE"""),30.18)</f>
        <v>30.18</v>
      </c>
      <c r="F70" s="1">
        <f>IFERROR(__xludf.DUMMYFUNCTION("""COMPUTED_VALUE"""),34.96)</f>
        <v>34.96</v>
      </c>
      <c r="G70" s="1">
        <f>IFERROR(__xludf.DUMMYFUNCTION("""COMPUTED_VALUE"""),19.49)</f>
        <v>19.49</v>
      </c>
      <c r="H70" s="1">
        <f>IFERROR(__xludf.DUMMYFUNCTION("""COMPUTED_VALUE"""),11.02)</f>
        <v>11.02</v>
      </c>
    </row>
    <row r="71">
      <c r="A71" s="1"/>
      <c r="B71" s="1" t="str">
        <f>IFERROR(__xludf.DUMMYFUNCTION("""COMPUTED_VALUE"""),"Guatemala")</f>
        <v>Guatemala</v>
      </c>
      <c r="C71" s="1">
        <f>IFERROR(__xludf.DUMMYFUNCTION("""COMPUTED_VALUE"""),41.34)</f>
        <v>41.34</v>
      </c>
      <c r="D71" s="1">
        <f>IFERROR(__xludf.DUMMYFUNCTION("""COMPUTED_VALUE"""),14.93)</f>
        <v>14.93</v>
      </c>
      <c r="E71" s="1">
        <f>IFERROR(__xludf.DUMMYFUNCTION("""COMPUTED_VALUE"""),28.77)</f>
        <v>28.77</v>
      </c>
      <c r="F71" s="1">
        <f>IFERROR(__xludf.DUMMYFUNCTION("""COMPUTED_VALUE"""),40.56)</f>
        <v>40.56</v>
      </c>
      <c r="G71" s="1">
        <f>IFERROR(__xludf.DUMMYFUNCTION("""COMPUTED_VALUE"""),29.05)</f>
        <v>29.05</v>
      </c>
      <c r="H71" s="1">
        <f>IFERROR(__xludf.DUMMYFUNCTION("""COMPUTED_VALUE"""),26.88)</f>
        <v>26.88</v>
      </c>
    </row>
    <row r="72">
      <c r="A72" s="1"/>
      <c r="B72" s="1" t="str">
        <f>IFERROR(__xludf.DUMMYFUNCTION("""COMPUTED_VALUE"""),"Slovakia")</f>
        <v>Slovakia</v>
      </c>
      <c r="C72" s="1">
        <f>IFERROR(__xludf.DUMMYFUNCTION("""COMPUTED_VALUE"""),41.03)</f>
        <v>41.03</v>
      </c>
      <c r="D72" s="1">
        <f>IFERROR(__xludf.DUMMYFUNCTION("""COMPUTED_VALUE"""),13.79)</f>
        <v>13.79</v>
      </c>
      <c r="E72" s="1">
        <f>IFERROR(__xludf.DUMMYFUNCTION("""COMPUTED_VALUE"""),28.07)</f>
        <v>28.07</v>
      </c>
      <c r="F72" s="1">
        <f>IFERROR(__xludf.DUMMYFUNCTION("""COMPUTED_VALUE"""),38.25)</f>
        <v>38.25</v>
      </c>
      <c r="G72" s="1">
        <f>IFERROR(__xludf.DUMMYFUNCTION("""COMPUTED_VALUE"""),30.59)</f>
        <v>30.59</v>
      </c>
      <c r="H72" s="1">
        <f>IFERROR(__xludf.DUMMYFUNCTION("""COMPUTED_VALUE"""),53.84)</f>
        <v>53.84</v>
      </c>
    </row>
    <row r="73">
      <c r="A73" s="1"/>
      <c r="B73" s="1" t="str">
        <f>IFERROR(__xludf.DUMMYFUNCTION("""COMPUTED_VALUE"""),"Mauritius")</f>
        <v>Mauritius</v>
      </c>
      <c r="C73" s="1">
        <f>IFERROR(__xludf.DUMMYFUNCTION("""COMPUTED_VALUE"""),40.68)</f>
        <v>40.68</v>
      </c>
      <c r="D73" s="1">
        <f>IFERROR(__xludf.DUMMYFUNCTION("""COMPUTED_VALUE"""),9.81)</f>
        <v>9.81</v>
      </c>
      <c r="E73" s="1">
        <f>IFERROR(__xludf.DUMMYFUNCTION("""COMPUTED_VALUE"""),26.0)</f>
        <v>26</v>
      </c>
      <c r="F73" s="1">
        <f>IFERROR(__xludf.DUMMYFUNCTION("""COMPUTED_VALUE"""),41.08)</f>
        <v>41.08</v>
      </c>
      <c r="G73" s="1">
        <f>IFERROR(__xludf.DUMMYFUNCTION("""COMPUTED_VALUE"""),30.72)</f>
        <v>30.72</v>
      </c>
      <c r="H73" s="1">
        <f>IFERROR(__xludf.DUMMYFUNCTION("""COMPUTED_VALUE"""),29.27)</f>
        <v>29.27</v>
      </c>
    </row>
    <row r="74">
      <c r="A74" s="1"/>
      <c r="B74" s="1" t="str">
        <f>IFERROR(__xludf.DUMMYFUNCTION("""COMPUTED_VALUE"""),"China")</f>
        <v>China</v>
      </c>
      <c r="C74" s="1">
        <f>IFERROR(__xludf.DUMMYFUNCTION("""COMPUTED_VALUE"""),40.31)</f>
        <v>40.31</v>
      </c>
      <c r="D74" s="1">
        <f>IFERROR(__xludf.DUMMYFUNCTION("""COMPUTED_VALUE"""),22.13)</f>
        <v>22.13</v>
      </c>
      <c r="E74" s="1">
        <f>IFERROR(__xludf.DUMMYFUNCTION("""COMPUTED_VALUE"""),31.66)</f>
        <v>31.66</v>
      </c>
      <c r="F74" s="1">
        <f>IFERROR(__xludf.DUMMYFUNCTION("""COMPUTED_VALUE"""),42.89)</f>
        <v>42.89</v>
      </c>
      <c r="G74" s="1">
        <f>IFERROR(__xludf.DUMMYFUNCTION("""COMPUTED_VALUE"""),29.01)</f>
        <v>29.01</v>
      </c>
      <c r="H74" s="1">
        <f>IFERROR(__xludf.DUMMYFUNCTION("""COMPUTED_VALUE"""),56.24)</f>
        <v>56.24</v>
      </c>
    </row>
    <row r="75">
      <c r="A75" s="1"/>
      <c r="B75" s="1" t="str">
        <f>IFERROR(__xludf.DUMMYFUNCTION("""COMPUTED_VALUE"""),"Fiji")</f>
        <v>Fiji</v>
      </c>
      <c r="C75" s="1">
        <f>IFERROR(__xludf.DUMMYFUNCTION("""COMPUTED_VALUE"""),39.37)</f>
        <v>39.37</v>
      </c>
      <c r="D75" s="1">
        <f>IFERROR(__xludf.DUMMYFUNCTION("""COMPUTED_VALUE"""),15.1)</f>
        <v>15.1</v>
      </c>
      <c r="E75" s="1">
        <f>IFERROR(__xludf.DUMMYFUNCTION("""COMPUTED_VALUE"""),27.83)</f>
        <v>27.83</v>
      </c>
      <c r="F75" s="1">
        <f>IFERROR(__xludf.DUMMYFUNCTION("""COMPUTED_VALUE"""),44.1)</f>
        <v>44.1</v>
      </c>
      <c r="G75" s="1">
        <f>IFERROR(__xludf.DUMMYFUNCTION("""COMPUTED_VALUE"""),32.22)</f>
        <v>32.22</v>
      </c>
      <c r="H75" s="1">
        <f>IFERROR(__xludf.DUMMYFUNCTION("""COMPUTED_VALUE"""),38.72)</f>
        <v>38.72</v>
      </c>
    </row>
    <row r="76">
      <c r="A76" s="1"/>
      <c r="B76" s="1" t="str">
        <f>IFERROR(__xludf.DUMMYFUNCTION("""COMPUTED_VALUE"""),"Armenia")</f>
        <v>Armenia</v>
      </c>
      <c r="C76" s="1">
        <f>IFERROR(__xludf.DUMMYFUNCTION("""COMPUTED_VALUE"""),38.96)</f>
        <v>38.96</v>
      </c>
      <c r="D76" s="1">
        <f>IFERROR(__xludf.DUMMYFUNCTION("""COMPUTED_VALUE"""),17.55)</f>
        <v>17.55</v>
      </c>
      <c r="E76" s="1">
        <f>IFERROR(__xludf.DUMMYFUNCTION("""COMPUTED_VALUE"""),28.77)</f>
        <v>28.77</v>
      </c>
      <c r="F76" s="1">
        <f>IFERROR(__xludf.DUMMYFUNCTION("""COMPUTED_VALUE"""),33.94)</f>
        <v>33.94</v>
      </c>
      <c r="G76" s="1">
        <f>IFERROR(__xludf.DUMMYFUNCTION("""COMPUTED_VALUE"""),32.17)</f>
        <v>32.17</v>
      </c>
      <c r="H76" s="1">
        <f>IFERROR(__xludf.DUMMYFUNCTION("""COMPUTED_VALUE"""),26.04)</f>
        <v>26.04</v>
      </c>
    </row>
    <row r="77">
      <c r="A77" s="1"/>
      <c r="B77" s="1" t="str">
        <f>IFERROR(__xludf.DUMMYFUNCTION("""COMPUTED_VALUE"""),"Honduras")</f>
        <v>Honduras</v>
      </c>
      <c r="C77" s="1">
        <f>IFERROR(__xludf.DUMMYFUNCTION("""COMPUTED_VALUE"""),38.91)</f>
        <v>38.91</v>
      </c>
      <c r="D77" s="1">
        <f>IFERROR(__xludf.DUMMYFUNCTION("""COMPUTED_VALUE"""),9.11)</f>
        <v>9.11</v>
      </c>
      <c r="E77" s="1">
        <f>IFERROR(__xludf.DUMMYFUNCTION("""COMPUTED_VALUE"""),24.73)</f>
        <v>24.73</v>
      </c>
      <c r="F77" s="1">
        <f>IFERROR(__xludf.DUMMYFUNCTION("""COMPUTED_VALUE"""),33.78)</f>
        <v>33.78</v>
      </c>
      <c r="G77" s="1">
        <f>IFERROR(__xludf.DUMMYFUNCTION("""COMPUTED_VALUE"""),26.18)</f>
        <v>26.18</v>
      </c>
      <c r="H77" s="1">
        <f>IFERROR(__xludf.DUMMYFUNCTION("""COMPUTED_VALUE"""),31.41)</f>
        <v>31.41</v>
      </c>
    </row>
    <row r="78">
      <c r="A78" s="1"/>
      <c r="B78" s="1" t="str">
        <f>IFERROR(__xludf.DUMMYFUNCTION("""COMPUTED_VALUE"""),"Thailand")</f>
        <v>Thailand</v>
      </c>
      <c r="C78" s="1">
        <f>IFERROR(__xludf.DUMMYFUNCTION("""COMPUTED_VALUE"""),38.62)</f>
        <v>38.62</v>
      </c>
      <c r="D78" s="1">
        <f>IFERROR(__xludf.DUMMYFUNCTION("""COMPUTED_VALUE"""),12.54)</f>
        <v>12.54</v>
      </c>
      <c r="E78" s="1">
        <f>IFERROR(__xludf.DUMMYFUNCTION("""COMPUTED_VALUE"""),26.21)</f>
        <v>26.21</v>
      </c>
      <c r="F78" s="1">
        <f>IFERROR(__xludf.DUMMYFUNCTION("""COMPUTED_VALUE"""),40.5)</f>
        <v>40.5</v>
      </c>
      <c r="G78" s="1">
        <f>IFERROR(__xludf.DUMMYFUNCTION("""COMPUTED_VALUE"""),19.81)</f>
        <v>19.81</v>
      </c>
      <c r="H78" s="1">
        <f>IFERROR(__xludf.DUMMYFUNCTION("""COMPUTED_VALUE"""),30.82)</f>
        <v>30.82</v>
      </c>
    </row>
    <row r="79">
      <c r="A79" s="1"/>
      <c r="B79" s="1" t="str">
        <f>IFERROR(__xludf.DUMMYFUNCTION("""COMPUTED_VALUE"""),"Ivory Coast")</f>
        <v>Ivory Coast</v>
      </c>
      <c r="C79" s="1">
        <f>IFERROR(__xludf.DUMMYFUNCTION("""COMPUTED_VALUE"""),38.24)</f>
        <v>38.24</v>
      </c>
      <c r="D79" s="1">
        <f>IFERROR(__xludf.DUMMYFUNCTION("""COMPUTED_VALUE"""),13.65)</f>
        <v>13.65</v>
      </c>
      <c r="E79" s="1">
        <f>IFERROR(__xludf.DUMMYFUNCTION("""COMPUTED_VALUE"""),26.54)</f>
        <v>26.54</v>
      </c>
      <c r="F79" s="1">
        <f>IFERROR(__xludf.DUMMYFUNCTION("""COMPUTED_VALUE"""),33.43)</f>
        <v>33.43</v>
      </c>
      <c r="G79" s="1">
        <f>IFERROR(__xludf.DUMMYFUNCTION("""COMPUTED_VALUE"""),25.57)</f>
        <v>25.57</v>
      </c>
      <c r="H79" s="1">
        <f>IFERROR(__xludf.DUMMYFUNCTION("""COMPUTED_VALUE"""),7.84)</f>
        <v>7.84</v>
      </c>
    </row>
    <row r="80">
      <c r="A80" s="1"/>
      <c r="B80" s="1" t="str">
        <f>IFERROR(__xludf.DUMMYFUNCTION("""COMPUTED_VALUE"""),"South Africa")</f>
        <v>South Africa</v>
      </c>
      <c r="C80" s="1">
        <f>IFERROR(__xludf.DUMMYFUNCTION("""COMPUTED_VALUE"""),37.94)</f>
        <v>37.94</v>
      </c>
      <c r="D80" s="1">
        <f>IFERROR(__xludf.DUMMYFUNCTION("""COMPUTED_VALUE"""),14.76)</f>
        <v>14.76</v>
      </c>
      <c r="E80" s="1">
        <f>IFERROR(__xludf.DUMMYFUNCTION("""COMPUTED_VALUE"""),26.91)</f>
        <v>26.91</v>
      </c>
      <c r="F80" s="1">
        <f>IFERROR(__xludf.DUMMYFUNCTION("""COMPUTED_VALUE"""),31.09)</f>
        <v>31.09</v>
      </c>
      <c r="G80" s="1">
        <f>IFERROR(__xludf.DUMMYFUNCTION("""COMPUTED_VALUE"""),35.01)</f>
        <v>35.01</v>
      </c>
      <c r="H80" s="1">
        <f>IFERROR(__xludf.DUMMYFUNCTION("""COMPUTED_VALUE"""),77.84)</f>
        <v>77.84</v>
      </c>
    </row>
    <row r="81">
      <c r="A81" s="1"/>
      <c r="B81" s="1" t="str">
        <f>IFERROR(__xludf.DUMMYFUNCTION("""COMPUTED_VALUE"""),"Bulgaria")</f>
        <v>Bulgaria</v>
      </c>
      <c r="C81" s="1">
        <f>IFERROR(__xludf.DUMMYFUNCTION("""COMPUTED_VALUE"""),37.58)</f>
        <v>37.58</v>
      </c>
      <c r="D81" s="1">
        <f>IFERROR(__xludf.DUMMYFUNCTION("""COMPUTED_VALUE"""),9.57)</f>
        <v>9.57</v>
      </c>
      <c r="E81" s="1">
        <f>IFERROR(__xludf.DUMMYFUNCTION("""COMPUTED_VALUE"""),24.26)</f>
        <v>24.26</v>
      </c>
      <c r="F81" s="1">
        <f>IFERROR(__xludf.DUMMYFUNCTION("""COMPUTED_VALUE"""),33.51)</f>
        <v>33.51</v>
      </c>
      <c r="G81" s="1">
        <f>IFERROR(__xludf.DUMMYFUNCTION("""COMPUTED_VALUE"""),31.81)</f>
        <v>31.81</v>
      </c>
      <c r="H81" s="1">
        <f>IFERROR(__xludf.DUMMYFUNCTION("""COMPUTED_VALUE"""),46.9)</f>
        <v>46.9</v>
      </c>
    </row>
    <row r="82">
      <c r="A82" s="1"/>
      <c r="B82" s="1" t="str">
        <f>IFERROR(__xludf.DUMMYFUNCTION("""COMPUTED_VALUE"""),"Nicaragua")</f>
        <v>Nicaragua</v>
      </c>
      <c r="C82" s="1">
        <f>IFERROR(__xludf.DUMMYFUNCTION("""COMPUTED_VALUE"""),37.17)</f>
        <v>37.17</v>
      </c>
      <c r="D82" s="1">
        <f>IFERROR(__xludf.DUMMYFUNCTION("""COMPUTED_VALUE"""),8.17)</f>
        <v>8.17</v>
      </c>
      <c r="E82" s="1">
        <f>IFERROR(__xludf.DUMMYFUNCTION("""COMPUTED_VALUE"""),23.37)</f>
        <v>23.37</v>
      </c>
      <c r="F82" s="1">
        <f>IFERROR(__xludf.DUMMYFUNCTION("""COMPUTED_VALUE"""),35.71)</f>
        <v>35.71</v>
      </c>
      <c r="G82" s="1">
        <f>IFERROR(__xludf.DUMMYFUNCTION("""COMPUTED_VALUE"""),25.12)</f>
        <v>25.12</v>
      </c>
      <c r="H82" s="1">
        <f>IFERROR(__xludf.DUMMYFUNCTION("""COMPUTED_VALUE"""),19.61)</f>
        <v>19.61</v>
      </c>
    </row>
    <row r="83">
      <c r="A83" s="1"/>
      <c r="B83" s="1" t="str">
        <f>IFERROR(__xludf.DUMMYFUNCTION("""COMPUTED_VALUE"""),"Chile")</f>
        <v>Chile</v>
      </c>
      <c r="C83" s="1">
        <f>IFERROR(__xludf.DUMMYFUNCTION("""COMPUTED_VALUE"""),37.16)</f>
        <v>37.16</v>
      </c>
      <c r="D83" s="1">
        <f>IFERROR(__xludf.DUMMYFUNCTION("""COMPUTED_VALUE"""),11.41)</f>
        <v>11.41</v>
      </c>
      <c r="E83" s="1">
        <f>IFERROR(__xludf.DUMMYFUNCTION("""COMPUTED_VALUE"""),24.91)</f>
        <v>24.91</v>
      </c>
      <c r="F83" s="1">
        <f>IFERROR(__xludf.DUMMYFUNCTION("""COMPUTED_VALUE"""),34.1)</f>
        <v>34.1</v>
      </c>
      <c r="G83" s="1">
        <f>IFERROR(__xludf.DUMMYFUNCTION("""COMPUTED_VALUE"""),33.68)</f>
        <v>33.68</v>
      </c>
      <c r="H83" s="1">
        <f>IFERROR(__xludf.DUMMYFUNCTION("""COMPUTED_VALUE"""),35.79)</f>
        <v>35.79</v>
      </c>
    </row>
    <row r="84">
      <c r="A84" s="1"/>
      <c r="B84" s="1" t="str">
        <f>IFERROR(__xludf.DUMMYFUNCTION("""COMPUTED_VALUE"""),"Botswana")</f>
        <v>Botswana</v>
      </c>
      <c r="C84" s="1">
        <f>IFERROR(__xludf.DUMMYFUNCTION("""COMPUTED_VALUE"""),36.52)</f>
        <v>36.52</v>
      </c>
      <c r="D84" s="1">
        <f>IFERROR(__xludf.DUMMYFUNCTION("""COMPUTED_VALUE"""),8.33)</f>
        <v>8.33</v>
      </c>
      <c r="E84" s="1">
        <f>IFERROR(__xludf.DUMMYFUNCTION("""COMPUTED_VALUE"""),23.11)</f>
        <v>23.11</v>
      </c>
      <c r="F84" s="1">
        <f>IFERROR(__xludf.DUMMYFUNCTION("""COMPUTED_VALUE"""),32.46)</f>
        <v>32.46</v>
      </c>
      <c r="G84" s="1">
        <f>IFERROR(__xludf.DUMMYFUNCTION("""COMPUTED_VALUE"""),37.38)</f>
        <v>37.38</v>
      </c>
      <c r="H84" s="1">
        <f>IFERROR(__xludf.DUMMYFUNCTION("""COMPUTED_VALUE"""),59.92)</f>
        <v>59.92</v>
      </c>
    </row>
    <row r="85">
      <c r="A85" s="1"/>
      <c r="B85" s="1" t="str">
        <f>IFERROR(__xludf.DUMMYFUNCTION("""COMPUTED_VALUE"""),"Iran")</f>
        <v>Iran</v>
      </c>
      <c r="C85" s="1">
        <f>IFERROR(__xludf.DUMMYFUNCTION("""COMPUTED_VALUE"""),36.49)</f>
        <v>36.49</v>
      </c>
      <c r="D85" s="1">
        <f>IFERROR(__xludf.DUMMYFUNCTION("""COMPUTED_VALUE"""),16.41)</f>
        <v>16.41</v>
      </c>
      <c r="E85" s="1">
        <f>IFERROR(__xludf.DUMMYFUNCTION("""COMPUTED_VALUE"""),26.94)</f>
        <v>26.94</v>
      </c>
      <c r="F85" s="1">
        <f>IFERROR(__xludf.DUMMYFUNCTION("""COMPUTED_VALUE"""),28.03)</f>
        <v>28.03</v>
      </c>
      <c r="G85" s="1">
        <f>IFERROR(__xludf.DUMMYFUNCTION("""COMPUTED_VALUE"""),25.36)</f>
        <v>25.36</v>
      </c>
      <c r="H85" s="1">
        <f>IFERROR(__xludf.DUMMYFUNCTION("""COMPUTED_VALUE"""),18.03)</f>
        <v>18.03</v>
      </c>
    </row>
    <row r="86">
      <c r="A86" s="1"/>
      <c r="B86" s="1" t="str">
        <f>IFERROR(__xludf.DUMMYFUNCTION("""COMPUTED_VALUE"""),"Ecuador")</f>
        <v>Ecuador</v>
      </c>
      <c r="C86" s="1">
        <f>IFERROR(__xludf.DUMMYFUNCTION("""COMPUTED_VALUE"""),35.73)</f>
        <v>35.73</v>
      </c>
      <c r="D86" s="1">
        <f>IFERROR(__xludf.DUMMYFUNCTION("""COMPUTED_VALUE"""),9.73)</f>
        <v>9.73</v>
      </c>
      <c r="E86" s="1">
        <f>IFERROR(__xludf.DUMMYFUNCTION("""COMPUTED_VALUE"""),23.36)</f>
        <v>23.36</v>
      </c>
      <c r="F86" s="1">
        <f>IFERROR(__xludf.DUMMYFUNCTION("""COMPUTED_VALUE"""),32.95)</f>
        <v>32.95</v>
      </c>
      <c r="G86" s="1">
        <f>IFERROR(__xludf.DUMMYFUNCTION("""COMPUTED_VALUE"""),25.81)</f>
        <v>25.81</v>
      </c>
      <c r="H86" s="1">
        <f>IFERROR(__xludf.DUMMYFUNCTION("""COMPUTED_VALUE"""),33.55)</f>
        <v>33.55</v>
      </c>
    </row>
    <row r="87">
      <c r="A87" s="1"/>
      <c r="B87" s="1" t="str">
        <f>IFERROR(__xludf.DUMMYFUNCTION("""COMPUTED_VALUE"""),"Namibia")</f>
        <v>Namibia</v>
      </c>
      <c r="C87" s="1">
        <f>IFERROR(__xludf.DUMMYFUNCTION("""COMPUTED_VALUE"""),35.59)</f>
        <v>35.59</v>
      </c>
      <c r="D87" s="1">
        <f>IFERROR(__xludf.DUMMYFUNCTION("""COMPUTED_VALUE"""),11.56)</f>
        <v>11.56</v>
      </c>
      <c r="E87" s="1">
        <f>IFERROR(__xludf.DUMMYFUNCTION("""COMPUTED_VALUE"""),24.16)</f>
        <v>24.16</v>
      </c>
      <c r="F87" s="1">
        <f>IFERROR(__xludf.DUMMYFUNCTION("""COMPUTED_VALUE"""),32.98)</f>
        <v>32.98</v>
      </c>
      <c r="G87" s="1">
        <f>IFERROR(__xludf.DUMMYFUNCTION("""COMPUTED_VALUE"""),37.44)</f>
        <v>37.44</v>
      </c>
      <c r="H87" s="1">
        <f>IFERROR(__xludf.DUMMYFUNCTION("""COMPUTED_VALUE"""),50.99)</f>
        <v>50.99</v>
      </c>
    </row>
    <row r="88">
      <c r="A88" s="1"/>
      <c r="B88" s="1" t="str">
        <f>IFERROR(__xludf.DUMMYFUNCTION("""COMPUTED_VALUE"""),"Vietnam")</f>
        <v>Vietnam</v>
      </c>
      <c r="C88" s="1">
        <f>IFERROR(__xludf.DUMMYFUNCTION("""COMPUTED_VALUE"""),35.59)</f>
        <v>35.59</v>
      </c>
      <c r="D88" s="1">
        <f>IFERROR(__xludf.DUMMYFUNCTION("""COMPUTED_VALUE"""),11.73)</f>
        <v>11.73</v>
      </c>
      <c r="E88" s="1">
        <f>IFERROR(__xludf.DUMMYFUNCTION("""COMPUTED_VALUE"""),24.24)</f>
        <v>24.24</v>
      </c>
      <c r="F88" s="1">
        <f>IFERROR(__xludf.DUMMYFUNCTION("""COMPUTED_VALUE"""),36.37)</f>
        <v>36.37</v>
      </c>
      <c r="G88" s="1">
        <f>IFERROR(__xludf.DUMMYFUNCTION("""COMPUTED_VALUE"""),18.24)</f>
        <v>18.24</v>
      </c>
      <c r="H88" s="1">
        <f>IFERROR(__xludf.DUMMYFUNCTION("""COMPUTED_VALUE"""),28.18)</f>
        <v>28.18</v>
      </c>
    </row>
    <row r="89">
      <c r="A89" s="1"/>
      <c r="B89" s="1" t="str">
        <f>IFERROR(__xludf.DUMMYFUNCTION("""COMPUTED_VALUE"""),"Mexico")</f>
        <v>Mexico</v>
      </c>
      <c r="C89" s="1">
        <f>IFERROR(__xludf.DUMMYFUNCTION("""COMPUTED_VALUE"""),35.14)</f>
        <v>35.14</v>
      </c>
      <c r="D89" s="1">
        <f>IFERROR(__xludf.DUMMYFUNCTION("""COMPUTED_VALUE"""),12.05)</f>
        <v>12.05</v>
      </c>
      <c r="E89" s="1">
        <f>IFERROR(__xludf.DUMMYFUNCTION("""COMPUTED_VALUE"""),24.15)</f>
        <v>24.15</v>
      </c>
      <c r="F89" s="1">
        <f>IFERROR(__xludf.DUMMYFUNCTION("""COMPUTED_VALUE"""),34.85)</f>
        <v>34.85</v>
      </c>
      <c r="G89" s="1">
        <f>IFERROR(__xludf.DUMMYFUNCTION("""COMPUTED_VALUE"""),31.94)</f>
        <v>31.94</v>
      </c>
      <c r="H89" s="1">
        <f>IFERROR(__xludf.DUMMYFUNCTION("""COMPUTED_VALUE"""),41.1)</f>
        <v>41.1</v>
      </c>
    </row>
    <row r="90">
      <c r="A90" s="1"/>
      <c r="B90" s="1" t="str">
        <f>IFERROR(__xludf.DUMMYFUNCTION("""COMPUTED_VALUE"""),"Poland")</f>
        <v>Poland</v>
      </c>
      <c r="C90" s="1">
        <f>IFERROR(__xludf.DUMMYFUNCTION("""COMPUTED_VALUE"""),35.06)</f>
        <v>35.06</v>
      </c>
      <c r="D90" s="1">
        <f>IFERROR(__xludf.DUMMYFUNCTION("""COMPUTED_VALUE"""),14.15)</f>
        <v>14.15</v>
      </c>
      <c r="E90" s="1">
        <f>IFERROR(__xludf.DUMMYFUNCTION("""COMPUTED_VALUE"""),25.12)</f>
        <v>25.12</v>
      </c>
      <c r="F90" s="1">
        <f>IFERROR(__xludf.DUMMYFUNCTION("""COMPUTED_VALUE"""),28.39)</f>
        <v>28.39</v>
      </c>
      <c r="G90" s="1">
        <f>IFERROR(__xludf.DUMMYFUNCTION("""COMPUTED_VALUE"""),31.4)</f>
        <v>31.4</v>
      </c>
      <c r="H90" s="1">
        <f>IFERROR(__xludf.DUMMYFUNCTION("""COMPUTED_VALUE"""),60.65)</f>
        <v>60.65</v>
      </c>
    </row>
    <row r="91">
      <c r="A91" s="1"/>
      <c r="B91" s="1" t="str">
        <f>IFERROR(__xludf.DUMMYFUNCTION("""COMPUTED_VALUE"""),"Romania")</f>
        <v>Romania</v>
      </c>
      <c r="C91" s="1">
        <f>IFERROR(__xludf.DUMMYFUNCTION("""COMPUTED_VALUE"""),34.93)</f>
        <v>34.93</v>
      </c>
      <c r="D91" s="1">
        <f>IFERROR(__xludf.DUMMYFUNCTION("""COMPUTED_VALUE"""),9.98)</f>
        <v>9.98</v>
      </c>
      <c r="E91" s="1">
        <f>IFERROR(__xludf.DUMMYFUNCTION("""COMPUTED_VALUE"""),23.06)</f>
        <v>23.06</v>
      </c>
      <c r="F91" s="1">
        <f>IFERROR(__xludf.DUMMYFUNCTION("""COMPUTED_VALUE"""),30.54)</f>
        <v>30.54</v>
      </c>
      <c r="G91" s="1">
        <f>IFERROR(__xludf.DUMMYFUNCTION("""COMPUTED_VALUE"""),29.74)</f>
        <v>29.74</v>
      </c>
      <c r="H91" s="1">
        <f>IFERROR(__xludf.DUMMYFUNCTION("""COMPUTED_VALUE"""),48.84)</f>
        <v>48.84</v>
      </c>
    </row>
    <row r="92">
      <c r="A92" s="1"/>
      <c r="B92" s="1" t="str">
        <f>IFERROR(__xludf.DUMMYFUNCTION("""COMPUTED_VALUE"""),"Georgia")</f>
        <v>Georgia</v>
      </c>
      <c r="C92" s="1">
        <f>IFERROR(__xludf.DUMMYFUNCTION("""COMPUTED_VALUE"""),34.85)</f>
        <v>34.85</v>
      </c>
      <c r="D92" s="1">
        <f>IFERROR(__xludf.DUMMYFUNCTION("""COMPUTED_VALUE"""),15.45)</f>
        <v>15.45</v>
      </c>
      <c r="E92" s="1">
        <f>IFERROR(__xludf.DUMMYFUNCTION("""COMPUTED_VALUE"""),25.62)</f>
        <v>25.62</v>
      </c>
      <c r="F92" s="1">
        <f>IFERROR(__xludf.DUMMYFUNCTION("""COMPUTED_VALUE"""),30.42)</f>
        <v>30.42</v>
      </c>
      <c r="G92" s="1">
        <f>IFERROR(__xludf.DUMMYFUNCTION("""COMPUTED_VALUE"""),32.14)</f>
        <v>32.14</v>
      </c>
      <c r="H92" s="1">
        <f>IFERROR(__xludf.DUMMYFUNCTION("""COMPUTED_VALUE"""),25.13)</f>
        <v>25.13</v>
      </c>
    </row>
    <row r="93">
      <c r="A93" s="1"/>
      <c r="B93" s="1" t="str">
        <f>IFERROR(__xludf.DUMMYFUNCTION("""COMPUTED_VALUE"""),"Brazil")</f>
        <v>Brazil</v>
      </c>
      <c r="C93" s="1">
        <f>IFERROR(__xludf.DUMMYFUNCTION("""COMPUTED_VALUE"""),34.81)</f>
        <v>34.81</v>
      </c>
      <c r="D93" s="1">
        <f>IFERROR(__xludf.DUMMYFUNCTION("""COMPUTED_VALUE"""),8.46)</f>
        <v>8.46</v>
      </c>
      <c r="E93" s="1">
        <f>IFERROR(__xludf.DUMMYFUNCTION("""COMPUTED_VALUE"""),22.28)</f>
        <v>22.28</v>
      </c>
      <c r="F93" s="1">
        <f>IFERROR(__xludf.DUMMYFUNCTION("""COMPUTED_VALUE"""),29.99)</f>
        <v>29.99</v>
      </c>
      <c r="G93" s="1">
        <f>IFERROR(__xludf.DUMMYFUNCTION("""COMPUTED_VALUE"""),25.58)</f>
        <v>25.58</v>
      </c>
      <c r="H93" s="1">
        <f>IFERROR(__xludf.DUMMYFUNCTION("""COMPUTED_VALUE"""),27.28)</f>
        <v>27.28</v>
      </c>
    </row>
    <row r="94">
      <c r="A94" s="1"/>
      <c r="B94" s="1" t="str">
        <f>IFERROR(__xludf.DUMMYFUNCTION("""COMPUTED_VALUE"""),"Montenegro")</f>
        <v>Montenegro</v>
      </c>
      <c r="C94" s="1">
        <f>IFERROR(__xludf.DUMMYFUNCTION("""COMPUTED_VALUE"""),34.74)</f>
        <v>34.74</v>
      </c>
      <c r="D94" s="1">
        <f>IFERROR(__xludf.DUMMYFUNCTION("""COMPUTED_VALUE"""),11.05)</f>
        <v>11.05</v>
      </c>
      <c r="E94" s="1">
        <f>IFERROR(__xludf.DUMMYFUNCTION("""COMPUTED_VALUE"""),23.47)</f>
        <v>23.47</v>
      </c>
      <c r="F94" s="1">
        <f>IFERROR(__xludf.DUMMYFUNCTION("""COMPUTED_VALUE"""),29.19)</f>
        <v>29.19</v>
      </c>
      <c r="G94" s="1">
        <f>IFERROR(__xludf.DUMMYFUNCTION("""COMPUTED_VALUE"""),27.5)</f>
        <v>27.5</v>
      </c>
      <c r="H94" s="1">
        <f>IFERROR(__xludf.DUMMYFUNCTION("""COMPUTED_VALUE"""),37.23)</f>
        <v>37.23</v>
      </c>
    </row>
    <row r="95">
      <c r="A95" s="1"/>
      <c r="B95" s="1" t="str">
        <f>IFERROR(__xludf.DUMMYFUNCTION("""COMPUTED_VALUE"""),"Hungary")</f>
        <v>Hungary</v>
      </c>
      <c r="C95" s="1">
        <f>IFERROR(__xludf.DUMMYFUNCTION("""COMPUTED_VALUE"""),34.64)</f>
        <v>34.64</v>
      </c>
      <c r="D95" s="1">
        <f>IFERROR(__xludf.DUMMYFUNCTION("""COMPUTED_VALUE"""),11.13)</f>
        <v>11.13</v>
      </c>
      <c r="E95" s="1">
        <f>IFERROR(__xludf.DUMMYFUNCTION("""COMPUTED_VALUE"""),23.46)</f>
        <v>23.46</v>
      </c>
      <c r="F95" s="1">
        <f>IFERROR(__xludf.DUMMYFUNCTION("""COMPUTED_VALUE"""),30.85)</f>
        <v>30.85</v>
      </c>
      <c r="G95" s="1">
        <f>IFERROR(__xludf.DUMMYFUNCTION("""COMPUTED_VALUE"""),28.23)</f>
        <v>28.23</v>
      </c>
      <c r="H95" s="1">
        <f>IFERROR(__xludf.DUMMYFUNCTION("""COMPUTED_VALUE"""),53.24)</f>
        <v>53.24</v>
      </c>
    </row>
    <row r="96">
      <c r="A96" s="1"/>
      <c r="B96" s="1" t="str">
        <f>IFERROR(__xludf.DUMMYFUNCTION("""COMPUTED_VALUE"""),"Malaysia")</f>
        <v>Malaysia</v>
      </c>
      <c r="C96" s="1">
        <f>IFERROR(__xludf.DUMMYFUNCTION("""COMPUTED_VALUE"""),34.41)</f>
        <v>34.41</v>
      </c>
      <c r="D96" s="1">
        <f>IFERROR(__xludf.DUMMYFUNCTION("""COMPUTED_VALUE"""),9.73)</f>
        <v>9.73</v>
      </c>
      <c r="E96" s="1">
        <f>IFERROR(__xludf.DUMMYFUNCTION("""COMPUTED_VALUE"""),22.67)</f>
        <v>22.67</v>
      </c>
      <c r="F96" s="1">
        <f>IFERROR(__xludf.DUMMYFUNCTION("""COMPUTED_VALUE"""),37.1)</f>
        <v>37.1</v>
      </c>
      <c r="G96" s="1">
        <f>IFERROR(__xludf.DUMMYFUNCTION("""COMPUTED_VALUE"""),19.85)</f>
        <v>19.85</v>
      </c>
      <c r="H96" s="1">
        <f>IFERROR(__xludf.DUMMYFUNCTION("""COMPUTED_VALUE"""),59.41)</f>
        <v>59.41</v>
      </c>
    </row>
    <row r="97">
      <c r="A97" s="1"/>
      <c r="B97" s="1" t="str">
        <f>IFERROR(__xludf.DUMMYFUNCTION("""COMPUTED_VALUE"""),"Mongolia")</f>
        <v>Mongolia</v>
      </c>
      <c r="C97" s="1">
        <f>IFERROR(__xludf.DUMMYFUNCTION("""COMPUTED_VALUE"""),33.69)</f>
        <v>33.69</v>
      </c>
      <c r="D97" s="1">
        <f>IFERROR(__xludf.DUMMYFUNCTION("""COMPUTED_VALUE"""),9.1)</f>
        <v>9.1</v>
      </c>
      <c r="E97" s="1">
        <f>IFERROR(__xludf.DUMMYFUNCTION("""COMPUTED_VALUE"""),21.99)</f>
        <v>21.99</v>
      </c>
      <c r="F97" s="1">
        <f>IFERROR(__xludf.DUMMYFUNCTION("""COMPUTED_VALUE"""),34.51)</f>
        <v>34.51</v>
      </c>
      <c r="G97" s="1">
        <f>IFERROR(__xludf.DUMMYFUNCTION("""COMPUTED_VALUE"""),26.39)</f>
        <v>26.39</v>
      </c>
      <c r="H97" s="1">
        <f>IFERROR(__xludf.DUMMYFUNCTION("""COMPUTED_VALUE"""),23.62)</f>
        <v>23.62</v>
      </c>
    </row>
    <row r="98">
      <c r="A98" s="1"/>
      <c r="B98" s="1" t="str">
        <f>IFERROR(__xludf.DUMMYFUNCTION("""COMPUTED_VALUE"""),"Philippines")</f>
        <v>Philippines</v>
      </c>
      <c r="C98" s="1">
        <f>IFERROR(__xludf.DUMMYFUNCTION("""COMPUTED_VALUE"""),33.62)</f>
        <v>33.62</v>
      </c>
      <c r="D98" s="1">
        <f>IFERROR(__xludf.DUMMYFUNCTION("""COMPUTED_VALUE"""),10.34)</f>
        <v>10.34</v>
      </c>
      <c r="E98" s="1">
        <f>IFERROR(__xludf.DUMMYFUNCTION("""COMPUTED_VALUE"""),22.55)</f>
        <v>22.55</v>
      </c>
      <c r="F98" s="1">
        <f>IFERROR(__xludf.DUMMYFUNCTION("""COMPUTED_VALUE"""),33.61)</f>
        <v>33.61</v>
      </c>
      <c r="G98" s="1">
        <f>IFERROR(__xludf.DUMMYFUNCTION("""COMPUTED_VALUE"""),20.08)</f>
        <v>20.08</v>
      </c>
      <c r="H98" s="1">
        <f>IFERROR(__xludf.DUMMYFUNCTION("""COMPUTED_VALUE"""),20.06)</f>
        <v>20.06</v>
      </c>
    </row>
    <row r="99">
      <c r="A99" s="1"/>
      <c r="B99" s="1" t="str">
        <f>IFERROR(__xludf.DUMMYFUNCTION("""COMPUTED_VALUE"""),"Albania")</f>
        <v>Albania</v>
      </c>
      <c r="C99" s="1">
        <f>IFERROR(__xludf.DUMMYFUNCTION("""COMPUTED_VALUE"""),33.6)</f>
        <v>33.6</v>
      </c>
      <c r="D99" s="1">
        <f>IFERROR(__xludf.DUMMYFUNCTION("""COMPUTED_VALUE"""),8.22)</f>
        <v>8.22</v>
      </c>
      <c r="E99" s="1">
        <f>IFERROR(__xludf.DUMMYFUNCTION("""COMPUTED_VALUE"""),21.53)</f>
        <v>21.53</v>
      </c>
      <c r="F99" s="1">
        <f>IFERROR(__xludf.DUMMYFUNCTION("""COMPUTED_VALUE"""),27.65)</f>
        <v>27.65</v>
      </c>
      <c r="G99" s="1">
        <f>IFERROR(__xludf.DUMMYFUNCTION("""COMPUTED_VALUE"""),22.94)</f>
        <v>22.94</v>
      </c>
      <c r="H99" s="1">
        <f>IFERROR(__xludf.DUMMYFUNCTION("""COMPUTED_VALUE"""),28.65)</f>
        <v>28.65</v>
      </c>
    </row>
    <row r="100">
      <c r="A100" s="1"/>
      <c r="B100" s="1" t="str">
        <f>IFERROR(__xludf.DUMMYFUNCTION("""COMPUTED_VALUE"""),"Kenya")</f>
        <v>Kenya</v>
      </c>
      <c r="C100" s="1">
        <f>IFERROR(__xludf.DUMMYFUNCTION("""COMPUTED_VALUE"""),33.36)</f>
        <v>33.36</v>
      </c>
      <c r="D100" s="1">
        <f>IFERROR(__xludf.DUMMYFUNCTION("""COMPUTED_VALUE"""),7.49)</f>
        <v>7.49</v>
      </c>
      <c r="E100" s="1">
        <f>IFERROR(__xludf.DUMMYFUNCTION("""COMPUTED_VALUE"""),21.05)</f>
        <v>21.05</v>
      </c>
      <c r="F100" s="1">
        <f>IFERROR(__xludf.DUMMYFUNCTION("""COMPUTED_VALUE"""),31.39)</f>
        <v>31.39</v>
      </c>
      <c r="G100" s="1">
        <f>IFERROR(__xludf.DUMMYFUNCTION("""COMPUTED_VALUE"""),28.15)</f>
        <v>28.15</v>
      </c>
      <c r="H100" s="1">
        <f>IFERROR(__xludf.DUMMYFUNCTION("""COMPUTED_VALUE"""),32.19)</f>
        <v>32.19</v>
      </c>
    </row>
    <row r="101">
      <c r="A101" s="1"/>
      <c r="B101" s="1" t="str">
        <f>IFERROR(__xludf.DUMMYFUNCTION("""COMPUTED_VALUE"""),"Serbia")</f>
        <v>Serbia</v>
      </c>
      <c r="C101" s="1">
        <f>IFERROR(__xludf.DUMMYFUNCTION("""COMPUTED_VALUE"""),33.35)</f>
        <v>33.35</v>
      </c>
      <c r="D101" s="1">
        <f>IFERROR(__xludf.DUMMYFUNCTION("""COMPUTED_VALUE"""),7.54)</f>
        <v>7.54</v>
      </c>
      <c r="E101" s="1">
        <f>IFERROR(__xludf.DUMMYFUNCTION("""COMPUTED_VALUE"""),21.07)</f>
        <v>21.07</v>
      </c>
      <c r="F101" s="1">
        <f>IFERROR(__xludf.DUMMYFUNCTION("""COMPUTED_VALUE"""),26.79)</f>
        <v>26.79</v>
      </c>
      <c r="G101" s="1">
        <f>IFERROR(__xludf.DUMMYFUNCTION("""COMPUTED_VALUE"""),27.18)</f>
        <v>27.18</v>
      </c>
      <c r="H101" s="1">
        <f>IFERROR(__xludf.DUMMYFUNCTION("""COMPUTED_VALUE"""),41.56)</f>
        <v>41.56</v>
      </c>
    </row>
    <row r="102">
      <c r="A102" s="1"/>
      <c r="B102" s="1" t="str">
        <f>IFERROR(__xludf.DUMMYFUNCTION("""COMPUTED_VALUE"""),"Myanmar")</f>
        <v>Myanmar</v>
      </c>
      <c r="C102" s="1">
        <f>IFERROR(__xludf.DUMMYFUNCTION("""COMPUTED_VALUE"""),33.14)</f>
        <v>33.14</v>
      </c>
      <c r="D102" s="1">
        <f>IFERROR(__xludf.DUMMYFUNCTION("""COMPUTED_VALUE"""),19.26)</f>
        <v>19.26</v>
      </c>
      <c r="E102" s="1">
        <f>IFERROR(__xludf.DUMMYFUNCTION("""COMPUTED_VALUE"""),26.54)</f>
        <v>26.54</v>
      </c>
      <c r="F102" s="1">
        <f>IFERROR(__xludf.DUMMYFUNCTION("""COMPUTED_VALUE"""),35.62)</f>
        <v>35.62</v>
      </c>
      <c r="G102" s="1">
        <f>IFERROR(__xludf.DUMMYFUNCTION("""COMPUTED_VALUE"""),18.18)</f>
        <v>18.18</v>
      </c>
      <c r="H102" s="1">
        <f>IFERROR(__xludf.DUMMYFUNCTION("""COMPUTED_VALUE"""),28.1)</f>
        <v>28.1</v>
      </c>
    </row>
    <row r="103">
      <c r="A103" s="1"/>
      <c r="B103" s="1" t="str">
        <f>IFERROR(__xludf.DUMMYFUNCTION("""COMPUTED_VALUE"""),"Bolivia")</f>
        <v>Bolivia</v>
      </c>
      <c r="C103" s="1">
        <f>IFERROR(__xludf.DUMMYFUNCTION("""COMPUTED_VALUE"""),32.57)</f>
        <v>32.57</v>
      </c>
      <c r="D103" s="1">
        <f>IFERROR(__xludf.DUMMYFUNCTION("""COMPUTED_VALUE"""),8.54)</f>
        <v>8.54</v>
      </c>
      <c r="E103" s="1">
        <f>IFERROR(__xludf.DUMMYFUNCTION("""COMPUTED_VALUE"""),21.14)</f>
        <v>21.14</v>
      </c>
      <c r="F103" s="1">
        <f>IFERROR(__xludf.DUMMYFUNCTION("""COMPUTED_VALUE"""),29.14)</f>
        <v>29.14</v>
      </c>
      <c r="G103" s="1">
        <f>IFERROR(__xludf.DUMMYFUNCTION("""COMPUTED_VALUE"""),22.99)</f>
        <v>22.99</v>
      </c>
      <c r="H103" s="1">
        <f>IFERROR(__xludf.DUMMYFUNCTION("""COMPUTED_VALUE"""),36.5)</f>
        <v>36.5</v>
      </c>
    </row>
    <row r="104">
      <c r="A104" s="1"/>
      <c r="B104" s="1" t="str">
        <f>IFERROR(__xludf.DUMMYFUNCTION("""COMPUTED_VALUE"""),"Cameroon")</f>
        <v>Cameroon</v>
      </c>
      <c r="C104" s="1">
        <f>IFERROR(__xludf.DUMMYFUNCTION("""COMPUTED_VALUE"""),32.5)</f>
        <v>32.5</v>
      </c>
      <c r="D104" s="1">
        <f>IFERROR(__xludf.DUMMYFUNCTION("""COMPUTED_VALUE"""),5.49)</f>
        <v>5.49</v>
      </c>
      <c r="E104" s="1">
        <f>IFERROR(__xludf.DUMMYFUNCTION("""COMPUTED_VALUE"""),19.65)</f>
        <v>19.65</v>
      </c>
      <c r="F104" s="1">
        <f>IFERROR(__xludf.DUMMYFUNCTION("""COMPUTED_VALUE"""),33.26)</f>
        <v>33.26</v>
      </c>
      <c r="G104" s="1">
        <f>IFERROR(__xludf.DUMMYFUNCTION("""COMPUTED_VALUE"""),21.47)</f>
        <v>21.47</v>
      </c>
      <c r="H104" s="1">
        <f>IFERROR(__xludf.DUMMYFUNCTION("""COMPUTED_VALUE"""),16.95)</f>
        <v>16.95</v>
      </c>
    </row>
    <row r="105">
      <c r="A105" s="1"/>
      <c r="B105" s="1" t="str">
        <f>IFERROR(__xludf.DUMMYFUNCTION("""COMPUTED_VALUE"""),"Bosnia And Herzegovina")</f>
        <v>Bosnia And Herzegovina</v>
      </c>
      <c r="C105" s="1">
        <f>IFERROR(__xludf.DUMMYFUNCTION("""COMPUTED_VALUE"""),32.24)</f>
        <v>32.24</v>
      </c>
      <c r="D105" s="1">
        <f>IFERROR(__xludf.DUMMYFUNCTION("""COMPUTED_VALUE"""),5.31)</f>
        <v>5.31</v>
      </c>
      <c r="E105" s="1">
        <f>IFERROR(__xludf.DUMMYFUNCTION("""COMPUTED_VALUE"""),19.42)</f>
        <v>19.42</v>
      </c>
      <c r="F105" s="1">
        <f>IFERROR(__xludf.DUMMYFUNCTION("""COMPUTED_VALUE"""),28.57)</f>
        <v>28.57</v>
      </c>
      <c r="G105" s="1">
        <f>IFERROR(__xludf.DUMMYFUNCTION("""COMPUTED_VALUE"""),20.8)</f>
        <v>20.8</v>
      </c>
      <c r="H105" s="1">
        <f>IFERROR(__xludf.DUMMYFUNCTION("""COMPUTED_VALUE"""),46.51)</f>
        <v>46.51</v>
      </c>
    </row>
    <row r="106">
      <c r="A106" s="1"/>
      <c r="B106" s="1" t="str">
        <f>IFERROR(__xludf.DUMMYFUNCTION("""COMPUTED_VALUE"""),"Indonesia")</f>
        <v>Indonesia</v>
      </c>
      <c r="C106" s="1">
        <f>IFERROR(__xludf.DUMMYFUNCTION("""COMPUTED_VALUE"""),32.2)</f>
        <v>32.2</v>
      </c>
      <c r="D106" s="1">
        <f>IFERROR(__xludf.DUMMYFUNCTION("""COMPUTED_VALUE"""),8.2)</f>
        <v>8.2</v>
      </c>
      <c r="E106" s="1">
        <f>IFERROR(__xludf.DUMMYFUNCTION("""COMPUTED_VALUE"""),20.78)</f>
        <v>20.78</v>
      </c>
      <c r="F106" s="1">
        <f>IFERROR(__xludf.DUMMYFUNCTION("""COMPUTED_VALUE"""),35.14)</f>
        <v>35.14</v>
      </c>
      <c r="G106" s="1">
        <f>IFERROR(__xludf.DUMMYFUNCTION("""COMPUTED_VALUE"""),16.73)</f>
        <v>16.73</v>
      </c>
      <c r="H106" s="1">
        <f>IFERROR(__xludf.DUMMYFUNCTION("""COMPUTED_VALUE"""),25.52)</f>
        <v>25.52</v>
      </c>
    </row>
    <row r="107">
      <c r="A107" s="1"/>
      <c r="B107" s="1" t="str">
        <f>IFERROR(__xludf.DUMMYFUNCTION("""COMPUTED_VALUE"""),"Argentina")</f>
        <v>Argentina</v>
      </c>
      <c r="C107" s="1">
        <f>IFERROR(__xludf.DUMMYFUNCTION("""COMPUTED_VALUE"""),32.13)</f>
        <v>32.13</v>
      </c>
      <c r="D107" s="1">
        <f>IFERROR(__xludf.DUMMYFUNCTION("""COMPUTED_VALUE"""),6.88)</f>
        <v>6.88</v>
      </c>
      <c r="E107" s="1">
        <f>IFERROR(__xludf.DUMMYFUNCTION("""COMPUTED_VALUE"""),20.12)</f>
        <v>20.12</v>
      </c>
      <c r="F107" s="1">
        <f>IFERROR(__xludf.DUMMYFUNCTION("""COMPUTED_VALUE"""),26.83)</f>
        <v>26.83</v>
      </c>
      <c r="G107" s="1">
        <f>IFERROR(__xludf.DUMMYFUNCTION("""COMPUTED_VALUE"""),27.99)</f>
        <v>27.99</v>
      </c>
      <c r="H107" s="1">
        <f>IFERROR(__xludf.DUMMYFUNCTION("""COMPUTED_VALUE"""),33.64)</f>
        <v>33.64</v>
      </c>
    </row>
    <row r="108">
      <c r="A108" s="1"/>
      <c r="B108" s="1" t="str">
        <f>IFERROR(__xludf.DUMMYFUNCTION("""COMPUTED_VALUE"""),"Somalia")</f>
        <v>Somalia</v>
      </c>
      <c r="C108" s="1">
        <f>IFERROR(__xludf.DUMMYFUNCTION("""COMPUTED_VALUE"""),31.92)</f>
        <v>31.92</v>
      </c>
      <c r="D108" s="1">
        <f>IFERROR(__xludf.DUMMYFUNCTION("""COMPUTED_VALUE"""),5.03)</f>
        <v>5.03</v>
      </c>
      <c r="E108" s="1">
        <f>IFERROR(__xludf.DUMMYFUNCTION("""COMPUTED_VALUE"""),19.13)</f>
        <v>19.13</v>
      </c>
      <c r="F108" s="1">
        <f>IFERROR(__xludf.DUMMYFUNCTION("""COMPUTED_VALUE"""),35.0)</f>
        <v>35</v>
      </c>
      <c r="G108" s="1">
        <f>IFERROR(__xludf.DUMMYFUNCTION("""COMPUTED_VALUE"""),24.82)</f>
        <v>24.82</v>
      </c>
      <c r="H108" s="1">
        <f>IFERROR(__xludf.DUMMYFUNCTION("""COMPUTED_VALUE"""),30.7)</f>
        <v>30.7</v>
      </c>
    </row>
    <row r="109">
      <c r="A109" s="1"/>
      <c r="B109" s="1" t="str">
        <f>IFERROR(__xludf.DUMMYFUNCTION("""COMPUTED_VALUE"""),"Iraq")</f>
        <v>Iraq</v>
      </c>
      <c r="C109" s="1">
        <f>IFERROR(__xludf.DUMMYFUNCTION("""COMPUTED_VALUE"""),31.81)</f>
        <v>31.81</v>
      </c>
      <c r="D109" s="1">
        <f>IFERROR(__xludf.DUMMYFUNCTION("""COMPUTED_VALUE"""),9.44)</f>
        <v>9.44</v>
      </c>
      <c r="E109" s="1">
        <f>IFERROR(__xludf.DUMMYFUNCTION("""COMPUTED_VALUE"""),21.17)</f>
        <v>21.17</v>
      </c>
      <c r="F109" s="1">
        <f>IFERROR(__xludf.DUMMYFUNCTION("""COMPUTED_VALUE"""),27.78)</f>
        <v>27.78</v>
      </c>
      <c r="G109" s="1">
        <f>IFERROR(__xludf.DUMMYFUNCTION("""COMPUTED_VALUE"""),25.89)</f>
        <v>25.89</v>
      </c>
      <c r="H109" s="1">
        <f>IFERROR(__xludf.DUMMYFUNCTION("""COMPUTED_VALUE"""),43.58)</f>
        <v>43.58</v>
      </c>
    </row>
    <row r="110">
      <c r="A110" s="1"/>
      <c r="B110" s="1" t="str">
        <f>IFERROR(__xludf.DUMMYFUNCTION("""COMPUTED_VALUE"""),"Uganda")</f>
        <v>Uganda</v>
      </c>
      <c r="C110" s="1">
        <f>IFERROR(__xludf.DUMMYFUNCTION("""COMPUTED_VALUE"""),31.41)</f>
        <v>31.41</v>
      </c>
      <c r="D110" s="1">
        <f>IFERROR(__xludf.DUMMYFUNCTION("""COMPUTED_VALUE"""),9.03)</f>
        <v>9.03</v>
      </c>
      <c r="E110" s="1">
        <f>IFERROR(__xludf.DUMMYFUNCTION("""COMPUTED_VALUE"""),20.76)</f>
        <v>20.76</v>
      </c>
      <c r="F110" s="1">
        <f>IFERROR(__xludf.DUMMYFUNCTION("""COMPUTED_VALUE"""),28.69)</f>
        <v>28.69</v>
      </c>
      <c r="G110" s="1">
        <f>IFERROR(__xludf.DUMMYFUNCTION("""COMPUTED_VALUE"""),22.04)</f>
        <v>22.04</v>
      </c>
      <c r="H110" s="1">
        <f>IFERROR(__xludf.DUMMYFUNCTION("""COMPUTED_VALUE"""),11.76)</f>
        <v>11.76</v>
      </c>
    </row>
    <row r="111">
      <c r="A111" s="1"/>
      <c r="B111" s="1" t="str">
        <f>IFERROR(__xludf.DUMMYFUNCTION("""COMPUTED_VALUE"""),"Rwanda")</f>
        <v>Rwanda</v>
      </c>
      <c r="C111" s="1">
        <f>IFERROR(__xludf.DUMMYFUNCTION("""COMPUTED_VALUE"""),30.82)</f>
        <v>30.82</v>
      </c>
      <c r="D111" s="1">
        <f>IFERROR(__xludf.DUMMYFUNCTION("""COMPUTED_VALUE"""),13.39)</f>
        <v>13.39</v>
      </c>
      <c r="E111" s="1">
        <f>IFERROR(__xludf.DUMMYFUNCTION("""COMPUTED_VALUE"""),22.53)</f>
        <v>22.53</v>
      </c>
      <c r="F111" s="1">
        <f>IFERROR(__xludf.DUMMYFUNCTION("""COMPUTED_VALUE"""),26.69)</f>
        <v>26.69</v>
      </c>
      <c r="G111" s="1">
        <f>IFERROR(__xludf.DUMMYFUNCTION("""COMPUTED_VALUE"""),25.02)</f>
        <v>25.02</v>
      </c>
      <c r="H111" s="1">
        <f>IFERROR(__xludf.DUMMYFUNCTION("""COMPUTED_VALUE"""),26.3)</f>
        <v>26.3</v>
      </c>
    </row>
    <row r="112">
      <c r="A112" s="1"/>
      <c r="B112" s="1" t="str">
        <f>IFERROR(__xludf.DUMMYFUNCTION("""COMPUTED_VALUE"""),"Peru")</f>
        <v>Peru</v>
      </c>
      <c r="C112" s="1">
        <f>IFERROR(__xludf.DUMMYFUNCTION("""COMPUTED_VALUE"""),30.74)</f>
        <v>30.74</v>
      </c>
      <c r="D112" s="1">
        <f>IFERROR(__xludf.DUMMYFUNCTION("""COMPUTED_VALUE"""),10.18)</f>
        <v>10.18</v>
      </c>
      <c r="E112" s="1">
        <f>IFERROR(__xludf.DUMMYFUNCTION("""COMPUTED_VALUE"""),20.95)</f>
        <v>20.95</v>
      </c>
      <c r="F112" s="1">
        <f>IFERROR(__xludf.DUMMYFUNCTION("""COMPUTED_VALUE"""),29.23)</f>
        <v>29.23</v>
      </c>
      <c r="G112" s="1">
        <f>IFERROR(__xludf.DUMMYFUNCTION("""COMPUTED_VALUE"""),20.23)</f>
        <v>20.23</v>
      </c>
      <c r="H112" s="1">
        <f>IFERROR(__xludf.DUMMYFUNCTION("""COMPUTED_VALUE"""),28.52)</f>
        <v>28.52</v>
      </c>
    </row>
    <row r="113">
      <c r="A113" s="1"/>
      <c r="B113" s="1" t="str">
        <f>IFERROR(__xludf.DUMMYFUNCTION("""COMPUTED_VALUE"""),"Ukraine")</f>
        <v>Ukraine</v>
      </c>
      <c r="C113" s="1">
        <f>IFERROR(__xludf.DUMMYFUNCTION("""COMPUTED_VALUE"""),30.7)</f>
        <v>30.7</v>
      </c>
      <c r="D113" s="1">
        <f>IFERROR(__xludf.DUMMYFUNCTION("""COMPUTED_VALUE"""),10.79)</f>
        <v>10.79</v>
      </c>
      <c r="E113" s="1">
        <f>IFERROR(__xludf.DUMMYFUNCTION("""COMPUTED_VALUE"""),21.22)</f>
        <v>21.22</v>
      </c>
      <c r="F113" s="1">
        <f>IFERROR(__xludf.DUMMYFUNCTION("""COMPUTED_VALUE"""),27.11)</f>
        <v>27.11</v>
      </c>
      <c r="G113" s="1">
        <f>IFERROR(__xludf.DUMMYFUNCTION("""COMPUTED_VALUE"""),26.24)</f>
        <v>26.24</v>
      </c>
      <c r="H113" s="1">
        <f>IFERROR(__xludf.DUMMYFUNCTION("""COMPUTED_VALUE"""),36.29)</f>
        <v>36.29</v>
      </c>
    </row>
    <row r="114">
      <c r="A114" s="1"/>
      <c r="B114" s="1" t="str">
        <f>IFERROR(__xludf.DUMMYFUNCTION("""COMPUTED_VALUE"""),"Paraguay")</f>
        <v>Paraguay</v>
      </c>
      <c r="C114" s="1">
        <f>IFERROR(__xludf.DUMMYFUNCTION("""COMPUTED_VALUE"""),30.24)</f>
        <v>30.24</v>
      </c>
      <c r="D114" s="1">
        <f>IFERROR(__xludf.DUMMYFUNCTION("""COMPUTED_VALUE"""),9.52)</f>
        <v>9.52</v>
      </c>
      <c r="E114" s="1">
        <f>IFERROR(__xludf.DUMMYFUNCTION("""COMPUTED_VALUE"""),20.38)</f>
        <v>20.38</v>
      </c>
      <c r="F114" s="1">
        <f>IFERROR(__xludf.DUMMYFUNCTION("""COMPUTED_VALUE"""),26.15)</f>
        <v>26.15</v>
      </c>
      <c r="G114" s="1">
        <f>IFERROR(__xludf.DUMMYFUNCTION("""COMPUTED_VALUE"""),22.37)</f>
        <v>22.37</v>
      </c>
      <c r="H114" s="1">
        <f>IFERROR(__xludf.DUMMYFUNCTION("""COMPUTED_VALUE"""),25.45)</f>
        <v>25.45</v>
      </c>
    </row>
    <row r="115">
      <c r="A115" s="1"/>
      <c r="B115" s="1" t="str">
        <f>IFERROR(__xludf.DUMMYFUNCTION("""COMPUTED_VALUE"""),"Tanzania")</f>
        <v>Tanzania</v>
      </c>
      <c r="C115" s="1">
        <f>IFERROR(__xludf.DUMMYFUNCTION("""COMPUTED_VALUE"""),30.13)</f>
        <v>30.13</v>
      </c>
      <c r="D115" s="1">
        <f>IFERROR(__xludf.DUMMYFUNCTION("""COMPUTED_VALUE"""),10.09)</f>
        <v>10.09</v>
      </c>
      <c r="E115" s="1">
        <f>IFERROR(__xludf.DUMMYFUNCTION("""COMPUTED_VALUE"""),20.6)</f>
        <v>20.6</v>
      </c>
      <c r="F115" s="1">
        <f>IFERROR(__xludf.DUMMYFUNCTION("""COMPUTED_VALUE"""),28.2)</f>
        <v>28.2</v>
      </c>
      <c r="G115" s="1">
        <f>IFERROR(__xludf.DUMMYFUNCTION("""COMPUTED_VALUE"""),21.42)</f>
        <v>21.42</v>
      </c>
      <c r="H115" s="1">
        <f>IFERROR(__xludf.DUMMYFUNCTION("""COMPUTED_VALUE"""),17.67)</f>
        <v>17.67</v>
      </c>
    </row>
    <row r="116">
      <c r="A116" s="1"/>
      <c r="B116" s="1" t="str">
        <f>IFERROR(__xludf.DUMMYFUNCTION("""COMPUTED_VALUE"""),"Nigeria")</f>
        <v>Nigeria</v>
      </c>
      <c r="C116" s="1">
        <f>IFERROR(__xludf.DUMMYFUNCTION("""COMPUTED_VALUE"""),30.01)</f>
        <v>30.01</v>
      </c>
      <c r="D116" s="1">
        <f>IFERROR(__xludf.DUMMYFUNCTION("""COMPUTED_VALUE"""),32.85)</f>
        <v>32.85</v>
      </c>
      <c r="E116" s="1">
        <f>IFERROR(__xludf.DUMMYFUNCTION("""COMPUTED_VALUE"""),31.36)</f>
        <v>31.36</v>
      </c>
      <c r="F116" s="1">
        <f>IFERROR(__xludf.DUMMYFUNCTION("""COMPUTED_VALUE"""),33.07)</f>
        <v>33.07</v>
      </c>
      <c r="G116" s="1">
        <f>IFERROR(__xludf.DUMMYFUNCTION("""COMPUTED_VALUE"""),20.0)</f>
        <v>20</v>
      </c>
      <c r="H116" s="1">
        <f>IFERROR(__xludf.DUMMYFUNCTION("""COMPUTED_VALUE"""),8.25)</f>
        <v>8.25</v>
      </c>
    </row>
    <row r="117">
      <c r="A117" s="1"/>
      <c r="B117" s="1" t="str">
        <f>IFERROR(__xludf.DUMMYFUNCTION("""COMPUTED_VALUE"""),"Ghana")</f>
        <v>Ghana</v>
      </c>
      <c r="C117" s="1">
        <f>IFERROR(__xludf.DUMMYFUNCTION("""COMPUTED_VALUE"""),29.98)</f>
        <v>29.98</v>
      </c>
      <c r="D117" s="1">
        <f>IFERROR(__xludf.DUMMYFUNCTION("""COMPUTED_VALUE"""),17.93)</f>
        <v>17.93</v>
      </c>
      <c r="E117" s="1">
        <f>IFERROR(__xludf.DUMMYFUNCTION("""COMPUTED_VALUE"""),24.25)</f>
        <v>24.25</v>
      </c>
      <c r="F117" s="1">
        <f>IFERROR(__xludf.DUMMYFUNCTION("""COMPUTED_VALUE"""),31.08)</f>
        <v>31.08</v>
      </c>
      <c r="G117" s="1">
        <f>IFERROR(__xludf.DUMMYFUNCTION("""COMPUTED_VALUE"""),22.73)</f>
        <v>22.73</v>
      </c>
      <c r="H117" s="1">
        <f>IFERROR(__xludf.DUMMYFUNCTION("""COMPUTED_VALUE"""),17.06)</f>
        <v>17.06</v>
      </c>
    </row>
    <row r="118">
      <c r="A118" s="1"/>
      <c r="B118" s="1" t="str">
        <f>IFERROR(__xludf.DUMMYFUNCTION("""COMPUTED_VALUE"""),"Morocco")</f>
        <v>Morocco</v>
      </c>
      <c r="C118" s="1">
        <f>IFERROR(__xludf.DUMMYFUNCTION("""COMPUTED_VALUE"""),29.71)</f>
        <v>29.71</v>
      </c>
      <c r="D118" s="1">
        <f>IFERROR(__xludf.DUMMYFUNCTION("""COMPUTED_VALUE"""),7.27)</f>
        <v>7.27</v>
      </c>
      <c r="E118" s="1">
        <f>IFERROR(__xludf.DUMMYFUNCTION("""COMPUTED_VALUE"""),19.03)</f>
        <v>19.03</v>
      </c>
      <c r="F118" s="1">
        <f>IFERROR(__xludf.DUMMYFUNCTION("""COMPUTED_VALUE"""),26.43)</f>
        <v>26.43</v>
      </c>
      <c r="G118" s="1">
        <f>IFERROR(__xludf.DUMMYFUNCTION("""COMPUTED_VALUE"""),20.4)</f>
        <v>20.4</v>
      </c>
      <c r="H118" s="1">
        <f>IFERROR(__xludf.DUMMYFUNCTION("""COMPUTED_VALUE"""),32.67)</f>
        <v>32.67</v>
      </c>
    </row>
    <row r="119">
      <c r="A119" s="1"/>
      <c r="B119" s="1" t="str">
        <f>IFERROR(__xludf.DUMMYFUNCTION("""COMPUTED_VALUE"""),"Bangladesh")</f>
        <v>Bangladesh</v>
      </c>
      <c r="C119" s="1">
        <f>IFERROR(__xludf.DUMMYFUNCTION("""COMPUTED_VALUE"""),29.28)</f>
        <v>29.28</v>
      </c>
      <c r="D119" s="1">
        <f>IFERROR(__xludf.DUMMYFUNCTION("""COMPUTED_VALUE"""),3.57)</f>
        <v>3.57</v>
      </c>
      <c r="E119" s="1">
        <f>IFERROR(__xludf.DUMMYFUNCTION("""COMPUTED_VALUE"""),17.05)</f>
        <v>17.05</v>
      </c>
      <c r="F119" s="1">
        <f>IFERROR(__xludf.DUMMYFUNCTION("""COMPUTED_VALUE"""),27.95)</f>
        <v>27.95</v>
      </c>
      <c r="G119" s="1">
        <f>IFERROR(__xludf.DUMMYFUNCTION("""COMPUTED_VALUE"""),17.55)</f>
        <v>17.55</v>
      </c>
      <c r="H119" s="1">
        <f>IFERROR(__xludf.DUMMYFUNCTION("""COMPUTED_VALUE"""),25.34)</f>
        <v>25.34</v>
      </c>
    </row>
    <row r="120">
      <c r="A120" s="1"/>
      <c r="B120" s="1" t="str">
        <f>IFERROR(__xludf.DUMMYFUNCTION("""COMPUTED_VALUE"""),"Moldova")</f>
        <v>Moldova</v>
      </c>
      <c r="C120" s="1">
        <f>IFERROR(__xludf.DUMMYFUNCTION("""COMPUTED_VALUE"""),28.92)</f>
        <v>28.92</v>
      </c>
      <c r="D120" s="1">
        <f>IFERROR(__xludf.DUMMYFUNCTION("""COMPUTED_VALUE"""),7.4)</f>
        <v>7.4</v>
      </c>
      <c r="E120" s="1">
        <f>IFERROR(__xludf.DUMMYFUNCTION("""COMPUTED_VALUE"""),18.68)</f>
        <v>18.68</v>
      </c>
      <c r="F120" s="1">
        <f>IFERROR(__xludf.DUMMYFUNCTION("""COMPUTED_VALUE"""),24.44)</f>
        <v>24.44</v>
      </c>
      <c r="G120" s="1">
        <f>IFERROR(__xludf.DUMMYFUNCTION("""COMPUTED_VALUE"""),23.96)</f>
        <v>23.96</v>
      </c>
      <c r="H120" s="1">
        <f>IFERROR(__xludf.DUMMYFUNCTION("""COMPUTED_VALUE"""),33.37)</f>
        <v>33.37</v>
      </c>
    </row>
    <row r="121">
      <c r="A121" s="1"/>
      <c r="B121" s="1" t="str">
        <f>IFERROR(__xludf.DUMMYFUNCTION("""COMPUTED_VALUE"""),"North Macedonia")</f>
        <v>North Macedonia</v>
      </c>
      <c r="C121" s="1">
        <f>IFERROR(__xludf.DUMMYFUNCTION("""COMPUTED_VALUE"""),28.51)</f>
        <v>28.51</v>
      </c>
      <c r="D121" s="1">
        <f>IFERROR(__xludf.DUMMYFUNCTION("""COMPUTED_VALUE"""),5.05)</f>
        <v>5.05</v>
      </c>
      <c r="E121" s="1">
        <f>IFERROR(__xludf.DUMMYFUNCTION("""COMPUTED_VALUE"""),17.35)</f>
        <v>17.35</v>
      </c>
      <c r="F121" s="1">
        <f>IFERROR(__xludf.DUMMYFUNCTION("""COMPUTED_VALUE"""),24.75)</f>
        <v>24.75</v>
      </c>
      <c r="G121" s="1">
        <f>IFERROR(__xludf.DUMMYFUNCTION("""COMPUTED_VALUE"""),19.43)</f>
        <v>19.43</v>
      </c>
      <c r="H121" s="1">
        <f>IFERROR(__xludf.DUMMYFUNCTION("""COMPUTED_VALUE"""),35.57)</f>
        <v>35.57</v>
      </c>
    </row>
    <row r="122">
      <c r="A122" s="1"/>
      <c r="B122" s="1" t="str">
        <f>IFERROR(__xludf.DUMMYFUNCTION("""COMPUTED_VALUE"""),"Turkey")</f>
        <v>Turkey</v>
      </c>
      <c r="C122" s="1">
        <f>IFERROR(__xludf.DUMMYFUNCTION("""COMPUTED_VALUE"""),28.38)</f>
        <v>28.38</v>
      </c>
      <c r="D122" s="1">
        <f>IFERROR(__xludf.DUMMYFUNCTION("""COMPUTED_VALUE"""),6.48)</f>
        <v>6.48</v>
      </c>
      <c r="E122" s="1">
        <f>IFERROR(__xludf.DUMMYFUNCTION("""COMPUTED_VALUE"""),17.96)</f>
        <v>17.96</v>
      </c>
      <c r="F122" s="1">
        <f>IFERROR(__xludf.DUMMYFUNCTION("""COMPUTED_VALUE"""),23.7)</f>
        <v>23.7</v>
      </c>
      <c r="G122" s="1">
        <f>IFERROR(__xludf.DUMMYFUNCTION("""COMPUTED_VALUE"""),17.25)</f>
        <v>17.25</v>
      </c>
      <c r="H122" s="1">
        <f>IFERROR(__xludf.DUMMYFUNCTION("""COMPUTED_VALUE"""),28.04)</f>
        <v>28.04</v>
      </c>
    </row>
    <row r="123">
      <c r="A123" s="1"/>
      <c r="B123" s="1" t="str">
        <f>IFERROR(__xludf.DUMMYFUNCTION("""COMPUTED_VALUE"""),"Azerbaijan")</f>
        <v>Azerbaijan</v>
      </c>
      <c r="C123" s="1">
        <f>IFERROR(__xludf.DUMMYFUNCTION("""COMPUTED_VALUE"""),28.33)</f>
        <v>28.33</v>
      </c>
      <c r="D123" s="1">
        <f>IFERROR(__xludf.DUMMYFUNCTION("""COMPUTED_VALUE"""),6.4)</f>
        <v>6.4</v>
      </c>
      <c r="E123" s="1">
        <f>IFERROR(__xludf.DUMMYFUNCTION("""COMPUTED_VALUE"""),17.9)</f>
        <v>17.9</v>
      </c>
      <c r="F123" s="1">
        <f>IFERROR(__xludf.DUMMYFUNCTION("""COMPUTED_VALUE"""),25.66)</f>
        <v>25.66</v>
      </c>
      <c r="G123" s="1">
        <f>IFERROR(__xludf.DUMMYFUNCTION("""COMPUTED_VALUE"""),24.95)</f>
        <v>24.95</v>
      </c>
      <c r="H123" s="1">
        <f>IFERROR(__xludf.DUMMYFUNCTION("""COMPUTED_VALUE"""),29.36)</f>
        <v>29.36</v>
      </c>
    </row>
    <row r="124">
      <c r="A124" s="1"/>
      <c r="B124" s="1" t="str">
        <f>IFERROR(__xludf.DUMMYFUNCTION("""COMPUTED_VALUE"""),"Kazakhstan")</f>
        <v>Kazakhstan</v>
      </c>
      <c r="C124" s="1">
        <f>IFERROR(__xludf.DUMMYFUNCTION("""COMPUTED_VALUE"""),26.45)</f>
        <v>26.45</v>
      </c>
      <c r="D124" s="1">
        <f>IFERROR(__xludf.DUMMYFUNCTION("""COMPUTED_VALUE"""),8.39)</f>
        <v>8.39</v>
      </c>
      <c r="E124" s="1">
        <f>IFERROR(__xludf.DUMMYFUNCTION("""COMPUTED_VALUE"""),17.86)</f>
        <v>17.86</v>
      </c>
      <c r="F124" s="1">
        <f>IFERROR(__xludf.DUMMYFUNCTION("""COMPUTED_VALUE"""),23.73)</f>
        <v>23.73</v>
      </c>
      <c r="G124" s="1">
        <f>IFERROR(__xludf.DUMMYFUNCTION("""COMPUTED_VALUE"""),25.19)</f>
        <v>25.19</v>
      </c>
      <c r="H124" s="1">
        <f>IFERROR(__xludf.DUMMYFUNCTION("""COMPUTED_VALUE"""),35.23)</f>
        <v>35.23</v>
      </c>
    </row>
    <row r="125">
      <c r="A125" s="1"/>
      <c r="B125" s="1" t="str">
        <f>IFERROR(__xludf.DUMMYFUNCTION("""COMPUTED_VALUE"""),"Belarus")</f>
        <v>Belarus</v>
      </c>
      <c r="C125" s="1">
        <f>IFERROR(__xludf.DUMMYFUNCTION("""COMPUTED_VALUE"""),26.39)</f>
        <v>26.39</v>
      </c>
      <c r="D125" s="1">
        <f>IFERROR(__xludf.DUMMYFUNCTION("""COMPUTED_VALUE"""),8.32)</f>
        <v>8.32</v>
      </c>
      <c r="E125" s="1">
        <f>IFERROR(__xludf.DUMMYFUNCTION("""COMPUTED_VALUE"""),17.8)</f>
        <v>17.8</v>
      </c>
      <c r="F125" s="1">
        <f>IFERROR(__xludf.DUMMYFUNCTION("""COMPUTED_VALUE"""),24.17)</f>
        <v>24.17</v>
      </c>
      <c r="G125" s="1">
        <f>IFERROR(__xludf.DUMMYFUNCTION("""COMPUTED_VALUE"""),25.8)</f>
        <v>25.8</v>
      </c>
      <c r="H125" s="1">
        <f>IFERROR(__xludf.DUMMYFUNCTION("""COMPUTED_VALUE"""),32.31)</f>
        <v>32.31</v>
      </c>
    </row>
    <row r="126">
      <c r="A126" s="1"/>
      <c r="B126" s="1" t="str">
        <f>IFERROR(__xludf.DUMMYFUNCTION("""COMPUTED_VALUE"""),"Uzbekistan")</f>
        <v>Uzbekistan</v>
      </c>
      <c r="C126" s="1">
        <f>IFERROR(__xludf.DUMMYFUNCTION("""COMPUTED_VALUE"""),26.3)</f>
        <v>26.3</v>
      </c>
      <c r="D126" s="1">
        <f>IFERROR(__xludf.DUMMYFUNCTION("""COMPUTED_VALUE"""),9.84)</f>
        <v>9.84</v>
      </c>
      <c r="E126" s="1">
        <f>IFERROR(__xludf.DUMMYFUNCTION("""COMPUTED_VALUE"""),18.47)</f>
        <v>18.47</v>
      </c>
      <c r="F126" s="1">
        <f>IFERROR(__xludf.DUMMYFUNCTION("""COMPUTED_VALUE"""),25.31)</f>
        <v>25.31</v>
      </c>
      <c r="G126" s="1">
        <f>IFERROR(__xludf.DUMMYFUNCTION("""COMPUTED_VALUE"""),22.58)</f>
        <v>22.58</v>
      </c>
      <c r="H126" s="1">
        <f>IFERROR(__xludf.DUMMYFUNCTION("""COMPUTED_VALUE"""),24.06)</f>
        <v>24.06</v>
      </c>
    </row>
    <row r="127">
      <c r="A127" s="1"/>
      <c r="B127" s="1" t="str">
        <f>IFERROR(__xludf.DUMMYFUNCTION("""COMPUTED_VALUE"""),"Egypt")</f>
        <v>Egypt</v>
      </c>
      <c r="C127" s="1">
        <f>IFERROR(__xludf.DUMMYFUNCTION("""COMPUTED_VALUE"""),26.27)</f>
        <v>26.27</v>
      </c>
      <c r="D127" s="1">
        <f>IFERROR(__xludf.DUMMYFUNCTION("""COMPUTED_VALUE"""),5.49)</f>
        <v>5.49</v>
      </c>
      <c r="E127" s="1">
        <f>IFERROR(__xludf.DUMMYFUNCTION("""COMPUTED_VALUE"""),16.39)</f>
        <v>16.39</v>
      </c>
      <c r="F127" s="1">
        <f>IFERROR(__xludf.DUMMYFUNCTION("""COMPUTED_VALUE"""),24.62)</f>
        <v>24.62</v>
      </c>
      <c r="G127" s="1">
        <f>IFERROR(__xludf.DUMMYFUNCTION("""COMPUTED_VALUE"""),22.05)</f>
        <v>22.05</v>
      </c>
      <c r="H127" s="1">
        <f>IFERROR(__xludf.DUMMYFUNCTION("""COMPUTED_VALUE"""),21.72)</f>
        <v>21.72</v>
      </c>
    </row>
    <row r="128">
      <c r="A128" s="1"/>
      <c r="B128" s="1" t="str">
        <f>IFERROR(__xludf.DUMMYFUNCTION("""COMPUTED_VALUE"""),"Nepal")</f>
        <v>Nepal</v>
      </c>
      <c r="C128" s="1">
        <f>IFERROR(__xludf.DUMMYFUNCTION("""COMPUTED_VALUE"""),26.18)</f>
        <v>26.18</v>
      </c>
      <c r="D128" s="1">
        <f>IFERROR(__xludf.DUMMYFUNCTION("""COMPUTED_VALUE"""),3.79)</f>
        <v>3.79</v>
      </c>
      <c r="E128" s="1">
        <f>IFERROR(__xludf.DUMMYFUNCTION("""COMPUTED_VALUE"""),15.53)</f>
        <v>15.53</v>
      </c>
      <c r="F128" s="1">
        <f>IFERROR(__xludf.DUMMYFUNCTION("""COMPUTED_VALUE"""),24.61)</f>
        <v>24.61</v>
      </c>
      <c r="G128" s="1">
        <f>IFERROR(__xludf.DUMMYFUNCTION("""COMPUTED_VALUE"""),18.1)</f>
        <v>18.1</v>
      </c>
      <c r="H128" s="1">
        <f>IFERROR(__xludf.DUMMYFUNCTION("""COMPUTED_VALUE"""),19.97)</f>
        <v>19.97</v>
      </c>
    </row>
    <row r="129">
      <c r="A129" s="1"/>
      <c r="B129" s="1" t="str">
        <f>IFERROR(__xludf.DUMMYFUNCTION("""COMPUTED_VALUE"""),"Kyrgyzstan")</f>
        <v>Kyrgyzstan</v>
      </c>
      <c r="C129" s="1">
        <f>IFERROR(__xludf.DUMMYFUNCTION("""COMPUTED_VALUE"""),25.83)</f>
        <v>25.83</v>
      </c>
      <c r="D129" s="1">
        <f>IFERROR(__xludf.DUMMYFUNCTION("""COMPUTED_VALUE"""),7.63)</f>
        <v>7.63</v>
      </c>
      <c r="E129" s="1">
        <f>IFERROR(__xludf.DUMMYFUNCTION("""COMPUTED_VALUE"""),17.17)</f>
        <v>17.17</v>
      </c>
      <c r="F129" s="1">
        <f>IFERROR(__xludf.DUMMYFUNCTION("""COMPUTED_VALUE"""),25.43)</f>
        <v>25.43</v>
      </c>
      <c r="G129" s="1">
        <f>IFERROR(__xludf.DUMMYFUNCTION("""COMPUTED_VALUE"""),21.08)</f>
        <v>21.08</v>
      </c>
      <c r="H129" s="1">
        <f>IFERROR(__xludf.DUMMYFUNCTION("""COMPUTED_VALUE"""),23.94)</f>
        <v>23.94</v>
      </c>
    </row>
    <row r="130">
      <c r="A130" s="1"/>
      <c r="B130" s="1" t="str">
        <f>IFERROR(__xludf.DUMMYFUNCTION("""COMPUTED_VALUE"""),"Syria")</f>
        <v>Syria</v>
      </c>
      <c r="C130" s="1">
        <f>IFERROR(__xludf.DUMMYFUNCTION("""COMPUTED_VALUE"""),25.82)</f>
        <v>25.82</v>
      </c>
      <c r="D130" s="1">
        <f>IFERROR(__xludf.DUMMYFUNCTION("""COMPUTED_VALUE"""),4.44)</f>
        <v>4.44</v>
      </c>
      <c r="E130" s="1">
        <f>IFERROR(__xludf.DUMMYFUNCTION("""COMPUTED_VALUE"""),15.65)</f>
        <v>15.65</v>
      </c>
      <c r="F130" s="1">
        <f>IFERROR(__xludf.DUMMYFUNCTION("""COMPUTED_VALUE"""),23.66)</f>
        <v>23.66</v>
      </c>
      <c r="G130" s="1">
        <f>IFERROR(__xludf.DUMMYFUNCTION("""COMPUTED_VALUE"""),18.27)</f>
        <v>18.27</v>
      </c>
      <c r="H130" s="1">
        <f>IFERROR(__xludf.DUMMYFUNCTION("""COMPUTED_VALUE"""),5.72)</f>
        <v>5.72</v>
      </c>
    </row>
    <row r="131">
      <c r="A131" s="1"/>
      <c r="B131" s="1" t="str">
        <f>IFERROR(__xludf.DUMMYFUNCTION("""COMPUTED_VALUE"""),"Tunisia")</f>
        <v>Tunisia</v>
      </c>
      <c r="C131" s="1">
        <f>IFERROR(__xludf.DUMMYFUNCTION("""COMPUTED_VALUE"""),25.48)</f>
        <v>25.48</v>
      </c>
      <c r="D131" s="1">
        <f>IFERROR(__xludf.DUMMYFUNCTION("""COMPUTED_VALUE"""),4.89)</f>
        <v>4.89</v>
      </c>
      <c r="E131" s="1">
        <f>IFERROR(__xludf.DUMMYFUNCTION("""COMPUTED_VALUE"""),15.69)</f>
        <v>15.69</v>
      </c>
      <c r="F131" s="1">
        <f>IFERROR(__xludf.DUMMYFUNCTION("""COMPUTED_VALUE"""),24.91)</f>
        <v>24.91</v>
      </c>
      <c r="G131" s="1">
        <f>IFERROR(__xludf.DUMMYFUNCTION("""COMPUTED_VALUE"""),14.13)</f>
        <v>14.13</v>
      </c>
      <c r="H131" s="1">
        <f>IFERROR(__xludf.DUMMYFUNCTION("""COMPUTED_VALUE"""),28.62)</f>
        <v>28.62</v>
      </c>
    </row>
    <row r="132">
      <c r="A132" s="1"/>
      <c r="B132" s="1" t="str">
        <f>IFERROR(__xludf.DUMMYFUNCTION("""COMPUTED_VALUE"""),"Colombia")</f>
        <v>Colombia</v>
      </c>
      <c r="C132" s="1">
        <f>IFERROR(__xludf.DUMMYFUNCTION("""COMPUTED_VALUE"""),25.23)</f>
        <v>25.23</v>
      </c>
      <c r="D132" s="1">
        <f>IFERROR(__xludf.DUMMYFUNCTION("""COMPUTED_VALUE"""),7.82)</f>
        <v>7.82</v>
      </c>
      <c r="E132" s="1">
        <f>IFERROR(__xludf.DUMMYFUNCTION("""COMPUTED_VALUE"""),16.95)</f>
        <v>16.95</v>
      </c>
      <c r="F132" s="1">
        <f>IFERROR(__xludf.DUMMYFUNCTION("""COMPUTED_VALUE"""),22.98)</f>
        <v>22.98</v>
      </c>
      <c r="G132" s="1">
        <f>IFERROR(__xludf.DUMMYFUNCTION("""COMPUTED_VALUE"""),18.3)</f>
        <v>18.3</v>
      </c>
      <c r="H132" s="1">
        <f>IFERROR(__xludf.DUMMYFUNCTION("""COMPUTED_VALUE"""),28.27)</f>
        <v>28.27</v>
      </c>
    </row>
    <row r="133">
      <c r="A133" s="1"/>
      <c r="B133" s="1" t="str">
        <f>IFERROR(__xludf.DUMMYFUNCTION("""COMPUTED_VALUE"""),"Kosovo (Disputed Territory)")</f>
        <v>Kosovo (Disputed Territory)</v>
      </c>
      <c r="C133" s="1">
        <f>IFERROR(__xludf.DUMMYFUNCTION("""COMPUTED_VALUE"""),25.23)</f>
        <v>25.23</v>
      </c>
      <c r="D133" s="1">
        <f>IFERROR(__xludf.DUMMYFUNCTION("""COMPUTED_VALUE"""),6.85)</f>
        <v>6.85</v>
      </c>
      <c r="E133" s="1">
        <f>IFERROR(__xludf.DUMMYFUNCTION("""COMPUTED_VALUE"""),16.49)</f>
        <v>16.49</v>
      </c>
      <c r="F133" s="1">
        <f>IFERROR(__xludf.DUMMYFUNCTION("""COMPUTED_VALUE"""),23.5)</f>
        <v>23.5</v>
      </c>
      <c r="G133" s="1">
        <f>IFERROR(__xludf.DUMMYFUNCTION("""COMPUTED_VALUE"""),15.92)</f>
        <v>15.92</v>
      </c>
      <c r="H133" s="1">
        <f>IFERROR(__xludf.DUMMYFUNCTION("""COMPUTED_VALUE"""),38.91)</f>
        <v>38.91</v>
      </c>
    </row>
    <row r="134">
      <c r="A134" s="1"/>
      <c r="B134" s="1" t="str">
        <f>IFERROR(__xludf.DUMMYFUNCTION("""COMPUTED_VALUE"""),"Algeria")</f>
        <v>Algeria</v>
      </c>
      <c r="C134" s="1">
        <f>IFERROR(__xludf.DUMMYFUNCTION("""COMPUTED_VALUE"""),25.08)</f>
        <v>25.08</v>
      </c>
      <c r="D134" s="1">
        <f>IFERROR(__xludf.DUMMYFUNCTION("""COMPUTED_VALUE"""),3.84)</f>
        <v>3.84</v>
      </c>
      <c r="E134" s="1">
        <f>IFERROR(__xludf.DUMMYFUNCTION("""COMPUTED_VALUE"""),14.98)</f>
        <v>14.98</v>
      </c>
      <c r="F134" s="1">
        <f>IFERROR(__xludf.DUMMYFUNCTION("""COMPUTED_VALUE"""),27.36)</f>
        <v>27.36</v>
      </c>
      <c r="G134" s="1">
        <f>IFERROR(__xludf.DUMMYFUNCTION("""COMPUTED_VALUE"""),12.5)</f>
        <v>12.5</v>
      </c>
      <c r="H134" s="1">
        <f>IFERROR(__xludf.DUMMYFUNCTION("""COMPUTED_VALUE"""),25.42)</f>
        <v>25.42</v>
      </c>
    </row>
    <row r="135">
      <c r="A135" s="1"/>
      <c r="B135" s="1" t="str">
        <f>IFERROR(__xludf.DUMMYFUNCTION("""COMPUTED_VALUE"""),"Libya")</f>
        <v>Libya</v>
      </c>
      <c r="C135" s="1">
        <f>IFERROR(__xludf.DUMMYFUNCTION("""COMPUTED_VALUE"""),24.6)</f>
        <v>24.6</v>
      </c>
      <c r="D135" s="1">
        <f>IFERROR(__xludf.DUMMYFUNCTION("""COMPUTED_VALUE"""),5.05)</f>
        <v>5.05</v>
      </c>
      <c r="E135" s="1">
        <f>IFERROR(__xludf.DUMMYFUNCTION("""COMPUTED_VALUE"""),15.3)</f>
        <v>15.3</v>
      </c>
      <c r="F135" s="1">
        <f>IFERROR(__xludf.DUMMYFUNCTION("""COMPUTED_VALUE"""),24.87)</f>
        <v>24.87</v>
      </c>
      <c r="G135" s="1">
        <f>IFERROR(__xludf.DUMMYFUNCTION("""COMPUTED_VALUE"""),19.73)</f>
        <v>19.73</v>
      </c>
      <c r="H135" s="1">
        <f>IFERROR(__xludf.DUMMYFUNCTION("""COMPUTED_VALUE"""),30.05)</f>
        <v>30.05</v>
      </c>
    </row>
    <row r="136">
      <c r="A136" s="1"/>
      <c r="B136" s="1" t="str">
        <f>IFERROR(__xludf.DUMMYFUNCTION("""COMPUTED_VALUE"""),"India")</f>
        <v>India</v>
      </c>
      <c r="C136" s="1">
        <f>IFERROR(__xludf.DUMMYFUNCTION("""COMPUTED_VALUE"""),23.89)</f>
        <v>23.89</v>
      </c>
      <c r="D136" s="1">
        <f>IFERROR(__xludf.DUMMYFUNCTION("""COMPUTED_VALUE"""),6.15)</f>
        <v>6.15</v>
      </c>
      <c r="E136" s="1">
        <f>IFERROR(__xludf.DUMMYFUNCTION("""COMPUTED_VALUE"""),15.45)</f>
        <v>15.45</v>
      </c>
      <c r="F136" s="1">
        <f>IFERROR(__xludf.DUMMYFUNCTION("""COMPUTED_VALUE"""),25.56)</f>
        <v>25.56</v>
      </c>
      <c r="G136" s="1">
        <f>IFERROR(__xludf.DUMMYFUNCTION("""COMPUTED_VALUE"""),16.44)</f>
        <v>16.44</v>
      </c>
      <c r="H136" s="1">
        <f>IFERROR(__xludf.DUMMYFUNCTION("""COMPUTED_VALUE"""),76.44)</f>
        <v>76.44</v>
      </c>
    </row>
    <row r="137">
      <c r="A137" s="1"/>
      <c r="B137" s="1" t="str">
        <f>IFERROR(__xludf.DUMMYFUNCTION("""COMPUTED_VALUE"""),"Sri Lanka")</f>
        <v>Sri Lanka</v>
      </c>
      <c r="C137" s="1">
        <f>IFERROR(__xludf.DUMMYFUNCTION("""COMPUTED_VALUE"""),22.41)</f>
        <v>22.41</v>
      </c>
      <c r="D137" s="1">
        <f>IFERROR(__xludf.DUMMYFUNCTION("""COMPUTED_VALUE"""),5.66)</f>
        <v>5.66</v>
      </c>
      <c r="E137" s="1">
        <f>IFERROR(__xludf.DUMMYFUNCTION("""COMPUTED_VALUE"""),14.45)</f>
        <v>14.45</v>
      </c>
      <c r="F137" s="1">
        <f>IFERROR(__xludf.DUMMYFUNCTION("""COMPUTED_VALUE"""),26.85)</f>
        <v>26.85</v>
      </c>
      <c r="G137" s="1">
        <f>IFERROR(__xludf.DUMMYFUNCTION("""COMPUTED_VALUE"""),10.97)</f>
        <v>10.97</v>
      </c>
      <c r="H137" s="1">
        <f>IFERROR(__xludf.DUMMYFUNCTION("""COMPUTED_VALUE"""),15.28)</f>
        <v>15.28</v>
      </c>
    </row>
    <row r="138">
      <c r="A138" s="1"/>
      <c r="B138" s="1" t="str">
        <f>IFERROR(__xludf.DUMMYFUNCTION("""COMPUTED_VALUE"""),"Pakistan")</f>
        <v>Pakistan</v>
      </c>
      <c r="C138" s="1">
        <f>IFERROR(__xludf.DUMMYFUNCTION("""COMPUTED_VALUE"""),17.78)</f>
        <v>17.78</v>
      </c>
      <c r="D138" s="1">
        <f>IFERROR(__xludf.DUMMYFUNCTION("""COMPUTED_VALUE"""),3.43)</f>
        <v>3.43</v>
      </c>
      <c r="E138" s="1">
        <f>IFERROR(__xludf.DUMMYFUNCTION("""COMPUTED_VALUE"""),10.95)</f>
        <v>10.95</v>
      </c>
      <c r="F138" s="1">
        <f>IFERROR(__xludf.DUMMYFUNCTION("""COMPUTED_VALUE"""),15.77)</f>
        <v>15.77</v>
      </c>
      <c r="G138" s="1">
        <f>IFERROR(__xludf.DUMMYFUNCTION("""COMPUTED_VALUE"""),13.55)</f>
        <v>13.55</v>
      </c>
      <c r="H138" s="1">
        <f>IFERROR(__xludf.DUMMYFUNCTION("""COMPUTED_VALUE"""),24.45)</f>
        <v>24.45</v>
      </c>
    </row>
  </sheetData>
  <conditionalFormatting sqref="C2:C138">
    <cfRule type="cellIs" dxfId="4" priority="1" operator="greaterThan">
      <formula>100</formula>
    </cfRule>
  </conditionalFormatting>
  <conditionalFormatting sqref="C2:C138">
    <cfRule type="cellIs" dxfId="2" priority="2" operator="between">
      <formula>80</formula>
      <formula>100</formula>
    </cfRule>
  </conditionalFormatting>
  <conditionalFormatting sqref="C2:C138">
    <cfRule type="cellIs" dxfId="1" priority="3" operator="between">
      <formula>60</formula>
      <formula>80</formula>
    </cfRule>
  </conditionalFormatting>
  <conditionalFormatting sqref="C2:C138">
    <cfRule type="cellIs" dxfId="0" priority="4" operator="between">
      <formula>40</formula>
      <formula>60</formula>
    </cfRule>
  </conditionalFormatting>
  <conditionalFormatting sqref="C2:C138">
    <cfRule type="cellIs" dxfId="3" priority="5" operator="lessThan">
      <formula>40</formula>
    </cfRule>
  </conditionalFormatting>
  <conditionalFormatting sqref="D2:D138">
    <cfRule type="cellIs" dxfId="2" priority="6" operator="greaterThan">
      <formula>45</formula>
    </cfRule>
  </conditionalFormatting>
  <conditionalFormatting sqref="D2:D138">
    <cfRule type="cellIs" dxfId="1" priority="7" operator="between">
      <formula>25</formula>
      <formula>45</formula>
    </cfRule>
  </conditionalFormatting>
  <conditionalFormatting sqref="D2:D138">
    <cfRule type="cellIs" dxfId="0" priority="8" operator="between">
      <formula>25</formula>
      <formula>10</formula>
    </cfRule>
  </conditionalFormatting>
  <conditionalFormatting sqref="D2:D138">
    <cfRule type="cellIs" dxfId="3" priority="9" operator="lessThan">
      <formula>10</formula>
    </cfRule>
  </conditionalFormatting>
  <conditionalFormatting sqref="E2:E138">
    <cfRule type="cellIs" dxfId="4" priority="10" operator="greaterThan">
      <formula>80</formula>
    </cfRule>
  </conditionalFormatting>
  <conditionalFormatting sqref="E2:E138">
    <cfRule type="cellIs" dxfId="2" priority="11" operator="between">
      <formula>60</formula>
      <formula>80</formula>
    </cfRule>
  </conditionalFormatting>
  <conditionalFormatting sqref="E2:E138">
    <cfRule type="cellIs" dxfId="1" priority="12" operator="between">
      <formula>40</formula>
      <formula>60</formula>
    </cfRule>
  </conditionalFormatting>
  <conditionalFormatting sqref="E2:E138">
    <cfRule type="cellIs" dxfId="0" priority="13" operator="between">
      <formula>20</formula>
      <formula>40</formula>
    </cfRule>
  </conditionalFormatting>
  <conditionalFormatting sqref="E2:E138">
    <cfRule type="cellIs" dxfId="3" priority="14" operator="lessThan">
      <formula>20</formula>
    </cfRule>
  </conditionalFormatting>
  <conditionalFormatting sqref="F2:F138">
    <cfRule type="cellIs" dxfId="4" priority="15" operator="greaterThan">
      <formula>100</formula>
    </cfRule>
  </conditionalFormatting>
  <conditionalFormatting sqref="F2:F138">
    <cfRule type="cellIs" dxfId="2" priority="16" operator="between">
      <formula>80</formula>
      <formula>100</formula>
    </cfRule>
  </conditionalFormatting>
  <conditionalFormatting sqref="F2:F138">
    <cfRule type="cellIs" dxfId="1" priority="17" operator="between">
      <formula>50</formula>
      <formula>80</formula>
    </cfRule>
  </conditionalFormatting>
  <conditionalFormatting sqref="F2:F138">
    <cfRule type="cellIs" dxfId="0" priority="18" operator="between">
      <formula>30</formula>
      <formula>50</formula>
    </cfRule>
  </conditionalFormatting>
  <conditionalFormatting sqref="F2:F138">
    <cfRule type="cellIs" dxfId="3" priority="19" operator="lessThan">
      <formula>30</formula>
    </cfRule>
  </conditionalFormatting>
  <conditionalFormatting sqref="G2:G138">
    <cfRule type="cellIs" dxfId="4" priority="20" operator="greaterThan">
      <formula>100</formula>
    </cfRule>
  </conditionalFormatting>
  <conditionalFormatting sqref="G2:G138">
    <cfRule type="cellIs" dxfId="2" priority="21" operator="between">
      <formula>80</formula>
      <formula>100</formula>
    </cfRule>
  </conditionalFormatting>
  <conditionalFormatting sqref="G2:G138">
    <cfRule type="cellIs" dxfId="1" priority="22" operator="between">
      <formula>50</formula>
      <formula>80</formula>
    </cfRule>
  </conditionalFormatting>
  <conditionalFormatting sqref="G2:G138">
    <cfRule type="cellIs" dxfId="0" priority="23" operator="between">
      <formula>50</formula>
      <formula>30</formula>
    </cfRule>
  </conditionalFormatting>
  <conditionalFormatting sqref="G2:G138">
    <cfRule type="cellIs" dxfId="3" priority="24" operator="lessThan">
      <formula>30</formula>
    </cfRule>
  </conditionalFormatting>
  <conditionalFormatting sqref="H2:H138">
    <cfRule type="cellIs" dxfId="3" priority="25" operator="greaterThan">
      <formula>100</formula>
    </cfRule>
  </conditionalFormatting>
  <conditionalFormatting sqref="H2:H138">
    <cfRule type="cellIs" dxfId="0" priority="26" operator="between">
      <formula>100</formula>
      <formula>75</formula>
    </cfRule>
  </conditionalFormatting>
  <conditionalFormatting sqref="H2:H138">
    <cfRule type="cellIs" dxfId="1" priority="27" operator="between">
      <formula>75</formula>
      <formula>50</formula>
    </cfRule>
  </conditionalFormatting>
  <conditionalFormatting sqref="H2:H138">
    <cfRule type="cellIs" dxfId="2" priority="28" operator="between">
      <formula>50</formula>
      <formula>25</formula>
    </cfRule>
  </conditionalFormatting>
  <conditionalFormatting sqref="H2:H138">
    <cfRule type="cellIs" dxfId="4" priority="29" operator="lessThan">
      <formula>25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5"/>
    <col customWidth="1" min="3" max="3" width="11.38"/>
    <col customWidth="1" min="4" max="4" width="9.5"/>
    <col customWidth="1" min="5" max="5" width="12.38"/>
    <col customWidth="1" min="6" max="6" width="16.13"/>
    <col customWidth="1" min="7" max="7" width="12.5"/>
    <col customWidth="1" min="8" max="8" width="14.63"/>
    <col customWidth="1" min="10" max="10" width="12.1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idden="1">
      <c r="A2" s="5" t="str">
        <f>Salary!B4</f>
        <v>United States</v>
      </c>
      <c r="B2" s="6">
        <f>VLOOKUP(A2,Salary!$B$1:$D$106,3,FALSE)</f>
        <v>4009.88</v>
      </c>
      <c r="C2" s="7">
        <f>VLOOKUP(A2,Costs!$B$2:$H$138,2,FALSE)</f>
        <v>69.92</v>
      </c>
      <c r="D2" s="7">
        <f>VLOOKUP(A2,Costs!$B$2:$H$138,3,FALSE)</f>
        <v>46.86</v>
      </c>
      <c r="E2" s="5">
        <f>VLOOKUP(A2,Costs!$B$2:$H$138,5,FALSE)</f>
        <v>70.06</v>
      </c>
      <c r="F2" s="5">
        <f>VLOOKUP(A2,Costs!$B$2:$H$138,6,FALSE)</f>
        <v>65.75</v>
      </c>
      <c r="G2" s="7">
        <f>VLOOKUP(A2,Costs!$B$2:$H$138,7,FALSE)</f>
        <v>99.88</v>
      </c>
      <c r="H2" s="8">
        <f>VLOOKUP(A2,Quality!$B$2:$K$88,7,FALSE)</f>
        <v>4.58</v>
      </c>
      <c r="I2" s="8">
        <f>VLOOKUP(A2,Quality!$B$2:$K$88,2,FALSE)</f>
        <v>167.19</v>
      </c>
      <c r="J2" s="7">
        <f>VLOOKUP(A2,Quality!$B$2:$K$88,3,FALSE)</f>
        <v>99.88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tr">
        <f>Salary!B25</f>
        <v>Saudi Arabia</v>
      </c>
      <c r="B3" s="6">
        <f>VLOOKUP(A3,Salary!$B$1:$D$106,3,FALSE)</f>
        <v>2168.18</v>
      </c>
      <c r="C3" s="7">
        <f>VLOOKUP(A3,Costs!$B$2:$H$138,2,FALSE)</f>
        <v>50.35</v>
      </c>
      <c r="D3" s="7">
        <f>VLOOKUP(A3,Costs!$B$2:$H$138,3,FALSE)</f>
        <v>11.29</v>
      </c>
      <c r="E3" s="5">
        <f>VLOOKUP(A3,Costs!$B$2:$H$138,5,FALSE)</f>
        <v>42.47</v>
      </c>
      <c r="F3" s="5">
        <f>VLOOKUP(A3,Costs!$B$2:$H$138,6,FALSE)</f>
        <v>36.67</v>
      </c>
      <c r="G3" s="7">
        <f>VLOOKUP(A3,Costs!$B$2:$H$138,7,FALSE)</f>
        <v>93.26</v>
      </c>
      <c r="H3" s="8">
        <f>VLOOKUP(A3,Quality!$B$2:$K$88,7,FALSE)</f>
        <v>2.87</v>
      </c>
      <c r="I3" s="8">
        <f>VLOOKUP(A3,Quality!$B$2:$K$88,2,FALSE)</f>
        <v>150.17</v>
      </c>
      <c r="J3" s="7">
        <f>VLOOKUP(A3,Quality!$B$2:$K$88,3,FALSE)</f>
        <v>93.26</v>
      </c>
      <c r="K3" s="9" t="s">
        <v>14</v>
      </c>
      <c r="L3" s="9" t="s">
        <v>15</v>
      </c>
      <c r="M3" s="9" t="s">
        <v>16</v>
      </c>
      <c r="N3" s="10" t="s">
        <v>17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idden="1">
      <c r="A4" s="5" t="str">
        <f>Salary!B27</f>
        <v>Bahrain</v>
      </c>
      <c r="B4" s="6">
        <f>VLOOKUP(A4,Salary!$B$1:$D$106,3,FALSE)</f>
        <v>1799.82</v>
      </c>
      <c r="C4" s="7">
        <f>VLOOKUP(A4,Costs!$B$2:$H$138,2,FALSE)</f>
        <v>53.84</v>
      </c>
      <c r="D4" s="7">
        <f>VLOOKUP(A4,Costs!$B$2:$H$138,3,FALSE)</f>
        <v>27.61</v>
      </c>
      <c r="E4" s="5">
        <f>VLOOKUP(A4,Costs!$B$2:$H$138,5,FALSE)</f>
        <v>43.46</v>
      </c>
      <c r="F4" s="5">
        <f>VLOOKUP(A4,Costs!$B$2:$H$138,6,FALSE)</f>
        <v>47.34</v>
      </c>
      <c r="G4" s="7">
        <f>VLOOKUP(A4,Costs!$B$2:$H$138,7,FALSE)</f>
        <v>60.36</v>
      </c>
      <c r="H4" s="8" t="str">
        <f>VLOOKUP(A4,Quality!$B$2:$K$88,7,FALSE)</f>
        <v>#N/A</v>
      </c>
      <c r="I4" s="8" t="str">
        <f>VLOOKUP(A4,Quality!$B$2:$K$88,2,FALSE)</f>
        <v>#N/A</v>
      </c>
      <c r="J4" s="7" t="str">
        <f>VLOOKUP(A4,Quality!$B$2:$K$88,3,FALSE)</f>
        <v>#N/A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tr">
        <f>Salary!B21</f>
        <v>Belgium</v>
      </c>
      <c r="B5" s="6">
        <f>VLOOKUP(A5,Salary!$B$1:$D$106,3,FALSE)</f>
        <v>2354.86</v>
      </c>
      <c r="C5" s="7">
        <f>VLOOKUP(A5,Costs!$B$2:$H$138,2,FALSE)</f>
        <v>62.8</v>
      </c>
      <c r="D5" s="7">
        <f>VLOOKUP(A5,Costs!$B$2:$H$138,3,FALSE)</f>
        <v>21.46</v>
      </c>
      <c r="E5" s="5">
        <f>VLOOKUP(A5,Costs!$B$2:$H$138,5,FALSE)</f>
        <v>53.17</v>
      </c>
      <c r="F5" s="5">
        <f>VLOOKUP(A5,Costs!$B$2:$H$138,6,FALSE)</f>
        <v>65.92</v>
      </c>
      <c r="G5" s="7">
        <f>VLOOKUP(A5,Costs!$B$2:$H$138,7,FALSE)</f>
        <v>86.27</v>
      </c>
      <c r="H5" s="8">
        <f>VLOOKUP(A5,Quality!$B$2:$K$88,7,FALSE)</f>
        <v>6.6</v>
      </c>
      <c r="I5" s="8">
        <f>VLOOKUP(A5,Quality!$B$2:$K$88,2,FALSE)</f>
        <v>155.76</v>
      </c>
      <c r="J5" s="7">
        <f>VLOOKUP(A5,Quality!$B$2:$K$88,3,FALSE)</f>
        <v>86.27</v>
      </c>
      <c r="K5" s="9" t="s">
        <v>18</v>
      </c>
      <c r="L5" s="9" t="s">
        <v>19</v>
      </c>
      <c r="M5" s="9" t="s">
        <v>20</v>
      </c>
      <c r="N5" s="10" t="s">
        <v>21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tr">
        <f>Salary!B9</f>
        <v>Netherlands</v>
      </c>
      <c r="B6" s="6">
        <f>VLOOKUP(A6,Salary!$B$1:$D$106,3,FALSE)</f>
        <v>3138.82</v>
      </c>
      <c r="C6" s="7">
        <f>VLOOKUP(A6,Costs!$B$2:$H$138,2,FALSE)</f>
        <v>67.71</v>
      </c>
      <c r="D6" s="7">
        <f>VLOOKUP(A6,Costs!$B$2:$H$138,3,FALSE)</f>
        <v>33.37</v>
      </c>
      <c r="E6" s="5">
        <f>VLOOKUP(A6,Costs!$B$2:$H$138,5,FALSE)</f>
        <v>58.11</v>
      </c>
      <c r="F6" s="5">
        <f>VLOOKUP(A6,Costs!$B$2:$H$138,6,FALSE)</f>
        <v>64.7</v>
      </c>
      <c r="G6" s="7">
        <f>VLOOKUP(A6,Costs!$B$2:$H$138,7,FALSE)</f>
        <v>99.58</v>
      </c>
      <c r="H6" s="8">
        <f>VLOOKUP(A6,Quality!$B$2:$K$88,7,FALSE)</f>
        <v>7.36</v>
      </c>
      <c r="I6" s="8">
        <f>VLOOKUP(A6,Quality!$B$2:$K$88,2,FALSE)</f>
        <v>191.46</v>
      </c>
      <c r="J6" s="7">
        <f>VLOOKUP(A6,Quality!$B$2:$K$88,3,FALSE)</f>
        <v>99.58</v>
      </c>
      <c r="K6" s="9">
        <v>62300.0</v>
      </c>
      <c r="L6" s="9" t="s">
        <v>22</v>
      </c>
      <c r="M6" s="9">
        <v>2800.0</v>
      </c>
      <c r="N6" s="10" t="s">
        <v>23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idden="1">
      <c r="A7" s="5" t="str">
        <f>Salary!B7</f>
        <v>Denmark</v>
      </c>
      <c r="B7" s="6">
        <f>VLOOKUP(A7,Salary!$B$1:$D$106,3,FALSE)</f>
        <v>3228.89</v>
      </c>
      <c r="C7" s="7">
        <f>VLOOKUP(A7,Costs!$B$2:$H$138,2,FALSE)</f>
        <v>73.09</v>
      </c>
      <c r="D7" s="7">
        <f>VLOOKUP(A7,Costs!$B$2:$H$138,3,FALSE)</f>
        <v>29.18</v>
      </c>
      <c r="E7" s="5">
        <f>VLOOKUP(A7,Costs!$B$2:$H$138,5,FALSE)</f>
        <v>59.94</v>
      </c>
      <c r="F7" s="5">
        <f>VLOOKUP(A7,Costs!$B$2:$H$138,6,FALSE)</f>
        <v>81.12</v>
      </c>
      <c r="G7" s="7">
        <f>VLOOKUP(A7,Costs!$B$2:$H$138,7,FALSE)</f>
        <v>99.76</v>
      </c>
      <c r="H7" s="8">
        <f>VLOOKUP(A7,Quality!$B$2:$K$88,7,FALSE)</f>
        <v>6.3</v>
      </c>
      <c r="I7" s="8">
        <f>VLOOKUP(A7,Quality!$B$2:$K$88,2,FALSE)</f>
        <v>194.15</v>
      </c>
      <c r="J7" s="7">
        <f>VLOOKUP(A7,Quality!$B$2:$K$88,3,FALSE)</f>
        <v>99.76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tr">
        <f>Salary!B19</f>
        <v>Finland</v>
      </c>
      <c r="B8" s="6">
        <f>VLOOKUP(A8,Salary!$B$1:$D$106,3,FALSE)</f>
        <v>2481.13</v>
      </c>
      <c r="C8" s="7">
        <f>VLOOKUP(A8,Costs!$B$2:$H$138,2,FALSE)</f>
        <v>63.75</v>
      </c>
      <c r="D8" s="7">
        <f>VLOOKUP(A8,Costs!$B$2:$H$138,3,FALSE)</f>
        <v>21.89</v>
      </c>
      <c r="E8" s="5">
        <f>VLOOKUP(A8,Costs!$B$2:$H$138,5,FALSE)</f>
        <v>56.42</v>
      </c>
      <c r="F8" s="5">
        <f>VLOOKUP(A8,Costs!$B$2:$H$138,6,FALSE)</f>
        <v>63.59</v>
      </c>
      <c r="G8" s="7">
        <f>VLOOKUP(A8,Costs!$B$2:$H$138,7,FALSE)</f>
        <v>91</v>
      </c>
      <c r="H8" s="8">
        <f>VLOOKUP(A8,Quality!$B$2:$K$88,7,FALSE)</f>
        <v>7.54</v>
      </c>
      <c r="I8" s="8">
        <f>VLOOKUP(A8,Quality!$B$2:$K$88,2,FALSE)</f>
        <v>186.84</v>
      </c>
      <c r="J8" s="7">
        <f>VLOOKUP(A8,Quality!$B$2:$K$88,3,FALSE)</f>
        <v>91</v>
      </c>
      <c r="K8" s="9" t="s">
        <v>24</v>
      </c>
      <c r="L8" s="9" t="s">
        <v>25</v>
      </c>
      <c r="M8" s="9" t="s">
        <v>26</v>
      </c>
      <c r="N8" s="10" t="s">
        <v>27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tr">
        <f>Salary!B23</f>
        <v>France</v>
      </c>
      <c r="B9" s="6">
        <f>VLOOKUP(A9,Salary!$B$1:$D$106,3,FALSE)</f>
        <v>2266.35</v>
      </c>
      <c r="C9" s="7">
        <f>VLOOKUP(A9,Costs!$B$2:$H$138,2,FALSE)</f>
        <v>65.55</v>
      </c>
      <c r="D9" s="7">
        <f>VLOOKUP(A9,Costs!$B$2:$H$138,3,FALSE)</f>
        <v>24.88</v>
      </c>
      <c r="E9" s="5">
        <f>VLOOKUP(A9,Costs!$B$2:$H$138,5,FALSE)</f>
        <v>63.17</v>
      </c>
      <c r="F9" s="5">
        <f>VLOOKUP(A9,Costs!$B$2:$H$138,6,FALSE)</f>
        <v>63.58</v>
      </c>
      <c r="G9" s="7">
        <f>VLOOKUP(A9,Costs!$B$2:$H$138,7,FALSE)</f>
        <v>79.61</v>
      </c>
      <c r="H9" s="8">
        <f>VLOOKUP(A9,Quality!$B$2:$K$88,7,FALSE)</f>
        <v>11.85</v>
      </c>
      <c r="I9" s="8">
        <f>VLOOKUP(A9,Quality!$B$2:$K$88,2,FALSE)</f>
        <v>152.74</v>
      </c>
      <c r="J9" s="7">
        <f>VLOOKUP(A9,Quality!$B$2:$K$88,3,FALSE)</f>
        <v>79.61</v>
      </c>
      <c r="K9" s="9" t="s">
        <v>28</v>
      </c>
      <c r="L9" s="9" t="s">
        <v>29</v>
      </c>
      <c r="M9" s="9">
        <v>2700.0</v>
      </c>
      <c r="N9" s="10" t="s">
        <v>30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tr">
        <f>Salary!B13</f>
        <v>Germany</v>
      </c>
      <c r="B10" s="6">
        <f>VLOOKUP(A10,Salary!$B$1:$D$106,3,FALSE)</f>
        <v>2754.91</v>
      </c>
      <c r="C10" s="7">
        <f>VLOOKUP(A10,Costs!$B$2:$H$138,2,FALSE)</f>
        <v>59.62</v>
      </c>
      <c r="D10" s="7">
        <f>VLOOKUP(A10,Costs!$B$2:$H$138,3,FALSE)</f>
        <v>25.98</v>
      </c>
      <c r="E10" s="5">
        <f>VLOOKUP(A10,Costs!$B$2:$H$138,5,FALSE)</f>
        <v>48.63</v>
      </c>
      <c r="F10" s="5">
        <f>VLOOKUP(A10,Costs!$B$2:$H$138,6,FALSE)</f>
        <v>52.44</v>
      </c>
      <c r="G10" s="7">
        <f>VLOOKUP(A10,Costs!$B$2:$H$138,7,FALSE)</f>
        <v>102.75</v>
      </c>
      <c r="H10" s="8">
        <f>VLOOKUP(A10,Quality!$B$2:$K$88,7,FALSE)</f>
        <v>10.6</v>
      </c>
      <c r="I10" s="8">
        <f>VLOOKUP(A10,Quality!$B$2:$K$88,2,FALSE)</f>
        <v>178.32</v>
      </c>
      <c r="J10" s="7">
        <f>VLOOKUP(A10,Quality!$B$2:$K$88,3,FALSE)</f>
        <v>102.75</v>
      </c>
      <c r="K10" s="9" t="s">
        <v>31</v>
      </c>
      <c r="L10" s="9" t="s">
        <v>32</v>
      </c>
      <c r="M10" s="9" t="s">
        <v>33</v>
      </c>
      <c r="N10" s="11" t="s">
        <v>34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idden="1">
      <c r="A11" s="5" t="str">
        <f>Salary!B12</f>
        <v>Hong Kong</v>
      </c>
      <c r="B11" s="6">
        <f>VLOOKUP(A11,Salary!$B$1:$D$106,3,FALSE)</f>
        <v>2991.76</v>
      </c>
      <c r="C11" s="7">
        <f>VLOOKUP(A11,Costs!$B$2:$H$138,2,FALSE)</f>
        <v>76.55</v>
      </c>
      <c r="D11" s="7">
        <f>VLOOKUP(A11,Costs!$B$2:$H$138,3,FALSE)</f>
        <v>67.99</v>
      </c>
      <c r="E11" s="5">
        <f>VLOOKUP(A11,Costs!$B$2:$H$138,5,FALSE)</f>
        <v>82.51</v>
      </c>
      <c r="F11" s="5">
        <f>VLOOKUP(A11,Costs!$B$2:$H$138,6,FALSE)</f>
        <v>53.23</v>
      </c>
      <c r="G11" s="7">
        <f>VLOOKUP(A11,Costs!$B$2:$H$138,7,FALSE)</f>
        <v>66.93</v>
      </c>
      <c r="H11" s="8">
        <f>VLOOKUP(A11,Quality!$B$2:$K$88,7,FALSE)</f>
        <v>42.59</v>
      </c>
      <c r="I11" s="8">
        <f>VLOOKUP(A11,Quality!$B$2:$K$88,2,FALSE)</f>
        <v>103.85</v>
      </c>
      <c r="J11" s="7">
        <f>VLOOKUP(A11,Quality!$B$2:$K$88,3,FALSE)</f>
        <v>66.93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idden="1">
      <c r="A12" s="5" t="str">
        <f>Salary!B10</f>
        <v>Canada</v>
      </c>
      <c r="B12" s="6">
        <f>VLOOKUP(A12,Salary!$B$1:$D$106,3,FALSE)</f>
        <v>3124.46</v>
      </c>
      <c r="C12" s="7">
        <f>VLOOKUP(A12,Costs!$B$2:$H$138,2,FALSE)</f>
        <v>68.78</v>
      </c>
      <c r="D12" s="7">
        <f>VLOOKUP(A12,Costs!$B$2:$H$138,3,FALSE)</f>
        <v>35.06</v>
      </c>
      <c r="E12" s="5">
        <f>VLOOKUP(A12,Costs!$B$2:$H$138,5,FALSE)</f>
        <v>68.1</v>
      </c>
      <c r="F12" s="5">
        <f>VLOOKUP(A12,Costs!$B$2:$H$138,6,FALSE)</f>
        <v>64.28</v>
      </c>
      <c r="G12" s="7">
        <f>VLOOKUP(A12,Costs!$B$2:$H$138,7,FALSE)</f>
        <v>101.67</v>
      </c>
      <c r="H12" s="8">
        <f>VLOOKUP(A12,Quality!$B$2:$K$88,7,FALSE)</f>
        <v>8.91</v>
      </c>
      <c r="I12" s="8">
        <f>VLOOKUP(A12,Quality!$B$2:$K$88,2,FALSE)</f>
        <v>163.77</v>
      </c>
      <c r="J12" s="7">
        <f>VLOOKUP(A12,Quality!$B$2:$K$88,3,FALSE)</f>
        <v>101.67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idden="1">
      <c r="A13" s="5" t="str">
        <f>Salary!B15</f>
        <v>Ireland</v>
      </c>
      <c r="B13" s="6">
        <f>VLOOKUP(A13,Salary!$B$1:$D$106,3,FALSE)</f>
        <v>2640.94</v>
      </c>
      <c r="C13" s="7">
        <f>VLOOKUP(A13,Costs!$B$2:$H$138,2,FALSE)</f>
        <v>66.73</v>
      </c>
      <c r="D13" s="7">
        <f>VLOOKUP(A13,Costs!$B$2:$H$138,3,FALSE)</f>
        <v>44.19</v>
      </c>
      <c r="E13" s="5">
        <f>VLOOKUP(A13,Costs!$B$2:$H$138,5,FALSE)</f>
        <v>54.18</v>
      </c>
      <c r="F13" s="5">
        <f>VLOOKUP(A13,Costs!$B$2:$H$138,6,FALSE)</f>
        <v>66.72</v>
      </c>
      <c r="G13" s="7">
        <f>VLOOKUP(A13,Costs!$B$2:$H$138,7,FALSE)</f>
        <v>75.2</v>
      </c>
      <c r="H13" s="8">
        <f>VLOOKUP(A13,Quality!$B$2:$K$88,7,FALSE)</f>
        <v>6.97</v>
      </c>
      <c r="I13" s="8">
        <f>VLOOKUP(A13,Quality!$B$2:$K$88,2,FALSE)</f>
        <v>151.73</v>
      </c>
      <c r="J13" s="7">
        <f>VLOOKUP(A13,Quality!$B$2:$K$88,3,FALSE)</f>
        <v>75.2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idden="1">
      <c r="A14" s="5" t="str">
        <f>Salary!B16</f>
        <v>United Kingdom</v>
      </c>
      <c r="B14" s="6">
        <f>VLOOKUP(A14,Salary!$B$1:$D$106,3,FALSE)</f>
        <v>2573.01</v>
      </c>
      <c r="C14" s="7">
        <f>VLOOKUP(A14,Costs!$B$2:$H$138,2,FALSE)</f>
        <v>60.42</v>
      </c>
      <c r="D14" s="7">
        <f>VLOOKUP(A14,Costs!$B$2:$H$138,3,FALSE)</f>
        <v>30.99</v>
      </c>
      <c r="E14" s="5">
        <f>VLOOKUP(A14,Costs!$B$2:$H$138,5,FALSE)</f>
        <v>48.68</v>
      </c>
      <c r="F14" s="5">
        <f>VLOOKUP(A14,Costs!$B$2:$H$138,6,FALSE)</f>
        <v>63.73</v>
      </c>
      <c r="G14" s="7">
        <f>VLOOKUP(A14,Costs!$B$2:$H$138,7,FALSE)</f>
        <v>92.86</v>
      </c>
      <c r="H14" s="8">
        <f>VLOOKUP(A14,Quality!$B$2:$K$88,7,FALSE)</f>
        <v>7.99</v>
      </c>
      <c r="I14" s="8">
        <f>VLOOKUP(A14,Quality!$B$2:$K$88,2,FALSE)</f>
        <v>164.8</v>
      </c>
      <c r="J14" s="7">
        <f>VLOOKUP(A14,Quality!$B$2:$K$88,3,FALSE)</f>
        <v>92.86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tr">
        <f>Salary!B20</f>
        <v>Kuwait</v>
      </c>
      <c r="B15" s="6">
        <f>VLOOKUP(A15,Salary!$B$1:$D$106,3,FALSE)</f>
        <v>2427.57</v>
      </c>
      <c r="C15" s="7">
        <f>VLOOKUP(A15,Costs!$B$2:$H$138,2,FALSE)</f>
        <v>46</v>
      </c>
      <c r="D15" s="7">
        <f>VLOOKUP(A15,Costs!$B$2:$H$138,3,FALSE)</f>
        <v>27.68</v>
      </c>
      <c r="E15" s="5">
        <f>VLOOKUP(A15,Costs!$B$2:$H$138,5,FALSE)</f>
        <v>33.26</v>
      </c>
      <c r="F15" s="5">
        <f>VLOOKUP(A15,Costs!$B$2:$H$138,6,FALSE)</f>
        <v>41.99</v>
      </c>
      <c r="G15" s="7">
        <f>VLOOKUP(A15,Costs!$B$2:$H$138,7,FALSE)</f>
        <v>81.76</v>
      </c>
      <c r="H15" s="8">
        <f>VLOOKUP(A15,Quality!$B$2:$K$88,7,FALSE)</f>
        <v>11.19</v>
      </c>
      <c r="I15" s="8">
        <f>VLOOKUP(A15,Quality!$B$2:$K$88,2,FALSE)</f>
        <v>118.83</v>
      </c>
      <c r="J15" s="7">
        <f>VLOOKUP(A15,Quality!$B$2:$K$88,3,FALSE)</f>
        <v>81.76</v>
      </c>
      <c r="K15" s="9" t="s">
        <v>14</v>
      </c>
      <c r="L15" s="9" t="s">
        <v>35</v>
      </c>
      <c r="M15" s="9" t="s">
        <v>36</v>
      </c>
      <c r="N15" s="10" t="s">
        <v>37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idden="1">
      <c r="A16" s="5" t="str">
        <f>Salary!B22</f>
        <v>Japan</v>
      </c>
      <c r="B16" s="6">
        <f>VLOOKUP(A16,Salary!$B$1:$D$106,3,FALSE)</f>
        <v>2334.47</v>
      </c>
      <c r="C16" s="7">
        <f>VLOOKUP(A16,Costs!$B$2:$H$138,2,FALSE)</f>
        <v>62.77</v>
      </c>
      <c r="D16" s="7">
        <f>VLOOKUP(A16,Costs!$B$2:$H$138,3,FALSE)</f>
        <v>20.85</v>
      </c>
      <c r="E16" s="5">
        <f>VLOOKUP(A16,Costs!$B$2:$H$138,5,FALSE)</f>
        <v>66.56</v>
      </c>
      <c r="F16" s="5">
        <f>VLOOKUP(A16,Costs!$B$2:$H$138,6,FALSE)</f>
        <v>35.57</v>
      </c>
      <c r="G16" s="7">
        <f>VLOOKUP(A16,Costs!$B$2:$H$138,7,FALSE)</f>
        <v>91.13</v>
      </c>
      <c r="H16" s="8">
        <f>VLOOKUP(A16,Quality!$B$2:$K$88,7,FALSE)</f>
        <v>10.49</v>
      </c>
      <c r="I16" s="8">
        <f>VLOOKUP(A16,Quality!$B$2:$K$88,2,FALSE)</f>
        <v>172.65</v>
      </c>
      <c r="J16" s="7">
        <f>VLOOKUP(A16,Quality!$B$2:$K$88,3,FALSE)</f>
        <v>91.13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tr">
        <f>Salary!B8</f>
        <v>Norway</v>
      </c>
      <c r="B17" s="6">
        <f>VLOOKUP(A17,Salary!$B$1:$D$106,3,FALSE)</f>
        <v>3175.43</v>
      </c>
      <c r="C17" s="7">
        <f>VLOOKUP(A17,Costs!$B$2:$H$138,2,FALSE)</f>
        <v>85.93</v>
      </c>
      <c r="D17" s="7">
        <f>VLOOKUP(A17,Costs!$B$2:$H$138,3,FALSE)</f>
        <v>30.55</v>
      </c>
      <c r="E17" s="5">
        <f>VLOOKUP(A17,Costs!$B$2:$H$138,5,FALSE)</f>
        <v>81.31</v>
      </c>
      <c r="F17" s="5">
        <f>VLOOKUP(A17,Costs!$B$2:$H$138,6,FALSE)</f>
        <v>87.59</v>
      </c>
      <c r="G17" s="7">
        <f>VLOOKUP(A17,Costs!$B$2:$H$138,7,FALSE)</f>
        <v>86.27</v>
      </c>
      <c r="H17" s="8">
        <f>VLOOKUP(A17,Quality!$B$2:$K$88,7,FALSE)</f>
        <v>7.83</v>
      </c>
      <c r="I17" s="8">
        <f>VLOOKUP(A17,Quality!$B$2:$K$88,2,FALSE)</f>
        <v>179.63</v>
      </c>
      <c r="J17" s="7">
        <f>VLOOKUP(A17,Quality!$B$2:$K$88,3,FALSE)</f>
        <v>86.27</v>
      </c>
      <c r="K17" s="9" t="s">
        <v>38</v>
      </c>
      <c r="L17" s="9" t="s">
        <v>39</v>
      </c>
      <c r="M17" s="9">
        <v>3100.0</v>
      </c>
      <c r="N17" s="10" t="s">
        <v>40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tr">
        <f>Salary!B14</f>
        <v>New Zealand</v>
      </c>
      <c r="B18" s="6">
        <f>VLOOKUP(A18,Salary!$B$1:$D$106,3,FALSE)</f>
        <v>2678.24</v>
      </c>
      <c r="C18" s="7">
        <f>VLOOKUP(A18,Costs!$B$2:$H$138,2,FALSE)</f>
        <v>68.96</v>
      </c>
      <c r="D18" s="7">
        <f>VLOOKUP(A18,Costs!$B$2:$H$138,3,FALSE)</f>
        <v>29.43</v>
      </c>
      <c r="E18" s="5">
        <f>VLOOKUP(A18,Costs!$B$2:$H$138,5,FALSE)</f>
        <v>67.69</v>
      </c>
      <c r="F18" s="5">
        <f>VLOOKUP(A18,Costs!$B$2:$H$138,6,FALSE)</f>
        <v>63.87</v>
      </c>
      <c r="G18" s="7">
        <f>VLOOKUP(A18,Costs!$B$2:$H$138,7,FALSE)</f>
        <v>85.02</v>
      </c>
      <c r="H18" s="8">
        <f>VLOOKUP(A18,Quality!$B$2:$K$88,7,FALSE)</f>
        <v>8.01</v>
      </c>
      <c r="I18" s="8">
        <f>VLOOKUP(A18,Quality!$B$2:$K$88,2,FALSE)</f>
        <v>176.83</v>
      </c>
      <c r="J18" s="7">
        <f>VLOOKUP(A18,Quality!$B$2:$K$88,3,FALSE)</f>
        <v>85.02</v>
      </c>
      <c r="K18" s="9" t="s">
        <v>41</v>
      </c>
      <c r="L18" s="9" t="s">
        <v>42</v>
      </c>
      <c r="M18" s="9" t="s">
        <v>43</v>
      </c>
      <c r="N18" s="10" t="s">
        <v>44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idden="1">
      <c r="A19" s="5" t="str">
        <f>Salary!B11</f>
        <v>Iceland</v>
      </c>
      <c r="B19" s="6">
        <f>VLOOKUP(A19,Salary!$B$1:$D$106,3,FALSE)</f>
        <v>3092.49</v>
      </c>
      <c r="C19" s="7">
        <f>VLOOKUP(A19,Costs!$B$2:$H$138,2,FALSE)</f>
        <v>86.59</v>
      </c>
      <c r="D19" s="7">
        <f>VLOOKUP(A19,Costs!$B$2:$H$138,3,FALSE)</f>
        <v>35.81</v>
      </c>
      <c r="E19" s="5">
        <f>VLOOKUP(A19,Costs!$B$2:$H$138,5,FALSE)</f>
        <v>82.44</v>
      </c>
      <c r="F19" s="5">
        <f>VLOOKUP(A19,Costs!$B$2:$H$138,6,FALSE)</f>
        <v>88.64</v>
      </c>
      <c r="G19" s="7">
        <f>VLOOKUP(A19,Costs!$B$2:$H$138,7,FALSE)</f>
        <v>82.62</v>
      </c>
      <c r="H19" s="8">
        <f>VLOOKUP(A19,Quality!$B$2:$K$88,7,FALSE)</f>
        <v>6.8</v>
      </c>
      <c r="I19" s="8">
        <f>VLOOKUP(A19,Quality!$B$2:$K$88,2,FALSE)</f>
        <v>184.48</v>
      </c>
      <c r="J19" s="7">
        <f>VLOOKUP(A19,Quality!$B$2:$K$88,3,FALSE)</f>
        <v>82.62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idden="1">
      <c r="A20" s="5" t="str">
        <f>Salary!B29</f>
        <v>Spain</v>
      </c>
      <c r="B20" s="6">
        <f>VLOOKUP(A20,Salary!$B$1:$D$106,3,FALSE)</f>
        <v>1675.22</v>
      </c>
      <c r="C20" s="7">
        <f>VLOOKUP(A20,Costs!$B$2:$H$138,2,FALSE)</f>
        <v>47.51</v>
      </c>
      <c r="D20" s="7">
        <f>VLOOKUP(A20,Costs!$B$2:$H$138,3,FALSE)</f>
        <v>21.4</v>
      </c>
      <c r="E20" s="5">
        <f>VLOOKUP(A20,Costs!$B$2:$H$138,5,FALSE)</f>
        <v>39.45</v>
      </c>
      <c r="F20" s="5">
        <f>VLOOKUP(A20,Costs!$B$2:$H$138,6,FALSE)</f>
        <v>47.54</v>
      </c>
      <c r="G20" s="7">
        <f>VLOOKUP(A20,Costs!$B$2:$H$138,7,FALSE)</f>
        <v>77.29</v>
      </c>
      <c r="H20" s="8">
        <f>VLOOKUP(A20,Quality!$B$2:$K$88,7,FALSE)</f>
        <v>7.49</v>
      </c>
      <c r="I20" s="8">
        <f>VLOOKUP(A20,Quality!$B$2:$K$88,2,FALSE)</f>
        <v>173.01</v>
      </c>
      <c r="J20" s="7">
        <f>VLOOKUP(A20,Quality!$B$2:$K$88,3,FALSE)</f>
        <v>77.29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idden="1">
      <c r="A21" s="5" t="str">
        <f>Salary!B28</f>
        <v>Puerto Rico</v>
      </c>
      <c r="B21" s="6">
        <f>VLOOKUP(A21,Salary!$B$1:$D$106,3,FALSE)</f>
        <v>1779.27</v>
      </c>
      <c r="C21" s="7">
        <f>VLOOKUP(A21,Costs!$B$2:$H$138,2,FALSE)</f>
        <v>64.58</v>
      </c>
      <c r="D21" s="7">
        <f>VLOOKUP(A21,Costs!$B$2:$H$138,3,FALSE)</f>
        <v>21.59</v>
      </c>
      <c r="E21" s="5">
        <f>VLOOKUP(A21,Costs!$B$2:$H$138,5,FALSE)</f>
        <v>66.06</v>
      </c>
      <c r="F21" s="5">
        <f>VLOOKUP(A21,Costs!$B$2:$H$138,6,FALSE)</f>
        <v>53.57</v>
      </c>
      <c r="G21" s="7">
        <f>VLOOKUP(A21,Costs!$B$2:$H$138,7,FALSE)</f>
        <v>65.41</v>
      </c>
      <c r="H21" s="8">
        <f>VLOOKUP(A21,Quality!$B$2:$K$88,7,FALSE)</f>
        <v>4.2</v>
      </c>
      <c r="I21" s="8">
        <f>VLOOKUP(A21,Quality!$B$2:$K$88,2,FALSE)</f>
        <v>131.13</v>
      </c>
      <c r="J21" s="7">
        <f>VLOOKUP(A21,Quality!$B$2:$K$88,3,FALSE)</f>
        <v>65.41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idden="1">
      <c r="A22" s="5" t="str">
        <f>Salary!B3</f>
        <v>Singapore</v>
      </c>
      <c r="B22" s="6">
        <f>VLOOKUP(A22,Salary!$B$1:$D$106,3,FALSE)</f>
        <v>4471.44</v>
      </c>
      <c r="C22" s="7">
        <f>VLOOKUP(A22,Costs!$B$2:$H$138,2,FALSE)</f>
        <v>79.09</v>
      </c>
      <c r="D22" s="7">
        <f>VLOOKUP(A22,Costs!$B$2:$H$138,3,FALSE)</f>
        <v>65.09</v>
      </c>
      <c r="E22" s="5">
        <f>VLOOKUP(A22,Costs!$B$2:$H$138,5,FALSE)</f>
        <v>71.36</v>
      </c>
      <c r="F22" s="5">
        <f>VLOOKUP(A22,Costs!$B$2:$H$138,6,FALSE)</f>
        <v>52.2</v>
      </c>
      <c r="G22" s="7">
        <f>VLOOKUP(A22,Costs!$B$2:$H$138,7,FALSE)</f>
        <v>94.65</v>
      </c>
      <c r="H22" s="8">
        <f>VLOOKUP(A22,Quality!$B$2:$K$88,7,FALSE)</f>
        <v>16.78</v>
      </c>
      <c r="I22" s="8">
        <f>VLOOKUP(A22,Quality!$B$2:$K$88,2,FALSE)</f>
        <v>154.54</v>
      </c>
      <c r="J22" s="7">
        <f>VLOOKUP(A22,Quality!$B$2:$K$88,3,FALSE)</f>
        <v>94.65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idden="1">
      <c r="A23" s="5" t="str">
        <f>Salary!B24</f>
        <v>Austria</v>
      </c>
      <c r="B23" s="6">
        <f>VLOOKUP(A23,Salary!$B$1:$D$106,3,FALSE)</f>
        <v>2173.11</v>
      </c>
      <c r="C23" s="7">
        <f>VLOOKUP(A23,Costs!$B$2:$H$138,2,FALSE)</f>
        <v>64.11</v>
      </c>
      <c r="D23" s="7">
        <f>VLOOKUP(A23,Costs!$B$2:$H$138,3,FALSE)</f>
        <v>22.75</v>
      </c>
      <c r="E23" s="5">
        <f>VLOOKUP(A23,Costs!$B$2:$H$138,5,FALSE)</f>
        <v>58.04</v>
      </c>
      <c r="F23" s="5">
        <f>VLOOKUP(A23,Costs!$B$2:$H$138,6,FALSE)</f>
        <v>60.66</v>
      </c>
      <c r="G23" s="7">
        <f>VLOOKUP(A23,Costs!$B$2:$H$138,7,FALSE)</f>
        <v>75.09</v>
      </c>
      <c r="H23" s="8">
        <f>VLOOKUP(A23,Quality!$B$2:$K$88,7,FALSE)</f>
        <v>10.88</v>
      </c>
      <c r="I23" s="8">
        <f>VLOOKUP(A23,Quality!$B$2:$K$88,2,FALSE)</f>
        <v>178.06</v>
      </c>
      <c r="J23" s="7">
        <f>VLOOKUP(A23,Quality!$B$2:$K$88,3,FALSE)</f>
        <v>75.09</v>
      </c>
      <c r="K23" s="9" t="s">
        <v>38</v>
      </c>
      <c r="L23" s="9"/>
      <c r="M23" s="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idden="1">
      <c r="A24" s="5" t="str">
        <f>Salary!B2</f>
        <v>Qatar</v>
      </c>
      <c r="B24" s="6">
        <f>VLOOKUP(A24,Salary!$B$1:$D$106,3,FALSE)</f>
        <v>4925.88</v>
      </c>
      <c r="C24" s="7">
        <f>VLOOKUP(A24,Costs!$B$2:$H$138,2,FALSE)</f>
        <v>60.56</v>
      </c>
      <c r="D24" s="7">
        <f>VLOOKUP(A24,Costs!$B$2:$H$138,3,FALSE)</f>
        <v>50.37</v>
      </c>
      <c r="E24" s="5">
        <f>VLOOKUP(A24,Costs!$B$2:$H$138,5,FALSE)</f>
        <v>51.61</v>
      </c>
      <c r="F24" s="5">
        <f>VLOOKUP(A24,Costs!$B$2:$H$138,6,FALSE)</f>
        <v>58.46</v>
      </c>
      <c r="G24" s="7">
        <f>VLOOKUP(A24,Costs!$B$2:$H$138,7,FALSE)</f>
        <v>98.13</v>
      </c>
      <c r="H24" s="8">
        <f>VLOOKUP(A24,Quality!$B$2:$K$88,7,FALSE)</f>
        <v>6.95</v>
      </c>
      <c r="I24" s="8">
        <f>VLOOKUP(A24,Quality!$B$2:$K$88,2,FALSE)</f>
        <v>155.64</v>
      </c>
      <c r="J24" s="7">
        <f>VLOOKUP(A24,Quality!$B$2:$K$88,3,FALSE)</f>
        <v>98.13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idden="1">
      <c r="A25" s="5" t="str">
        <f>Salary!B26</f>
        <v>South Korea</v>
      </c>
      <c r="B25" s="6">
        <f>VLOOKUP(A25,Salary!$B$1:$D$106,3,FALSE)</f>
        <v>2052.58</v>
      </c>
      <c r="C25" s="7">
        <f>VLOOKUP(A25,Costs!$B$2:$H$138,2,FALSE)</f>
        <v>66.95</v>
      </c>
      <c r="D25" s="7">
        <f>VLOOKUP(A25,Costs!$B$2:$H$138,3,FALSE)</f>
        <v>16.47</v>
      </c>
      <c r="E25" s="5">
        <f>VLOOKUP(A25,Costs!$B$2:$H$138,5,FALSE)</f>
        <v>84.47</v>
      </c>
      <c r="F25" s="5">
        <f>VLOOKUP(A25,Costs!$B$2:$H$138,6,FALSE)</f>
        <v>36.82</v>
      </c>
      <c r="G25" s="7">
        <f>VLOOKUP(A25,Costs!$B$2:$H$138,7,FALSE)</f>
        <v>81.3</v>
      </c>
      <c r="H25" s="8">
        <f>VLOOKUP(A25,Quality!$B$2:$K$88,7,FALSE)</f>
        <v>26.51</v>
      </c>
      <c r="I25" s="8">
        <f>VLOOKUP(A25,Quality!$B$2:$K$88,2,FALSE)</f>
        <v>130.82</v>
      </c>
      <c r="J25" s="7">
        <f>VLOOKUP(A25,Quality!$B$2:$K$88,3,FALSE)</f>
        <v>81.3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idden="1">
      <c r="A26" s="5" t="str">
        <f>Salary!B30</f>
        <v>Italy</v>
      </c>
      <c r="B26" s="6">
        <f>VLOOKUP(A26,Salary!$B$1:$D$106,3,FALSE)</f>
        <v>1463.16</v>
      </c>
      <c r="C26" s="7">
        <f>VLOOKUP(A26,Costs!$B$2:$H$138,2,FALSE)</f>
        <v>58.47</v>
      </c>
      <c r="D26" s="7">
        <f>VLOOKUP(A26,Costs!$B$2:$H$138,3,FALSE)</f>
        <v>20.95</v>
      </c>
      <c r="E26" s="5">
        <f>VLOOKUP(A26,Costs!$B$2:$H$138,5,FALSE)</f>
        <v>49.91</v>
      </c>
      <c r="F26" s="5">
        <f>VLOOKUP(A26,Costs!$B$2:$H$138,6,FALSE)</f>
        <v>59.12</v>
      </c>
      <c r="G26" s="7">
        <f>VLOOKUP(A26,Costs!$B$2:$H$138,7,FALSE)</f>
        <v>58</v>
      </c>
      <c r="H26" s="8">
        <f>VLOOKUP(A26,Quality!$B$2:$K$88,7,FALSE)</f>
        <v>11.1</v>
      </c>
      <c r="I26" s="8">
        <f>VLOOKUP(A26,Quality!$B$2:$K$88,2,FALSE)</f>
        <v>137.27</v>
      </c>
      <c r="J26" s="7">
        <f>VLOOKUP(A26,Quality!$B$2:$K$88,3,FALSE)</f>
        <v>58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idden="1">
      <c r="A27" s="5" t="str">
        <f>Salary!B18</f>
        <v>Sweden</v>
      </c>
      <c r="B27" s="6">
        <f>VLOOKUP(A27,Salary!$B$1:$D$106,3,FALSE)</f>
        <v>2520.62</v>
      </c>
      <c r="C27" s="7">
        <f>VLOOKUP(A27,Costs!$B$2:$H$138,2,FALSE)</f>
        <v>61.77</v>
      </c>
      <c r="D27" s="7">
        <f>VLOOKUP(A27,Costs!$B$2:$H$138,3,FALSE)</f>
        <v>23.05</v>
      </c>
      <c r="E27" s="5">
        <f>VLOOKUP(A27,Costs!$B$2:$H$138,5,FALSE)</f>
        <v>54.86</v>
      </c>
      <c r="F27" s="5">
        <f>VLOOKUP(A27,Costs!$B$2:$H$138,6,FALSE)</f>
        <v>62.29</v>
      </c>
      <c r="G27" s="7">
        <f>VLOOKUP(A27,Costs!$B$2:$H$138,7,FALSE)</f>
        <v>94.93</v>
      </c>
      <c r="H27" s="8">
        <f>VLOOKUP(A27,Quality!$B$2:$K$88,7,FALSE)</f>
        <v>9.52</v>
      </c>
      <c r="I27" s="8">
        <f>VLOOKUP(A27,Quality!$B$2:$K$88,2,FALSE)</f>
        <v>173.71</v>
      </c>
      <c r="J27" s="7">
        <f>VLOOKUP(A27,Quality!$B$2:$K$88,3,FALSE)</f>
        <v>94.93</v>
      </c>
      <c r="K27" s="9" t="s">
        <v>45</v>
      </c>
      <c r="L27" s="9"/>
      <c r="M27" s="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idden="1">
      <c r="A28" s="5" t="str">
        <f>Salary!B1</f>
        <v>Switzerland</v>
      </c>
      <c r="B28" s="6">
        <f>VLOOKUP(A28,Salary!$B$1:$D$106,3,FALSE)</f>
        <v>5529.93</v>
      </c>
      <c r="C28" s="7">
        <f>VLOOKUP(A28,Costs!$B$2:$H$138,2,FALSE)</f>
        <v>110.34</v>
      </c>
      <c r="D28" s="7">
        <f>VLOOKUP(A28,Costs!$B$2:$H$138,3,FALSE)</f>
        <v>50.21</v>
      </c>
      <c r="E28" s="5">
        <f>VLOOKUP(A28,Costs!$B$2:$H$138,5,FALSE)</f>
        <v>113.35</v>
      </c>
      <c r="F28" s="5">
        <f>VLOOKUP(A28,Costs!$B$2:$H$138,6,FALSE)</f>
        <v>104.3</v>
      </c>
      <c r="G28" s="7">
        <f>VLOOKUP(A28,Costs!$B$2:$H$138,7,FALSE)</f>
        <v>116.19</v>
      </c>
      <c r="H28" s="8">
        <f>VLOOKUP(A28,Quality!$B$2:$K$88,7,FALSE)</f>
        <v>8.86</v>
      </c>
      <c r="I28" s="8">
        <f>VLOOKUP(A28,Quality!$B$2:$K$88,2,FALSE)</f>
        <v>195.06</v>
      </c>
      <c r="J28" s="7">
        <f>VLOOKUP(A28,Quality!$B$2:$K$88,3,FALSE)</f>
        <v>116.19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idden="1">
      <c r="A29" s="5" t="str">
        <f>Salary!B5</f>
        <v>Australia</v>
      </c>
      <c r="B29" s="6">
        <f>VLOOKUP(A29,Salary!$B$1:$D$106,3,FALSE)</f>
        <v>3857.94</v>
      </c>
      <c r="C29" s="7">
        <f>VLOOKUP(A29,Costs!$B$2:$H$138,2,FALSE)</f>
        <v>72.27</v>
      </c>
      <c r="D29" s="7">
        <f>VLOOKUP(A29,Costs!$B$2:$H$138,3,FALSE)</f>
        <v>35.67</v>
      </c>
      <c r="E29" s="5">
        <f>VLOOKUP(A29,Costs!$B$2:$H$138,5,FALSE)</f>
        <v>72.75</v>
      </c>
      <c r="F29" s="5">
        <f>VLOOKUP(A29,Costs!$B$2:$H$138,6,FALSE)</f>
        <v>64.07</v>
      </c>
      <c r="G29" s="7">
        <f>VLOOKUP(A29,Costs!$B$2:$H$138,7,FALSE)</f>
        <v>117.56</v>
      </c>
      <c r="H29" s="8">
        <f>VLOOKUP(A29,Quality!$B$2:$K$88,7,FALSE)</f>
        <v>5.6</v>
      </c>
      <c r="I29" s="8">
        <f>VLOOKUP(A29,Quality!$B$2:$K$88,2,FALSE)</f>
        <v>190.72</v>
      </c>
      <c r="J29" s="7">
        <f>VLOOKUP(A29,Quality!$B$2:$K$88,3,FALSE)</f>
        <v>117.56</v>
      </c>
      <c r="K29" s="9" t="s">
        <v>31</v>
      </c>
      <c r="L29" s="9"/>
      <c r="M29" s="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 t="str">
        <f>Salary!B17</f>
        <v>Israel</v>
      </c>
      <c r="B30" s="6">
        <f>VLOOKUP(A30,Salary!$B$1:$D$106,3,FALSE)</f>
        <v>2570.62</v>
      </c>
      <c r="C30" s="7">
        <f>VLOOKUP(A30,Costs!$B$2:$H$138,2,FALSE)</f>
        <v>77.28</v>
      </c>
      <c r="D30" s="7">
        <f>VLOOKUP(A30,Costs!$B$2:$H$138,3,FALSE)</f>
        <v>32.95</v>
      </c>
      <c r="E30" s="5">
        <f>VLOOKUP(A30,Costs!$B$2:$H$138,5,FALSE)</f>
        <v>66.45</v>
      </c>
      <c r="F30" s="5">
        <f>VLOOKUP(A30,Costs!$B$2:$H$138,6,FALSE)</f>
        <v>83.92</v>
      </c>
      <c r="G30" s="7">
        <f>VLOOKUP(A30,Costs!$B$2:$H$138,7,FALSE)</f>
        <v>73.54</v>
      </c>
      <c r="H30" s="8">
        <f>VLOOKUP(A30,Quality!$B$2:$K$88,7,FALSE)</f>
        <v>13.26</v>
      </c>
      <c r="I30" s="8">
        <f>VLOOKUP(A30,Quality!$B$2:$K$88,2,FALSE)</f>
        <v>146.39</v>
      </c>
      <c r="J30" s="7">
        <f>VLOOKUP(A30,Quality!$B$2:$K$88,3,FALSE)</f>
        <v>73.54</v>
      </c>
      <c r="K30" s="9" t="s">
        <v>14</v>
      </c>
      <c r="L30" s="9" t="s">
        <v>46</v>
      </c>
      <c r="M30" s="9">
        <v>2700.0</v>
      </c>
      <c r="N30" s="10" t="s">
        <v>47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idden="1">
      <c r="A31" s="5" t="str">
        <f>Salary!B6</f>
        <v>United Arab Emirates</v>
      </c>
      <c r="B31" s="6">
        <f>VLOOKUP(A31,Salary!$B$1:$D$106,3,FALSE)</f>
        <v>3838.1</v>
      </c>
      <c r="C31" s="7">
        <f>VLOOKUP(A31,Costs!$B$2:$H$138,2,FALSE)</f>
        <v>58.01</v>
      </c>
      <c r="D31" s="7">
        <f>VLOOKUP(A31,Costs!$B$2:$H$138,3,FALSE)</f>
        <v>37.34</v>
      </c>
      <c r="E31" s="5">
        <f>VLOOKUP(A31,Costs!$B$2:$H$138,5,FALSE)</f>
        <v>46.72</v>
      </c>
      <c r="F31" s="5">
        <f>VLOOKUP(A31,Costs!$B$2:$H$138,6,FALSE)</f>
        <v>53.87</v>
      </c>
      <c r="G31" s="7">
        <f>VLOOKUP(A31,Costs!$B$2:$H$138,7,FALSE)</f>
        <v>118.94</v>
      </c>
      <c r="H31" s="8">
        <f>VLOOKUP(A31,Quality!$B$2:$K$88,7,FALSE)</f>
        <v>2.91</v>
      </c>
      <c r="I31" s="8">
        <f>VLOOKUP(A31,Quality!$B$2:$K$88,2,FALSE)</f>
        <v>174.37</v>
      </c>
      <c r="J31" s="7">
        <f>VLOOKUP(A31,Quality!$B$2:$K$88,3,FALSE)</f>
        <v>118.94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10" t="s">
        <v>48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N$31">
    <filterColumn colId="1">
      <customFilters>
        <customFilter operator="greaterThan" val="1500"/>
      </customFilters>
    </filterColumn>
    <filterColumn colId="2">
      <customFilters>
        <customFilter operator="lessThan" val="80"/>
      </customFilters>
    </filterColumn>
    <filterColumn colId="3">
      <customFilters>
        <customFilter operator="lessThan" val="40"/>
      </customFilters>
    </filterColumn>
    <filterColumn colId="4">
      <customFilters>
        <customFilter operator="lessThan" val="70"/>
      </customFilters>
    </filterColumn>
    <filterColumn colId="5">
      <customFilters>
        <customFilter operator="lessThan" val="70"/>
      </customFilters>
    </filterColumn>
    <filterColumn colId="6">
      <customFilters>
        <customFilter operator="greaterThan" val="70"/>
      </customFilters>
    </filterColumn>
    <filterColumn colId="7">
      <customFilters>
        <customFilter operator="lessThan" val="12"/>
      </customFilters>
    </filterColumn>
    <filterColumn colId="8">
      <customFilters>
        <customFilter operator="greaterThan" val="150"/>
      </customFilters>
    </filterColumn>
    <filterColumn colId="9">
      <customFilters>
        <customFilter operator="greaterThan" val="75"/>
      </customFilters>
    </filterColumn>
    <filterColumn colId="0">
      <filters>
        <filter val="Puerto Rico"/>
        <filter val="Singapore"/>
        <filter val="Hong Kong"/>
        <filter val="United States"/>
        <filter val="Iceland"/>
        <filter val="Netherlands"/>
        <filter val="Austria"/>
        <filter val="South Korea"/>
        <filter val="Ireland"/>
        <filter val="Qatar"/>
        <filter val="France"/>
        <filter val="Kuwait"/>
        <filter val="Japan"/>
        <filter val="United Kingdom"/>
        <filter val="Bahrain"/>
        <filter val="Switzerland"/>
        <filter val="New Zealand"/>
        <filter val="Canada"/>
        <filter val="Belgium"/>
        <filter val="Norway"/>
        <filter val="Finland"/>
        <filter val="Denmark"/>
        <filter val="Italy"/>
        <filter val="Israel"/>
        <filter val="Australia"/>
        <filter val="Germany"/>
      </filters>
    </filterColumn>
    <sortState ref="A1:N31">
      <sortCondition ref="A1:A31"/>
      <sortCondition descending="1" ref="M1:M31"/>
    </sortState>
  </autoFilter>
  <hyperlinks>
    <hyperlink r:id="rId1" ref="N3"/>
    <hyperlink r:id="rId2" ref="N5"/>
    <hyperlink r:id="rId3" ref="N6"/>
    <hyperlink r:id="rId4" ref="N8"/>
    <hyperlink r:id="rId5" ref="N9"/>
    <hyperlink r:id="rId6" ref="N10"/>
    <hyperlink r:id="rId7" ref="N15"/>
    <hyperlink r:id="rId8" ref="N17"/>
    <hyperlink r:id="rId9" ref="N18"/>
    <hyperlink r:id="rId10" ref="N30"/>
    <hyperlink r:id="rId11" ref="K33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49</v>
      </c>
      <c r="E1" s="13"/>
      <c r="G1" s="14" t="s">
        <v>50</v>
      </c>
    </row>
    <row r="2">
      <c r="A2" s="15" t="s">
        <v>51</v>
      </c>
      <c r="C2" s="15" t="s">
        <v>52</v>
      </c>
      <c r="G2" s="15" t="s">
        <v>51</v>
      </c>
      <c r="I2" s="15" t="s">
        <v>52</v>
      </c>
    </row>
    <row r="3">
      <c r="A3" s="16" t="s">
        <v>53</v>
      </c>
      <c r="C3" s="17" t="s">
        <v>54</v>
      </c>
      <c r="G3" s="16" t="s">
        <v>55</v>
      </c>
      <c r="I3" s="17" t="s">
        <v>54</v>
      </c>
    </row>
    <row r="4">
      <c r="A4" s="16" t="s">
        <v>56</v>
      </c>
      <c r="C4" s="17" t="s">
        <v>54</v>
      </c>
      <c r="G4" s="16" t="s">
        <v>57</v>
      </c>
      <c r="I4" s="17" t="s">
        <v>54</v>
      </c>
    </row>
  </sheetData>
  <mergeCells count="15">
    <mergeCell ref="A3:B3"/>
    <mergeCell ref="C3:D3"/>
    <mergeCell ref="G3:H3"/>
    <mergeCell ref="I3:J3"/>
    <mergeCell ref="A4:B4"/>
    <mergeCell ref="C4:D4"/>
    <mergeCell ref="G4:H4"/>
    <mergeCell ref="I4:J4"/>
    <mergeCell ref="A1:D1"/>
    <mergeCell ref="E1:F1"/>
    <mergeCell ref="G1:J1"/>
    <mergeCell ref="A2:B2"/>
    <mergeCell ref="C2:D2"/>
    <mergeCell ref="G2:H2"/>
    <mergeCell ref="I2:J2"/>
  </mergeCells>
  <hyperlinks>
    <hyperlink r:id="rId1" ref="C3"/>
    <hyperlink r:id="rId2" ref="I3"/>
    <hyperlink r:id="rId3" ref="C4"/>
    <hyperlink r:id="rId4" ref="I4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12.75"/>
    <col customWidth="1" min="3" max="3" width="13.25"/>
    <col customWidth="1" min="4" max="4" width="11.38"/>
    <col customWidth="1" min="5" max="5" width="10.13"/>
    <col customWidth="1" min="6" max="6" width="14.75"/>
    <col customWidth="1" min="7" max="7" width="17.13"/>
    <col customWidth="1" min="8" max="8" width="9.75"/>
    <col customWidth="1" min="9" max="9" width="10.25"/>
    <col customWidth="1" min="10" max="10" width="8.0"/>
    <col customWidth="1" min="11" max="12" width="6.25"/>
    <col customWidth="1" min="13" max="13" width="7.38"/>
    <col customWidth="1" min="14" max="14" width="8.0"/>
    <col customWidth="1" min="15" max="15" width="6.5"/>
    <col customWidth="1" min="16" max="16" width="7.5"/>
    <col customWidth="1" min="17" max="17" width="9.0"/>
    <col customWidth="1" min="18" max="18" width="10.88"/>
    <col customWidth="1" min="19" max="19" width="7.0"/>
    <col customWidth="1" min="20" max="20" width="11.75"/>
    <col customWidth="1" min="21" max="21" width="9.63"/>
    <col customWidth="1" min="22" max="22" width="11.0"/>
    <col customWidth="1" min="23" max="23" width="8.63"/>
    <col customWidth="1" min="24" max="24" width="8.88"/>
    <col customWidth="1" min="25" max="25" width="13.0"/>
  </cols>
  <sheetData>
    <row r="1">
      <c r="A1" s="11" t="s">
        <v>58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9" t="s">
        <v>65</v>
      </c>
      <c r="I1" s="9" t="s">
        <v>66</v>
      </c>
      <c r="J1" s="9" t="s">
        <v>67</v>
      </c>
      <c r="K1" s="9" t="s">
        <v>68</v>
      </c>
      <c r="L1" s="9" t="s">
        <v>69</v>
      </c>
      <c r="M1" s="9" t="s">
        <v>70</v>
      </c>
      <c r="N1" s="9" t="s">
        <v>71</v>
      </c>
      <c r="O1" s="9" t="s">
        <v>72</v>
      </c>
      <c r="P1" s="9" t="s">
        <v>73</v>
      </c>
      <c r="Q1" s="9" t="s">
        <v>74</v>
      </c>
      <c r="R1" s="9" t="s">
        <v>75</v>
      </c>
      <c r="S1" s="9" t="s">
        <v>76</v>
      </c>
      <c r="T1" s="9" t="s">
        <v>77</v>
      </c>
      <c r="U1" s="9" t="s">
        <v>78</v>
      </c>
      <c r="V1" s="9" t="s">
        <v>79</v>
      </c>
      <c r="W1" s="9" t="s">
        <v>80</v>
      </c>
      <c r="X1" s="9" t="s">
        <v>81</v>
      </c>
      <c r="Y1" s="9" t="s">
        <v>82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idden="1">
      <c r="A2" s="5" t="s">
        <v>83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idden="1">
      <c r="A3" s="5" t="s">
        <v>84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idden="1">
      <c r="A4" s="5" t="s">
        <v>85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idden="1">
      <c r="A5" s="5" t="s">
        <v>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idden="1">
      <c r="A6" s="5" t="s">
        <v>87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idden="1">
      <c r="A7" s="5" t="s">
        <v>88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18" t="s">
        <v>89</v>
      </c>
      <c r="B8" s="9">
        <v>1.0</v>
      </c>
      <c r="C8" s="9"/>
      <c r="D8" s="9"/>
      <c r="E8" s="9"/>
      <c r="F8" s="9">
        <v>1.0</v>
      </c>
      <c r="G8" s="9">
        <v>1.0</v>
      </c>
      <c r="H8" s="9"/>
      <c r="I8" s="9">
        <v>1.0</v>
      </c>
      <c r="J8" s="9">
        <v>1.0</v>
      </c>
      <c r="K8" s="9">
        <v>1.0</v>
      </c>
      <c r="L8" s="9">
        <v>1.0</v>
      </c>
      <c r="M8" s="9">
        <v>1.0</v>
      </c>
      <c r="N8" s="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idden="1">
      <c r="A9" s="5" t="s">
        <v>90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idden="1">
      <c r="A10" s="5" t="s">
        <v>91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hidden="1">
      <c r="A11" s="5" t="s">
        <v>92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idden="1">
      <c r="A12" s="5" t="s">
        <v>93</v>
      </c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idden="1">
      <c r="A13" s="7" t="s">
        <v>94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idden="1">
      <c r="A14" s="5" t="s">
        <v>85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idden="1">
      <c r="A15" s="5" t="s">
        <v>95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idden="1">
      <c r="A16" s="5" t="s">
        <v>96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idden="1">
      <c r="A17" s="5" t="s">
        <v>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idden="1">
      <c r="A18" s="5" t="s">
        <v>91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idden="1">
      <c r="A19" s="5" t="s">
        <v>98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idden="1">
      <c r="A20" s="5" t="s">
        <v>99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idden="1">
      <c r="A21" s="5" t="s">
        <v>100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idden="1">
      <c r="A22" s="5" t="s">
        <v>101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idden="1">
      <c r="A23" s="5" t="s">
        <v>102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hidden="1">
      <c r="A24" s="5" t="s">
        <v>103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hidden="1">
      <c r="A25" s="5" t="s">
        <v>104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hidden="1">
      <c r="A26" s="5" t="s">
        <v>88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hidden="1">
      <c r="A27" s="5" t="s">
        <v>84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hidden="1">
      <c r="A28" s="9" t="s">
        <v>105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>
      <c r="A29" s="19" t="s">
        <v>106</v>
      </c>
      <c r="B29" s="5"/>
      <c r="C29" s="9">
        <v>1.0</v>
      </c>
      <c r="D29" s="5"/>
      <c r="E29" s="5"/>
      <c r="F29" s="5"/>
      <c r="G29" s="5"/>
      <c r="H29" s="9">
        <v>1.0</v>
      </c>
      <c r="I29" s="9">
        <v>1.0</v>
      </c>
      <c r="J29" s="9">
        <v>1.0</v>
      </c>
      <c r="K29" s="5"/>
      <c r="L29" s="9">
        <v>1.0</v>
      </c>
      <c r="M29" s="5"/>
      <c r="N29" s="9">
        <v>1.0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9">
        <v>1.0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>
      <c r="A30" s="19" t="s">
        <v>107</v>
      </c>
      <c r="B30" s="5"/>
      <c r="C30" s="9">
        <v>1.0</v>
      </c>
      <c r="D30" s="9">
        <v>1.0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9">
        <v>1.0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hidden="1">
      <c r="A31" s="9" t="s">
        <v>108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hidden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>
      <c r="A33" s="19" t="s">
        <v>109</v>
      </c>
      <c r="B33" s="9">
        <v>1.0</v>
      </c>
      <c r="C33" s="9">
        <v>1.0</v>
      </c>
      <c r="D33" s="9">
        <v>1.0</v>
      </c>
      <c r="E33" s="5"/>
      <c r="F33" s="5"/>
      <c r="G33" s="9">
        <v>1.0</v>
      </c>
      <c r="H33" s="5"/>
      <c r="I33" s="5"/>
      <c r="J33" s="9">
        <v>1.0</v>
      </c>
      <c r="K33" s="5"/>
      <c r="L33" s="5"/>
      <c r="M33" s="9">
        <v>1.0</v>
      </c>
      <c r="N33" s="5"/>
      <c r="O33" s="9"/>
      <c r="P33" s="9"/>
      <c r="Q33" s="9"/>
      <c r="R33" s="9"/>
      <c r="S33" s="9">
        <v>1.0</v>
      </c>
      <c r="T33" s="9"/>
      <c r="U33" s="9"/>
      <c r="V33" s="9">
        <v>1.0</v>
      </c>
      <c r="W33" s="9">
        <v>1.0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>
      <c r="A34" s="19" t="s">
        <v>110</v>
      </c>
      <c r="B34" s="9">
        <v>1.0</v>
      </c>
      <c r="C34" s="9">
        <v>1.0</v>
      </c>
      <c r="D34" s="5"/>
      <c r="E34" s="5"/>
      <c r="F34" s="5"/>
      <c r="G34" s="9">
        <v>1.0</v>
      </c>
      <c r="H34" s="5"/>
      <c r="I34" s="5"/>
      <c r="J34" s="5"/>
      <c r="K34" s="5"/>
      <c r="L34" s="5"/>
      <c r="M34" s="9">
        <v>1.0</v>
      </c>
      <c r="N34" s="5"/>
      <c r="O34" s="9">
        <v>1.0</v>
      </c>
      <c r="P34" s="5"/>
      <c r="Q34" s="5"/>
      <c r="R34" s="5"/>
      <c r="S34" s="5"/>
      <c r="T34" s="5"/>
      <c r="U34" s="5"/>
      <c r="V34" s="5"/>
      <c r="W34" s="5"/>
      <c r="X34" s="9">
        <v>1.0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>
      <c r="A35" s="19" t="s">
        <v>111</v>
      </c>
      <c r="B35" s="5"/>
      <c r="C35" s="9">
        <v>1.0</v>
      </c>
      <c r="D35" s="5"/>
      <c r="E35" s="5"/>
      <c r="F35" s="5"/>
      <c r="G35" s="9">
        <v>1.0</v>
      </c>
      <c r="H35" s="9">
        <v>1.0</v>
      </c>
      <c r="I35" s="5"/>
      <c r="J35" s="5"/>
      <c r="K35" s="5"/>
      <c r="L35" s="5"/>
      <c r="M35" s="9">
        <v>1.0</v>
      </c>
      <c r="N35" s="9"/>
      <c r="O35" s="9"/>
      <c r="P35" s="9"/>
      <c r="Q35" s="9"/>
      <c r="R35" s="9"/>
      <c r="S35" s="9"/>
      <c r="T35" s="9"/>
      <c r="U35" s="9"/>
      <c r="V35" s="9">
        <v>1.0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>
      <c r="A36" s="19" t="s">
        <v>112</v>
      </c>
      <c r="B36" s="5"/>
      <c r="C36" s="9">
        <v>1.0</v>
      </c>
      <c r="D36" s="5"/>
      <c r="E36" s="5"/>
      <c r="F36" s="5"/>
      <c r="G36" s="9">
        <v>1.0</v>
      </c>
      <c r="H36" s="5"/>
      <c r="I36" s="5"/>
      <c r="J36" s="5"/>
      <c r="K36" s="5"/>
      <c r="L36" s="5"/>
      <c r="M36" s="9">
        <v>1.0</v>
      </c>
      <c r="N36" s="9"/>
      <c r="O36" s="9"/>
      <c r="P36" s="9"/>
      <c r="Q36" s="9"/>
      <c r="R36" s="9"/>
      <c r="S36" s="9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>
      <c r="A37" s="19" t="s">
        <v>113</v>
      </c>
      <c r="B37" s="5"/>
      <c r="C37" s="9">
        <v>1.0</v>
      </c>
      <c r="D37" s="5"/>
      <c r="E37" s="9"/>
      <c r="F37" s="9">
        <v>1.0</v>
      </c>
      <c r="G37" s="5"/>
      <c r="H37" s="9">
        <v>1.0</v>
      </c>
      <c r="I37" s="5"/>
      <c r="J37" s="5"/>
      <c r="K37" s="9">
        <v>1.0</v>
      </c>
      <c r="L37" s="9">
        <v>1.0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9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>
      <c r="A38" s="19" t="s">
        <v>114</v>
      </c>
      <c r="B38" s="9">
        <v>1.0</v>
      </c>
      <c r="C38" s="9">
        <v>1.0</v>
      </c>
      <c r="D38" s="5"/>
      <c r="E38" s="9"/>
      <c r="F38" s="9"/>
      <c r="G38" s="9">
        <v>1.0</v>
      </c>
      <c r="H38" s="5"/>
      <c r="I38" s="5"/>
      <c r="J38" s="5"/>
      <c r="K38" s="9">
        <v>1.0</v>
      </c>
      <c r="L38" s="9">
        <v>1.0</v>
      </c>
      <c r="M38" s="5"/>
      <c r="N38" s="5"/>
      <c r="O38" s="5"/>
      <c r="P38" s="5"/>
      <c r="Q38" s="5"/>
      <c r="R38" s="5"/>
      <c r="S38" s="5"/>
      <c r="T38" s="9">
        <v>1.0</v>
      </c>
      <c r="U38" s="9">
        <v>1.0</v>
      </c>
      <c r="V38" s="5"/>
      <c r="W38" s="9">
        <v>1.0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>
      <c r="A39" s="19" t="s">
        <v>115</v>
      </c>
      <c r="B39" s="5"/>
      <c r="C39" s="9">
        <v>1.0</v>
      </c>
      <c r="D39" s="9">
        <v>1.0</v>
      </c>
      <c r="E39" s="9">
        <v>1.0</v>
      </c>
      <c r="F39" s="5"/>
      <c r="G39" s="5"/>
      <c r="H39" s="5"/>
      <c r="I39" s="5"/>
      <c r="J39" s="5"/>
      <c r="K39" s="9">
        <v>1.0</v>
      </c>
      <c r="L39" s="9">
        <v>1.0</v>
      </c>
      <c r="M39" s="5"/>
      <c r="N39" s="9">
        <v>1.0</v>
      </c>
      <c r="O39" s="5"/>
      <c r="P39" s="9">
        <v>1.0</v>
      </c>
      <c r="Q39" s="9">
        <v>1.0</v>
      </c>
      <c r="R39" s="9">
        <v>1.0</v>
      </c>
      <c r="S39" s="9">
        <v>1.0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>
      <c r="A40" s="19" t="s">
        <v>116</v>
      </c>
      <c r="B40" s="9">
        <v>1.0</v>
      </c>
      <c r="C40" s="9">
        <v>1.0</v>
      </c>
      <c r="D40" s="5"/>
      <c r="E40" s="5"/>
      <c r="F40" s="9">
        <v>1.0</v>
      </c>
      <c r="G40" s="9">
        <v>1.0</v>
      </c>
      <c r="H40" s="5"/>
      <c r="I40" s="5"/>
      <c r="J40" s="9">
        <v>1.0</v>
      </c>
      <c r="K40" s="9">
        <v>1.0</v>
      </c>
      <c r="L40" s="9">
        <v>1.0</v>
      </c>
      <c r="M40" s="9">
        <v>1.0</v>
      </c>
      <c r="N40" s="9"/>
      <c r="O40" s="5"/>
      <c r="P40" s="5"/>
      <c r="Q40" s="5"/>
      <c r="R40" s="9"/>
      <c r="S40" s="9"/>
      <c r="T40" s="5"/>
      <c r="U40" s="5"/>
      <c r="V40" s="9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</sheetData>
  <autoFilter ref="$A$1:$Y$40">
    <filterColumn colId="0">
      <colorFilter dxfId="6"/>
    </filterColumn>
  </autoFilter>
  <conditionalFormatting sqref="A1:Y50">
    <cfRule type="cellIs" dxfId="7" priority="1" operator="equal">
      <formula>1</formula>
    </cfRule>
  </conditionalFormatting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0.88"/>
    <col customWidth="1" min="4" max="4" width="14.25"/>
  </cols>
  <sheetData>
    <row r="1">
      <c r="A1" s="9" t="s">
        <v>117</v>
      </c>
      <c r="B1" s="9" t="s">
        <v>118</v>
      </c>
      <c r="C1" s="9" t="s">
        <v>119</v>
      </c>
      <c r="D1" s="9" t="s">
        <v>120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45.0" customHeight="1">
      <c r="A2" s="20" t="s">
        <v>121</v>
      </c>
      <c r="B2" s="21">
        <f>5085*31</f>
        <v>157635</v>
      </c>
      <c r="C2" s="21">
        <f>4438*24</f>
        <v>106512</v>
      </c>
      <c r="E2" s="9" t="s">
        <v>122</v>
      </c>
      <c r="J2" s="10" t="s">
        <v>123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0" t="s">
        <v>124</v>
      </c>
      <c r="B3" s="20">
        <v>74000.0</v>
      </c>
      <c r="C3" s="20">
        <v>132000.0</v>
      </c>
      <c r="E3" s="9" t="s">
        <v>125</v>
      </c>
      <c r="J3" s="10" t="s">
        <v>126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" t="s">
        <v>127</v>
      </c>
      <c r="B4" s="19">
        <v>72000.0</v>
      </c>
      <c r="C4" s="19">
        <v>40000.0</v>
      </c>
      <c r="D4" s="19">
        <v>70000.0</v>
      </c>
      <c r="E4" s="9" t="s">
        <v>128</v>
      </c>
      <c r="F4" s="5"/>
      <c r="G4" s="5"/>
      <c r="H4" s="10" t="s">
        <v>129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9" t="s">
        <v>130</v>
      </c>
      <c r="B5" s="19">
        <v>65760.0</v>
      </c>
      <c r="C5" s="19">
        <v>132600.0</v>
      </c>
      <c r="E5" s="9" t="s">
        <v>131</v>
      </c>
      <c r="F5" s="5"/>
      <c r="G5" s="5"/>
      <c r="H5" s="10" t="s">
        <v>132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0" t="s">
        <v>133</v>
      </c>
      <c r="B6" s="20">
        <v>46201.0</v>
      </c>
      <c r="C6" s="21">
        <f>4688*36</f>
        <v>168768</v>
      </c>
      <c r="E6" s="9" t="s">
        <v>134</v>
      </c>
      <c r="F6" s="9" t="s">
        <v>135</v>
      </c>
      <c r="G6" s="9" t="s">
        <v>136</v>
      </c>
      <c r="H6" s="10" t="s">
        <v>137</v>
      </c>
      <c r="I6" s="9" t="s">
        <v>138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2" t="s">
        <v>139</v>
      </c>
      <c r="B7" s="22" t="s">
        <v>140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2" t="s">
        <v>141</v>
      </c>
      <c r="B8" s="22" t="s">
        <v>142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2" t="s">
        <v>143</v>
      </c>
      <c r="B9" s="22" t="s">
        <v>144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2" t="s">
        <v>145</v>
      </c>
      <c r="B10" s="22" t="s">
        <v>146</v>
      </c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" t="s">
        <v>147</v>
      </c>
      <c r="B11" s="19">
        <v>80000.0</v>
      </c>
      <c r="C11" s="19" t="s">
        <v>148</v>
      </c>
      <c r="E11" s="9" t="s">
        <v>149</v>
      </c>
      <c r="F11" s="5"/>
      <c r="G11" s="5"/>
      <c r="H11" s="10" t="s">
        <v>150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151</v>
      </c>
      <c r="B13" s="9" t="s">
        <v>152</v>
      </c>
      <c r="C13" s="11" t="s">
        <v>153</v>
      </c>
      <c r="D13" s="11" t="s">
        <v>154</v>
      </c>
      <c r="E13" s="11" t="s">
        <v>155</v>
      </c>
      <c r="F13" s="11" t="s">
        <v>156</v>
      </c>
      <c r="G13" s="11" t="s">
        <v>157</v>
      </c>
      <c r="H13" s="11" t="s">
        <v>158</v>
      </c>
      <c r="I13" s="11" t="s">
        <v>159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160</v>
      </c>
      <c r="B14" s="9" t="s">
        <v>161</v>
      </c>
      <c r="E14" s="9" t="s">
        <v>162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3" t="s">
        <v>163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 t="s">
        <v>164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165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166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 t="s">
        <v>167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 t="s">
        <v>168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B8:D8"/>
    <mergeCell ref="B9:D9"/>
    <mergeCell ref="B10:D10"/>
    <mergeCell ref="C11:D11"/>
    <mergeCell ref="B14:D14"/>
    <mergeCell ref="E14:G14"/>
    <mergeCell ref="C2:D2"/>
    <mergeCell ref="E2:I2"/>
    <mergeCell ref="C3:D3"/>
    <mergeCell ref="E3:I3"/>
    <mergeCell ref="C5:D5"/>
    <mergeCell ref="C6:D6"/>
    <mergeCell ref="B7:D7"/>
  </mergeCells>
  <hyperlinks>
    <hyperlink r:id="rId1" ref="J2"/>
    <hyperlink r:id="rId2" ref="J3"/>
    <hyperlink r:id="rId3" ref="H4"/>
    <hyperlink r:id="rId4" location="/resume" ref="H5"/>
    <hyperlink r:id="rId5" ref="H6"/>
    <hyperlink r:id="rId6" ref="H11"/>
    <hyperlink r:id="rId7" ref="C13"/>
    <hyperlink r:id="rId8" ref="D13"/>
    <hyperlink r:id="rId9" ref="E13"/>
    <hyperlink r:id="rId10" ref="F13"/>
    <hyperlink r:id="rId11" ref="G13"/>
    <hyperlink r:id="rId12" ref="H13"/>
    <hyperlink r:id="rId13" ref="I13"/>
    <hyperlink r:id="rId14" ref="A26"/>
    <hyperlink r:id="rId15" ref="A28"/>
  </hyperlinks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63"/>
    <col customWidth="1" min="3" max="4" width="26.75"/>
    <col customWidth="1" min="5" max="7" width="25.63"/>
  </cols>
  <sheetData>
    <row r="1">
      <c r="A1" s="20" t="s">
        <v>169</v>
      </c>
      <c r="B1" s="24" t="str">
        <f>skill!A4</f>
        <v>Yandex Practicum</v>
      </c>
      <c r="C1" s="25" t="str">
        <f>skill!A5</f>
        <v>Netologia</v>
      </c>
      <c r="D1" s="18" t="str">
        <f>skill!A6</f>
        <v>GeekBrains</v>
      </c>
      <c r="E1" s="26" t="str">
        <f>skill!A11</f>
        <v>SkyPro</v>
      </c>
      <c r="F1" s="27" t="s">
        <v>170</v>
      </c>
      <c r="G1" s="28" t="s">
        <v>171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tr">
        <f>Top!B1</f>
        <v>Education</v>
      </c>
      <c r="B2" s="9">
        <v>1.0</v>
      </c>
      <c r="C2" s="9">
        <v>1.0</v>
      </c>
      <c r="D2" s="9">
        <v>1.0</v>
      </c>
      <c r="E2" s="9">
        <v>1.0</v>
      </c>
      <c r="F2" s="9">
        <v>1.0</v>
      </c>
      <c r="G2" s="9">
        <v>1.0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tr">
        <f>Top!C1</f>
        <v>Experience</v>
      </c>
      <c r="B3" s="9">
        <v>1.0</v>
      </c>
      <c r="C3" s="9">
        <v>1.0</v>
      </c>
      <c r="D3" s="9">
        <v>1.0</v>
      </c>
      <c r="E3" s="9">
        <v>1.0</v>
      </c>
      <c r="F3" s="9">
        <v>1.0</v>
      </c>
      <c r="G3" s="9">
        <v>1.0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tr">
        <f>Top!F1</f>
        <v>Basics in Software Development</v>
      </c>
      <c r="B4" s="9">
        <v>1.0</v>
      </c>
      <c r="C4" s="9">
        <v>1.0</v>
      </c>
      <c r="D4" s="9">
        <v>1.0</v>
      </c>
      <c r="E4" s="5"/>
      <c r="F4" s="9">
        <v>1.0</v>
      </c>
      <c r="G4" s="9">
        <v>1.0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tr">
        <f>Top!G1</f>
        <v>Experience in Testautomation</v>
      </c>
      <c r="B5" s="9">
        <v>1.0</v>
      </c>
      <c r="C5" s="9">
        <v>1.0</v>
      </c>
      <c r="D5" s="9">
        <v>1.0</v>
      </c>
      <c r="E5" s="5"/>
      <c r="F5" s="9">
        <v>1.0</v>
      </c>
      <c r="G5" s="9">
        <v>1.0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tr">
        <f>Top!H1</f>
        <v>Mobile</v>
      </c>
      <c r="B6" s="9">
        <v>1.0</v>
      </c>
      <c r="C6" s="9">
        <v>1.0</v>
      </c>
      <c r="D6" s="9">
        <v>1.0</v>
      </c>
      <c r="E6" s="5"/>
      <c r="F6" s="9">
        <v>1.0</v>
      </c>
      <c r="G6" s="9">
        <v>1.0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tr">
        <f>Top!J1</f>
        <v>Agile</v>
      </c>
      <c r="B7" s="9">
        <v>1.0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tr">
        <f>Top!N1</f>
        <v>Java</v>
      </c>
      <c r="B8" s="9">
        <v>1.0</v>
      </c>
      <c r="C8" s="9">
        <v>1.0</v>
      </c>
      <c r="D8" s="5"/>
      <c r="E8" s="5"/>
      <c r="F8" s="9">
        <v>1.0</v>
      </c>
      <c r="G8" s="9">
        <v>1.0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172</v>
      </c>
      <c r="B9" s="5"/>
      <c r="C9" s="9"/>
      <c r="D9" s="9">
        <v>1.0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66</v>
      </c>
      <c r="B10" s="5"/>
      <c r="C10" s="9">
        <v>1.0</v>
      </c>
      <c r="D10" s="5"/>
      <c r="E10" s="5"/>
      <c r="F10" s="9">
        <v>1.0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173</v>
      </c>
      <c r="B11" s="5"/>
      <c r="C11" s="9">
        <v>1.0</v>
      </c>
      <c r="D11" s="5"/>
      <c r="E11" s="5"/>
      <c r="F11" s="9">
        <v>1.0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tr">
        <f>Top!O1</f>
        <v>Py</v>
      </c>
      <c r="B12" s="5"/>
      <c r="C12" s="9">
        <v>1.0</v>
      </c>
      <c r="D12" s="5"/>
      <c r="E12" s="5"/>
      <c r="F12" s="9">
        <v>1.0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174</v>
      </c>
      <c r="B13" s="9"/>
      <c r="C13" s="9">
        <v>1.0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175</v>
      </c>
      <c r="B14" s="9"/>
      <c r="C14" s="9">
        <v>1.0</v>
      </c>
      <c r="D14" s="5"/>
      <c r="E14" s="5"/>
      <c r="F14" s="9">
        <v>1.0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176</v>
      </c>
      <c r="B15" s="9"/>
      <c r="C15" s="9">
        <v>1.0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177</v>
      </c>
      <c r="B16" s="9"/>
      <c r="C16" s="9">
        <v>1.0</v>
      </c>
      <c r="D16" s="5"/>
      <c r="E16" s="5"/>
      <c r="F16" s="5"/>
      <c r="G16" s="9">
        <v>1.0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tr">
        <f>Top!P1</f>
        <v>SQL</v>
      </c>
      <c r="B17" s="9">
        <v>1.0</v>
      </c>
      <c r="C17" s="9">
        <v>1.0</v>
      </c>
      <c r="D17" s="9">
        <v>1.0</v>
      </c>
      <c r="E17" s="5"/>
      <c r="F17" s="9">
        <v>1.0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tr">
        <f>Top!Q1</f>
        <v>REST</v>
      </c>
      <c r="B18" s="9">
        <v>1.0</v>
      </c>
      <c r="C18" s="9">
        <v>1.0</v>
      </c>
      <c r="D18" s="9">
        <v>1.0</v>
      </c>
      <c r="E18" s="9">
        <v>1.0</v>
      </c>
      <c r="F18" s="9">
        <v>1.0</v>
      </c>
      <c r="G18" s="9">
        <v>1.0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 t="s">
        <v>178</v>
      </c>
      <c r="B19" s="9"/>
      <c r="C19" s="9"/>
      <c r="D19" s="9"/>
      <c r="E19" s="9">
        <v>1.0</v>
      </c>
      <c r="F19" s="9">
        <v>1.0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tr">
        <f>Top!T1</f>
        <v>Selenium</v>
      </c>
      <c r="B20" s="9">
        <v>1.0</v>
      </c>
      <c r="C20" s="9">
        <v>1.0</v>
      </c>
      <c r="D20" s="9">
        <v>1.0</v>
      </c>
      <c r="E20" s="9"/>
      <c r="F20" s="9">
        <v>1.0</v>
      </c>
      <c r="G20" s="9">
        <v>1.0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tr">
        <f>Top!V1</f>
        <v>Postman</v>
      </c>
      <c r="B21" s="9">
        <v>1.0</v>
      </c>
      <c r="C21" s="5"/>
      <c r="D21" s="5"/>
      <c r="E21" s="9">
        <v>1.0</v>
      </c>
      <c r="F21" s="9">
        <v>1.0</v>
      </c>
      <c r="G21" s="9">
        <v>1.0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tr">
        <f>Top!X1</f>
        <v>Linux</v>
      </c>
      <c r="B22" s="5"/>
      <c r="C22" s="5"/>
      <c r="D22" s="9">
        <v>1.0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179</v>
      </c>
      <c r="B23" s="9">
        <v>1.0</v>
      </c>
      <c r="C23" s="9">
        <v>1.0</v>
      </c>
      <c r="D23" s="9">
        <v>1.0</v>
      </c>
      <c r="E23" s="5"/>
      <c r="F23" s="9">
        <v>1.0</v>
      </c>
      <c r="G23" s="9">
        <v>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180</v>
      </c>
      <c r="B24" s="5"/>
      <c r="C24" s="9">
        <v>1.0</v>
      </c>
      <c r="D24" s="5"/>
      <c r="E24" s="9">
        <v>1.0</v>
      </c>
      <c r="F24" s="9">
        <v>1.0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 t="s">
        <v>9</v>
      </c>
      <c r="B25" s="5"/>
      <c r="C25" s="9">
        <v>1.0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9" t="s">
        <v>181</v>
      </c>
      <c r="B26" s="29">
        <f t="shared" ref="B26:G26" si="1">SUM(B2:B25)</f>
        <v>12</v>
      </c>
      <c r="C26" s="29">
        <f t="shared" si="1"/>
        <v>19</v>
      </c>
      <c r="D26" s="29">
        <f t="shared" si="1"/>
        <v>11</v>
      </c>
      <c r="E26" s="29">
        <f t="shared" si="1"/>
        <v>6</v>
      </c>
      <c r="F26" s="29">
        <f t="shared" si="1"/>
        <v>17</v>
      </c>
      <c r="G26" s="29">
        <f t="shared" si="1"/>
        <v>11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9" t="s">
        <v>182</v>
      </c>
      <c r="C27" s="9" t="s">
        <v>183</v>
      </c>
      <c r="D27" s="9" t="s">
        <v>184</v>
      </c>
      <c r="E27" s="9" t="s">
        <v>185</v>
      </c>
      <c r="F27" s="9" t="s">
        <v>186</v>
      </c>
      <c r="G27" s="9" t="s">
        <v>187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9"/>
      <c r="C28" s="9"/>
      <c r="D28" s="9"/>
      <c r="E28" s="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conditionalFormatting sqref="B2:G25">
    <cfRule type="cellIs" dxfId="7" priority="1" operator="equal">
      <formula>1</formula>
    </cfRule>
  </conditionalFormatting>
  <conditionalFormatting sqref="B2:G25">
    <cfRule type="containsBlanks" dxfId="1" priority="2">
      <formula>LEN(TRIM(B2))=0</formula>
    </cfRule>
  </conditionalFormatting>
  <drawing r:id="rId1"/>
</worksheet>
</file>