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3.xml" ContentType="application/vnd.openxmlformats-officedocument.drawingml.chart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etan\Downloads\"/>
    </mc:Choice>
  </mc:AlternateContent>
  <xr:revisionPtr revIDLastSave="0" documentId="13_ncr:1_{003FC04C-EE48-4D93-9C13-7EB1613F949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egistration Data" sheetId="1" r:id="rId1"/>
    <sheet name="WOMEN" sheetId="3" r:id="rId2"/>
    <sheet name="MEN" sheetId="7" r:id="rId3"/>
    <sheet name="Girls" sheetId="4" r:id="rId4"/>
    <sheet name="Boys" sheetId="5" r:id="rId5"/>
    <sheet name="TOTA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6" l="1"/>
  <c r="F6" i="6"/>
  <c r="F5" i="6"/>
  <c r="A2" i="7" a="1"/>
  <c r="A2" i="7" s="1"/>
  <c r="J33" i="5"/>
  <c r="I33" i="5"/>
  <c r="H33" i="5"/>
  <c r="G33" i="5"/>
  <c r="F33" i="5"/>
  <c r="E33" i="5"/>
  <c r="D33" i="5"/>
  <c r="C33" i="5"/>
  <c r="B33" i="5"/>
  <c r="A33" i="5"/>
  <c r="J32" i="5"/>
  <c r="I32" i="5"/>
  <c r="H32" i="5"/>
  <c r="G32" i="5"/>
  <c r="F32" i="5"/>
  <c r="E32" i="5"/>
  <c r="D32" i="5"/>
  <c r="C32" i="5"/>
  <c r="B32" i="5"/>
  <c r="A32" i="5"/>
  <c r="J31" i="5"/>
  <c r="I31" i="5"/>
  <c r="H31" i="5"/>
  <c r="G31" i="5"/>
  <c r="F31" i="5"/>
  <c r="E31" i="5"/>
  <c r="D31" i="5"/>
  <c r="C31" i="5"/>
  <c r="B31" i="5"/>
  <c r="A31" i="5"/>
  <c r="J30" i="5"/>
  <c r="I30" i="5"/>
  <c r="H30" i="5"/>
  <c r="G30" i="5"/>
  <c r="F30" i="5"/>
  <c r="E30" i="5"/>
  <c r="D30" i="5"/>
  <c r="C30" i="5"/>
  <c r="B30" i="5"/>
  <c r="A30" i="5"/>
  <c r="J29" i="5"/>
  <c r="I29" i="5"/>
  <c r="H29" i="5"/>
  <c r="G29" i="5"/>
  <c r="F29" i="5"/>
  <c r="E29" i="5"/>
  <c r="D29" i="5"/>
  <c r="C29" i="5"/>
  <c r="B29" i="5"/>
  <c r="A29" i="5"/>
  <c r="J28" i="5"/>
  <c r="I28" i="5"/>
  <c r="H28" i="5"/>
  <c r="G28" i="5"/>
  <c r="F28" i="5"/>
  <c r="E28" i="5"/>
  <c r="D28" i="5"/>
  <c r="C28" i="5"/>
  <c r="B28" i="5"/>
  <c r="A28" i="5"/>
  <c r="J27" i="5"/>
  <c r="I27" i="5"/>
  <c r="H27" i="5"/>
  <c r="G27" i="5"/>
  <c r="F27" i="5"/>
  <c r="E27" i="5"/>
  <c r="D27" i="5"/>
  <c r="C27" i="5"/>
  <c r="B27" i="5"/>
  <c r="A27" i="5"/>
  <c r="J26" i="5"/>
  <c r="I26" i="5"/>
  <c r="H26" i="5"/>
  <c r="G26" i="5"/>
  <c r="F26" i="5"/>
  <c r="E26" i="5"/>
  <c r="D26" i="5"/>
  <c r="C26" i="5"/>
  <c r="B26" i="5"/>
  <c r="A26" i="5"/>
  <c r="J25" i="5"/>
  <c r="I25" i="5"/>
  <c r="H25" i="5"/>
  <c r="G25" i="5"/>
  <c r="F25" i="5"/>
  <c r="E25" i="5"/>
  <c r="D25" i="5"/>
  <c r="C25" i="5"/>
  <c r="B25" i="5"/>
  <c r="A25" i="5"/>
  <c r="J24" i="5"/>
  <c r="I24" i="5"/>
  <c r="H24" i="5"/>
  <c r="G24" i="5"/>
  <c r="F24" i="5"/>
  <c r="E24" i="5"/>
  <c r="D24" i="5"/>
  <c r="C24" i="5"/>
  <c r="B24" i="5"/>
  <c r="A24" i="5"/>
  <c r="J23" i="5"/>
  <c r="I23" i="5"/>
  <c r="H23" i="5"/>
  <c r="G23" i="5"/>
  <c r="F23" i="5"/>
  <c r="E23" i="5"/>
  <c r="D23" i="5"/>
  <c r="C23" i="5"/>
  <c r="B23" i="5"/>
  <c r="A23" i="5"/>
  <c r="J22" i="5"/>
  <c r="I22" i="5"/>
  <c r="H22" i="5"/>
  <c r="G22" i="5"/>
  <c r="F22" i="5"/>
  <c r="E22" i="5"/>
  <c r="D22" i="5"/>
  <c r="C22" i="5"/>
  <c r="B22" i="5"/>
  <c r="A22" i="5"/>
  <c r="J21" i="5"/>
  <c r="I21" i="5"/>
  <c r="H21" i="5"/>
  <c r="G21" i="5"/>
  <c r="F21" i="5"/>
  <c r="E21" i="5"/>
  <c r="D21" i="5"/>
  <c r="C21" i="5"/>
  <c r="B21" i="5"/>
  <c r="A21" i="5"/>
  <c r="J20" i="5"/>
  <c r="I20" i="5"/>
  <c r="H20" i="5"/>
  <c r="G20" i="5"/>
  <c r="F20" i="5"/>
  <c r="E20" i="5"/>
  <c r="D20" i="5"/>
  <c r="C20" i="5"/>
  <c r="B20" i="5"/>
  <c r="A20" i="5"/>
  <c r="J19" i="5"/>
  <c r="I19" i="5"/>
  <c r="H19" i="5"/>
  <c r="G19" i="5"/>
  <c r="F19" i="5"/>
  <c r="E19" i="5"/>
  <c r="D19" i="5"/>
  <c r="C19" i="5"/>
  <c r="B19" i="5"/>
  <c r="A19" i="5"/>
  <c r="J18" i="5"/>
  <c r="I18" i="5"/>
  <c r="H18" i="5"/>
  <c r="G18" i="5"/>
  <c r="F18" i="5"/>
  <c r="E18" i="5"/>
  <c r="D18" i="5"/>
  <c r="C18" i="5"/>
  <c r="B18" i="5"/>
  <c r="A18" i="5"/>
  <c r="J17" i="5"/>
  <c r="I17" i="5"/>
  <c r="H17" i="5"/>
  <c r="G17" i="5"/>
  <c r="F17" i="5"/>
  <c r="E17" i="5"/>
  <c r="D17" i="5"/>
  <c r="C17" i="5"/>
  <c r="B17" i="5"/>
  <c r="A17" i="5"/>
  <c r="J16" i="5"/>
  <c r="I16" i="5"/>
  <c r="H16" i="5"/>
  <c r="G16" i="5"/>
  <c r="F16" i="5"/>
  <c r="E16" i="5"/>
  <c r="D16" i="5"/>
  <c r="C16" i="5"/>
  <c r="B16" i="5"/>
  <c r="A16" i="5"/>
  <c r="J15" i="5"/>
  <c r="I15" i="5"/>
  <c r="H15" i="5"/>
  <c r="G15" i="5"/>
  <c r="F15" i="5"/>
  <c r="E15" i="5"/>
  <c r="D15" i="5"/>
  <c r="C15" i="5"/>
  <c r="B15" i="5"/>
  <c r="A15" i="5"/>
  <c r="J14" i="5"/>
  <c r="I14" i="5"/>
  <c r="H14" i="5"/>
  <c r="G14" i="5"/>
  <c r="F14" i="5"/>
  <c r="E14" i="5"/>
  <c r="D14" i="5"/>
  <c r="C14" i="5"/>
  <c r="B14" i="5"/>
  <c r="A14" i="5"/>
  <c r="J13" i="5"/>
  <c r="I13" i="5"/>
  <c r="H13" i="5"/>
  <c r="G13" i="5"/>
  <c r="F13" i="5"/>
  <c r="E13" i="5"/>
  <c r="D13" i="5"/>
  <c r="C13" i="5"/>
  <c r="B13" i="5"/>
  <c r="A13" i="5"/>
  <c r="J12" i="5"/>
  <c r="I12" i="5"/>
  <c r="H12" i="5"/>
  <c r="G12" i="5"/>
  <c r="F12" i="5"/>
  <c r="E12" i="5"/>
  <c r="D12" i="5"/>
  <c r="C12" i="5"/>
  <c r="B12" i="5"/>
  <c r="A12" i="5"/>
  <c r="J11" i="5"/>
  <c r="I11" i="5"/>
  <c r="H11" i="5"/>
  <c r="G11" i="5"/>
  <c r="F11" i="5"/>
  <c r="E11" i="5"/>
  <c r="D11" i="5"/>
  <c r="C11" i="5"/>
  <c r="B11" i="5"/>
  <c r="A11" i="5"/>
  <c r="J10" i="5"/>
  <c r="I10" i="5"/>
  <c r="H10" i="5"/>
  <c r="G10" i="5"/>
  <c r="F10" i="5"/>
  <c r="E10" i="5"/>
  <c r="D10" i="5"/>
  <c r="C10" i="5"/>
  <c r="B10" i="5"/>
  <c r="A10" i="5"/>
  <c r="J9" i="5"/>
  <c r="I9" i="5"/>
  <c r="H9" i="5"/>
  <c r="G9" i="5"/>
  <c r="F9" i="5"/>
  <c r="E9" i="5"/>
  <c r="D9" i="5"/>
  <c r="C9" i="5"/>
  <c r="B9" i="5"/>
  <c r="A9" i="5"/>
  <c r="J8" i="5"/>
  <c r="I8" i="5"/>
  <c r="H8" i="5"/>
  <c r="G8" i="5"/>
  <c r="F8" i="5"/>
  <c r="E8" i="5"/>
  <c r="D8" i="5"/>
  <c r="C8" i="5"/>
  <c r="B8" i="5"/>
  <c r="A8" i="5"/>
  <c r="J7" i="5"/>
  <c r="I7" i="5"/>
  <c r="H7" i="5"/>
  <c r="G7" i="5"/>
  <c r="F7" i="5"/>
  <c r="E7" i="5"/>
  <c r="D7" i="5"/>
  <c r="C7" i="5"/>
  <c r="B7" i="5"/>
  <c r="A7" i="5"/>
  <c r="J6" i="5"/>
  <c r="I6" i="5"/>
  <c r="H6" i="5"/>
  <c r="G6" i="5"/>
  <c r="F6" i="5"/>
  <c r="E6" i="5"/>
  <c r="D6" i="5"/>
  <c r="C6" i="5"/>
  <c r="B6" i="5"/>
  <c r="A6" i="5"/>
  <c r="J5" i="5"/>
  <c r="I5" i="5"/>
  <c r="H5" i="5"/>
  <c r="G5" i="5"/>
  <c r="F5" i="5"/>
  <c r="E5" i="5"/>
  <c r="D5" i="5"/>
  <c r="C5" i="5"/>
  <c r="B5" i="5"/>
  <c r="A5" i="5"/>
  <c r="J4" i="5"/>
  <c r="I4" i="5"/>
  <c r="H4" i="5"/>
  <c r="G4" i="5"/>
  <c r="F4" i="5"/>
  <c r="E4" i="5"/>
  <c r="D4" i="5"/>
  <c r="C4" i="5"/>
  <c r="B4" i="5"/>
  <c r="A4" i="5"/>
  <c r="J3" i="5"/>
  <c r="I3" i="5"/>
  <c r="H3" i="5"/>
  <c r="G3" i="5"/>
  <c r="F3" i="5"/>
  <c r="E3" i="5"/>
  <c r="D3" i="5"/>
  <c r="C3" i="5"/>
  <c r="B3" i="5"/>
  <c r="A3" i="5"/>
  <c r="J2" i="5"/>
  <c r="I2" i="5"/>
  <c r="H2" i="5"/>
  <c r="G2" i="5"/>
  <c r="F2" i="5"/>
  <c r="E2" i="5"/>
  <c r="D2" i="5"/>
  <c r="C2" i="5"/>
  <c r="B2" i="5"/>
  <c r="A2" i="5"/>
  <c r="J14" i="4"/>
  <c r="I14" i="4"/>
  <c r="H14" i="4"/>
  <c r="G14" i="4"/>
  <c r="F14" i="4"/>
  <c r="E14" i="4"/>
  <c r="D14" i="4"/>
  <c r="C14" i="4"/>
  <c r="B14" i="4"/>
  <c r="A14" i="4"/>
  <c r="J13" i="4"/>
  <c r="I13" i="4"/>
  <c r="H13" i="4"/>
  <c r="G13" i="4"/>
  <c r="F13" i="4"/>
  <c r="E13" i="4"/>
  <c r="D13" i="4"/>
  <c r="C13" i="4"/>
  <c r="B13" i="4"/>
  <c r="A13" i="4"/>
  <c r="J12" i="4"/>
  <c r="I12" i="4"/>
  <c r="H12" i="4"/>
  <c r="G12" i="4"/>
  <c r="F12" i="4"/>
  <c r="E12" i="4"/>
  <c r="D12" i="4"/>
  <c r="C12" i="4"/>
  <c r="B12" i="4"/>
  <c r="A12" i="4"/>
  <c r="J11" i="4"/>
  <c r="I11" i="4"/>
  <c r="H11" i="4"/>
  <c r="G11" i="4"/>
  <c r="F11" i="4"/>
  <c r="E11" i="4"/>
  <c r="D11" i="4"/>
  <c r="C11" i="4"/>
  <c r="B11" i="4"/>
  <c r="A11" i="4"/>
  <c r="J10" i="4"/>
  <c r="I10" i="4"/>
  <c r="H10" i="4"/>
  <c r="G10" i="4"/>
  <c r="F10" i="4"/>
  <c r="E10" i="4"/>
  <c r="D10" i="4"/>
  <c r="C10" i="4"/>
  <c r="B10" i="4"/>
  <c r="A10" i="4"/>
  <c r="J9" i="4"/>
  <c r="I9" i="4"/>
  <c r="H9" i="4"/>
  <c r="G9" i="4"/>
  <c r="F9" i="4"/>
  <c r="E9" i="4"/>
  <c r="D9" i="4"/>
  <c r="C9" i="4"/>
  <c r="B9" i="4"/>
  <c r="A9" i="4"/>
  <c r="J8" i="4"/>
  <c r="I8" i="4"/>
  <c r="H8" i="4"/>
  <c r="G8" i="4"/>
  <c r="F8" i="4"/>
  <c r="E8" i="4"/>
  <c r="D8" i="4"/>
  <c r="C8" i="4"/>
  <c r="B8" i="4"/>
  <c r="A8" i="4"/>
  <c r="J7" i="4"/>
  <c r="I7" i="4"/>
  <c r="H7" i="4"/>
  <c r="G7" i="4"/>
  <c r="F7" i="4"/>
  <c r="E7" i="4"/>
  <c r="D7" i="4"/>
  <c r="C7" i="4"/>
  <c r="B7" i="4"/>
  <c r="A7" i="4"/>
  <c r="J6" i="4"/>
  <c r="I6" i="4"/>
  <c r="H6" i="4"/>
  <c r="G6" i="4"/>
  <c r="F6" i="4"/>
  <c r="E6" i="4"/>
  <c r="D6" i="4"/>
  <c r="C6" i="4"/>
  <c r="B6" i="4"/>
  <c r="A6" i="4"/>
  <c r="J5" i="4"/>
  <c r="I5" i="4"/>
  <c r="H5" i="4"/>
  <c r="G5" i="4"/>
  <c r="F5" i="4"/>
  <c r="E5" i="4"/>
  <c r="D5" i="4"/>
  <c r="C5" i="4"/>
  <c r="B5" i="4"/>
  <c r="A5" i="4"/>
  <c r="J4" i="4"/>
  <c r="I4" i="4"/>
  <c r="H4" i="4"/>
  <c r="G4" i="4"/>
  <c r="F4" i="4"/>
  <c r="E4" i="4"/>
  <c r="D4" i="4"/>
  <c r="C4" i="4"/>
  <c r="B4" i="4"/>
  <c r="A4" i="4"/>
  <c r="J3" i="4"/>
  <c r="I3" i="4"/>
  <c r="H3" i="4"/>
  <c r="G3" i="4"/>
  <c r="F3" i="4"/>
  <c r="E3" i="4"/>
  <c r="D3" i="4"/>
  <c r="C3" i="4"/>
  <c r="B3" i="4"/>
  <c r="A3" i="4"/>
  <c r="J2" i="4"/>
  <c r="I2" i="4"/>
  <c r="H2" i="4"/>
  <c r="G2" i="4"/>
  <c r="F2" i="4"/>
  <c r="E2" i="4"/>
  <c r="D2" i="4"/>
  <c r="C2" i="4"/>
  <c r="B2" i="4"/>
  <c r="A2" i="4"/>
  <c r="J3" i="3"/>
  <c r="I3" i="3"/>
  <c r="H3" i="3"/>
  <c r="G3" i="3"/>
  <c r="F3" i="3"/>
  <c r="E3" i="3"/>
  <c r="D3" i="3"/>
  <c r="C3" i="3"/>
  <c r="B3" i="3"/>
  <c r="A3" i="3"/>
  <c r="J2" i="3"/>
  <c r="G6" i="6" s="1"/>
  <c r="I2" i="3"/>
  <c r="H2" i="3"/>
  <c r="G2" i="3"/>
  <c r="F2" i="3"/>
  <c r="E2" i="3"/>
  <c r="D2" i="3"/>
  <c r="C2" i="3"/>
  <c r="B2" i="3"/>
  <c r="A2" i="3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J61" i="1" s="1"/>
  <c r="E7" i="1"/>
  <c r="E6" i="1"/>
  <c r="E5" i="1"/>
  <c r="J88" i="1" s="1"/>
  <c r="E4" i="1"/>
  <c r="E3" i="1"/>
  <c r="E2" i="1"/>
  <c r="J81" i="1" s="1"/>
  <c r="N10" i="3" l="1"/>
  <c r="N9" i="5"/>
  <c r="E5" i="6"/>
  <c r="D5" i="6"/>
  <c r="G7" i="6"/>
  <c r="D6" i="6"/>
  <c r="D7" i="6"/>
  <c r="N6" i="5"/>
  <c r="E6" i="6"/>
  <c r="E7" i="6"/>
  <c r="N7" i="4"/>
  <c r="N7" i="5"/>
  <c r="N10" i="4"/>
  <c r="N10" i="5"/>
  <c r="G5" i="6"/>
  <c r="N6" i="4"/>
  <c r="N9" i="4"/>
  <c r="N8" i="5"/>
  <c r="J21" i="1"/>
  <c r="J41" i="1"/>
  <c r="J63" i="1"/>
  <c r="J75" i="1"/>
  <c r="J83" i="1"/>
  <c r="J76" i="1"/>
  <c r="J84" i="1"/>
  <c r="J29" i="1"/>
  <c r="J40" i="1"/>
  <c r="J82" i="1"/>
  <c r="N5" i="5"/>
  <c r="J12" i="1"/>
  <c r="J35" i="1"/>
  <c r="J44" i="1"/>
  <c r="J56" i="1"/>
  <c r="J77" i="1"/>
  <c r="J85" i="1"/>
  <c r="N5" i="4"/>
  <c r="J14" i="1"/>
  <c r="J36" i="1"/>
  <c r="J57" i="1"/>
  <c r="J78" i="1"/>
  <c r="J86" i="1"/>
  <c r="N5" i="3"/>
  <c r="N8" i="4"/>
  <c r="J8" i="1"/>
  <c r="J20" i="1"/>
  <c r="J74" i="1"/>
  <c r="J3" i="1"/>
  <c r="J25" i="1"/>
  <c r="J4" i="1"/>
  <c r="J26" i="1"/>
  <c r="J46" i="1"/>
  <c r="N6" i="3"/>
  <c r="J15" i="1"/>
  <c r="J37" i="1"/>
  <c r="J79" i="1"/>
  <c r="N7" i="3"/>
  <c r="J87" i="1"/>
  <c r="J27" i="1"/>
  <c r="J47" i="1"/>
  <c r="J59" i="1"/>
  <c r="N8" i="3"/>
  <c r="N9" i="3"/>
  <c r="J28" i="1"/>
  <c r="J48" i="1"/>
  <c r="J60" i="1"/>
  <c r="J6" i="1"/>
  <c r="J38" i="1"/>
  <c r="J72" i="1"/>
  <c r="J80" i="1"/>
  <c r="J7" i="1"/>
  <c r="J39" i="1"/>
  <c r="J73" i="1"/>
  <c r="I6" i="6" l="1"/>
  <c r="N11" i="3"/>
  <c r="I7" i="6"/>
  <c r="I5" i="6"/>
  <c r="H6" i="6"/>
  <c r="N11" i="4"/>
  <c r="H5" i="6"/>
  <c r="H7" i="6"/>
  <c r="N1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<sst xmlns="http://schemas.openxmlformats.org/spreadsheetml/2006/main" count="474" uniqueCount="126">
  <si>
    <t>Timestamp</t>
  </si>
  <si>
    <t>FullName</t>
  </si>
  <si>
    <t>Mobile Number</t>
  </si>
  <si>
    <t>Date of Birth</t>
  </si>
  <si>
    <t>Age</t>
  </si>
  <si>
    <t>Gender</t>
  </si>
  <si>
    <t>Wing</t>
  </si>
  <si>
    <t>Flat no.</t>
  </si>
  <si>
    <t>Terms &amp; Conditions</t>
  </si>
  <si>
    <t>Payment Status</t>
  </si>
  <si>
    <t>Chetan Sanjay Chopade</t>
  </si>
  <si>
    <t>Male</t>
  </si>
  <si>
    <t>D - wing</t>
  </si>
  <si>
    <t>Accept</t>
  </si>
  <si>
    <t>Yes</t>
  </si>
  <si>
    <t>Kiran Khalkar</t>
  </si>
  <si>
    <t>Geet Kiran Khalkar</t>
  </si>
  <si>
    <t>Female</t>
  </si>
  <si>
    <t>Narendra Kharche</t>
  </si>
  <si>
    <t>Mahesh mohan Kale</t>
  </si>
  <si>
    <t>Vihaan Kunal Pawar</t>
  </si>
  <si>
    <t>C - wing</t>
  </si>
  <si>
    <t>Sangita Pawar</t>
  </si>
  <si>
    <t>Nishikant Joshi</t>
  </si>
  <si>
    <t>A - wing</t>
  </si>
  <si>
    <t xml:space="preserve">Anand Newasekar </t>
  </si>
  <si>
    <t>Ankur Newasekar</t>
  </si>
  <si>
    <t>Mangesh Joshi</t>
  </si>
  <si>
    <t xml:space="preserve">Suraj More </t>
  </si>
  <si>
    <t>E - wing</t>
  </si>
  <si>
    <t xml:space="preserve">Sudhir Pandurang Masane </t>
  </si>
  <si>
    <t xml:space="preserve">Digant Tewari </t>
  </si>
  <si>
    <t>B - wing</t>
  </si>
  <si>
    <t xml:space="preserve">Ovi jadhav </t>
  </si>
  <si>
    <t>Rudra Narendra Kharche</t>
  </si>
  <si>
    <t xml:space="preserve">Akshada Narendra Kharche </t>
  </si>
  <si>
    <t>Jeevan Ramdas Ghorpade</t>
  </si>
  <si>
    <t>F - wing</t>
  </si>
  <si>
    <t>Kirti Dhakne</t>
  </si>
  <si>
    <t>Navnath Dhakne</t>
  </si>
  <si>
    <t xml:space="preserve">Vihaan Deshmukh </t>
  </si>
  <si>
    <t xml:space="preserve">Pravin Deshmukh </t>
  </si>
  <si>
    <t>SHREYASH SUDHIR MASNE</t>
  </si>
  <si>
    <t>Krushna Shankar Hipparkar</t>
  </si>
  <si>
    <t>Samarthya Suryakant Nimbalkar</t>
  </si>
  <si>
    <t>Dhairyasheel Nimbalkar</t>
  </si>
  <si>
    <t>Rahul Kedar</t>
  </si>
  <si>
    <t>Advit Kedar</t>
  </si>
  <si>
    <t xml:space="preserve">Aditya Uday Chougale </t>
  </si>
  <si>
    <t>Uday Hambirrao Chougale</t>
  </si>
  <si>
    <t>Sandip Navale</t>
  </si>
  <si>
    <t>Ovi Navale</t>
  </si>
  <si>
    <t>Netaji Tikode</t>
  </si>
  <si>
    <t xml:space="preserve">Aayush Sanjay Shishte </t>
  </si>
  <si>
    <t xml:space="preserve">Tanishka Shrikanth Dhatrak </t>
  </si>
  <si>
    <t xml:space="preserve">Shrikanth Pradeep Dhatrak </t>
  </si>
  <si>
    <t>Suryakant Nimbalkar</t>
  </si>
  <si>
    <t>Vihaan Pranav Gund</t>
  </si>
  <si>
    <t>Shreya Pradip Kale</t>
  </si>
  <si>
    <t>Pradip shrikrishna kale</t>
  </si>
  <si>
    <t>Rahul Shetti</t>
  </si>
  <si>
    <t xml:space="preserve">Vedant Dilip Koti </t>
  </si>
  <si>
    <t xml:space="preserve">Tanmay Shashikant Sonawane </t>
  </si>
  <si>
    <t>84829 15897</t>
  </si>
  <si>
    <t xml:space="preserve">Samarth Gopinath Tarange </t>
  </si>
  <si>
    <t xml:space="preserve">Gopal Haridas Tarange </t>
  </si>
  <si>
    <t xml:space="preserve"> Vedant Vishal Patil</t>
  </si>
  <si>
    <t>Siddharth  Pradeep Mane</t>
  </si>
  <si>
    <t>Prasad Patil</t>
  </si>
  <si>
    <t xml:space="preserve">GURPAVITH SINGH BALJITSINGH SAHANI </t>
  </si>
  <si>
    <t>Hitansh Zope</t>
  </si>
  <si>
    <t xml:space="preserve">Dilip Mahadevappa Koti </t>
  </si>
  <si>
    <t>Mahesh Baliram Halde</t>
  </si>
  <si>
    <t>Anushka Mahesh Halde</t>
  </si>
  <si>
    <t>Swara Mahesh Halde</t>
  </si>
  <si>
    <t>Bipin Kumar</t>
  </si>
  <si>
    <t>Advik Amol Herode</t>
  </si>
  <si>
    <t>Mandar kanase</t>
  </si>
  <si>
    <t xml:space="preserve">Nishikant Bargaje </t>
  </si>
  <si>
    <t xml:space="preserve">Pradip Gorle </t>
  </si>
  <si>
    <t>Angad ganesh kadam</t>
  </si>
  <si>
    <t xml:space="preserve">Garvi Praphull Patil </t>
  </si>
  <si>
    <t>Mukund Thonge</t>
  </si>
  <si>
    <t>Vineet Jagdale</t>
  </si>
  <si>
    <t xml:space="preserve">Bharat Warude </t>
  </si>
  <si>
    <t>Saurabh Choudhary</t>
  </si>
  <si>
    <t>Manish Baghel</t>
  </si>
  <si>
    <t>Tanishi Baghel</t>
  </si>
  <si>
    <t>Ishanvi Prashant Khandale</t>
  </si>
  <si>
    <t>Ayush khalkar</t>
  </si>
  <si>
    <t>Dnyanesh Raut</t>
  </si>
  <si>
    <t xml:space="preserve">Nikhil Rakshe </t>
  </si>
  <si>
    <t>Abhijeet Angad biradar</t>
  </si>
  <si>
    <t xml:space="preserve">Vishal kolaskar </t>
  </si>
  <si>
    <t xml:space="preserve">Vihaan kolaskar </t>
  </si>
  <si>
    <t>Sunil Roy</t>
  </si>
  <si>
    <t>Sagar Dilip Pise</t>
  </si>
  <si>
    <t>Aarush sandeep Telang</t>
  </si>
  <si>
    <t>Kunal Khushal Dhande</t>
  </si>
  <si>
    <t xml:space="preserve">Sanjay Shishte </t>
  </si>
  <si>
    <t>Soham Chetan Patil</t>
  </si>
  <si>
    <t>Gaurita Yogesh Gade</t>
  </si>
  <si>
    <t>Kamlesh patil</t>
  </si>
  <si>
    <t>Mitansh Patil</t>
  </si>
  <si>
    <t xml:space="preserve">Varadraj Bharat Godage </t>
  </si>
  <si>
    <t xml:space="preserve">Amit Tatyaso Malshikare </t>
  </si>
  <si>
    <t>Ishwari Amit Malshikare</t>
  </si>
  <si>
    <t>Yashraj Tikode</t>
  </si>
  <si>
    <t>WINGS</t>
  </si>
  <si>
    <t>COUNT</t>
  </si>
  <si>
    <t>Wing A</t>
  </si>
  <si>
    <t>Wing B</t>
  </si>
  <si>
    <t>Wing C</t>
  </si>
  <si>
    <t>Wing D</t>
  </si>
  <si>
    <t>Wing E</t>
  </si>
  <si>
    <t>Wing F</t>
  </si>
  <si>
    <t>TOTAL</t>
  </si>
  <si>
    <t>Boys</t>
  </si>
  <si>
    <t>Girls</t>
  </si>
  <si>
    <t>Men</t>
  </si>
  <si>
    <t>Women</t>
  </si>
  <si>
    <t>Total Status</t>
  </si>
  <si>
    <t>Amount</t>
  </si>
  <si>
    <t>Payment Status(PAID)</t>
  </si>
  <si>
    <t>Payment Status(PENDING)</t>
  </si>
  <si>
    <t>Total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</si>
</sst>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&quot;-&quot;mm&quot;-&quot;yyyy&quot;  &quot;h&quot;:&quot;m&quot;:&quot;s"/>
    <numFmt numFmtId="165" formatCode="dd&quot;-&quot;mm&quot;-&quot;yyyy"/>
    <numFmt numFmtId="169" formatCode="dd/mm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3838"/>
        <bgColor rgb="FFFA3838"/>
      </patternFill>
    </fill>
    <fill>
      <patternFill patternType="solid">
        <fgColor rgb="FF00FF00"/>
        <bgColor rgb="FF00FF00"/>
      </patternFill>
    </fill>
    <fill>
      <patternFill patternType="solid">
        <fgColor rgb="FF356854"/>
        <bgColor rgb="FF35685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6F8F9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7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9" fontId="1" fillId="6" borderId="1" xfId="0" applyNumberFormat="1" applyFont="1" applyFill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0">
    <dxf>
      <fill>
        <patternFill patternType="solid">
          <fgColor rgb="FFF6F8F9"/>
          <bgColor rgb="FFF6F8F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Registration Data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MEN-style" pivot="0" count="3" xr9:uid="{00000000-0011-0000-FFFF-FFFF01000000}">
      <tableStyleElement type="headerRow" dxfId="26"/>
      <tableStyleElement type="firstRowStripe" dxfId="25"/>
      <tableStyleElement type="secondRowStripe" dxfId="24"/>
    </tableStyle>
    <tableStyle name="MEN-style 2" pivot="0" count="3" xr9:uid="{00000000-0011-0000-FFFF-FFFF02000000}">
      <tableStyleElement type="headerRow" dxfId="23"/>
      <tableStyleElement type="firstRowStripe" dxfId="22"/>
      <tableStyleElement type="secondRowStripe" dxfId="21"/>
    </tableStyle>
    <tableStyle name="WOMEN-style" pivot="0" count="3" xr9:uid="{00000000-0011-0000-FFFF-FFFF03000000}">
      <tableStyleElement type="headerRow" dxfId="20"/>
      <tableStyleElement type="firstRowStripe" dxfId="19"/>
      <tableStyleElement type="secondRowStripe" dxfId="18"/>
    </tableStyle>
    <tableStyle name="WOMEN-style 2" pivot="0" count="3" xr9:uid="{00000000-0011-0000-FFFF-FFFF04000000}">
      <tableStyleElement type="headerRow" dxfId="17"/>
      <tableStyleElement type="firstRowStripe" dxfId="16"/>
      <tableStyleElement type="secondRowStripe" dxfId="15"/>
    </tableStyle>
    <tableStyle name="Girls-style" pivot="0" count="3" xr9:uid="{00000000-0011-0000-FFFF-FFFF05000000}">
      <tableStyleElement type="headerRow" dxfId="14"/>
      <tableStyleElement type="firstRowStripe" dxfId="13"/>
      <tableStyleElement type="secondRowStripe" dxfId="12"/>
    </tableStyle>
    <tableStyle name="Girls-style 2" pivot="0" count="3" xr9:uid="{00000000-0011-0000-FFFF-FFFF06000000}">
      <tableStyleElement type="headerRow" dxfId="11"/>
      <tableStyleElement type="firstRowStripe" dxfId="10"/>
      <tableStyleElement type="secondRowStripe" dxfId="9"/>
    </tableStyle>
    <tableStyle name="Boys-style" pivot="0" count="3" xr9:uid="{00000000-0011-0000-FFFF-FFFF07000000}">
      <tableStyleElement type="headerRow" dxfId="8"/>
      <tableStyleElement type="firstRowStripe" dxfId="7"/>
      <tableStyleElement type="secondRowStripe" dxfId="6"/>
    </tableStyle>
    <tableStyle name="Boys-style 2" pivot="0" count="3" xr9:uid="{00000000-0011-0000-FFFF-FFFF08000000}">
      <tableStyleElement type="headerRow" dxfId="5"/>
      <tableStyleElement type="firstRowStripe" dxfId="4"/>
      <tableStyleElement type="secondRowStripe" dxfId="3"/>
    </tableStyle>
    <tableStyle name="TOTAL-style" pivot="0" count="3" xr9:uid="{00000000-0011-0000-FFFF-FFFF09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WOMENS COUNT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WOMEN!$M$5:$M$10</c:f>
              <c:strCache>
                <c:ptCount val="6"/>
                <c:pt idx="0">
                  <c:v>Wing A</c:v>
                </c:pt>
                <c:pt idx="1">
                  <c:v>Wing B</c:v>
                </c:pt>
                <c:pt idx="2">
                  <c:v>Wing C</c:v>
                </c:pt>
                <c:pt idx="3">
                  <c:v>Wing D</c:v>
                </c:pt>
                <c:pt idx="4">
                  <c:v>Wing E</c:v>
                </c:pt>
                <c:pt idx="5">
                  <c:v>Wing F</c:v>
                </c:pt>
              </c:strCache>
            </c:strRef>
          </c:cat>
          <c:val>
            <c:numRef>
              <c:f>WOMEN!$N$5:$N$10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EA-405F-8E24-1E0BB7BAC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2888821"/>
        <c:axId val="1581642712"/>
      </c:barChart>
      <c:catAx>
        <c:axId val="2002888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WINGS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1642712"/>
        <c:crosses val="autoZero"/>
        <c:auto val="1"/>
        <c:lblAlgn val="ctr"/>
        <c:lblOffset val="100"/>
        <c:noMultiLvlLbl val="1"/>
      </c:catAx>
      <c:valAx>
        <c:axId val="1581642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028888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GIRLS COUNT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Girls!$M$5:$M$10</c:f>
              <c:strCache>
                <c:ptCount val="6"/>
                <c:pt idx="0">
                  <c:v>Wing A</c:v>
                </c:pt>
                <c:pt idx="1">
                  <c:v>Wing B</c:v>
                </c:pt>
                <c:pt idx="2">
                  <c:v>Wing C</c:v>
                </c:pt>
                <c:pt idx="3">
                  <c:v>Wing D</c:v>
                </c:pt>
                <c:pt idx="4">
                  <c:v>Wing E</c:v>
                </c:pt>
                <c:pt idx="5">
                  <c:v>Wing F</c:v>
                </c:pt>
              </c:strCache>
            </c:strRef>
          </c:cat>
          <c:val>
            <c:numRef>
              <c:f>Girls!$N$5:$N$10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7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940-4CC2-802C-6F1AB2A45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6715467"/>
        <c:axId val="93366260"/>
      </c:barChart>
      <c:catAx>
        <c:axId val="1096715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366260"/>
        <c:crosses val="autoZero"/>
        <c:auto val="1"/>
        <c:lblAlgn val="ctr"/>
        <c:lblOffset val="100"/>
        <c:noMultiLvlLbl val="1"/>
      </c:catAx>
      <c:valAx>
        <c:axId val="93366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967154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BOYS COUNT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Boys!$M$5:$M$10</c:f>
              <c:strCache>
                <c:ptCount val="6"/>
                <c:pt idx="0">
                  <c:v>Wing A</c:v>
                </c:pt>
                <c:pt idx="1">
                  <c:v>Wing B</c:v>
                </c:pt>
                <c:pt idx="2">
                  <c:v>Wing C</c:v>
                </c:pt>
                <c:pt idx="3">
                  <c:v>Wing D</c:v>
                </c:pt>
                <c:pt idx="4">
                  <c:v>Wing E</c:v>
                </c:pt>
                <c:pt idx="5">
                  <c:v>Wing F</c:v>
                </c:pt>
              </c:strCache>
            </c:strRef>
          </c:cat>
          <c:val>
            <c:numRef>
              <c:f>Boys!$N$5:$N$10</c:f>
              <c:numCache>
                <c:formatCode>General</c:formatCode>
                <c:ptCount val="6"/>
                <c:pt idx="0">
                  <c:v>7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0ED-4708-8FCC-CDEA4B819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785751"/>
        <c:axId val="1931299651"/>
      </c:barChart>
      <c:catAx>
        <c:axId val="155785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31299651"/>
        <c:crosses val="autoZero"/>
        <c:auto val="1"/>
        <c:lblAlgn val="ctr"/>
        <c:lblOffset val="100"/>
        <c:noMultiLvlLbl val="1"/>
      </c:catAx>
      <c:valAx>
        <c:axId val="1931299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78575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9525</xdr:colOff>
      <xdr:row>1</xdr:row>
      <xdr:rowOff>276225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952500</xdr:colOff>
      <xdr:row>2</xdr:row>
      <xdr:rowOff>9525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962025</xdr:colOff>
      <xdr:row>2</xdr:row>
      <xdr:rowOff>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gistration_Data" displayName="Registration_Data" ref="A1:J88">
  <tableColumns count="10">
    <tableColumn id="1" xr3:uid="{00000000-0010-0000-0000-000001000000}" name="Timestamp"/>
    <tableColumn id="2" xr3:uid="{00000000-0010-0000-0000-000002000000}" name="FullName"/>
    <tableColumn id="3" xr3:uid="{00000000-0010-0000-0000-000003000000}" name="Mobile Number"/>
    <tableColumn id="4" xr3:uid="{00000000-0010-0000-0000-000004000000}" name="Date of Birth"/>
    <tableColumn id="5" xr3:uid="{00000000-0010-0000-0000-000005000000}" name="Age"/>
    <tableColumn id="6" xr3:uid="{00000000-0010-0000-0000-000006000000}" name="Gender"/>
    <tableColumn id="7" xr3:uid="{00000000-0010-0000-0000-000007000000}" name="Wing"/>
    <tableColumn id="8" xr3:uid="{00000000-0010-0000-0000-000008000000}" name="Flat no."/>
    <tableColumn id="9" xr3:uid="{00000000-0010-0000-0000-000009000000}" name="Terms &amp; Conditions"/>
    <tableColumn id="10" xr3:uid="{00000000-0010-0000-0000-00000A000000}" name="Payment Status"/>
  </tableColumns>
  <tableStyleInfo name="Registration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" displayName="Table2" ref="A1:J2">
  <tableColumns count="10">
    <tableColumn id="1" xr3:uid="{00000000-0010-0000-0300-000001000000}" name="Timestamp"/>
    <tableColumn id="2" xr3:uid="{00000000-0010-0000-0300-000002000000}" name="FullName"/>
    <tableColumn id="3" xr3:uid="{00000000-0010-0000-0300-000003000000}" name="Mobile Number"/>
    <tableColumn id="4" xr3:uid="{00000000-0010-0000-0300-000004000000}" name="Date of Birth"/>
    <tableColumn id="5" xr3:uid="{00000000-0010-0000-0300-000005000000}" name="Age"/>
    <tableColumn id="6" xr3:uid="{00000000-0010-0000-0300-000006000000}" name="Gender"/>
    <tableColumn id="7" xr3:uid="{00000000-0010-0000-0300-000007000000}" name="Wing"/>
    <tableColumn id="8" xr3:uid="{00000000-0010-0000-0300-000008000000}" name="Flat no."/>
    <tableColumn id="9" xr3:uid="{00000000-0010-0000-0300-000009000000}" name="Terms &amp; Conditions"/>
    <tableColumn id="10" xr3:uid="{00000000-0010-0000-0300-00000A000000}" name="Payment Status"/>
  </tableColumns>
  <tableStyleInfo name="WOMEN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WOMENS_WINGS_DATA" displayName="WOMENS_WINGS_DATA" ref="M4:N11">
  <tableColumns count="2">
    <tableColumn id="1" xr3:uid="{00000000-0010-0000-0400-000001000000}" name="WINGS"/>
    <tableColumn id="2" xr3:uid="{00000000-0010-0000-0400-000002000000}" name="COUNT"/>
  </tableColumns>
  <tableStyleInfo name="WOMEN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4" displayName="Table4" ref="A1:J2">
  <tableColumns count="10">
    <tableColumn id="1" xr3:uid="{00000000-0010-0000-0500-000001000000}" name="Timestamp"/>
    <tableColumn id="2" xr3:uid="{00000000-0010-0000-0500-000002000000}" name="FullName"/>
    <tableColumn id="3" xr3:uid="{00000000-0010-0000-0500-000003000000}" name="Mobile Number"/>
    <tableColumn id="4" xr3:uid="{00000000-0010-0000-0500-000004000000}" name="Date of Birth"/>
    <tableColumn id="5" xr3:uid="{00000000-0010-0000-0500-000005000000}" name="Age"/>
    <tableColumn id="6" xr3:uid="{00000000-0010-0000-0500-000006000000}" name="Gender"/>
    <tableColumn id="7" xr3:uid="{00000000-0010-0000-0500-000007000000}" name="Wing"/>
    <tableColumn id="8" xr3:uid="{00000000-0010-0000-0500-000008000000}" name="Flat no."/>
    <tableColumn id="9" xr3:uid="{00000000-0010-0000-0500-000009000000}" name="Terms &amp; Conditions"/>
    <tableColumn id="10" xr3:uid="{00000000-0010-0000-0500-00000A000000}" name="Payment Status"/>
  </tableColumns>
  <tableStyleInfo name="Girl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GIRLS_WINGS_DATA" displayName="GIRLS_WINGS_DATA" ref="M4:N11">
  <tableColumns count="2">
    <tableColumn id="1" xr3:uid="{00000000-0010-0000-0600-000001000000}" name="WINGS"/>
    <tableColumn id="2" xr3:uid="{00000000-0010-0000-0600-000002000000}" name="COUNT"/>
  </tableColumns>
  <tableStyleInfo name="Girls-style 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3" displayName="Table3" ref="A1:J2">
  <tableColumns count="10">
    <tableColumn id="1" xr3:uid="{00000000-0010-0000-0700-000001000000}" name="Timestamp"/>
    <tableColumn id="2" xr3:uid="{00000000-0010-0000-0700-000002000000}" name="FullName"/>
    <tableColumn id="3" xr3:uid="{00000000-0010-0000-0700-000003000000}" name="Mobile Number"/>
    <tableColumn id="4" xr3:uid="{00000000-0010-0000-0700-000004000000}" name="Date of Birth"/>
    <tableColumn id="5" xr3:uid="{00000000-0010-0000-0700-000005000000}" name="Age"/>
    <tableColumn id="6" xr3:uid="{00000000-0010-0000-0700-000006000000}" name="Gender"/>
    <tableColumn id="7" xr3:uid="{00000000-0010-0000-0700-000007000000}" name="Wing"/>
    <tableColumn id="8" xr3:uid="{00000000-0010-0000-0700-000008000000}" name="Flat no."/>
    <tableColumn id="9" xr3:uid="{00000000-0010-0000-0700-000009000000}" name="Terms &amp; Conditions"/>
    <tableColumn id="10" xr3:uid="{00000000-0010-0000-0700-00000A000000}" name="Payment Status"/>
  </tableColumns>
  <tableStyleInfo name="Boys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BOYS_WINGS_DATA" displayName="BOYS_WINGS_DATA" ref="M4:N11">
  <tableColumns count="2">
    <tableColumn id="1" xr3:uid="{00000000-0010-0000-0800-000001000000}" name="WINGS"/>
    <tableColumn id="2" xr3:uid="{00000000-0010-0000-0800-000002000000}" name="COUNT"/>
  </tableColumns>
  <tableStyleInfo name="Boys-style 2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Calculations" displayName="Calculations" ref="C4:I7">
  <tableColumns count="7">
    <tableColumn id="1" xr3:uid="{00000000-0010-0000-0900-000001000000}" name="TOTAL"/>
    <tableColumn id="2" xr3:uid="{00000000-0010-0000-0900-000002000000}" name="Boys"/>
    <tableColumn id="3" xr3:uid="{00000000-0010-0000-0900-000003000000}" name="Girls"/>
    <tableColumn id="4" xr3:uid="{00000000-0010-0000-0900-000004000000}" name="Men"/>
    <tableColumn id="5" xr3:uid="{00000000-0010-0000-0900-000005000000}" name="Women"/>
    <tableColumn id="6" xr3:uid="{00000000-0010-0000-0900-000006000000}" name="Total Status"/>
    <tableColumn id="7" xr3:uid="{00000000-0010-0000-0900-000007000000}" name="Amount"/>
  </tableColumns>
  <tableStyleInfo name="TOT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88"/>
  <sheetViews>
    <sheetView workbookViewId="0">
      <pane ySplit="1" topLeftCell="A2" activePane="bottomLeft" state="frozen"/>
      <selection pane="bottomLeft" activeCell="C14" sqref="C14"/>
    </sheetView>
  </sheetViews>
  <sheetFormatPr defaultColWidth="12.6640625" defaultRowHeight="15.75" customHeight="1" x14ac:dyDescent="0.25"/>
  <cols>
    <col min="1" max="1" width="23.77734375" customWidth="1"/>
    <col min="2" max="2" width="34.44140625" customWidth="1"/>
    <col min="3" max="3" width="15.77734375" customWidth="1"/>
    <col min="4" max="4" width="18" customWidth="1"/>
    <col min="5" max="5" width="7.6640625" customWidth="1"/>
    <col min="6" max="6" width="10.44140625" customWidth="1"/>
    <col min="7" max="8" width="18.88671875" customWidth="1"/>
    <col min="9" max="9" width="20.109375" customWidth="1"/>
    <col min="10" max="10" width="15.88671875" customWidth="1"/>
    <col min="11" max="16" width="18.88671875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</row>
    <row r="2" spans="1:16" x14ac:dyDescent="0.25">
      <c r="A2" s="5">
        <v>45643.566059699078</v>
      </c>
      <c r="B2" s="6" t="s">
        <v>10</v>
      </c>
      <c r="C2" s="6">
        <v>9422667871</v>
      </c>
      <c r="D2" s="7">
        <v>37332</v>
      </c>
      <c r="E2" s="6">
        <f t="shared" ref="E2:E88" si="0">DATEDIF(D2, DATE(2024,12,30), "Y")</f>
        <v>22</v>
      </c>
      <c r="F2" s="6" t="s">
        <v>11</v>
      </c>
      <c r="G2" s="6" t="s">
        <v>12</v>
      </c>
      <c r="H2" s="6">
        <v>703</v>
      </c>
      <c r="I2" s="6" t="s">
        <v>13</v>
      </c>
      <c r="J2" s="6" t="s">
        <v>14</v>
      </c>
      <c r="K2" s="4"/>
      <c r="L2" s="4"/>
      <c r="M2" s="4"/>
      <c r="N2" s="4"/>
      <c r="O2" s="4"/>
      <c r="P2" s="4"/>
    </row>
    <row r="3" spans="1:16" x14ac:dyDescent="0.25">
      <c r="A3" s="5">
        <v>45643.569454861106</v>
      </c>
      <c r="B3" s="6" t="s">
        <v>15</v>
      </c>
      <c r="C3" s="6">
        <v>7588174403</v>
      </c>
      <c r="D3" s="7">
        <v>31121</v>
      </c>
      <c r="E3" s="6">
        <f t="shared" si="0"/>
        <v>39</v>
      </c>
      <c r="F3" s="6" t="s">
        <v>11</v>
      </c>
      <c r="G3" s="6" t="s">
        <v>12</v>
      </c>
      <c r="H3" s="6">
        <v>403</v>
      </c>
      <c r="I3" s="6" t="s">
        <v>13</v>
      </c>
      <c r="J3" s="6" t="str">
        <f t="shared" ref="J3:J4" si="1">IF(COUNTA(A:I)&gt;0, "No", "")</f>
        <v>No</v>
      </c>
      <c r="K3" s="4"/>
      <c r="L3" s="4"/>
      <c r="M3" s="4"/>
      <c r="N3" s="4"/>
      <c r="O3" s="4"/>
      <c r="P3" s="4"/>
    </row>
    <row r="4" spans="1:16" x14ac:dyDescent="0.25">
      <c r="A4" s="5">
        <v>45643.570325891204</v>
      </c>
      <c r="B4" s="6" t="s">
        <v>16</v>
      </c>
      <c r="C4" s="6">
        <v>7588174403</v>
      </c>
      <c r="D4" s="7">
        <v>42476</v>
      </c>
      <c r="E4" s="6">
        <f t="shared" si="0"/>
        <v>8</v>
      </c>
      <c r="F4" s="6" t="s">
        <v>17</v>
      </c>
      <c r="G4" s="6" t="s">
        <v>12</v>
      </c>
      <c r="H4" s="6">
        <v>403</v>
      </c>
      <c r="I4" s="6" t="s">
        <v>13</v>
      </c>
      <c r="J4" s="6" t="str">
        <f t="shared" si="1"/>
        <v>No</v>
      </c>
      <c r="K4" s="4"/>
      <c r="L4" s="4"/>
      <c r="M4" s="4"/>
      <c r="N4" s="4"/>
      <c r="O4" s="4"/>
      <c r="P4" s="4"/>
    </row>
    <row r="5" spans="1:16" x14ac:dyDescent="0.25">
      <c r="A5" s="5">
        <v>45645.445008773153</v>
      </c>
      <c r="B5" s="6" t="s">
        <v>18</v>
      </c>
      <c r="C5" s="6">
        <v>7588418841</v>
      </c>
      <c r="D5" s="7">
        <v>29933</v>
      </c>
      <c r="E5" s="6">
        <f t="shared" si="0"/>
        <v>43</v>
      </c>
      <c r="F5" s="6" t="s">
        <v>11</v>
      </c>
      <c r="G5" s="6" t="s">
        <v>12</v>
      </c>
      <c r="H5" s="6">
        <v>401</v>
      </c>
      <c r="I5" s="6" t="s">
        <v>13</v>
      </c>
      <c r="J5" s="6" t="s">
        <v>14</v>
      </c>
      <c r="K5" s="4"/>
      <c r="L5" s="4"/>
      <c r="M5" s="4"/>
      <c r="N5" s="4"/>
      <c r="O5" s="4"/>
      <c r="P5" s="4"/>
    </row>
    <row r="6" spans="1:16" x14ac:dyDescent="0.25">
      <c r="A6" s="5">
        <v>45645.489376944446</v>
      </c>
      <c r="B6" s="6" t="s">
        <v>19</v>
      </c>
      <c r="C6" s="6">
        <v>8652037799</v>
      </c>
      <c r="D6" s="7">
        <v>31042</v>
      </c>
      <c r="E6" s="6">
        <f t="shared" si="0"/>
        <v>40</v>
      </c>
      <c r="F6" s="6" t="s">
        <v>11</v>
      </c>
      <c r="G6" s="6" t="s">
        <v>12</v>
      </c>
      <c r="H6" s="6">
        <v>203</v>
      </c>
      <c r="I6" s="6" t="s">
        <v>13</v>
      </c>
      <c r="J6" s="6" t="str">
        <f t="shared" ref="J6:J8" si="2">IF(COUNTA(A:I)&gt;0, "No", "")</f>
        <v>No</v>
      </c>
      <c r="K6" s="4"/>
      <c r="L6" s="4"/>
      <c r="M6" s="4"/>
      <c r="N6" s="4"/>
      <c r="O6" s="4"/>
      <c r="P6" s="4"/>
    </row>
    <row r="7" spans="1:16" x14ac:dyDescent="0.25">
      <c r="A7" s="5">
        <v>45645.492408437502</v>
      </c>
      <c r="B7" s="6" t="s">
        <v>20</v>
      </c>
      <c r="C7" s="6">
        <v>9637575258</v>
      </c>
      <c r="D7" s="7">
        <v>42088</v>
      </c>
      <c r="E7" s="6">
        <f t="shared" si="0"/>
        <v>9</v>
      </c>
      <c r="F7" s="6" t="s">
        <v>11</v>
      </c>
      <c r="G7" s="6" t="s">
        <v>21</v>
      </c>
      <c r="H7" s="6">
        <v>401</v>
      </c>
      <c r="I7" s="6" t="s">
        <v>13</v>
      </c>
      <c r="J7" s="6" t="str">
        <f t="shared" si="2"/>
        <v>No</v>
      </c>
      <c r="K7" s="4"/>
      <c r="L7" s="4"/>
      <c r="M7" s="4"/>
      <c r="N7" s="4"/>
      <c r="O7" s="4"/>
      <c r="P7" s="4"/>
    </row>
    <row r="8" spans="1:16" x14ac:dyDescent="0.25">
      <c r="A8" s="5">
        <v>45645.49483329861</v>
      </c>
      <c r="B8" s="6" t="s">
        <v>22</v>
      </c>
      <c r="C8" s="6">
        <v>9637575258</v>
      </c>
      <c r="D8" s="7">
        <v>31492</v>
      </c>
      <c r="E8" s="6">
        <f t="shared" si="0"/>
        <v>38</v>
      </c>
      <c r="F8" s="6" t="s">
        <v>17</v>
      </c>
      <c r="G8" s="6" t="s">
        <v>21</v>
      </c>
      <c r="H8" s="6">
        <v>401</v>
      </c>
      <c r="I8" s="6" t="s">
        <v>13</v>
      </c>
      <c r="J8" s="6" t="str">
        <f t="shared" si="2"/>
        <v>No</v>
      </c>
      <c r="K8" s="4"/>
      <c r="L8" s="4"/>
      <c r="M8" s="4"/>
      <c r="N8" s="4"/>
      <c r="O8" s="4"/>
      <c r="P8" s="4"/>
    </row>
    <row r="9" spans="1:16" x14ac:dyDescent="0.25">
      <c r="A9" s="5">
        <v>45645.612814178239</v>
      </c>
      <c r="B9" s="6" t="s">
        <v>23</v>
      </c>
      <c r="C9" s="6">
        <v>8139640375</v>
      </c>
      <c r="D9" s="7">
        <v>34766</v>
      </c>
      <c r="E9" s="6">
        <f t="shared" si="0"/>
        <v>29</v>
      </c>
      <c r="F9" s="6" t="s">
        <v>11</v>
      </c>
      <c r="G9" s="6" t="s">
        <v>24</v>
      </c>
      <c r="H9" s="6">
        <v>201</v>
      </c>
      <c r="I9" s="6" t="s">
        <v>13</v>
      </c>
      <c r="J9" s="6" t="s">
        <v>14</v>
      </c>
      <c r="K9" s="4"/>
      <c r="L9" s="4"/>
      <c r="M9" s="4"/>
      <c r="N9" s="4"/>
      <c r="O9" s="4"/>
      <c r="P9" s="4"/>
    </row>
    <row r="10" spans="1:16" x14ac:dyDescent="0.25">
      <c r="A10" s="5">
        <v>45645.831297685188</v>
      </c>
      <c r="B10" s="6" t="s">
        <v>25</v>
      </c>
      <c r="C10" s="6">
        <v>8421659548</v>
      </c>
      <c r="D10" s="7">
        <v>30752</v>
      </c>
      <c r="E10" s="6">
        <f t="shared" si="0"/>
        <v>40</v>
      </c>
      <c r="F10" s="6" t="s">
        <v>11</v>
      </c>
      <c r="G10" s="6" t="s">
        <v>24</v>
      </c>
      <c r="H10" s="6">
        <v>701</v>
      </c>
      <c r="I10" s="6" t="s">
        <v>13</v>
      </c>
      <c r="J10" s="6" t="s">
        <v>14</v>
      </c>
      <c r="K10" s="4"/>
      <c r="L10" s="4"/>
      <c r="M10" s="4"/>
      <c r="N10" s="4"/>
      <c r="O10" s="4"/>
      <c r="P10" s="4"/>
    </row>
    <row r="11" spans="1:16" x14ac:dyDescent="0.25">
      <c r="A11" s="5">
        <v>45645.832469942128</v>
      </c>
      <c r="B11" s="6" t="s">
        <v>26</v>
      </c>
      <c r="C11" s="6">
        <v>8421659548</v>
      </c>
      <c r="D11" s="7">
        <v>41478</v>
      </c>
      <c r="E11" s="6">
        <f t="shared" si="0"/>
        <v>11</v>
      </c>
      <c r="F11" s="6" t="s">
        <v>11</v>
      </c>
      <c r="G11" s="6" t="s">
        <v>24</v>
      </c>
      <c r="H11" s="6">
        <v>701</v>
      </c>
      <c r="I11" s="6" t="s">
        <v>13</v>
      </c>
      <c r="J11" s="6" t="s">
        <v>14</v>
      </c>
      <c r="K11" s="4"/>
      <c r="L11" s="4"/>
      <c r="M11" s="4"/>
      <c r="N11" s="4"/>
      <c r="O11" s="4"/>
      <c r="P11" s="4"/>
    </row>
    <row r="12" spans="1:16" x14ac:dyDescent="0.25">
      <c r="A12" s="5">
        <v>45645.894227824072</v>
      </c>
      <c r="B12" s="6" t="s">
        <v>27</v>
      </c>
      <c r="C12" s="6">
        <v>9270162813</v>
      </c>
      <c r="D12" s="7">
        <v>31643</v>
      </c>
      <c r="E12" s="6">
        <f t="shared" si="0"/>
        <v>38</v>
      </c>
      <c r="F12" s="6" t="s">
        <v>11</v>
      </c>
      <c r="G12" s="6" t="s">
        <v>12</v>
      </c>
      <c r="H12" s="6">
        <v>303</v>
      </c>
      <c r="I12" s="6" t="s">
        <v>13</v>
      </c>
      <c r="J12" s="6" t="str">
        <f>IF(COUNTA(A:I)&gt;0, "No", "")</f>
        <v>No</v>
      </c>
      <c r="K12" s="4"/>
      <c r="L12" s="4"/>
      <c r="M12" s="4"/>
      <c r="N12" s="4"/>
      <c r="O12" s="4"/>
      <c r="P12" s="4"/>
    </row>
    <row r="13" spans="1:16" x14ac:dyDescent="0.25">
      <c r="A13" s="5">
        <v>45645.90337644676</v>
      </c>
      <c r="B13" s="6" t="s">
        <v>28</v>
      </c>
      <c r="C13" s="6">
        <v>8806499029</v>
      </c>
      <c r="D13" s="7">
        <v>38509</v>
      </c>
      <c r="E13" s="6">
        <f t="shared" si="0"/>
        <v>19</v>
      </c>
      <c r="F13" s="6" t="s">
        <v>11</v>
      </c>
      <c r="G13" s="6" t="s">
        <v>29</v>
      </c>
      <c r="H13" s="6">
        <v>104</v>
      </c>
      <c r="I13" s="6" t="s">
        <v>13</v>
      </c>
      <c r="J13" s="6" t="s">
        <v>14</v>
      </c>
      <c r="K13" s="4"/>
      <c r="L13" s="4"/>
      <c r="M13" s="4"/>
      <c r="N13" s="4"/>
      <c r="O13" s="4"/>
      <c r="P13" s="4"/>
    </row>
    <row r="14" spans="1:16" x14ac:dyDescent="0.25">
      <c r="A14" s="5">
        <v>45645.951841111106</v>
      </c>
      <c r="B14" s="6" t="s">
        <v>30</v>
      </c>
      <c r="C14" s="6">
        <v>7756994357</v>
      </c>
      <c r="D14" s="7">
        <v>29284</v>
      </c>
      <c r="E14" s="6">
        <f t="shared" si="0"/>
        <v>44</v>
      </c>
      <c r="F14" s="6" t="s">
        <v>11</v>
      </c>
      <c r="G14" s="6" t="s">
        <v>21</v>
      </c>
      <c r="H14" s="6">
        <v>202</v>
      </c>
      <c r="I14" s="6" t="s">
        <v>13</v>
      </c>
      <c r="J14" s="6" t="str">
        <f t="shared" ref="J14:J15" si="3">IF(COUNTA(A:I)&gt;0, "No", "")</f>
        <v>No</v>
      </c>
      <c r="K14" s="4"/>
      <c r="L14" s="4"/>
      <c r="M14" s="4"/>
      <c r="N14" s="4"/>
      <c r="O14" s="4"/>
      <c r="P14" s="4"/>
    </row>
    <row r="15" spans="1:16" x14ac:dyDescent="0.25">
      <c r="A15" s="5">
        <v>45646.27548222222</v>
      </c>
      <c r="B15" s="6" t="s">
        <v>31</v>
      </c>
      <c r="C15" s="6">
        <v>9321113950</v>
      </c>
      <c r="D15" s="7">
        <v>40921</v>
      </c>
      <c r="E15" s="6">
        <f t="shared" si="0"/>
        <v>12</v>
      </c>
      <c r="F15" s="6" t="s">
        <v>11</v>
      </c>
      <c r="G15" s="6" t="s">
        <v>32</v>
      </c>
      <c r="H15" s="6">
        <v>201</v>
      </c>
      <c r="I15" s="6" t="s">
        <v>13</v>
      </c>
      <c r="J15" s="6" t="str">
        <f t="shared" si="3"/>
        <v>No</v>
      </c>
      <c r="K15" s="4"/>
      <c r="L15" s="4"/>
      <c r="M15" s="4"/>
      <c r="N15" s="4"/>
      <c r="O15" s="4"/>
      <c r="P15" s="4"/>
    </row>
    <row r="16" spans="1:16" x14ac:dyDescent="0.25">
      <c r="A16" s="5">
        <v>45646.341148287036</v>
      </c>
      <c r="B16" s="6" t="s">
        <v>33</v>
      </c>
      <c r="C16" s="6">
        <v>9359481996</v>
      </c>
      <c r="D16" s="7">
        <v>42297</v>
      </c>
      <c r="E16" s="6">
        <f t="shared" si="0"/>
        <v>9</v>
      </c>
      <c r="F16" s="6" t="s">
        <v>17</v>
      </c>
      <c r="G16" s="6" t="s">
        <v>29</v>
      </c>
      <c r="H16" s="6">
        <v>301</v>
      </c>
      <c r="I16" s="6" t="s">
        <v>13</v>
      </c>
      <c r="J16" s="6" t="s">
        <v>14</v>
      </c>
      <c r="K16" s="4"/>
      <c r="L16" s="4"/>
      <c r="M16" s="4"/>
      <c r="N16" s="4"/>
      <c r="O16" s="4"/>
      <c r="P16" s="4"/>
    </row>
    <row r="17" spans="1:16" x14ac:dyDescent="0.25">
      <c r="A17" s="5">
        <v>45646.421312465274</v>
      </c>
      <c r="B17" s="6" t="s">
        <v>34</v>
      </c>
      <c r="C17" s="6">
        <v>7588418741</v>
      </c>
      <c r="D17" s="7">
        <v>41771</v>
      </c>
      <c r="E17" s="6">
        <f t="shared" si="0"/>
        <v>10</v>
      </c>
      <c r="F17" s="6" t="s">
        <v>11</v>
      </c>
      <c r="G17" s="6" t="s">
        <v>12</v>
      </c>
      <c r="H17" s="6">
        <v>401</v>
      </c>
      <c r="I17" s="6" t="s">
        <v>13</v>
      </c>
      <c r="J17" s="6" t="s">
        <v>14</v>
      </c>
      <c r="K17" s="4"/>
      <c r="L17" s="4"/>
      <c r="M17" s="4"/>
      <c r="N17" s="4"/>
      <c r="O17" s="4"/>
      <c r="P17" s="4"/>
    </row>
    <row r="18" spans="1:16" x14ac:dyDescent="0.25">
      <c r="A18" s="5">
        <v>45646.424288449074</v>
      </c>
      <c r="B18" s="6" t="s">
        <v>35</v>
      </c>
      <c r="C18" s="6">
        <v>7588418741</v>
      </c>
      <c r="D18" s="7">
        <v>40617</v>
      </c>
      <c r="E18" s="6">
        <f t="shared" si="0"/>
        <v>13</v>
      </c>
      <c r="F18" s="6" t="s">
        <v>17</v>
      </c>
      <c r="G18" s="6" t="s">
        <v>12</v>
      </c>
      <c r="H18" s="6">
        <v>401</v>
      </c>
      <c r="I18" s="6" t="s">
        <v>13</v>
      </c>
      <c r="J18" s="6" t="s">
        <v>14</v>
      </c>
      <c r="K18" s="4"/>
      <c r="L18" s="4"/>
      <c r="M18" s="4"/>
      <c r="N18" s="4"/>
      <c r="O18" s="4"/>
      <c r="P18" s="4"/>
    </row>
    <row r="19" spans="1:16" x14ac:dyDescent="0.25">
      <c r="A19" s="5">
        <v>45647.536820590278</v>
      </c>
      <c r="B19" s="6" t="s">
        <v>36</v>
      </c>
      <c r="C19" s="6">
        <v>8378969723</v>
      </c>
      <c r="D19" s="7">
        <v>33750</v>
      </c>
      <c r="E19" s="6">
        <f t="shared" si="0"/>
        <v>32</v>
      </c>
      <c r="F19" s="6" t="s">
        <v>11</v>
      </c>
      <c r="G19" s="6" t="s">
        <v>37</v>
      </c>
      <c r="H19" s="6">
        <v>301</v>
      </c>
      <c r="I19" s="6" t="s">
        <v>13</v>
      </c>
      <c r="J19" s="6" t="s">
        <v>14</v>
      </c>
      <c r="K19" s="4"/>
      <c r="L19" s="4"/>
      <c r="M19" s="4"/>
      <c r="N19" s="4"/>
      <c r="O19" s="4"/>
      <c r="P19" s="4"/>
    </row>
    <row r="20" spans="1:16" x14ac:dyDescent="0.25">
      <c r="A20" s="5">
        <v>45647.572727789353</v>
      </c>
      <c r="B20" s="6" t="s">
        <v>38</v>
      </c>
      <c r="C20" s="6">
        <v>8605103139</v>
      </c>
      <c r="D20" s="7">
        <v>32874</v>
      </c>
      <c r="E20" s="6">
        <f t="shared" si="0"/>
        <v>34</v>
      </c>
      <c r="F20" s="6" t="s">
        <v>17</v>
      </c>
      <c r="G20" s="6" t="s">
        <v>32</v>
      </c>
      <c r="H20" s="6">
        <v>103</v>
      </c>
      <c r="I20" s="6" t="s">
        <v>13</v>
      </c>
      <c r="J20" s="6" t="str">
        <f t="shared" ref="J20:J21" si="4">IF(COUNTA(A:I)&gt;0, "No", "")</f>
        <v>No</v>
      </c>
    </row>
    <row r="21" spans="1:16" x14ac:dyDescent="0.25">
      <c r="A21" s="5">
        <v>45647.57405354167</v>
      </c>
      <c r="B21" s="6" t="s">
        <v>39</v>
      </c>
      <c r="C21" s="6">
        <v>7775959191</v>
      </c>
      <c r="D21" s="7">
        <v>30937</v>
      </c>
      <c r="E21" s="6">
        <f t="shared" si="0"/>
        <v>40</v>
      </c>
      <c r="F21" s="6" t="s">
        <v>11</v>
      </c>
      <c r="G21" s="6" t="s">
        <v>32</v>
      </c>
      <c r="H21" s="6">
        <v>103</v>
      </c>
      <c r="I21" s="6" t="s">
        <v>13</v>
      </c>
      <c r="J21" s="6" t="str">
        <f t="shared" si="4"/>
        <v>No</v>
      </c>
    </row>
    <row r="22" spans="1:16" x14ac:dyDescent="0.25">
      <c r="A22" s="5">
        <v>45647.576518437505</v>
      </c>
      <c r="B22" s="6" t="s">
        <v>40</v>
      </c>
      <c r="C22" s="6">
        <v>9767703265</v>
      </c>
      <c r="D22" s="7">
        <v>41988</v>
      </c>
      <c r="E22" s="6">
        <f t="shared" si="0"/>
        <v>10</v>
      </c>
      <c r="F22" s="6" t="s">
        <v>11</v>
      </c>
      <c r="G22" s="6" t="s">
        <v>29</v>
      </c>
      <c r="H22" s="6">
        <v>703</v>
      </c>
      <c r="I22" s="6" t="s">
        <v>13</v>
      </c>
      <c r="J22" s="6" t="s">
        <v>14</v>
      </c>
    </row>
    <row r="23" spans="1:16" x14ac:dyDescent="0.25">
      <c r="A23" s="5">
        <v>45647.577098773152</v>
      </c>
      <c r="B23" s="6" t="s">
        <v>41</v>
      </c>
      <c r="C23" s="6">
        <v>9767703265</v>
      </c>
      <c r="D23" s="7">
        <v>31582</v>
      </c>
      <c r="E23" s="6">
        <f t="shared" si="0"/>
        <v>38</v>
      </c>
      <c r="F23" s="6" t="s">
        <v>11</v>
      </c>
      <c r="G23" s="6" t="s">
        <v>29</v>
      </c>
      <c r="H23" s="6">
        <v>703</v>
      </c>
      <c r="I23" s="6" t="s">
        <v>13</v>
      </c>
      <c r="J23" s="6" t="s">
        <v>14</v>
      </c>
    </row>
    <row r="24" spans="1:16" x14ac:dyDescent="0.25">
      <c r="A24" s="5">
        <v>45647.582637581014</v>
      </c>
      <c r="B24" s="6" t="s">
        <v>42</v>
      </c>
      <c r="C24" s="6">
        <v>7756994357</v>
      </c>
      <c r="D24" s="7">
        <v>41966</v>
      </c>
      <c r="E24" s="6">
        <f t="shared" si="0"/>
        <v>10</v>
      </c>
      <c r="F24" s="6" t="s">
        <v>11</v>
      </c>
      <c r="G24" s="6" t="s">
        <v>21</v>
      </c>
      <c r="H24" s="6">
        <v>202</v>
      </c>
      <c r="I24" s="6" t="s">
        <v>13</v>
      </c>
      <c r="J24" s="6" t="s">
        <v>14</v>
      </c>
    </row>
    <row r="25" spans="1:16" x14ac:dyDescent="0.25">
      <c r="A25" s="5">
        <v>45647.590172326389</v>
      </c>
      <c r="B25" s="6" t="s">
        <v>43</v>
      </c>
      <c r="C25" s="6">
        <v>7972463645</v>
      </c>
      <c r="D25" s="7">
        <v>33901</v>
      </c>
      <c r="E25" s="6">
        <f t="shared" si="0"/>
        <v>32</v>
      </c>
      <c r="F25" s="6" t="s">
        <v>11</v>
      </c>
      <c r="G25" s="6" t="s">
        <v>29</v>
      </c>
      <c r="H25" s="6">
        <v>204</v>
      </c>
      <c r="I25" s="6" t="s">
        <v>13</v>
      </c>
      <c r="J25" s="6" t="str">
        <f t="shared" ref="J25:J29" si="5">IF(COUNTA(A:I)&gt;0, "No", "")</f>
        <v>No</v>
      </c>
    </row>
    <row r="26" spans="1:16" x14ac:dyDescent="0.25">
      <c r="A26" s="5">
        <v>45647.598190879631</v>
      </c>
      <c r="B26" s="6" t="s">
        <v>44</v>
      </c>
      <c r="C26" s="6">
        <v>9822602584</v>
      </c>
      <c r="D26" s="7">
        <v>40858</v>
      </c>
      <c r="E26" s="6">
        <f t="shared" si="0"/>
        <v>13</v>
      </c>
      <c r="F26" s="6" t="s">
        <v>11</v>
      </c>
      <c r="G26" s="6" t="s">
        <v>24</v>
      </c>
      <c r="H26" s="6">
        <v>405</v>
      </c>
      <c r="I26" s="6" t="s">
        <v>13</v>
      </c>
      <c r="J26" s="6" t="str">
        <f t="shared" si="5"/>
        <v>No</v>
      </c>
    </row>
    <row r="27" spans="1:16" x14ac:dyDescent="0.25">
      <c r="A27" s="8">
        <v>45647.605937546294</v>
      </c>
      <c r="B27" s="9" t="s">
        <v>45</v>
      </c>
      <c r="C27" s="9">
        <v>8767952354</v>
      </c>
      <c r="D27" s="10">
        <v>39380</v>
      </c>
      <c r="E27" s="9">
        <f t="shared" si="0"/>
        <v>17</v>
      </c>
      <c r="F27" s="9" t="s">
        <v>11</v>
      </c>
      <c r="G27" s="9" t="s">
        <v>24</v>
      </c>
      <c r="H27" s="9">
        <v>405</v>
      </c>
      <c r="I27" s="9" t="s">
        <v>13</v>
      </c>
      <c r="J27" s="9" t="str">
        <f t="shared" si="5"/>
        <v>No</v>
      </c>
    </row>
    <row r="28" spans="1:16" x14ac:dyDescent="0.25">
      <c r="A28" s="5">
        <v>45647.618237268514</v>
      </c>
      <c r="B28" s="6" t="s">
        <v>46</v>
      </c>
      <c r="C28" s="6">
        <v>7517521082</v>
      </c>
      <c r="D28" s="7">
        <v>30875</v>
      </c>
      <c r="E28" s="6">
        <f t="shared" si="0"/>
        <v>40</v>
      </c>
      <c r="F28" s="6" t="s">
        <v>11</v>
      </c>
      <c r="G28" s="6" t="s">
        <v>24</v>
      </c>
      <c r="H28" s="6">
        <v>704</v>
      </c>
      <c r="I28" s="6" t="s">
        <v>13</v>
      </c>
      <c r="J28" s="6" t="str">
        <f t="shared" si="5"/>
        <v>No</v>
      </c>
    </row>
    <row r="29" spans="1:16" x14ac:dyDescent="0.25">
      <c r="A29" s="5">
        <v>45647.619008969908</v>
      </c>
      <c r="B29" s="6" t="s">
        <v>47</v>
      </c>
      <c r="C29" s="6">
        <v>7517621082</v>
      </c>
      <c r="D29" s="7">
        <v>41320</v>
      </c>
      <c r="E29" s="6">
        <f t="shared" si="0"/>
        <v>11</v>
      </c>
      <c r="F29" s="6" t="s">
        <v>11</v>
      </c>
      <c r="G29" s="6" t="s">
        <v>24</v>
      </c>
      <c r="H29" s="6">
        <v>704</v>
      </c>
      <c r="I29" s="6" t="s">
        <v>13</v>
      </c>
      <c r="J29" s="6" t="str">
        <f t="shared" si="5"/>
        <v>No</v>
      </c>
    </row>
    <row r="30" spans="1:16" x14ac:dyDescent="0.25">
      <c r="A30" s="5">
        <v>45647.619865208333</v>
      </c>
      <c r="B30" s="6" t="s">
        <v>48</v>
      </c>
      <c r="C30" s="6">
        <v>9607942623</v>
      </c>
      <c r="D30" s="7">
        <v>40332</v>
      </c>
      <c r="E30" s="6">
        <f t="shared" si="0"/>
        <v>14</v>
      </c>
      <c r="F30" s="6" t="s">
        <v>11</v>
      </c>
      <c r="G30" s="6" t="s">
        <v>29</v>
      </c>
      <c r="H30" s="6">
        <v>404</v>
      </c>
      <c r="I30" s="6" t="s">
        <v>13</v>
      </c>
      <c r="J30" s="6" t="s">
        <v>14</v>
      </c>
    </row>
    <row r="31" spans="1:16" x14ac:dyDescent="0.25">
      <c r="A31" s="5">
        <v>45647.621020393519</v>
      </c>
      <c r="B31" s="6" t="s">
        <v>49</v>
      </c>
      <c r="C31" s="6">
        <v>9881730696</v>
      </c>
      <c r="D31" s="7">
        <v>30543</v>
      </c>
      <c r="E31" s="6">
        <f t="shared" si="0"/>
        <v>41</v>
      </c>
      <c r="F31" s="6" t="s">
        <v>11</v>
      </c>
      <c r="G31" s="6" t="s">
        <v>29</v>
      </c>
      <c r="H31" s="6">
        <v>404</v>
      </c>
      <c r="I31" s="6" t="s">
        <v>13</v>
      </c>
      <c r="J31" s="6" t="s">
        <v>14</v>
      </c>
    </row>
    <row r="32" spans="1:16" x14ac:dyDescent="0.25">
      <c r="A32" s="5">
        <v>45647.677189525464</v>
      </c>
      <c r="B32" s="6" t="s">
        <v>50</v>
      </c>
      <c r="C32" s="6">
        <v>9975885075</v>
      </c>
      <c r="D32" s="7">
        <v>31835</v>
      </c>
      <c r="E32" s="6">
        <f t="shared" si="0"/>
        <v>37</v>
      </c>
      <c r="F32" s="6" t="s">
        <v>11</v>
      </c>
      <c r="G32" s="6" t="s">
        <v>37</v>
      </c>
      <c r="H32" s="6">
        <v>503</v>
      </c>
      <c r="I32" s="6" t="s">
        <v>13</v>
      </c>
      <c r="J32" s="6" t="s">
        <v>14</v>
      </c>
    </row>
    <row r="33" spans="1:10" x14ac:dyDescent="0.25">
      <c r="A33" s="5">
        <v>45647.677897835645</v>
      </c>
      <c r="B33" s="6" t="s">
        <v>51</v>
      </c>
      <c r="C33" s="6">
        <v>9975885075</v>
      </c>
      <c r="D33" s="7">
        <v>42441</v>
      </c>
      <c r="E33" s="6">
        <f t="shared" si="0"/>
        <v>8</v>
      </c>
      <c r="F33" s="6" t="s">
        <v>17</v>
      </c>
      <c r="G33" s="6" t="s">
        <v>37</v>
      </c>
      <c r="H33" s="6">
        <v>503</v>
      </c>
      <c r="I33" s="6" t="s">
        <v>13</v>
      </c>
      <c r="J33" s="6" t="s">
        <v>14</v>
      </c>
    </row>
    <row r="34" spans="1:10" x14ac:dyDescent="0.25">
      <c r="A34" s="5">
        <v>45647.680492928237</v>
      </c>
      <c r="B34" s="6" t="s">
        <v>52</v>
      </c>
      <c r="C34" s="6">
        <v>8605156451</v>
      </c>
      <c r="D34" s="7">
        <v>29271</v>
      </c>
      <c r="E34" s="6">
        <f t="shared" si="0"/>
        <v>44</v>
      </c>
      <c r="F34" s="6" t="s">
        <v>11</v>
      </c>
      <c r="G34" s="6" t="s">
        <v>37</v>
      </c>
      <c r="H34" s="6">
        <v>302</v>
      </c>
      <c r="I34" s="6" t="s">
        <v>13</v>
      </c>
      <c r="J34" s="6" t="s">
        <v>14</v>
      </c>
    </row>
    <row r="35" spans="1:10" x14ac:dyDescent="0.25">
      <c r="A35" s="5">
        <v>45647.682068113427</v>
      </c>
      <c r="B35" s="6" t="s">
        <v>53</v>
      </c>
      <c r="C35" s="6">
        <v>9881439549</v>
      </c>
      <c r="D35" s="7">
        <v>39730</v>
      </c>
      <c r="E35" s="6">
        <f t="shared" si="0"/>
        <v>16</v>
      </c>
      <c r="F35" s="6" t="s">
        <v>11</v>
      </c>
      <c r="G35" s="6" t="s">
        <v>29</v>
      </c>
      <c r="H35" s="6">
        <v>701</v>
      </c>
      <c r="I35" s="6" t="s">
        <v>13</v>
      </c>
      <c r="J35" s="6" t="str">
        <f t="shared" ref="J35:J41" si="6">IF(COUNTA(A:I)&gt;0, "No", "")</f>
        <v>No</v>
      </c>
    </row>
    <row r="36" spans="1:10" x14ac:dyDescent="0.25">
      <c r="A36" s="5">
        <v>45647.75656981481</v>
      </c>
      <c r="B36" s="6" t="s">
        <v>54</v>
      </c>
      <c r="C36" s="6">
        <v>9545551749</v>
      </c>
      <c r="D36" s="7">
        <v>40597</v>
      </c>
      <c r="E36" s="6">
        <f t="shared" si="0"/>
        <v>13</v>
      </c>
      <c r="F36" s="6" t="s">
        <v>17</v>
      </c>
      <c r="G36" s="6" t="s">
        <v>12</v>
      </c>
      <c r="H36" s="6">
        <v>304</v>
      </c>
      <c r="I36" s="6" t="s">
        <v>13</v>
      </c>
      <c r="J36" s="6" t="str">
        <f t="shared" si="6"/>
        <v>No</v>
      </c>
    </row>
    <row r="37" spans="1:10" x14ac:dyDescent="0.25">
      <c r="A37" s="5">
        <v>45647.758737789351</v>
      </c>
      <c r="B37" s="6" t="s">
        <v>55</v>
      </c>
      <c r="C37" s="6">
        <v>9545551749</v>
      </c>
      <c r="D37" s="7">
        <v>30468</v>
      </c>
      <c r="E37" s="6">
        <f t="shared" si="0"/>
        <v>41</v>
      </c>
      <c r="F37" s="6" t="s">
        <v>11</v>
      </c>
      <c r="G37" s="6" t="s">
        <v>12</v>
      </c>
      <c r="H37" s="6">
        <v>304</v>
      </c>
      <c r="I37" s="6" t="s">
        <v>13</v>
      </c>
      <c r="J37" s="6" t="str">
        <f t="shared" si="6"/>
        <v>No</v>
      </c>
    </row>
    <row r="38" spans="1:10" x14ac:dyDescent="0.25">
      <c r="A38" s="5">
        <v>45647.788899537038</v>
      </c>
      <c r="B38" s="6" t="s">
        <v>56</v>
      </c>
      <c r="C38" s="6">
        <v>9881909993</v>
      </c>
      <c r="D38" s="7">
        <v>28867</v>
      </c>
      <c r="E38" s="6">
        <f t="shared" si="0"/>
        <v>45</v>
      </c>
      <c r="F38" s="6" t="s">
        <v>11</v>
      </c>
      <c r="G38" s="6" t="s">
        <v>24</v>
      </c>
      <c r="H38" s="6">
        <v>405</v>
      </c>
      <c r="I38" s="6" t="s">
        <v>13</v>
      </c>
      <c r="J38" s="6" t="str">
        <f t="shared" si="6"/>
        <v>No</v>
      </c>
    </row>
    <row r="39" spans="1:10" x14ac:dyDescent="0.25">
      <c r="A39" s="5">
        <v>45647.813609212964</v>
      </c>
      <c r="B39" s="6" t="s">
        <v>57</v>
      </c>
      <c r="C39" s="6">
        <v>9527378072</v>
      </c>
      <c r="D39" s="7">
        <v>41760</v>
      </c>
      <c r="E39" s="6">
        <f t="shared" si="0"/>
        <v>10</v>
      </c>
      <c r="F39" s="6" t="s">
        <v>11</v>
      </c>
      <c r="G39" s="6" t="s">
        <v>21</v>
      </c>
      <c r="H39" s="6">
        <v>302</v>
      </c>
      <c r="I39" s="6" t="s">
        <v>13</v>
      </c>
      <c r="J39" s="6" t="str">
        <f t="shared" si="6"/>
        <v>No</v>
      </c>
    </row>
    <row r="40" spans="1:10" x14ac:dyDescent="0.25">
      <c r="A40" s="5">
        <v>45647.846280740741</v>
      </c>
      <c r="B40" s="6" t="s">
        <v>58</v>
      </c>
      <c r="C40" s="6">
        <v>9423092888</v>
      </c>
      <c r="D40" s="7">
        <v>41870</v>
      </c>
      <c r="E40" s="6">
        <f t="shared" si="0"/>
        <v>10</v>
      </c>
      <c r="F40" s="6" t="s">
        <v>17</v>
      </c>
      <c r="G40" s="6" t="s">
        <v>12</v>
      </c>
      <c r="H40" s="6">
        <v>204</v>
      </c>
      <c r="I40" s="6" t="s">
        <v>13</v>
      </c>
      <c r="J40" s="6" t="str">
        <f t="shared" si="6"/>
        <v>No</v>
      </c>
    </row>
    <row r="41" spans="1:10" x14ac:dyDescent="0.25">
      <c r="A41" s="5">
        <v>45647.849031574078</v>
      </c>
      <c r="B41" s="6" t="s">
        <v>59</v>
      </c>
      <c r="C41" s="6">
        <v>9423092888</v>
      </c>
      <c r="D41" s="7">
        <v>30916</v>
      </c>
      <c r="E41" s="6">
        <f t="shared" si="0"/>
        <v>40</v>
      </c>
      <c r="F41" s="6" t="s">
        <v>11</v>
      </c>
      <c r="G41" s="6" t="s">
        <v>12</v>
      </c>
      <c r="H41" s="6">
        <v>204</v>
      </c>
      <c r="I41" s="6" t="s">
        <v>13</v>
      </c>
      <c r="J41" s="6" t="str">
        <f t="shared" si="6"/>
        <v>No</v>
      </c>
    </row>
    <row r="42" spans="1:10" x14ac:dyDescent="0.25">
      <c r="A42" s="5">
        <v>45648.426804016199</v>
      </c>
      <c r="B42" s="6" t="s">
        <v>60</v>
      </c>
      <c r="C42" s="6">
        <v>9561698449</v>
      </c>
      <c r="D42" s="7">
        <v>33146</v>
      </c>
      <c r="E42" s="6">
        <f t="shared" si="0"/>
        <v>34</v>
      </c>
      <c r="F42" s="6" t="s">
        <v>11</v>
      </c>
      <c r="G42" s="6" t="s">
        <v>32</v>
      </c>
      <c r="H42" s="6">
        <v>604</v>
      </c>
      <c r="I42" s="6" t="s">
        <v>13</v>
      </c>
      <c r="J42" s="6" t="s">
        <v>14</v>
      </c>
    </row>
    <row r="43" spans="1:10" x14ac:dyDescent="0.25">
      <c r="A43" s="5">
        <v>45648.430138495372</v>
      </c>
      <c r="B43" s="6" t="s">
        <v>61</v>
      </c>
      <c r="C43" s="6">
        <v>9834673126</v>
      </c>
      <c r="D43" s="7">
        <v>41092</v>
      </c>
      <c r="E43" s="6">
        <f t="shared" si="0"/>
        <v>12</v>
      </c>
      <c r="F43" s="6" t="s">
        <v>11</v>
      </c>
      <c r="G43" s="6" t="s">
        <v>29</v>
      </c>
      <c r="H43" s="6">
        <v>101</v>
      </c>
      <c r="I43" s="6" t="s">
        <v>13</v>
      </c>
      <c r="J43" s="6" t="s">
        <v>14</v>
      </c>
    </row>
    <row r="44" spans="1:10" x14ac:dyDescent="0.25">
      <c r="A44" s="5">
        <v>45648.804297986106</v>
      </c>
      <c r="B44" s="6" t="s">
        <v>62</v>
      </c>
      <c r="C44" s="6" t="s">
        <v>63</v>
      </c>
      <c r="D44" s="7">
        <v>39912</v>
      </c>
      <c r="E44" s="6">
        <f t="shared" si="0"/>
        <v>15</v>
      </c>
      <c r="F44" s="6" t="s">
        <v>11</v>
      </c>
      <c r="G44" s="6" t="s">
        <v>12</v>
      </c>
      <c r="H44" s="6">
        <v>602</v>
      </c>
      <c r="I44" s="6" t="s">
        <v>13</v>
      </c>
      <c r="J44" s="6" t="str">
        <f>IF(COUNTA(A:I)&gt;0, "No", "")</f>
        <v>No</v>
      </c>
    </row>
    <row r="45" spans="1:10" x14ac:dyDescent="0.25">
      <c r="A45" s="5">
        <v>45648.80803443287</v>
      </c>
      <c r="B45" s="6" t="s">
        <v>64</v>
      </c>
      <c r="C45" s="6">
        <v>9579165555</v>
      </c>
      <c r="D45" s="7">
        <v>42483</v>
      </c>
      <c r="E45" s="6">
        <f t="shared" si="0"/>
        <v>8</v>
      </c>
      <c r="F45" s="6" t="s">
        <v>11</v>
      </c>
      <c r="G45" s="6" t="s">
        <v>32</v>
      </c>
      <c r="H45" s="6">
        <v>402</v>
      </c>
      <c r="I45" s="6" t="s">
        <v>13</v>
      </c>
      <c r="J45" s="6" t="s">
        <v>14</v>
      </c>
    </row>
    <row r="46" spans="1:10" x14ac:dyDescent="0.25">
      <c r="A46" s="5">
        <v>45648.811282129631</v>
      </c>
      <c r="B46" s="6" t="s">
        <v>65</v>
      </c>
      <c r="C46" s="6">
        <v>9579165555</v>
      </c>
      <c r="D46" s="7">
        <v>33029</v>
      </c>
      <c r="E46" s="6">
        <f t="shared" si="0"/>
        <v>34</v>
      </c>
      <c r="F46" s="6" t="s">
        <v>11</v>
      </c>
      <c r="G46" s="6" t="s">
        <v>32</v>
      </c>
      <c r="H46" s="6">
        <v>402</v>
      </c>
      <c r="I46" s="6" t="s">
        <v>13</v>
      </c>
      <c r="J46" s="6" t="str">
        <f t="shared" ref="J46:J48" si="7">IF(COUNTA(A:I)&gt;0, "No", "")</f>
        <v>No</v>
      </c>
    </row>
    <row r="47" spans="1:10" x14ac:dyDescent="0.25">
      <c r="A47" s="5">
        <v>45649.341401701386</v>
      </c>
      <c r="B47" s="6" t="s">
        <v>66</v>
      </c>
      <c r="C47" s="6">
        <v>9860241581</v>
      </c>
      <c r="D47" s="7">
        <v>40245</v>
      </c>
      <c r="E47" s="6">
        <f t="shared" si="0"/>
        <v>14</v>
      </c>
      <c r="F47" s="6" t="s">
        <v>11</v>
      </c>
      <c r="G47" s="6" t="s">
        <v>32</v>
      </c>
      <c r="H47" s="6">
        <v>501</v>
      </c>
      <c r="I47" s="6" t="s">
        <v>13</v>
      </c>
      <c r="J47" s="6" t="str">
        <f t="shared" si="7"/>
        <v>No</v>
      </c>
    </row>
    <row r="48" spans="1:10" x14ac:dyDescent="0.25">
      <c r="A48" s="5">
        <v>45649.422619872683</v>
      </c>
      <c r="B48" s="6" t="s">
        <v>67</v>
      </c>
      <c r="C48" s="6">
        <v>8459493767</v>
      </c>
      <c r="D48" s="7">
        <v>40865</v>
      </c>
      <c r="E48" s="6">
        <f t="shared" si="0"/>
        <v>13</v>
      </c>
      <c r="F48" s="6" t="s">
        <v>11</v>
      </c>
      <c r="G48" s="6" t="s">
        <v>24</v>
      </c>
      <c r="H48" s="6">
        <v>105</v>
      </c>
      <c r="I48" s="6" t="s">
        <v>13</v>
      </c>
      <c r="J48" s="6" t="str">
        <f t="shared" si="7"/>
        <v>No</v>
      </c>
    </row>
    <row r="49" spans="1:10" x14ac:dyDescent="0.25">
      <c r="A49" s="5">
        <v>45649.707762430553</v>
      </c>
      <c r="B49" s="6" t="s">
        <v>68</v>
      </c>
      <c r="C49" s="6">
        <v>8087086776</v>
      </c>
      <c r="D49" s="7">
        <v>31972</v>
      </c>
      <c r="E49" s="6">
        <f t="shared" si="0"/>
        <v>37</v>
      </c>
      <c r="F49" s="6" t="s">
        <v>11</v>
      </c>
      <c r="G49" s="6" t="s">
        <v>37</v>
      </c>
      <c r="H49" s="6">
        <v>404</v>
      </c>
      <c r="I49" s="6" t="s">
        <v>13</v>
      </c>
      <c r="J49" s="6" t="s">
        <v>14</v>
      </c>
    </row>
    <row r="50" spans="1:10" x14ac:dyDescent="0.25">
      <c r="A50" s="5">
        <v>45649.753805509259</v>
      </c>
      <c r="B50" s="6" t="s">
        <v>69</v>
      </c>
      <c r="C50" s="6">
        <v>7385676777</v>
      </c>
      <c r="D50" s="7">
        <v>41086</v>
      </c>
      <c r="E50" s="6">
        <f t="shared" si="0"/>
        <v>12</v>
      </c>
      <c r="F50" s="6" t="s">
        <v>11</v>
      </c>
      <c r="G50" s="6" t="s">
        <v>32</v>
      </c>
      <c r="H50" s="6">
        <v>601</v>
      </c>
      <c r="I50" s="6" t="s">
        <v>13</v>
      </c>
      <c r="J50" s="6" t="s">
        <v>14</v>
      </c>
    </row>
    <row r="51" spans="1:10" x14ac:dyDescent="0.25">
      <c r="A51" s="5">
        <v>45649.891155150464</v>
      </c>
      <c r="B51" s="6" t="s">
        <v>70</v>
      </c>
      <c r="C51" s="6">
        <v>8983177109</v>
      </c>
      <c r="D51" s="7">
        <v>42419</v>
      </c>
      <c r="E51" s="6">
        <f t="shared" si="0"/>
        <v>8</v>
      </c>
      <c r="F51" s="6" t="s">
        <v>11</v>
      </c>
      <c r="G51" s="6" t="s">
        <v>21</v>
      </c>
      <c r="H51" s="6">
        <v>404</v>
      </c>
      <c r="I51" s="6" t="s">
        <v>13</v>
      </c>
      <c r="J51" s="6" t="s">
        <v>14</v>
      </c>
    </row>
    <row r="52" spans="1:10" x14ac:dyDescent="0.25">
      <c r="A52" s="5">
        <v>45649.896665324079</v>
      </c>
      <c r="B52" s="6" t="s">
        <v>71</v>
      </c>
      <c r="C52" s="6">
        <v>9860095066</v>
      </c>
      <c r="D52" s="7">
        <v>29738</v>
      </c>
      <c r="E52" s="6">
        <f t="shared" si="0"/>
        <v>43</v>
      </c>
      <c r="F52" s="6" t="s">
        <v>11</v>
      </c>
      <c r="G52" s="6" t="s">
        <v>29</v>
      </c>
      <c r="H52" s="6">
        <v>101</v>
      </c>
      <c r="I52" s="6" t="s">
        <v>13</v>
      </c>
      <c r="J52" s="6" t="s">
        <v>14</v>
      </c>
    </row>
    <row r="53" spans="1:10" x14ac:dyDescent="0.25">
      <c r="A53" s="5">
        <v>45649.900870162033</v>
      </c>
      <c r="B53" s="6" t="s">
        <v>72</v>
      </c>
      <c r="C53" s="6">
        <v>8983279315</v>
      </c>
      <c r="D53" s="7">
        <v>29774</v>
      </c>
      <c r="E53" s="6">
        <f t="shared" si="0"/>
        <v>43</v>
      </c>
      <c r="F53" s="6" t="s">
        <v>11</v>
      </c>
      <c r="G53" s="6" t="s">
        <v>12</v>
      </c>
      <c r="H53" s="6">
        <v>102</v>
      </c>
      <c r="I53" s="6" t="s">
        <v>13</v>
      </c>
      <c r="J53" s="6" t="s">
        <v>14</v>
      </c>
    </row>
    <row r="54" spans="1:10" x14ac:dyDescent="0.25">
      <c r="A54" s="5">
        <v>45649.90442121528</v>
      </c>
      <c r="B54" s="6" t="s">
        <v>73</v>
      </c>
      <c r="C54" s="6">
        <v>8983279315</v>
      </c>
      <c r="D54" s="7">
        <v>40558</v>
      </c>
      <c r="E54" s="6">
        <f t="shared" si="0"/>
        <v>13</v>
      </c>
      <c r="F54" s="6" t="s">
        <v>17</v>
      </c>
      <c r="G54" s="6" t="s">
        <v>12</v>
      </c>
      <c r="H54" s="6">
        <v>102</v>
      </c>
      <c r="I54" s="6" t="s">
        <v>13</v>
      </c>
      <c r="J54" s="6" t="s">
        <v>14</v>
      </c>
    </row>
    <row r="55" spans="1:10" x14ac:dyDescent="0.25">
      <c r="A55" s="5">
        <v>45649.908782465282</v>
      </c>
      <c r="B55" s="6" t="s">
        <v>74</v>
      </c>
      <c r="C55" s="6">
        <v>9225625906</v>
      </c>
      <c r="D55" s="7">
        <v>41280</v>
      </c>
      <c r="E55" s="6">
        <f t="shared" si="0"/>
        <v>11</v>
      </c>
      <c r="F55" s="6" t="s">
        <v>17</v>
      </c>
      <c r="G55" s="6" t="s">
        <v>12</v>
      </c>
      <c r="H55" s="6">
        <v>102</v>
      </c>
      <c r="I55" s="6" t="s">
        <v>13</v>
      </c>
      <c r="J55" s="6" t="s">
        <v>14</v>
      </c>
    </row>
    <row r="56" spans="1:10" x14ac:dyDescent="0.25">
      <c r="A56" s="5">
        <v>45649.910225694446</v>
      </c>
      <c r="B56" s="6" t="s">
        <v>75</v>
      </c>
      <c r="C56" s="6">
        <v>9764998669</v>
      </c>
      <c r="D56" s="7">
        <v>29022</v>
      </c>
      <c r="E56" s="6">
        <f t="shared" si="0"/>
        <v>45</v>
      </c>
      <c r="F56" s="6" t="s">
        <v>11</v>
      </c>
      <c r="G56" s="6" t="s">
        <v>29</v>
      </c>
      <c r="H56" s="6">
        <v>303</v>
      </c>
      <c r="I56" s="6" t="s">
        <v>13</v>
      </c>
      <c r="J56" s="6" t="str">
        <f t="shared" ref="J56:J57" si="8">IF(COUNTA(A:I)&gt;0, "No", "")</f>
        <v>No</v>
      </c>
    </row>
    <row r="57" spans="1:10" x14ac:dyDescent="0.25">
      <c r="A57" s="5">
        <v>45649.937114652777</v>
      </c>
      <c r="B57" s="6" t="s">
        <v>76</v>
      </c>
      <c r="C57" s="6">
        <v>9011073122</v>
      </c>
      <c r="D57" s="7">
        <v>42918</v>
      </c>
      <c r="E57" s="6">
        <f t="shared" si="0"/>
        <v>7</v>
      </c>
      <c r="F57" s="6" t="s">
        <v>11</v>
      </c>
      <c r="G57" s="6" t="s">
        <v>29</v>
      </c>
      <c r="H57" s="6">
        <v>702</v>
      </c>
      <c r="I57" s="6" t="s">
        <v>13</v>
      </c>
      <c r="J57" s="6" t="str">
        <f t="shared" si="8"/>
        <v>No</v>
      </c>
    </row>
    <row r="58" spans="1:10" x14ac:dyDescent="0.25">
      <c r="A58" s="5">
        <v>45649.939865868058</v>
      </c>
      <c r="B58" s="6" t="s">
        <v>77</v>
      </c>
      <c r="C58" s="6">
        <v>9011094132</v>
      </c>
      <c r="D58" s="7">
        <v>31233</v>
      </c>
      <c r="E58" s="6">
        <f t="shared" si="0"/>
        <v>39</v>
      </c>
      <c r="F58" s="6" t="s">
        <v>11</v>
      </c>
      <c r="G58" s="6" t="s">
        <v>24</v>
      </c>
      <c r="H58" s="6">
        <v>103</v>
      </c>
      <c r="I58" s="6" t="s">
        <v>13</v>
      </c>
      <c r="J58" s="6" t="s">
        <v>14</v>
      </c>
    </row>
    <row r="59" spans="1:10" x14ac:dyDescent="0.25">
      <c r="A59" s="5">
        <v>45650.621082789352</v>
      </c>
      <c r="B59" s="6" t="s">
        <v>78</v>
      </c>
      <c r="C59" s="6">
        <v>8329545863</v>
      </c>
      <c r="D59" s="7">
        <v>41642</v>
      </c>
      <c r="E59" s="6">
        <f t="shared" si="0"/>
        <v>10</v>
      </c>
      <c r="F59" s="6" t="s">
        <v>11</v>
      </c>
      <c r="G59" s="6" t="s">
        <v>24</v>
      </c>
      <c r="H59" s="6">
        <v>703</v>
      </c>
      <c r="I59" s="6" t="s">
        <v>13</v>
      </c>
      <c r="J59" s="6" t="str">
        <f t="shared" ref="J59:J61" si="9">IF(COUNTA(A:I)&gt;0, "No", "")</f>
        <v>No</v>
      </c>
    </row>
    <row r="60" spans="1:10" x14ac:dyDescent="0.25">
      <c r="A60" s="5">
        <v>45650.72688008102</v>
      </c>
      <c r="B60" s="6" t="s">
        <v>79</v>
      </c>
      <c r="C60" s="6">
        <v>9890680178</v>
      </c>
      <c r="D60" s="7">
        <v>32430</v>
      </c>
      <c r="E60" s="6">
        <f t="shared" si="0"/>
        <v>36</v>
      </c>
      <c r="F60" s="6" t="s">
        <v>11</v>
      </c>
      <c r="G60" s="6" t="s">
        <v>29</v>
      </c>
      <c r="H60" s="6">
        <v>202</v>
      </c>
      <c r="I60" s="6" t="s">
        <v>13</v>
      </c>
      <c r="J60" s="6" t="str">
        <f t="shared" si="9"/>
        <v>No</v>
      </c>
    </row>
    <row r="61" spans="1:10" x14ac:dyDescent="0.25">
      <c r="A61" s="5">
        <v>45650.882985555552</v>
      </c>
      <c r="B61" s="6" t="s">
        <v>80</v>
      </c>
      <c r="C61" s="6">
        <v>8308469115</v>
      </c>
      <c r="D61" s="7">
        <v>41944</v>
      </c>
      <c r="E61" s="6">
        <f t="shared" si="0"/>
        <v>10</v>
      </c>
      <c r="F61" s="6" t="s">
        <v>11</v>
      </c>
      <c r="G61" s="6" t="s">
        <v>21</v>
      </c>
      <c r="H61" s="6">
        <v>304</v>
      </c>
      <c r="I61" s="6" t="s">
        <v>13</v>
      </c>
      <c r="J61" s="6" t="str">
        <f t="shared" si="9"/>
        <v>No</v>
      </c>
    </row>
    <row r="62" spans="1:10" x14ac:dyDescent="0.25">
      <c r="A62" s="5">
        <v>45650.899491273143</v>
      </c>
      <c r="B62" s="6" t="s">
        <v>81</v>
      </c>
      <c r="C62" s="6">
        <v>9730255600</v>
      </c>
      <c r="D62" s="7">
        <v>42190</v>
      </c>
      <c r="E62" s="6">
        <f t="shared" si="0"/>
        <v>9</v>
      </c>
      <c r="F62" s="6" t="s">
        <v>17</v>
      </c>
      <c r="G62" s="6" t="s">
        <v>12</v>
      </c>
      <c r="H62" s="6">
        <v>503</v>
      </c>
      <c r="I62" s="6" t="s">
        <v>13</v>
      </c>
      <c r="J62" s="6" t="s">
        <v>14</v>
      </c>
    </row>
    <row r="63" spans="1:10" x14ac:dyDescent="0.25">
      <c r="A63" s="5">
        <v>45650.931044803241</v>
      </c>
      <c r="B63" s="6" t="s">
        <v>82</v>
      </c>
      <c r="C63" s="6">
        <v>9607087778</v>
      </c>
      <c r="D63" s="7">
        <v>31828</v>
      </c>
      <c r="E63" s="6">
        <f t="shared" si="0"/>
        <v>37</v>
      </c>
      <c r="F63" s="6" t="s">
        <v>11</v>
      </c>
      <c r="G63" s="6" t="s">
        <v>21</v>
      </c>
      <c r="H63" s="6">
        <v>701</v>
      </c>
      <c r="I63" s="6" t="s">
        <v>13</v>
      </c>
      <c r="J63" s="6" t="str">
        <f>IF(COUNTA(A:I)&gt;0, "No", "")</f>
        <v>No</v>
      </c>
    </row>
    <row r="64" spans="1:10" x14ac:dyDescent="0.25">
      <c r="A64" s="5">
        <v>45650.94384634259</v>
      </c>
      <c r="B64" s="6" t="s">
        <v>83</v>
      </c>
      <c r="C64" s="6">
        <v>8208964371</v>
      </c>
      <c r="D64" s="7">
        <v>41761</v>
      </c>
      <c r="E64" s="6">
        <f t="shared" si="0"/>
        <v>10</v>
      </c>
      <c r="F64" s="6" t="s">
        <v>11</v>
      </c>
      <c r="G64" s="6" t="s">
        <v>21</v>
      </c>
      <c r="H64" s="6">
        <v>402</v>
      </c>
      <c r="I64" s="6" t="s">
        <v>13</v>
      </c>
      <c r="J64" s="6" t="s">
        <v>14</v>
      </c>
    </row>
    <row r="65" spans="1:10" x14ac:dyDescent="0.25">
      <c r="A65" s="5">
        <v>45650.950061030089</v>
      </c>
      <c r="B65" s="6" t="s">
        <v>84</v>
      </c>
      <c r="C65" s="6">
        <v>9922603825</v>
      </c>
      <c r="D65" s="7">
        <v>33134</v>
      </c>
      <c r="E65" s="6">
        <f t="shared" si="0"/>
        <v>34</v>
      </c>
      <c r="F65" s="6" t="s">
        <v>11</v>
      </c>
      <c r="G65" s="6" t="s">
        <v>29</v>
      </c>
      <c r="H65" s="6">
        <v>601</v>
      </c>
      <c r="I65" s="6" t="s">
        <v>13</v>
      </c>
      <c r="J65" s="6" t="s">
        <v>14</v>
      </c>
    </row>
    <row r="66" spans="1:10" x14ac:dyDescent="0.25">
      <c r="A66" s="5">
        <v>45651.337309641203</v>
      </c>
      <c r="B66" s="6" t="s">
        <v>85</v>
      </c>
      <c r="C66" s="6">
        <v>9738920028</v>
      </c>
      <c r="D66" s="7">
        <v>34661</v>
      </c>
      <c r="E66" s="6">
        <f t="shared" si="0"/>
        <v>30</v>
      </c>
      <c r="F66" s="6" t="s">
        <v>11</v>
      </c>
      <c r="G66" s="6" t="s">
        <v>24</v>
      </c>
      <c r="H66" s="6">
        <v>101</v>
      </c>
      <c r="I66" s="6" t="s">
        <v>13</v>
      </c>
      <c r="J66" s="6" t="s">
        <v>14</v>
      </c>
    </row>
    <row r="67" spans="1:10" x14ac:dyDescent="0.25">
      <c r="A67" s="5">
        <v>45651.392979733791</v>
      </c>
      <c r="B67" s="6" t="s">
        <v>86</v>
      </c>
      <c r="C67" s="6">
        <v>7987430767</v>
      </c>
      <c r="D67" s="7">
        <v>29667</v>
      </c>
      <c r="E67" s="6">
        <f t="shared" si="0"/>
        <v>43</v>
      </c>
      <c r="F67" s="6" t="s">
        <v>11</v>
      </c>
      <c r="G67" s="6" t="s">
        <v>32</v>
      </c>
      <c r="H67" s="6">
        <v>305</v>
      </c>
      <c r="I67" s="6" t="s">
        <v>13</v>
      </c>
      <c r="J67" s="6" t="s">
        <v>14</v>
      </c>
    </row>
    <row r="68" spans="1:10" x14ac:dyDescent="0.25">
      <c r="A68" s="5">
        <v>45651.393851898145</v>
      </c>
      <c r="B68" s="6" t="s">
        <v>87</v>
      </c>
      <c r="C68" s="6">
        <v>7987430767</v>
      </c>
      <c r="D68" s="7">
        <v>41403</v>
      </c>
      <c r="E68" s="6">
        <f t="shared" si="0"/>
        <v>11</v>
      </c>
      <c r="F68" s="6" t="s">
        <v>17</v>
      </c>
      <c r="G68" s="6" t="s">
        <v>32</v>
      </c>
      <c r="H68" s="6">
        <v>305</v>
      </c>
      <c r="I68" s="6" t="s">
        <v>13</v>
      </c>
      <c r="J68" s="6" t="s">
        <v>14</v>
      </c>
    </row>
    <row r="69" spans="1:10" x14ac:dyDescent="0.25">
      <c r="A69" s="5">
        <v>45651.436564849537</v>
      </c>
      <c r="B69" s="6" t="s">
        <v>88</v>
      </c>
      <c r="C69" s="6">
        <v>9890470946</v>
      </c>
      <c r="D69" s="7">
        <v>41446</v>
      </c>
      <c r="E69" s="6">
        <f t="shared" si="0"/>
        <v>11</v>
      </c>
      <c r="F69" s="6" t="s">
        <v>17</v>
      </c>
      <c r="G69" s="6" t="s">
        <v>21</v>
      </c>
      <c r="H69" s="6">
        <v>503</v>
      </c>
      <c r="I69" s="6" t="s">
        <v>13</v>
      </c>
      <c r="J69" s="6" t="s">
        <v>14</v>
      </c>
    </row>
    <row r="70" spans="1:10" x14ac:dyDescent="0.25">
      <c r="A70" s="5">
        <v>45651.459211979163</v>
      </c>
      <c r="B70" s="6" t="s">
        <v>89</v>
      </c>
      <c r="C70" s="6">
        <v>8010180415</v>
      </c>
      <c r="D70" s="7">
        <v>38821</v>
      </c>
      <c r="E70" s="6">
        <f t="shared" si="0"/>
        <v>18</v>
      </c>
      <c r="F70" s="6" t="s">
        <v>11</v>
      </c>
      <c r="G70" s="6" t="s">
        <v>12</v>
      </c>
      <c r="H70" s="6">
        <v>403</v>
      </c>
      <c r="I70" s="6" t="s">
        <v>13</v>
      </c>
      <c r="J70" s="6" t="s">
        <v>14</v>
      </c>
    </row>
    <row r="71" spans="1:10" x14ac:dyDescent="0.25">
      <c r="A71" s="5">
        <v>45651.544908796292</v>
      </c>
      <c r="B71" s="6" t="s">
        <v>90</v>
      </c>
      <c r="C71" s="6">
        <v>8668681758</v>
      </c>
      <c r="D71" s="7">
        <v>29634</v>
      </c>
      <c r="E71" s="6">
        <f t="shared" si="0"/>
        <v>43</v>
      </c>
      <c r="F71" s="6" t="s">
        <v>11</v>
      </c>
      <c r="G71" s="6" t="s">
        <v>37</v>
      </c>
      <c r="H71" s="6">
        <v>802</v>
      </c>
      <c r="I71" s="6" t="s">
        <v>13</v>
      </c>
      <c r="J71" s="6" t="s">
        <v>14</v>
      </c>
    </row>
    <row r="72" spans="1:10" x14ac:dyDescent="0.25">
      <c r="A72" s="5">
        <v>45651.556445891205</v>
      </c>
      <c r="B72" s="6" t="s">
        <v>91</v>
      </c>
      <c r="C72" s="6">
        <v>8830023952</v>
      </c>
      <c r="D72" s="7">
        <v>40263</v>
      </c>
      <c r="E72" s="6">
        <f t="shared" si="0"/>
        <v>14</v>
      </c>
      <c r="F72" s="6" t="s">
        <v>11</v>
      </c>
      <c r="G72" s="6" t="s">
        <v>12</v>
      </c>
      <c r="H72" s="6">
        <v>201</v>
      </c>
      <c r="I72" s="6" t="s">
        <v>13</v>
      </c>
      <c r="J72" s="6" t="str">
        <f t="shared" ref="J72:J88" si="10">IF(COUNTA(A:I)&gt;0, "No", "")</f>
        <v>No</v>
      </c>
    </row>
    <row r="73" spans="1:10" x14ac:dyDescent="0.25">
      <c r="A73" s="1">
        <v>45651.644187743055</v>
      </c>
      <c r="B73" s="2" t="s">
        <v>92</v>
      </c>
      <c r="C73" s="2">
        <v>9921019096</v>
      </c>
      <c r="D73" s="3">
        <v>39957</v>
      </c>
      <c r="E73" s="2">
        <f t="shared" si="0"/>
        <v>15</v>
      </c>
      <c r="F73" s="2" t="s">
        <v>11</v>
      </c>
      <c r="G73" s="2" t="s">
        <v>12</v>
      </c>
      <c r="H73" s="2">
        <v>404</v>
      </c>
      <c r="I73" s="2" t="s">
        <v>13</v>
      </c>
      <c r="J73" s="2" t="str">
        <f t="shared" si="10"/>
        <v>No</v>
      </c>
    </row>
    <row r="74" spans="1:10" x14ac:dyDescent="0.25">
      <c r="A74" s="5">
        <v>45651.667625590278</v>
      </c>
      <c r="B74" s="6" t="s">
        <v>93</v>
      </c>
      <c r="C74" s="6">
        <v>9561288498</v>
      </c>
      <c r="D74" s="7">
        <v>30391</v>
      </c>
      <c r="E74" s="6">
        <f t="shared" si="0"/>
        <v>41</v>
      </c>
      <c r="F74" s="6" t="s">
        <v>11</v>
      </c>
      <c r="G74" s="6" t="s">
        <v>37</v>
      </c>
      <c r="H74" s="6">
        <v>602</v>
      </c>
      <c r="I74" s="6" t="s">
        <v>13</v>
      </c>
      <c r="J74" s="6" t="str">
        <f t="shared" si="10"/>
        <v>No</v>
      </c>
    </row>
    <row r="75" spans="1:10" x14ac:dyDescent="0.25">
      <c r="A75" s="5">
        <v>45651.668474456019</v>
      </c>
      <c r="B75" s="6" t="s">
        <v>94</v>
      </c>
      <c r="C75" s="6">
        <v>9561288498</v>
      </c>
      <c r="D75" s="7">
        <v>42445</v>
      </c>
      <c r="E75" s="6">
        <f t="shared" si="0"/>
        <v>8</v>
      </c>
      <c r="F75" s="6" t="s">
        <v>11</v>
      </c>
      <c r="G75" s="6" t="s">
        <v>37</v>
      </c>
      <c r="H75" s="6">
        <v>602</v>
      </c>
      <c r="I75" s="6" t="s">
        <v>13</v>
      </c>
      <c r="J75" s="6" t="str">
        <f t="shared" si="10"/>
        <v>No</v>
      </c>
    </row>
    <row r="76" spans="1:10" x14ac:dyDescent="0.25">
      <c r="A76" s="5">
        <v>45651.768759282408</v>
      </c>
      <c r="B76" s="6" t="s">
        <v>95</v>
      </c>
      <c r="C76" s="6">
        <v>9883688580</v>
      </c>
      <c r="D76" s="7">
        <v>31702</v>
      </c>
      <c r="E76" s="6">
        <f t="shared" si="0"/>
        <v>38</v>
      </c>
      <c r="F76" s="6" t="s">
        <v>11</v>
      </c>
      <c r="G76" s="6" t="s">
        <v>24</v>
      </c>
      <c r="H76" s="6">
        <v>705</v>
      </c>
      <c r="I76" s="6" t="s">
        <v>13</v>
      </c>
      <c r="J76" s="6" t="str">
        <f t="shared" si="10"/>
        <v>No</v>
      </c>
    </row>
    <row r="77" spans="1:10" x14ac:dyDescent="0.25">
      <c r="A77" s="5">
        <v>45651.816194652776</v>
      </c>
      <c r="B77" s="6" t="s">
        <v>96</v>
      </c>
      <c r="C77" s="6">
        <v>9834649731</v>
      </c>
      <c r="D77" s="7">
        <v>33129</v>
      </c>
      <c r="E77" s="6">
        <f t="shared" si="0"/>
        <v>34</v>
      </c>
      <c r="F77" s="6" t="s">
        <v>11</v>
      </c>
      <c r="G77" s="6" t="s">
        <v>29</v>
      </c>
      <c r="H77" s="6">
        <v>302</v>
      </c>
      <c r="I77" s="6" t="s">
        <v>13</v>
      </c>
      <c r="J77" s="6" t="str">
        <f t="shared" si="10"/>
        <v>No</v>
      </c>
    </row>
    <row r="78" spans="1:10" x14ac:dyDescent="0.25">
      <c r="A78" s="5">
        <v>45651.856629351852</v>
      </c>
      <c r="B78" s="6" t="s">
        <v>97</v>
      </c>
      <c r="C78" s="6">
        <v>9011054387</v>
      </c>
      <c r="D78" s="7">
        <v>42977</v>
      </c>
      <c r="E78" s="6">
        <f t="shared" si="0"/>
        <v>7</v>
      </c>
      <c r="F78" s="6" t="s">
        <v>11</v>
      </c>
      <c r="G78" s="6" t="s">
        <v>29</v>
      </c>
      <c r="H78" s="6">
        <v>104</v>
      </c>
      <c r="I78" s="6" t="s">
        <v>13</v>
      </c>
      <c r="J78" s="6" t="str">
        <f t="shared" si="10"/>
        <v>No</v>
      </c>
    </row>
    <row r="79" spans="1:10" x14ac:dyDescent="0.25">
      <c r="A79" s="5">
        <v>45651.8684459375</v>
      </c>
      <c r="B79" s="6" t="s">
        <v>98</v>
      </c>
      <c r="C79" s="6">
        <v>8888482801</v>
      </c>
      <c r="D79" s="7">
        <v>40479</v>
      </c>
      <c r="E79" s="6">
        <f t="shared" si="0"/>
        <v>14</v>
      </c>
      <c r="F79" s="6" t="s">
        <v>11</v>
      </c>
      <c r="G79" s="6" t="s">
        <v>29</v>
      </c>
      <c r="H79" s="6">
        <v>203</v>
      </c>
      <c r="I79" s="6" t="s">
        <v>13</v>
      </c>
      <c r="J79" s="6" t="str">
        <f t="shared" si="10"/>
        <v>No</v>
      </c>
    </row>
    <row r="80" spans="1:10" x14ac:dyDescent="0.25">
      <c r="A80" s="5">
        <v>45651.96300304398</v>
      </c>
      <c r="B80" s="6" t="s">
        <v>99</v>
      </c>
      <c r="C80" s="6">
        <v>9881439549</v>
      </c>
      <c r="D80" s="7">
        <v>29192</v>
      </c>
      <c r="E80" s="6">
        <f t="shared" si="0"/>
        <v>45</v>
      </c>
      <c r="F80" s="6" t="s">
        <v>11</v>
      </c>
      <c r="G80" s="6" t="s">
        <v>29</v>
      </c>
      <c r="H80" s="6">
        <v>701</v>
      </c>
      <c r="I80" s="6" t="s">
        <v>13</v>
      </c>
      <c r="J80" s="6" t="str">
        <f t="shared" si="10"/>
        <v>No</v>
      </c>
    </row>
    <row r="81" spans="1:16" x14ac:dyDescent="0.25">
      <c r="A81" s="5">
        <v>45651.981417361108</v>
      </c>
      <c r="B81" s="6" t="s">
        <v>100</v>
      </c>
      <c r="C81" s="6">
        <v>7218372575</v>
      </c>
      <c r="D81" s="7">
        <v>40552</v>
      </c>
      <c r="E81" s="6">
        <f t="shared" si="0"/>
        <v>13</v>
      </c>
      <c r="F81" s="6" t="s">
        <v>11</v>
      </c>
      <c r="G81" s="6" t="s">
        <v>24</v>
      </c>
      <c r="H81" s="6">
        <v>406</v>
      </c>
      <c r="I81" s="6" t="s">
        <v>13</v>
      </c>
      <c r="J81" s="6" t="str">
        <f t="shared" si="10"/>
        <v>No</v>
      </c>
    </row>
    <row r="82" spans="1:16" x14ac:dyDescent="0.25">
      <c r="A82" s="5">
        <v>45651.981686979168</v>
      </c>
      <c r="B82" s="6" t="s">
        <v>101</v>
      </c>
      <c r="C82" s="6">
        <v>8793269564</v>
      </c>
      <c r="D82" s="7">
        <v>41102</v>
      </c>
      <c r="E82" s="6">
        <f t="shared" si="0"/>
        <v>12</v>
      </c>
      <c r="F82" s="6" t="s">
        <v>17</v>
      </c>
      <c r="G82" s="6" t="s">
        <v>21</v>
      </c>
      <c r="H82" s="6">
        <v>604</v>
      </c>
      <c r="I82" s="6" t="s">
        <v>13</v>
      </c>
      <c r="J82" s="6" t="str">
        <f t="shared" si="10"/>
        <v>No</v>
      </c>
    </row>
    <row r="83" spans="1:16" x14ac:dyDescent="0.25">
      <c r="A83" s="5">
        <v>45652.328529699073</v>
      </c>
      <c r="B83" s="6" t="s">
        <v>102</v>
      </c>
      <c r="C83" s="6">
        <v>9890397323</v>
      </c>
      <c r="D83" s="7">
        <v>31326</v>
      </c>
      <c r="E83" s="6">
        <f t="shared" si="0"/>
        <v>39</v>
      </c>
      <c r="F83" s="6" t="s">
        <v>11</v>
      </c>
      <c r="G83" s="6" t="s">
        <v>21</v>
      </c>
      <c r="H83" s="6">
        <v>403</v>
      </c>
      <c r="I83" s="6" t="s">
        <v>13</v>
      </c>
      <c r="J83" s="6" t="str">
        <f t="shared" si="10"/>
        <v>No</v>
      </c>
    </row>
    <row r="84" spans="1:16" x14ac:dyDescent="0.25">
      <c r="A84" s="5">
        <v>45652.330114710647</v>
      </c>
      <c r="B84" s="6" t="s">
        <v>103</v>
      </c>
      <c r="C84" s="6">
        <v>9890397323</v>
      </c>
      <c r="D84" s="7">
        <v>42996</v>
      </c>
      <c r="E84" s="6">
        <f t="shared" si="0"/>
        <v>7</v>
      </c>
      <c r="F84" s="6" t="s">
        <v>11</v>
      </c>
      <c r="G84" s="6" t="s">
        <v>21</v>
      </c>
      <c r="H84" s="6">
        <v>403</v>
      </c>
      <c r="I84" s="6" t="s">
        <v>13</v>
      </c>
      <c r="J84" s="6" t="str">
        <f t="shared" si="10"/>
        <v>No</v>
      </c>
    </row>
    <row r="85" spans="1:16" x14ac:dyDescent="0.25">
      <c r="A85" s="5">
        <v>45652.76725981482</v>
      </c>
      <c r="B85" s="6" t="s">
        <v>104</v>
      </c>
      <c r="C85" s="6">
        <v>7588418741</v>
      </c>
      <c r="D85" s="7">
        <v>42207</v>
      </c>
      <c r="E85" s="6">
        <f t="shared" si="0"/>
        <v>9</v>
      </c>
      <c r="F85" s="6" t="s">
        <v>11</v>
      </c>
      <c r="G85" s="6" t="s">
        <v>12</v>
      </c>
      <c r="H85" s="6">
        <v>704</v>
      </c>
      <c r="I85" s="6" t="s">
        <v>13</v>
      </c>
      <c r="J85" s="6" t="str">
        <f t="shared" si="10"/>
        <v>No</v>
      </c>
    </row>
    <row r="86" spans="1:16" x14ac:dyDescent="0.25">
      <c r="A86" s="5">
        <v>45652.775740613426</v>
      </c>
      <c r="B86" s="6" t="s">
        <v>105</v>
      </c>
      <c r="C86" s="6">
        <v>9049785050</v>
      </c>
      <c r="D86" s="7">
        <v>32327</v>
      </c>
      <c r="E86" s="6">
        <f t="shared" si="0"/>
        <v>36</v>
      </c>
      <c r="F86" s="6" t="s">
        <v>11</v>
      </c>
      <c r="G86" s="6" t="s">
        <v>29</v>
      </c>
      <c r="H86" s="6">
        <v>603</v>
      </c>
      <c r="I86" s="6" t="s">
        <v>13</v>
      </c>
      <c r="J86" s="6" t="str">
        <f t="shared" si="10"/>
        <v>No</v>
      </c>
    </row>
    <row r="87" spans="1:16" x14ac:dyDescent="0.25">
      <c r="A87" s="5">
        <v>45652.777829525468</v>
      </c>
      <c r="B87" s="6" t="s">
        <v>106</v>
      </c>
      <c r="C87" s="6">
        <v>9049785050</v>
      </c>
      <c r="D87" s="7">
        <v>41244</v>
      </c>
      <c r="E87" s="6">
        <f t="shared" si="0"/>
        <v>12</v>
      </c>
      <c r="F87" s="6" t="s">
        <v>17</v>
      </c>
      <c r="G87" s="6" t="s">
        <v>29</v>
      </c>
      <c r="H87" s="6">
        <v>603</v>
      </c>
      <c r="I87" s="6" t="s">
        <v>13</v>
      </c>
      <c r="J87" s="6" t="str">
        <f t="shared" si="10"/>
        <v>No</v>
      </c>
    </row>
    <row r="88" spans="1:16" x14ac:dyDescent="0.25">
      <c r="A88" s="5">
        <v>45652.781823969912</v>
      </c>
      <c r="B88" s="6" t="s">
        <v>107</v>
      </c>
      <c r="C88" s="6">
        <v>8605156451</v>
      </c>
      <c r="D88" s="7">
        <v>41899</v>
      </c>
      <c r="E88" s="6">
        <f t="shared" si="0"/>
        <v>10</v>
      </c>
      <c r="F88" s="6" t="s">
        <v>11</v>
      </c>
      <c r="G88" s="6" t="s">
        <v>37</v>
      </c>
      <c r="H88" s="6">
        <v>302</v>
      </c>
      <c r="I88" s="6" t="s">
        <v>13</v>
      </c>
      <c r="J88" s="6" t="str">
        <f t="shared" si="10"/>
        <v>No</v>
      </c>
    </row>
    <row r="89" spans="1:16" x14ac:dyDescent="0.25">
      <c r="A89" s="11"/>
      <c r="B89" s="12"/>
      <c r="C89" s="12"/>
      <c r="D89" s="13"/>
      <c r="E89" s="12"/>
      <c r="F89" s="12"/>
      <c r="G89" s="12"/>
      <c r="H89" s="12"/>
      <c r="I89" s="12"/>
      <c r="J89" s="12"/>
      <c r="K89" s="4"/>
      <c r="L89" s="4"/>
      <c r="M89" s="4"/>
      <c r="N89" s="4"/>
      <c r="O89" s="4"/>
      <c r="P89" s="4"/>
    </row>
    <row r="90" spans="1:16" x14ac:dyDescent="0.25">
      <c r="A90" s="11"/>
      <c r="B90" s="12"/>
      <c r="C90" s="12"/>
      <c r="D90" s="13"/>
      <c r="E90" s="12"/>
      <c r="F90" s="12"/>
      <c r="G90" s="12"/>
      <c r="H90" s="12"/>
      <c r="I90" s="12"/>
      <c r="J90" s="12"/>
      <c r="K90" s="4"/>
      <c r="L90" s="4"/>
      <c r="M90" s="4"/>
      <c r="N90" s="4"/>
      <c r="O90" s="4"/>
      <c r="P90" s="4"/>
    </row>
    <row r="91" spans="1:16" x14ac:dyDescent="0.25">
      <c r="A91" s="11"/>
      <c r="B91" s="12"/>
      <c r="C91" s="12"/>
      <c r="D91" s="13"/>
      <c r="E91" s="12"/>
      <c r="F91" s="12"/>
      <c r="G91" s="12"/>
      <c r="H91" s="12"/>
      <c r="I91" s="12"/>
      <c r="J91" s="12"/>
      <c r="K91" s="4"/>
      <c r="L91" s="4"/>
      <c r="M91" s="4"/>
      <c r="N91" s="4"/>
      <c r="O91" s="4"/>
      <c r="P91" s="4"/>
    </row>
    <row r="92" spans="1:16" x14ac:dyDescent="0.25">
      <c r="A92" s="11"/>
      <c r="B92" s="12"/>
      <c r="C92" s="12"/>
      <c r="D92" s="13"/>
      <c r="E92" s="12"/>
      <c r="F92" s="12"/>
      <c r="G92" s="12"/>
      <c r="H92" s="12"/>
      <c r="I92" s="12"/>
      <c r="J92" s="12"/>
      <c r="K92" s="4"/>
      <c r="L92" s="4"/>
      <c r="M92" s="4"/>
      <c r="N92" s="4"/>
      <c r="O92" s="4"/>
      <c r="P92" s="4"/>
    </row>
    <row r="93" spans="1:16" x14ac:dyDescent="0.25">
      <c r="A93" s="11"/>
      <c r="B93" s="12"/>
      <c r="C93" s="12"/>
      <c r="D93" s="13"/>
      <c r="E93" s="12"/>
      <c r="F93" s="12"/>
      <c r="G93" s="12"/>
      <c r="H93" s="12"/>
      <c r="I93" s="12"/>
      <c r="J93" s="12"/>
      <c r="K93" s="4"/>
      <c r="L93" s="4"/>
      <c r="M93" s="4"/>
      <c r="N93" s="4"/>
      <c r="O93" s="4"/>
      <c r="P93" s="4"/>
    </row>
    <row r="94" spans="1:16" x14ac:dyDescent="0.25">
      <c r="A94" s="11"/>
      <c r="B94" s="12"/>
      <c r="C94" s="12"/>
      <c r="D94" s="13"/>
      <c r="E94" s="12"/>
      <c r="F94" s="12"/>
      <c r="G94" s="12"/>
      <c r="H94" s="12"/>
      <c r="I94" s="12"/>
      <c r="J94" s="12"/>
      <c r="K94" s="4"/>
      <c r="L94" s="4"/>
      <c r="M94" s="4"/>
      <c r="N94" s="4"/>
      <c r="O94" s="4"/>
      <c r="P94" s="4"/>
    </row>
    <row r="95" spans="1:16" x14ac:dyDescent="0.25">
      <c r="A95" s="11"/>
      <c r="B95" s="12"/>
      <c r="C95" s="12"/>
      <c r="D95" s="13"/>
      <c r="E95" s="12"/>
      <c r="F95" s="12"/>
      <c r="G95" s="12"/>
      <c r="H95" s="12"/>
      <c r="I95" s="12"/>
      <c r="J95" s="12"/>
      <c r="K95" s="4"/>
      <c r="L95" s="4"/>
      <c r="M95" s="4"/>
      <c r="N95" s="4"/>
      <c r="O95" s="4"/>
      <c r="P95" s="4"/>
    </row>
    <row r="96" spans="1:16" x14ac:dyDescent="0.25">
      <c r="A96" s="11"/>
      <c r="B96" s="12"/>
      <c r="C96" s="12"/>
      <c r="D96" s="13"/>
      <c r="E96" s="12"/>
      <c r="F96" s="12"/>
      <c r="G96" s="12"/>
      <c r="H96" s="12"/>
      <c r="I96" s="12"/>
      <c r="J96" s="12"/>
      <c r="K96" s="4"/>
      <c r="L96" s="4"/>
      <c r="M96" s="4"/>
      <c r="N96" s="4"/>
      <c r="O96" s="4"/>
      <c r="P96" s="4"/>
    </row>
    <row r="97" spans="1:16" x14ac:dyDescent="0.25">
      <c r="A97" s="11"/>
      <c r="B97" s="12"/>
      <c r="C97" s="12"/>
      <c r="D97" s="13"/>
      <c r="E97" s="12"/>
      <c r="F97" s="12"/>
      <c r="G97" s="12"/>
      <c r="H97" s="12"/>
      <c r="I97" s="12"/>
      <c r="J97" s="12"/>
      <c r="K97" s="4"/>
      <c r="L97" s="4"/>
      <c r="M97" s="4"/>
      <c r="N97" s="4"/>
      <c r="O97" s="4"/>
      <c r="P97" s="4"/>
    </row>
    <row r="98" spans="1:16" x14ac:dyDescent="0.25">
      <c r="A98" s="11"/>
      <c r="B98" s="12"/>
      <c r="C98" s="12"/>
      <c r="D98" s="13"/>
      <c r="E98" s="12"/>
      <c r="F98" s="12"/>
      <c r="G98" s="12"/>
      <c r="H98" s="12"/>
      <c r="I98" s="12"/>
      <c r="J98" s="12"/>
      <c r="K98" s="4"/>
      <c r="L98" s="4"/>
      <c r="M98" s="4"/>
      <c r="N98" s="4"/>
      <c r="O98" s="4"/>
      <c r="P98" s="4"/>
    </row>
    <row r="99" spans="1:16" x14ac:dyDescent="0.25">
      <c r="A99" s="11"/>
      <c r="B99" s="12"/>
      <c r="C99" s="12"/>
      <c r="D99" s="13"/>
      <c r="E99" s="12"/>
      <c r="F99" s="12"/>
      <c r="G99" s="12"/>
      <c r="H99" s="12"/>
      <c r="I99" s="12"/>
      <c r="J99" s="12"/>
      <c r="K99" s="4"/>
      <c r="L99" s="4"/>
      <c r="M99" s="4"/>
      <c r="N99" s="4"/>
      <c r="O99" s="4"/>
      <c r="P99" s="4"/>
    </row>
    <row r="100" spans="1:16" x14ac:dyDescent="0.25">
      <c r="A100" s="11"/>
      <c r="B100" s="12"/>
      <c r="C100" s="12"/>
      <c r="D100" s="13"/>
      <c r="E100" s="12"/>
      <c r="F100" s="12"/>
      <c r="G100" s="12"/>
      <c r="H100" s="12"/>
      <c r="I100" s="12"/>
      <c r="J100" s="12"/>
      <c r="K100" s="4"/>
      <c r="L100" s="4"/>
      <c r="M100" s="4"/>
      <c r="N100" s="4"/>
      <c r="O100" s="4"/>
      <c r="P100" s="4"/>
    </row>
    <row r="101" spans="1:16" x14ac:dyDescent="0.25">
      <c r="A101" s="11"/>
      <c r="B101" s="12"/>
      <c r="C101" s="12"/>
      <c r="D101" s="13"/>
      <c r="E101" s="12"/>
      <c r="F101" s="12"/>
      <c r="G101" s="12"/>
      <c r="H101" s="12"/>
      <c r="I101" s="12"/>
      <c r="J101" s="12"/>
      <c r="K101" s="4"/>
      <c r="L101" s="4"/>
      <c r="M101" s="4"/>
      <c r="N101" s="4"/>
      <c r="O101" s="4"/>
      <c r="P101" s="4"/>
    </row>
    <row r="102" spans="1:16" x14ac:dyDescent="0.25">
      <c r="A102" s="11"/>
      <c r="B102" s="12"/>
      <c r="C102" s="12"/>
      <c r="D102" s="13"/>
      <c r="E102" s="12"/>
      <c r="F102" s="12"/>
      <c r="G102" s="12"/>
      <c r="H102" s="12"/>
      <c r="I102" s="12"/>
      <c r="J102" s="12"/>
      <c r="K102" s="4"/>
      <c r="L102" s="4"/>
      <c r="M102" s="4"/>
      <c r="N102" s="4"/>
      <c r="O102" s="4"/>
      <c r="P102" s="4"/>
    </row>
    <row r="103" spans="1:16" x14ac:dyDescent="0.25">
      <c r="A103" s="11"/>
      <c r="B103" s="12"/>
      <c r="C103" s="12"/>
      <c r="D103" s="13"/>
      <c r="E103" s="12"/>
      <c r="F103" s="12"/>
      <c r="G103" s="12"/>
      <c r="H103" s="12"/>
      <c r="I103" s="12"/>
      <c r="J103" s="12"/>
      <c r="K103" s="4"/>
      <c r="L103" s="4"/>
      <c r="M103" s="4"/>
      <c r="N103" s="4"/>
      <c r="O103" s="4"/>
      <c r="P103" s="4"/>
    </row>
    <row r="104" spans="1:16" x14ac:dyDescent="0.25">
      <c r="A104" s="11"/>
      <c r="B104" s="12"/>
      <c r="C104" s="12"/>
      <c r="D104" s="13"/>
      <c r="E104" s="12"/>
      <c r="F104" s="12"/>
      <c r="G104" s="12"/>
      <c r="H104" s="12"/>
      <c r="I104" s="12"/>
      <c r="J104" s="12"/>
      <c r="K104" s="4"/>
      <c r="L104" s="4"/>
      <c r="M104" s="4"/>
      <c r="N104" s="4"/>
      <c r="O104" s="4"/>
      <c r="P104" s="4"/>
    </row>
    <row r="105" spans="1:16" x14ac:dyDescent="0.25">
      <c r="A105" s="11"/>
      <c r="B105" s="12"/>
      <c r="C105" s="12"/>
      <c r="D105" s="13"/>
      <c r="E105" s="12"/>
      <c r="F105" s="12"/>
      <c r="G105" s="12"/>
      <c r="H105" s="12"/>
      <c r="I105" s="12"/>
      <c r="J105" s="12"/>
      <c r="K105" s="4"/>
      <c r="L105" s="4"/>
      <c r="M105" s="4"/>
      <c r="N105" s="4"/>
      <c r="O105" s="4"/>
      <c r="P105" s="4"/>
    </row>
    <row r="106" spans="1:16" x14ac:dyDescent="0.25">
      <c r="A106" s="11"/>
      <c r="B106" s="12"/>
      <c r="C106" s="12"/>
      <c r="D106" s="13"/>
      <c r="E106" s="12"/>
      <c r="F106" s="12"/>
      <c r="G106" s="12"/>
      <c r="H106" s="12"/>
      <c r="I106" s="12"/>
      <c r="J106" s="12"/>
      <c r="K106" s="4"/>
      <c r="L106" s="4"/>
      <c r="M106" s="4"/>
      <c r="N106" s="4"/>
      <c r="O106" s="4"/>
      <c r="P106" s="4"/>
    </row>
    <row r="107" spans="1:16" x14ac:dyDescent="0.25">
      <c r="A107" s="11"/>
      <c r="B107" s="12"/>
      <c r="C107" s="12"/>
      <c r="D107" s="13"/>
      <c r="E107" s="12"/>
      <c r="F107" s="12"/>
      <c r="G107" s="12"/>
      <c r="H107" s="12"/>
      <c r="I107" s="12"/>
      <c r="J107" s="12"/>
      <c r="K107" s="4"/>
      <c r="L107" s="4"/>
      <c r="M107" s="4"/>
      <c r="N107" s="4"/>
      <c r="O107" s="4"/>
      <c r="P107" s="4"/>
    </row>
    <row r="108" spans="1:16" x14ac:dyDescent="0.25">
      <c r="A108" s="11"/>
      <c r="B108" s="12"/>
      <c r="C108" s="12"/>
      <c r="D108" s="13"/>
      <c r="E108" s="12"/>
      <c r="F108" s="12"/>
      <c r="G108" s="12"/>
      <c r="H108" s="12"/>
      <c r="I108" s="12"/>
      <c r="J108" s="12"/>
      <c r="K108" s="4"/>
      <c r="L108" s="4"/>
      <c r="M108" s="4"/>
      <c r="N108" s="4"/>
      <c r="O108" s="4"/>
      <c r="P108" s="4"/>
    </row>
    <row r="109" spans="1:16" x14ac:dyDescent="0.25">
      <c r="A109" s="11"/>
      <c r="B109" s="12"/>
      <c r="C109" s="12"/>
      <c r="D109" s="13"/>
      <c r="E109" s="12"/>
      <c r="F109" s="12"/>
      <c r="G109" s="12"/>
      <c r="H109" s="12"/>
      <c r="I109" s="12"/>
      <c r="J109" s="12"/>
      <c r="K109" s="4"/>
      <c r="L109" s="4"/>
      <c r="M109" s="4"/>
      <c r="N109" s="4"/>
      <c r="O109" s="4"/>
      <c r="P109" s="4"/>
    </row>
    <row r="110" spans="1:16" x14ac:dyDescent="0.25">
      <c r="A110" s="11"/>
      <c r="B110" s="12"/>
      <c r="C110" s="12"/>
      <c r="D110" s="13"/>
      <c r="E110" s="12"/>
      <c r="F110" s="12"/>
      <c r="G110" s="12"/>
      <c r="H110" s="12"/>
      <c r="I110" s="12"/>
      <c r="J110" s="12"/>
      <c r="K110" s="4"/>
      <c r="L110" s="4"/>
      <c r="M110" s="4"/>
      <c r="N110" s="4"/>
      <c r="O110" s="4"/>
      <c r="P110" s="4"/>
    </row>
    <row r="111" spans="1:16" x14ac:dyDescent="0.25">
      <c r="A111" s="11"/>
      <c r="B111" s="12"/>
      <c r="C111" s="12"/>
      <c r="D111" s="13"/>
      <c r="E111" s="12"/>
      <c r="F111" s="12"/>
      <c r="G111" s="12"/>
      <c r="H111" s="12"/>
      <c r="I111" s="12"/>
      <c r="J111" s="12"/>
      <c r="K111" s="4"/>
      <c r="L111" s="4"/>
      <c r="M111" s="4"/>
      <c r="N111" s="4"/>
      <c r="O111" s="4"/>
      <c r="P111" s="4"/>
    </row>
    <row r="112" spans="1:16" x14ac:dyDescent="0.25">
      <c r="A112" s="11"/>
      <c r="B112" s="12"/>
      <c r="C112" s="12"/>
      <c r="D112" s="13"/>
      <c r="E112" s="12"/>
      <c r="F112" s="12"/>
      <c r="G112" s="12"/>
      <c r="H112" s="12"/>
      <c r="I112" s="12"/>
      <c r="J112" s="12"/>
      <c r="K112" s="4"/>
      <c r="L112" s="4"/>
      <c r="M112" s="4"/>
      <c r="N112" s="4"/>
      <c r="O112" s="4"/>
      <c r="P112" s="4"/>
    </row>
    <row r="113" spans="1:16" x14ac:dyDescent="0.25">
      <c r="A113" s="11"/>
      <c r="B113" s="12"/>
      <c r="C113" s="12"/>
      <c r="D113" s="13"/>
      <c r="E113" s="12"/>
      <c r="F113" s="12"/>
      <c r="G113" s="12"/>
      <c r="H113" s="12"/>
      <c r="I113" s="12"/>
      <c r="J113" s="12"/>
      <c r="K113" s="4"/>
      <c r="L113" s="4"/>
      <c r="M113" s="4"/>
      <c r="N113" s="4"/>
      <c r="O113" s="4"/>
      <c r="P113" s="4"/>
    </row>
    <row r="114" spans="1:16" x14ac:dyDescent="0.25">
      <c r="A114" s="11"/>
      <c r="B114" s="12"/>
      <c r="C114" s="12"/>
      <c r="D114" s="13"/>
      <c r="E114" s="12"/>
      <c r="F114" s="12"/>
      <c r="G114" s="12"/>
      <c r="H114" s="12"/>
      <c r="I114" s="12"/>
      <c r="J114" s="12"/>
      <c r="K114" s="4"/>
      <c r="L114" s="4"/>
      <c r="M114" s="4"/>
      <c r="N114" s="4"/>
      <c r="O114" s="4"/>
      <c r="P114" s="4"/>
    </row>
    <row r="115" spans="1:16" x14ac:dyDescent="0.25">
      <c r="A115" s="11"/>
      <c r="B115" s="12"/>
      <c r="C115" s="12"/>
      <c r="D115" s="13"/>
      <c r="E115" s="12"/>
      <c r="F115" s="12"/>
      <c r="G115" s="12"/>
      <c r="H115" s="12"/>
      <c r="I115" s="12"/>
      <c r="J115" s="12"/>
      <c r="K115" s="4"/>
      <c r="L115" s="4"/>
      <c r="M115" s="4"/>
      <c r="N115" s="4"/>
      <c r="O115" s="4"/>
      <c r="P115" s="4"/>
    </row>
    <row r="116" spans="1:16" x14ac:dyDescent="0.25">
      <c r="A116" s="11"/>
      <c r="B116" s="12"/>
      <c r="C116" s="12"/>
      <c r="D116" s="13"/>
      <c r="E116" s="12"/>
      <c r="F116" s="12"/>
      <c r="G116" s="12"/>
      <c r="H116" s="12"/>
      <c r="I116" s="12"/>
      <c r="J116" s="12"/>
      <c r="K116" s="4"/>
      <c r="L116" s="4"/>
      <c r="M116" s="4"/>
      <c r="N116" s="4"/>
      <c r="O116" s="4"/>
      <c r="P116" s="4"/>
    </row>
    <row r="117" spans="1:16" x14ac:dyDescent="0.25">
      <c r="A117" s="11"/>
      <c r="B117" s="12"/>
      <c r="C117" s="12"/>
      <c r="D117" s="13"/>
      <c r="E117" s="12"/>
      <c r="F117" s="12"/>
      <c r="G117" s="12"/>
      <c r="H117" s="12"/>
      <c r="I117" s="12"/>
      <c r="J117" s="12"/>
      <c r="K117" s="4"/>
      <c r="L117" s="4"/>
      <c r="M117" s="4"/>
      <c r="N117" s="4"/>
      <c r="O117" s="4"/>
      <c r="P117" s="4"/>
    </row>
    <row r="118" spans="1:16" x14ac:dyDescent="0.25">
      <c r="A118" s="11"/>
      <c r="B118" s="12"/>
      <c r="C118" s="12"/>
      <c r="D118" s="13"/>
      <c r="E118" s="12"/>
      <c r="F118" s="12"/>
      <c r="G118" s="12"/>
      <c r="H118" s="12"/>
      <c r="I118" s="12"/>
      <c r="J118" s="12"/>
      <c r="K118" s="4"/>
      <c r="L118" s="4"/>
      <c r="M118" s="4"/>
      <c r="N118" s="4"/>
      <c r="O118" s="4"/>
      <c r="P118" s="4"/>
    </row>
    <row r="119" spans="1:16" x14ac:dyDescent="0.25">
      <c r="A119" s="11"/>
      <c r="B119" s="12"/>
      <c r="C119" s="12"/>
      <c r="D119" s="13"/>
      <c r="E119" s="12"/>
      <c r="F119" s="12"/>
      <c r="G119" s="12"/>
      <c r="H119" s="12"/>
      <c r="I119" s="12"/>
      <c r="J119" s="12"/>
      <c r="K119" s="4"/>
      <c r="L119" s="4"/>
      <c r="M119" s="4"/>
      <c r="N119" s="4"/>
      <c r="O119" s="4"/>
      <c r="P119" s="4"/>
    </row>
    <row r="120" spans="1:16" x14ac:dyDescent="0.25">
      <c r="A120" s="11"/>
      <c r="B120" s="12"/>
      <c r="C120" s="12"/>
      <c r="D120" s="13"/>
      <c r="E120" s="12"/>
      <c r="F120" s="12"/>
      <c r="G120" s="12"/>
      <c r="H120" s="12"/>
      <c r="I120" s="12"/>
      <c r="J120" s="12"/>
      <c r="K120" s="4"/>
      <c r="L120" s="4"/>
      <c r="M120" s="4"/>
      <c r="N120" s="4"/>
      <c r="O120" s="4"/>
      <c r="P120" s="4"/>
    </row>
    <row r="121" spans="1:16" x14ac:dyDescent="0.25">
      <c r="A121" s="11"/>
      <c r="B121" s="12"/>
      <c r="C121" s="12"/>
      <c r="D121" s="13"/>
      <c r="E121" s="12"/>
      <c r="F121" s="12"/>
      <c r="G121" s="12"/>
      <c r="H121" s="12"/>
      <c r="I121" s="12"/>
      <c r="J121" s="12"/>
      <c r="K121" s="4"/>
      <c r="L121" s="4"/>
      <c r="M121" s="4"/>
      <c r="N121" s="4"/>
      <c r="O121" s="4"/>
      <c r="P121" s="4"/>
    </row>
    <row r="122" spans="1:16" x14ac:dyDescent="0.25">
      <c r="A122" s="11"/>
      <c r="B122" s="12"/>
      <c r="C122" s="12"/>
      <c r="D122" s="13"/>
      <c r="E122" s="12"/>
      <c r="F122" s="12"/>
      <c r="G122" s="12"/>
      <c r="H122" s="12"/>
      <c r="I122" s="12"/>
      <c r="J122" s="12"/>
      <c r="K122" s="4"/>
      <c r="L122" s="4"/>
      <c r="M122" s="4"/>
      <c r="N122" s="4"/>
      <c r="O122" s="4"/>
      <c r="P122" s="4"/>
    </row>
    <row r="123" spans="1:16" x14ac:dyDescent="0.25">
      <c r="A123" s="11"/>
      <c r="B123" s="12"/>
      <c r="C123" s="12"/>
      <c r="D123" s="13"/>
      <c r="E123" s="12"/>
      <c r="F123" s="12"/>
      <c r="G123" s="12"/>
      <c r="H123" s="12"/>
      <c r="I123" s="12"/>
      <c r="J123" s="12"/>
      <c r="K123" s="4"/>
      <c r="L123" s="4"/>
      <c r="M123" s="4"/>
      <c r="N123" s="4"/>
      <c r="O123" s="4"/>
      <c r="P123" s="4"/>
    </row>
    <row r="124" spans="1:16" x14ac:dyDescent="0.25">
      <c r="A124" s="11"/>
      <c r="B124" s="12"/>
      <c r="C124" s="12"/>
      <c r="D124" s="13"/>
      <c r="E124" s="12"/>
      <c r="F124" s="12"/>
      <c r="G124" s="12"/>
      <c r="H124" s="12"/>
      <c r="I124" s="12"/>
      <c r="J124" s="12"/>
      <c r="K124" s="4"/>
      <c r="L124" s="4"/>
      <c r="M124" s="4"/>
      <c r="N124" s="4"/>
      <c r="O124" s="4"/>
      <c r="P124" s="4"/>
    </row>
    <row r="125" spans="1:16" x14ac:dyDescent="0.25">
      <c r="A125" s="11"/>
      <c r="B125" s="12"/>
      <c r="C125" s="12"/>
      <c r="D125" s="13"/>
      <c r="E125" s="12"/>
      <c r="F125" s="12"/>
      <c r="G125" s="12"/>
      <c r="H125" s="12"/>
      <c r="I125" s="12"/>
      <c r="J125" s="12"/>
      <c r="K125" s="4"/>
      <c r="L125" s="4"/>
      <c r="M125" s="4"/>
      <c r="N125" s="4"/>
      <c r="O125" s="4"/>
      <c r="P125" s="4"/>
    </row>
    <row r="126" spans="1:16" x14ac:dyDescent="0.25">
      <c r="A126" s="11"/>
      <c r="B126" s="12"/>
      <c r="C126" s="12"/>
      <c r="D126" s="13"/>
      <c r="E126" s="12"/>
      <c r="F126" s="12"/>
      <c r="G126" s="12"/>
      <c r="H126" s="12"/>
      <c r="I126" s="12"/>
      <c r="J126" s="12"/>
      <c r="K126" s="4"/>
      <c r="L126" s="4"/>
      <c r="M126" s="4"/>
      <c r="N126" s="4"/>
      <c r="O126" s="4"/>
      <c r="P126" s="4"/>
    </row>
    <row r="127" spans="1:16" x14ac:dyDescent="0.25">
      <c r="A127" s="11"/>
      <c r="B127" s="12"/>
      <c r="C127" s="12"/>
      <c r="D127" s="13"/>
      <c r="E127" s="12"/>
      <c r="F127" s="12"/>
      <c r="G127" s="12"/>
      <c r="H127" s="12"/>
      <c r="I127" s="12"/>
      <c r="J127" s="12"/>
      <c r="K127" s="4"/>
      <c r="L127" s="4"/>
      <c r="M127" s="4"/>
      <c r="N127" s="4"/>
      <c r="O127" s="4"/>
      <c r="P127" s="4"/>
    </row>
    <row r="128" spans="1:16" x14ac:dyDescent="0.25">
      <c r="A128" s="11"/>
      <c r="B128" s="12"/>
      <c r="C128" s="12"/>
      <c r="D128" s="13"/>
      <c r="E128" s="12"/>
      <c r="F128" s="12"/>
      <c r="G128" s="12"/>
      <c r="H128" s="12"/>
      <c r="I128" s="12"/>
      <c r="J128" s="12"/>
      <c r="K128" s="4"/>
      <c r="L128" s="4"/>
      <c r="M128" s="4"/>
      <c r="N128" s="4"/>
      <c r="O128" s="4"/>
      <c r="P128" s="4"/>
    </row>
    <row r="129" spans="1:16" x14ac:dyDescent="0.25">
      <c r="A129" s="11"/>
      <c r="B129" s="12"/>
      <c r="C129" s="12"/>
      <c r="D129" s="13"/>
      <c r="E129" s="12"/>
      <c r="F129" s="12"/>
      <c r="G129" s="12"/>
      <c r="H129" s="12"/>
      <c r="I129" s="12"/>
      <c r="J129" s="12"/>
      <c r="K129" s="4"/>
      <c r="L129" s="4"/>
      <c r="M129" s="4"/>
      <c r="N129" s="4"/>
      <c r="O129" s="4"/>
      <c r="P129" s="4"/>
    </row>
    <row r="130" spans="1:16" x14ac:dyDescent="0.25">
      <c r="A130" s="11"/>
      <c r="B130" s="12"/>
      <c r="C130" s="12"/>
      <c r="D130" s="13"/>
      <c r="E130" s="12"/>
      <c r="F130" s="12"/>
      <c r="G130" s="12"/>
      <c r="H130" s="12"/>
      <c r="I130" s="12"/>
      <c r="J130" s="12"/>
      <c r="K130" s="4"/>
      <c r="L130" s="4"/>
      <c r="M130" s="4"/>
      <c r="N130" s="4"/>
      <c r="O130" s="4"/>
      <c r="P130" s="4"/>
    </row>
    <row r="131" spans="1:16" x14ac:dyDescent="0.25">
      <c r="A131" s="11"/>
      <c r="B131" s="12"/>
      <c r="C131" s="12"/>
      <c r="D131" s="13"/>
      <c r="E131" s="12"/>
      <c r="F131" s="12"/>
      <c r="G131" s="12"/>
      <c r="H131" s="12"/>
      <c r="I131" s="12"/>
      <c r="J131" s="12"/>
      <c r="K131" s="4"/>
      <c r="L131" s="4"/>
      <c r="M131" s="4"/>
      <c r="N131" s="4"/>
      <c r="O131" s="4"/>
      <c r="P131" s="4"/>
    </row>
    <row r="132" spans="1:16" x14ac:dyDescent="0.25">
      <c r="A132" s="11"/>
      <c r="B132" s="12"/>
      <c r="C132" s="12"/>
      <c r="D132" s="13"/>
      <c r="E132" s="12"/>
      <c r="F132" s="12"/>
      <c r="G132" s="12"/>
      <c r="H132" s="12"/>
      <c r="I132" s="12"/>
      <c r="J132" s="12"/>
      <c r="K132" s="4"/>
      <c r="L132" s="4"/>
      <c r="M132" s="4"/>
      <c r="N132" s="4"/>
      <c r="O132" s="4"/>
      <c r="P132" s="4"/>
    </row>
    <row r="133" spans="1:16" x14ac:dyDescent="0.25">
      <c r="A133" s="14"/>
      <c r="B133" s="4"/>
      <c r="C133" s="4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5">
      <c r="A134" s="14"/>
      <c r="B134" s="4"/>
      <c r="C134" s="4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5">
      <c r="A135" s="14"/>
      <c r="B135" s="4"/>
      <c r="C135" s="4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5">
      <c r="A136" s="14"/>
      <c r="B136" s="4"/>
      <c r="C136" s="4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14"/>
      <c r="B137" s="4"/>
      <c r="C137" s="4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5">
      <c r="A138" s="14"/>
      <c r="B138" s="4"/>
      <c r="C138" s="4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5">
      <c r="A139" s="14"/>
      <c r="B139" s="4"/>
      <c r="C139" s="4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5">
      <c r="A140" s="14"/>
      <c r="B140" s="4"/>
      <c r="C140" s="4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5">
      <c r="A141" s="14"/>
      <c r="B141" s="4"/>
      <c r="C141" s="4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5">
      <c r="A142" s="14"/>
      <c r="B142" s="4"/>
      <c r="C142" s="4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5">
      <c r="A143" s="14"/>
      <c r="B143" s="4"/>
      <c r="C143" s="4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14"/>
      <c r="B144" s="4"/>
      <c r="C144" s="4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14"/>
      <c r="B145" s="4"/>
      <c r="C145" s="4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14"/>
      <c r="B146" s="4"/>
      <c r="C146" s="4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5">
      <c r="A147" s="14"/>
      <c r="B147" s="4"/>
      <c r="C147" s="4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5">
      <c r="A148" s="14"/>
      <c r="B148" s="4"/>
      <c r="C148" s="4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5">
      <c r="A149" s="14"/>
      <c r="B149" s="4"/>
      <c r="C149" s="4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5">
      <c r="A150" s="14"/>
      <c r="B150" s="4"/>
      <c r="C150" s="4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5">
      <c r="A151" s="14"/>
      <c r="B151" s="4"/>
      <c r="C151" s="4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5">
      <c r="A152" s="14"/>
      <c r="B152" s="4"/>
      <c r="C152" s="4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14"/>
      <c r="B153" s="4"/>
      <c r="C153" s="4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5">
      <c r="A154" s="14"/>
      <c r="B154" s="4"/>
      <c r="C154" s="4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5">
      <c r="A155" s="14"/>
      <c r="B155" s="4"/>
      <c r="C155" s="4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14"/>
      <c r="B156" s="4"/>
      <c r="C156" s="4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14"/>
      <c r="B157" s="4"/>
      <c r="C157" s="4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5">
      <c r="A158" s="14"/>
      <c r="B158" s="4"/>
      <c r="C158" s="4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14"/>
      <c r="B159" s="4"/>
      <c r="C159" s="4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14"/>
      <c r="B160" s="4"/>
      <c r="C160" s="4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14"/>
      <c r="B161" s="4"/>
      <c r="C161" s="4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14"/>
      <c r="B162" s="4"/>
      <c r="C162" s="4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s="14"/>
      <c r="B163" s="4"/>
      <c r="C163" s="4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5">
      <c r="A164" s="14"/>
      <c r="B164" s="4"/>
      <c r="C164" s="4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5">
      <c r="A165" s="14"/>
      <c r="B165" s="4"/>
      <c r="C165" s="4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5">
      <c r="A166" s="14"/>
      <c r="B166" s="4"/>
      <c r="C166" s="4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14"/>
      <c r="B167" s="4"/>
      <c r="C167" s="4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14"/>
      <c r="B168" s="4"/>
      <c r="C168" s="4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14"/>
      <c r="B169" s="4"/>
      <c r="C169" s="4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25">
      <c r="A170" s="14"/>
      <c r="B170" s="4"/>
      <c r="C170" s="4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25">
      <c r="A171" s="14"/>
      <c r="B171" s="4"/>
      <c r="C171" s="4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25">
      <c r="A172" s="14"/>
      <c r="B172" s="4"/>
      <c r="C172" s="4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5">
      <c r="A173" s="14"/>
      <c r="B173" s="4"/>
      <c r="C173" s="4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5">
      <c r="A174" s="14"/>
      <c r="B174" s="4"/>
      <c r="C174" s="4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25">
      <c r="A175" s="14"/>
      <c r="B175" s="4"/>
      <c r="C175" s="4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25">
      <c r="A176" s="14"/>
      <c r="B176" s="4"/>
      <c r="C176" s="4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25">
      <c r="A177" s="14"/>
      <c r="B177" s="4"/>
      <c r="C177" s="4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25">
      <c r="A178" s="14"/>
      <c r="B178" s="4"/>
      <c r="C178" s="4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25">
      <c r="A179" s="14"/>
      <c r="B179" s="4"/>
      <c r="C179" s="4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25">
      <c r="A180" s="14"/>
      <c r="B180" s="4"/>
      <c r="C180" s="4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25">
      <c r="A181" s="14"/>
      <c r="B181" s="4"/>
      <c r="C181" s="4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25">
      <c r="A182" s="14"/>
      <c r="B182" s="4"/>
      <c r="C182" s="4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25">
      <c r="A183" s="14"/>
      <c r="B183" s="4"/>
      <c r="C183" s="4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25">
      <c r="A184" s="14"/>
      <c r="B184" s="4"/>
      <c r="C184" s="4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25">
      <c r="A185" s="14"/>
      <c r="B185" s="4"/>
      <c r="C185" s="4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25">
      <c r="A186" s="14"/>
      <c r="B186" s="4"/>
      <c r="C186" s="4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25">
      <c r="A187" s="14"/>
      <c r="B187" s="4"/>
      <c r="C187" s="4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25">
      <c r="A188" s="14"/>
      <c r="B188" s="4"/>
      <c r="C188" s="4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</sheetData>
  <dataValidations count="1">
    <dataValidation type="custom" allowBlank="1" showDropDown="1" sqref="D2:D88 A2:A88" xr:uid="{00000000-0002-0000-0000-000000000000}">
      <formula1>OR(NOT(ISERROR(DATEVALUE(A2))), AND(ISNUMBER(A2), LEFT(CELL("format", A2))="D"))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1"/>
  <sheetViews>
    <sheetView workbookViewId="0"/>
  </sheetViews>
  <sheetFormatPr defaultColWidth="12.6640625" defaultRowHeight="15.75" customHeight="1" x14ac:dyDescent="0.25"/>
  <cols>
    <col min="1" max="1" width="19.77734375" customWidth="1"/>
    <col min="2" max="2" width="19.21875" customWidth="1"/>
    <col min="3" max="3" width="16.77734375" customWidth="1"/>
    <col min="9" max="9" width="19.77734375" customWidth="1"/>
    <col min="10" max="10" width="15.6640625" customWidth="1"/>
    <col min="13" max="13" width="24.33203125" customWidth="1"/>
  </cols>
  <sheetData>
    <row r="1" spans="1:14" ht="13.2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4" ht="21" customHeight="1" x14ac:dyDescent="0.25">
      <c r="A2" s="5">
        <f ca="1">IFERROR(__xludf.DUMMYFUNCTION("FILTER('Registration Data'!A:J, ('Registration Data'!E:E&gt;=17)*('Registration Data'!F:F=""Female""))
"),45645.4948332986)</f>
        <v>45645.494833298602</v>
      </c>
      <c r="B2" s="6" t="str">
        <f ca="1">IFERROR(__xludf.DUMMYFUNCTION("""COMPUTED_VALUE"""),"Sangita Pawar")</f>
        <v>Sangita Pawar</v>
      </c>
      <c r="C2" s="6">
        <f ca="1">IFERROR(__xludf.DUMMYFUNCTION("""COMPUTED_VALUE"""),9637575258)</f>
        <v>9637575258</v>
      </c>
      <c r="D2" s="7">
        <f ca="1">IFERROR(__xludf.DUMMYFUNCTION("""COMPUTED_VALUE"""),31492)</f>
        <v>31492</v>
      </c>
      <c r="E2" s="6">
        <f ca="1">IFERROR(__xludf.DUMMYFUNCTION("""COMPUTED_VALUE"""),38)</f>
        <v>38</v>
      </c>
      <c r="F2" s="6" t="str">
        <f ca="1">IFERROR(__xludf.DUMMYFUNCTION("""COMPUTED_VALUE"""),"Female")</f>
        <v>Female</v>
      </c>
      <c r="G2" s="6" t="str">
        <f ca="1">IFERROR(__xludf.DUMMYFUNCTION("""COMPUTED_VALUE"""),"C - wing")</f>
        <v>C - wing</v>
      </c>
      <c r="H2" s="6">
        <f ca="1">IFERROR(__xludf.DUMMYFUNCTION("""COMPUTED_VALUE"""),401)</f>
        <v>401</v>
      </c>
      <c r="I2" s="6" t="str">
        <f ca="1">IFERROR(__xludf.DUMMYFUNCTION("""COMPUTED_VALUE"""),"Accept")</f>
        <v>Accept</v>
      </c>
      <c r="J2" s="6" t="str">
        <f ca="1">IFERROR(__xludf.DUMMYFUNCTION("""COMPUTED_VALUE"""),"No")</f>
        <v>No</v>
      </c>
    </row>
    <row r="3" spans="1:14" ht="21" customHeight="1" x14ac:dyDescent="0.25">
      <c r="A3" s="16">
        <f ca="1">IFERROR(__xludf.DUMMYFUNCTION("""COMPUTED_VALUE"""),45647.5727277893)</f>
        <v>45647.572727789302</v>
      </c>
      <c r="B3" s="17" t="str">
        <f ca="1">IFERROR(__xludf.DUMMYFUNCTION("""COMPUTED_VALUE"""),"Kirti Dhakne")</f>
        <v>Kirti Dhakne</v>
      </c>
      <c r="C3" s="17">
        <f ca="1">IFERROR(__xludf.DUMMYFUNCTION("""COMPUTED_VALUE"""),8605103139)</f>
        <v>8605103139</v>
      </c>
      <c r="D3" s="18">
        <f ca="1">IFERROR(__xludf.DUMMYFUNCTION("""COMPUTED_VALUE"""),32874)</f>
        <v>32874</v>
      </c>
      <c r="E3" s="17">
        <f ca="1">IFERROR(__xludf.DUMMYFUNCTION("""COMPUTED_VALUE"""),34)</f>
        <v>34</v>
      </c>
      <c r="F3" s="17" t="str">
        <f ca="1">IFERROR(__xludf.DUMMYFUNCTION("""COMPUTED_VALUE"""),"Female")</f>
        <v>Female</v>
      </c>
      <c r="G3" s="17" t="str">
        <f ca="1">IFERROR(__xludf.DUMMYFUNCTION("""COMPUTED_VALUE"""),"B - wing")</f>
        <v>B - wing</v>
      </c>
      <c r="H3" s="17">
        <f ca="1">IFERROR(__xludf.DUMMYFUNCTION("""COMPUTED_VALUE"""),103)</f>
        <v>103</v>
      </c>
      <c r="I3" s="17" t="str">
        <f ca="1">IFERROR(__xludf.DUMMYFUNCTION("""COMPUTED_VALUE"""),"Accept")</f>
        <v>Accept</v>
      </c>
      <c r="J3" s="17" t="str">
        <f ca="1">IFERROR(__xludf.DUMMYFUNCTION("""COMPUTED_VALUE"""),"No")</f>
        <v>No</v>
      </c>
    </row>
    <row r="4" spans="1:14" ht="21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M4" s="26" t="s">
        <v>108</v>
      </c>
      <c r="N4" s="26" t="s">
        <v>109</v>
      </c>
    </row>
    <row r="5" spans="1:14" ht="21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M5" s="6" t="s">
        <v>110</v>
      </c>
      <c r="N5" s="6">
        <f ca="1">COUNTIF(WOMEN!G:G, "A - wing")</f>
        <v>0</v>
      </c>
    </row>
    <row r="6" spans="1:14" ht="21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M6" s="6" t="s">
        <v>111</v>
      </c>
      <c r="N6" s="6">
        <f ca="1">COUNTIF(WOMEN!G:G, "B - wing")</f>
        <v>1</v>
      </c>
    </row>
    <row r="7" spans="1:14" ht="21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M7" s="19" t="s">
        <v>112</v>
      </c>
      <c r="N7" s="20">
        <f ca="1">COUNTIF(WOMEN!G:G, "C - wing")</f>
        <v>1</v>
      </c>
    </row>
    <row r="8" spans="1:14" ht="21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M8" s="19" t="s">
        <v>113</v>
      </c>
      <c r="N8" s="20">
        <f ca="1">COUNTIF(WOMEN!G:G, "D - wing")</f>
        <v>0</v>
      </c>
    </row>
    <row r="9" spans="1:14" ht="21" customHeigh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M9" s="19" t="s">
        <v>114</v>
      </c>
      <c r="N9" s="20">
        <f ca="1">COUNTIF(WOMEN!G:G, "E - wing")</f>
        <v>0</v>
      </c>
    </row>
    <row r="10" spans="1:14" ht="21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M10" s="19" t="s">
        <v>115</v>
      </c>
      <c r="N10" s="20">
        <f ca="1">COUNTIF(WOMEN!G:G, "F - wing")</f>
        <v>0</v>
      </c>
    </row>
    <row r="11" spans="1:14" ht="21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M11" s="21" t="s">
        <v>116</v>
      </c>
      <c r="N11" s="22">
        <f ca="1">N5+N6+N7+N8+N9+N10</f>
        <v>2</v>
      </c>
    </row>
    <row r="12" spans="1:14" ht="21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4" ht="21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4" ht="21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4" ht="21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</row>
    <row r="16" spans="1:14" ht="21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21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21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21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21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</row>
    <row r="21" spans="1:10" ht="21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10" ht="21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 ht="21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10" ht="21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21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0" ht="21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ht="21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 ht="21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ht="21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21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 spans="1:10" ht="21" customHeigh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C602-B173-4D94-935F-12AA6DC70286}">
  <dimension ref="A1:J41"/>
  <sheetViews>
    <sheetView workbookViewId="0">
      <selection activeCell="K16" sqref="K16"/>
    </sheetView>
  </sheetViews>
  <sheetFormatPr defaultRowHeight="13.2" x14ac:dyDescent="0.25"/>
  <cols>
    <col min="1" max="1" width="22.44140625" style="38" customWidth="1"/>
    <col min="2" max="2" width="24" customWidth="1"/>
    <col min="3" max="3" width="18.6640625" customWidth="1"/>
    <col min="4" max="4" width="15.33203125" style="43" customWidth="1"/>
    <col min="5" max="5" width="14.5546875" customWidth="1"/>
    <col min="8" max="8" width="13.109375" customWidth="1"/>
    <col min="9" max="9" width="16.77734375" customWidth="1"/>
    <col min="10" max="10" width="14.88671875" customWidth="1"/>
  </cols>
  <sheetData>
    <row r="1" spans="1:10" x14ac:dyDescent="0.25">
      <c r="A1" s="37" t="s">
        <v>0</v>
      </c>
      <c r="B1" s="36" t="s">
        <v>1</v>
      </c>
      <c r="C1" s="36" t="s">
        <v>2</v>
      </c>
      <c r="D1" s="41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</row>
    <row r="2" spans="1:10" x14ac:dyDescent="0.25">
      <c r="A2" s="39" cm="1">
        <f t="array" ref="A2:J41">_xlfn._xlws.FILTER('Registration Data'!A:J, ('Registration Data'!E:E&gt;=18)*('Registration Data'!F:F="Male"))</f>
        <v>45643.566059699078</v>
      </c>
      <c r="B2" s="40" t="str">
        <v>Chetan Sanjay Chopade</v>
      </c>
      <c r="C2" s="40">
        <v>9422667871</v>
      </c>
      <c r="D2" s="42">
        <v>37332</v>
      </c>
      <c r="E2" s="40">
        <v>22</v>
      </c>
      <c r="F2" s="40" t="str">
        <v>Male</v>
      </c>
      <c r="G2" s="40" t="str">
        <v>D - wing</v>
      </c>
      <c r="H2" s="40">
        <v>703</v>
      </c>
      <c r="I2" s="40" t="str">
        <v>Accept</v>
      </c>
      <c r="J2" s="40" t="str">
        <v>Yes</v>
      </c>
    </row>
    <row r="3" spans="1:10" x14ac:dyDescent="0.25">
      <c r="A3" s="39">
        <v>45643.569454861106</v>
      </c>
      <c r="B3" s="40" t="str">
        <v>Kiran Khalkar</v>
      </c>
      <c r="C3" s="40">
        <v>7588174403</v>
      </c>
      <c r="D3" s="42">
        <v>31121</v>
      </c>
      <c r="E3" s="40">
        <v>39</v>
      </c>
      <c r="F3" s="40" t="str">
        <v>Male</v>
      </c>
      <c r="G3" s="40" t="str">
        <v>D - wing</v>
      </c>
      <c r="H3" s="40">
        <v>403</v>
      </c>
      <c r="I3" s="40" t="str">
        <v>Accept</v>
      </c>
      <c r="J3" s="40" t="str">
        <v>No</v>
      </c>
    </row>
    <row r="4" spans="1:10" x14ac:dyDescent="0.25">
      <c r="A4" s="39">
        <v>45645.445008773153</v>
      </c>
      <c r="B4" s="40" t="str">
        <v>Narendra Kharche</v>
      </c>
      <c r="C4" s="40">
        <v>7588418841</v>
      </c>
      <c r="D4" s="42">
        <v>29933</v>
      </c>
      <c r="E4" s="40">
        <v>43</v>
      </c>
      <c r="F4" s="40" t="str">
        <v>Male</v>
      </c>
      <c r="G4" s="40" t="str">
        <v>D - wing</v>
      </c>
      <c r="H4" s="40">
        <v>401</v>
      </c>
      <c r="I4" s="40" t="str">
        <v>Accept</v>
      </c>
      <c r="J4" s="40" t="str">
        <v>Yes</v>
      </c>
    </row>
    <row r="5" spans="1:10" x14ac:dyDescent="0.25">
      <c r="A5" s="39">
        <v>45645.489376944446</v>
      </c>
      <c r="B5" s="40" t="str">
        <v>Mahesh mohan Kale</v>
      </c>
      <c r="C5" s="40">
        <v>8652037799</v>
      </c>
      <c r="D5" s="42">
        <v>31042</v>
      </c>
      <c r="E5" s="40">
        <v>40</v>
      </c>
      <c r="F5" s="40" t="str">
        <v>Male</v>
      </c>
      <c r="G5" s="40" t="str">
        <v>D - wing</v>
      </c>
      <c r="H5" s="40">
        <v>203</v>
      </c>
      <c r="I5" s="40" t="str">
        <v>Accept</v>
      </c>
      <c r="J5" s="40" t="str">
        <v>No</v>
      </c>
    </row>
    <row r="6" spans="1:10" x14ac:dyDescent="0.25">
      <c r="A6" s="39">
        <v>45645.612814178239</v>
      </c>
      <c r="B6" s="40" t="str">
        <v>Nishikant Joshi</v>
      </c>
      <c r="C6" s="40">
        <v>8139640375</v>
      </c>
      <c r="D6" s="42">
        <v>34766</v>
      </c>
      <c r="E6" s="40">
        <v>29</v>
      </c>
      <c r="F6" s="40" t="str">
        <v>Male</v>
      </c>
      <c r="G6" s="40" t="str">
        <v>A - wing</v>
      </c>
      <c r="H6" s="40">
        <v>201</v>
      </c>
      <c r="I6" s="40" t="str">
        <v>Accept</v>
      </c>
      <c r="J6" s="40" t="str">
        <v>Yes</v>
      </c>
    </row>
    <row r="7" spans="1:10" x14ac:dyDescent="0.25">
      <c r="A7" s="39">
        <v>45645.831297685188</v>
      </c>
      <c r="B7" s="40" t="str">
        <v xml:space="preserve">Anand Newasekar </v>
      </c>
      <c r="C7" s="40">
        <v>8421659548</v>
      </c>
      <c r="D7" s="42">
        <v>30752</v>
      </c>
      <c r="E7" s="40">
        <v>40</v>
      </c>
      <c r="F7" s="40" t="str">
        <v>Male</v>
      </c>
      <c r="G7" s="40" t="str">
        <v>A - wing</v>
      </c>
      <c r="H7" s="40">
        <v>701</v>
      </c>
      <c r="I7" s="40" t="str">
        <v>Accept</v>
      </c>
      <c r="J7" s="40" t="str">
        <v>Yes</v>
      </c>
    </row>
    <row r="8" spans="1:10" x14ac:dyDescent="0.25">
      <c r="A8" s="39">
        <v>45645.894227824072</v>
      </c>
      <c r="B8" s="40" t="str">
        <v>Mangesh Joshi</v>
      </c>
      <c r="C8" s="40">
        <v>9270162813</v>
      </c>
      <c r="D8" s="42">
        <v>31643</v>
      </c>
      <c r="E8" s="40">
        <v>38</v>
      </c>
      <c r="F8" s="40" t="str">
        <v>Male</v>
      </c>
      <c r="G8" s="40" t="str">
        <v>D - wing</v>
      </c>
      <c r="H8" s="40">
        <v>303</v>
      </c>
      <c r="I8" s="40" t="str">
        <v>Accept</v>
      </c>
      <c r="J8" s="40" t="str">
        <v>No</v>
      </c>
    </row>
    <row r="9" spans="1:10" x14ac:dyDescent="0.25">
      <c r="A9" s="39">
        <v>45645.90337644676</v>
      </c>
      <c r="B9" s="40" t="str">
        <v xml:space="preserve">Suraj More </v>
      </c>
      <c r="C9" s="40">
        <v>8806499029</v>
      </c>
      <c r="D9" s="42">
        <v>38509</v>
      </c>
      <c r="E9" s="40">
        <v>19</v>
      </c>
      <c r="F9" s="40" t="str">
        <v>Male</v>
      </c>
      <c r="G9" s="40" t="str">
        <v>E - wing</v>
      </c>
      <c r="H9" s="40">
        <v>104</v>
      </c>
      <c r="I9" s="40" t="str">
        <v>Accept</v>
      </c>
      <c r="J9" s="40" t="str">
        <v>Yes</v>
      </c>
    </row>
    <row r="10" spans="1:10" x14ac:dyDescent="0.25">
      <c r="A10" s="39">
        <v>45645.951841111106</v>
      </c>
      <c r="B10" s="40" t="str">
        <v xml:space="preserve">Sudhir Pandurang Masane </v>
      </c>
      <c r="C10" s="40">
        <v>7756994357</v>
      </c>
      <c r="D10" s="42">
        <v>29284</v>
      </c>
      <c r="E10" s="40">
        <v>44</v>
      </c>
      <c r="F10" s="40" t="str">
        <v>Male</v>
      </c>
      <c r="G10" s="40" t="str">
        <v>C - wing</v>
      </c>
      <c r="H10" s="40">
        <v>202</v>
      </c>
      <c r="I10" s="40" t="str">
        <v>Accept</v>
      </c>
      <c r="J10" s="40" t="str">
        <v>No</v>
      </c>
    </row>
    <row r="11" spans="1:10" x14ac:dyDescent="0.25">
      <c r="A11" s="39">
        <v>45647.536820590278</v>
      </c>
      <c r="B11" s="40" t="str">
        <v>Jeevan Ramdas Ghorpade</v>
      </c>
      <c r="C11" s="40">
        <v>8378969723</v>
      </c>
      <c r="D11" s="42">
        <v>33750</v>
      </c>
      <c r="E11" s="40">
        <v>32</v>
      </c>
      <c r="F11" s="40" t="str">
        <v>Male</v>
      </c>
      <c r="G11" s="40" t="str">
        <v>F - wing</v>
      </c>
      <c r="H11" s="40">
        <v>301</v>
      </c>
      <c r="I11" s="40" t="str">
        <v>Accept</v>
      </c>
      <c r="J11" s="40" t="str">
        <v>Yes</v>
      </c>
    </row>
    <row r="12" spans="1:10" x14ac:dyDescent="0.25">
      <c r="A12" s="39">
        <v>45647.57405354167</v>
      </c>
      <c r="B12" s="40" t="str">
        <v>Navnath Dhakne</v>
      </c>
      <c r="C12" s="40">
        <v>7775959191</v>
      </c>
      <c r="D12" s="42">
        <v>30937</v>
      </c>
      <c r="E12" s="40">
        <v>40</v>
      </c>
      <c r="F12" s="40" t="str">
        <v>Male</v>
      </c>
      <c r="G12" s="40" t="str">
        <v>B - wing</v>
      </c>
      <c r="H12" s="40">
        <v>103</v>
      </c>
      <c r="I12" s="40" t="str">
        <v>Accept</v>
      </c>
      <c r="J12" s="40" t="str">
        <v>No</v>
      </c>
    </row>
    <row r="13" spans="1:10" x14ac:dyDescent="0.25">
      <c r="A13" s="39">
        <v>45647.577098773152</v>
      </c>
      <c r="B13" s="40" t="str">
        <v xml:space="preserve">Pravin Deshmukh </v>
      </c>
      <c r="C13" s="40">
        <v>9767703265</v>
      </c>
      <c r="D13" s="42">
        <v>31582</v>
      </c>
      <c r="E13" s="40">
        <v>38</v>
      </c>
      <c r="F13" s="40" t="str">
        <v>Male</v>
      </c>
      <c r="G13" s="40" t="str">
        <v>E - wing</v>
      </c>
      <c r="H13" s="40">
        <v>703</v>
      </c>
      <c r="I13" s="40" t="str">
        <v>Accept</v>
      </c>
      <c r="J13" s="40" t="str">
        <v>Yes</v>
      </c>
    </row>
    <row r="14" spans="1:10" x14ac:dyDescent="0.25">
      <c r="A14" s="39">
        <v>45647.590172326389</v>
      </c>
      <c r="B14" s="40" t="str">
        <v>Krushna Shankar Hipparkar</v>
      </c>
      <c r="C14" s="40">
        <v>7972463645</v>
      </c>
      <c r="D14" s="42">
        <v>33901</v>
      </c>
      <c r="E14" s="40">
        <v>32</v>
      </c>
      <c r="F14" s="40" t="str">
        <v>Male</v>
      </c>
      <c r="G14" s="40" t="str">
        <v>E - wing</v>
      </c>
      <c r="H14" s="40">
        <v>204</v>
      </c>
      <c r="I14" s="40" t="str">
        <v>Accept</v>
      </c>
      <c r="J14" s="40" t="str">
        <v>No</v>
      </c>
    </row>
    <row r="15" spans="1:10" x14ac:dyDescent="0.25">
      <c r="A15" s="39">
        <v>45647.618237268514</v>
      </c>
      <c r="B15" s="40" t="str">
        <v>Rahul Kedar</v>
      </c>
      <c r="C15" s="40">
        <v>7517521082</v>
      </c>
      <c r="D15" s="42">
        <v>30875</v>
      </c>
      <c r="E15" s="40">
        <v>40</v>
      </c>
      <c r="F15" s="40" t="str">
        <v>Male</v>
      </c>
      <c r="G15" s="40" t="str">
        <v>A - wing</v>
      </c>
      <c r="H15" s="40">
        <v>704</v>
      </c>
      <c r="I15" s="40" t="str">
        <v>Accept</v>
      </c>
      <c r="J15" s="40" t="str">
        <v>No</v>
      </c>
    </row>
    <row r="16" spans="1:10" x14ac:dyDescent="0.25">
      <c r="A16" s="39">
        <v>45647.621020393519</v>
      </c>
      <c r="B16" s="40" t="str">
        <v>Uday Hambirrao Chougale</v>
      </c>
      <c r="C16" s="40">
        <v>9881730696</v>
      </c>
      <c r="D16" s="42">
        <v>30543</v>
      </c>
      <c r="E16" s="40">
        <v>41</v>
      </c>
      <c r="F16" s="40" t="str">
        <v>Male</v>
      </c>
      <c r="G16" s="40" t="str">
        <v>E - wing</v>
      </c>
      <c r="H16" s="40">
        <v>404</v>
      </c>
      <c r="I16" s="40" t="str">
        <v>Accept</v>
      </c>
      <c r="J16" s="40" t="str">
        <v>Yes</v>
      </c>
    </row>
    <row r="17" spans="1:10" x14ac:dyDescent="0.25">
      <c r="A17" s="39">
        <v>45647.677189525464</v>
      </c>
      <c r="B17" s="40" t="str">
        <v>Sandip Navale</v>
      </c>
      <c r="C17" s="40">
        <v>9975885075</v>
      </c>
      <c r="D17" s="42">
        <v>31835</v>
      </c>
      <c r="E17" s="40">
        <v>37</v>
      </c>
      <c r="F17" s="40" t="str">
        <v>Male</v>
      </c>
      <c r="G17" s="40" t="str">
        <v>F - wing</v>
      </c>
      <c r="H17" s="40">
        <v>503</v>
      </c>
      <c r="I17" s="40" t="str">
        <v>Accept</v>
      </c>
      <c r="J17" s="40" t="str">
        <v>Yes</v>
      </c>
    </row>
    <row r="18" spans="1:10" x14ac:dyDescent="0.25">
      <c r="A18" s="39">
        <v>45647.680492928237</v>
      </c>
      <c r="B18" s="40" t="str">
        <v>Netaji Tikode</v>
      </c>
      <c r="C18" s="40">
        <v>8605156451</v>
      </c>
      <c r="D18" s="42">
        <v>29271</v>
      </c>
      <c r="E18" s="40">
        <v>44</v>
      </c>
      <c r="F18" s="40" t="str">
        <v>Male</v>
      </c>
      <c r="G18" s="40" t="str">
        <v>F - wing</v>
      </c>
      <c r="H18" s="40">
        <v>302</v>
      </c>
      <c r="I18" s="40" t="str">
        <v>Accept</v>
      </c>
      <c r="J18" s="40" t="str">
        <v>Yes</v>
      </c>
    </row>
    <row r="19" spans="1:10" x14ac:dyDescent="0.25">
      <c r="A19" s="39">
        <v>45647.758737789351</v>
      </c>
      <c r="B19" s="40" t="str">
        <v xml:space="preserve">Shrikanth Pradeep Dhatrak </v>
      </c>
      <c r="C19" s="40">
        <v>9545551749</v>
      </c>
      <c r="D19" s="42">
        <v>30468</v>
      </c>
      <c r="E19" s="40">
        <v>41</v>
      </c>
      <c r="F19" s="40" t="str">
        <v>Male</v>
      </c>
      <c r="G19" s="40" t="str">
        <v>D - wing</v>
      </c>
      <c r="H19" s="40">
        <v>304</v>
      </c>
      <c r="I19" s="40" t="str">
        <v>Accept</v>
      </c>
      <c r="J19" s="40" t="str">
        <v>No</v>
      </c>
    </row>
    <row r="20" spans="1:10" x14ac:dyDescent="0.25">
      <c r="A20" s="39">
        <v>45647.788899537038</v>
      </c>
      <c r="B20" s="40" t="str">
        <v>Suryakant Nimbalkar</v>
      </c>
      <c r="C20" s="40">
        <v>9881909993</v>
      </c>
      <c r="D20" s="42">
        <v>28867</v>
      </c>
      <c r="E20" s="40">
        <v>45</v>
      </c>
      <c r="F20" s="40" t="str">
        <v>Male</v>
      </c>
      <c r="G20" s="40" t="str">
        <v>A - wing</v>
      </c>
      <c r="H20" s="40">
        <v>405</v>
      </c>
      <c r="I20" s="40" t="str">
        <v>Accept</v>
      </c>
      <c r="J20" s="40" t="str">
        <v>No</v>
      </c>
    </row>
    <row r="21" spans="1:10" x14ac:dyDescent="0.25">
      <c r="A21" s="39">
        <v>45647.849031574078</v>
      </c>
      <c r="B21" s="40" t="str">
        <v>Pradip shrikrishna kale</v>
      </c>
      <c r="C21" s="40">
        <v>9423092888</v>
      </c>
      <c r="D21" s="42">
        <v>30916</v>
      </c>
      <c r="E21" s="40">
        <v>40</v>
      </c>
      <c r="F21" s="40" t="str">
        <v>Male</v>
      </c>
      <c r="G21" s="40" t="str">
        <v>D - wing</v>
      </c>
      <c r="H21" s="40">
        <v>204</v>
      </c>
      <c r="I21" s="40" t="str">
        <v>Accept</v>
      </c>
      <c r="J21" s="40" t="str">
        <v>No</v>
      </c>
    </row>
    <row r="22" spans="1:10" x14ac:dyDescent="0.25">
      <c r="A22" s="39">
        <v>45648.426804016199</v>
      </c>
      <c r="B22" s="40" t="str">
        <v>Rahul Shetti</v>
      </c>
      <c r="C22" s="40">
        <v>9561698449</v>
      </c>
      <c r="D22" s="42">
        <v>33146</v>
      </c>
      <c r="E22" s="40">
        <v>34</v>
      </c>
      <c r="F22" s="40" t="str">
        <v>Male</v>
      </c>
      <c r="G22" s="40" t="str">
        <v>B - wing</v>
      </c>
      <c r="H22" s="40">
        <v>604</v>
      </c>
      <c r="I22" s="40" t="str">
        <v>Accept</v>
      </c>
      <c r="J22" s="40" t="str">
        <v>Yes</v>
      </c>
    </row>
    <row r="23" spans="1:10" x14ac:dyDescent="0.25">
      <c r="A23" s="39">
        <v>45648.811282129631</v>
      </c>
      <c r="B23" s="40" t="str">
        <v xml:space="preserve">Gopal Haridas Tarange </v>
      </c>
      <c r="C23" s="40">
        <v>9579165555</v>
      </c>
      <c r="D23" s="42">
        <v>33029</v>
      </c>
      <c r="E23" s="40">
        <v>34</v>
      </c>
      <c r="F23" s="40" t="str">
        <v>Male</v>
      </c>
      <c r="G23" s="40" t="str">
        <v>B - wing</v>
      </c>
      <c r="H23" s="40">
        <v>402</v>
      </c>
      <c r="I23" s="40" t="str">
        <v>Accept</v>
      </c>
      <c r="J23" s="40" t="str">
        <v>No</v>
      </c>
    </row>
    <row r="24" spans="1:10" x14ac:dyDescent="0.25">
      <c r="A24" s="39">
        <v>45649.707762430553</v>
      </c>
      <c r="B24" s="40" t="str">
        <v>Prasad Patil</v>
      </c>
      <c r="C24" s="40">
        <v>8087086776</v>
      </c>
      <c r="D24" s="42">
        <v>31972</v>
      </c>
      <c r="E24" s="40">
        <v>37</v>
      </c>
      <c r="F24" s="40" t="str">
        <v>Male</v>
      </c>
      <c r="G24" s="40" t="str">
        <v>F - wing</v>
      </c>
      <c r="H24" s="40">
        <v>404</v>
      </c>
      <c r="I24" s="40" t="str">
        <v>Accept</v>
      </c>
      <c r="J24" s="40" t="str">
        <v>Yes</v>
      </c>
    </row>
    <row r="25" spans="1:10" x14ac:dyDescent="0.25">
      <c r="A25" s="39">
        <v>45649.896665324079</v>
      </c>
      <c r="B25" s="40" t="str">
        <v xml:space="preserve">Dilip Mahadevappa Koti </v>
      </c>
      <c r="C25" s="40">
        <v>9860095066</v>
      </c>
      <c r="D25" s="42">
        <v>29738</v>
      </c>
      <c r="E25" s="40">
        <v>43</v>
      </c>
      <c r="F25" s="40" t="str">
        <v>Male</v>
      </c>
      <c r="G25" s="40" t="str">
        <v>E - wing</v>
      </c>
      <c r="H25" s="40">
        <v>101</v>
      </c>
      <c r="I25" s="40" t="str">
        <v>Accept</v>
      </c>
      <c r="J25" s="40" t="str">
        <v>Yes</v>
      </c>
    </row>
    <row r="26" spans="1:10" x14ac:dyDescent="0.25">
      <c r="A26" s="39">
        <v>45649.900870162033</v>
      </c>
      <c r="B26" s="40" t="str">
        <v>Mahesh Baliram Halde</v>
      </c>
      <c r="C26" s="40">
        <v>8983279315</v>
      </c>
      <c r="D26" s="42">
        <v>29774</v>
      </c>
      <c r="E26" s="40">
        <v>43</v>
      </c>
      <c r="F26" s="40" t="str">
        <v>Male</v>
      </c>
      <c r="G26" s="40" t="str">
        <v>D - wing</v>
      </c>
      <c r="H26" s="40">
        <v>102</v>
      </c>
      <c r="I26" s="40" t="str">
        <v>Accept</v>
      </c>
      <c r="J26" s="40" t="str">
        <v>Yes</v>
      </c>
    </row>
    <row r="27" spans="1:10" x14ac:dyDescent="0.25">
      <c r="A27" s="39">
        <v>45649.910225694446</v>
      </c>
      <c r="B27" s="40" t="str">
        <v>Bipin Kumar</v>
      </c>
      <c r="C27" s="40">
        <v>9764998669</v>
      </c>
      <c r="D27" s="42">
        <v>29022</v>
      </c>
      <c r="E27" s="40">
        <v>45</v>
      </c>
      <c r="F27" s="40" t="str">
        <v>Male</v>
      </c>
      <c r="G27" s="40" t="str">
        <v>E - wing</v>
      </c>
      <c r="H27" s="40">
        <v>303</v>
      </c>
      <c r="I27" s="40" t="str">
        <v>Accept</v>
      </c>
      <c r="J27" s="40" t="str">
        <v>No</v>
      </c>
    </row>
    <row r="28" spans="1:10" x14ac:dyDescent="0.25">
      <c r="A28" s="39">
        <v>45649.939865868058</v>
      </c>
      <c r="B28" s="40" t="str">
        <v>Mandar kanase</v>
      </c>
      <c r="C28" s="40">
        <v>9011094132</v>
      </c>
      <c r="D28" s="42">
        <v>31233</v>
      </c>
      <c r="E28" s="40">
        <v>39</v>
      </c>
      <c r="F28" s="40" t="str">
        <v>Male</v>
      </c>
      <c r="G28" s="40" t="str">
        <v>A - wing</v>
      </c>
      <c r="H28" s="40">
        <v>103</v>
      </c>
      <c r="I28" s="40" t="str">
        <v>Accept</v>
      </c>
      <c r="J28" s="40" t="str">
        <v>Yes</v>
      </c>
    </row>
    <row r="29" spans="1:10" x14ac:dyDescent="0.25">
      <c r="A29" s="39">
        <v>45650.72688008102</v>
      </c>
      <c r="B29" s="40" t="str">
        <v xml:space="preserve">Pradip Gorle </v>
      </c>
      <c r="C29" s="40">
        <v>9890680178</v>
      </c>
      <c r="D29" s="42">
        <v>32430</v>
      </c>
      <c r="E29" s="40">
        <v>36</v>
      </c>
      <c r="F29" s="40" t="str">
        <v>Male</v>
      </c>
      <c r="G29" s="40" t="str">
        <v>E - wing</v>
      </c>
      <c r="H29" s="40">
        <v>202</v>
      </c>
      <c r="I29" s="40" t="str">
        <v>Accept</v>
      </c>
      <c r="J29" s="40" t="str">
        <v>No</v>
      </c>
    </row>
    <row r="30" spans="1:10" x14ac:dyDescent="0.25">
      <c r="A30" s="39">
        <v>45650.931044803241</v>
      </c>
      <c r="B30" s="40" t="str">
        <v>Mukund Thonge</v>
      </c>
      <c r="C30" s="40">
        <v>9607087778</v>
      </c>
      <c r="D30" s="42">
        <v>31828</v>
      </c>
      <c r="E30" s="40">
        <v>37</v>
      </c>
      <c r="F30" s="40" t="str">
        <v>Male</v>
      </c>
      <c r="G30" s="40" t="str">
        <v>C - wing</v>
      </c>
      <c r="H30" s="40">
        <v>701</v>
      </c>
      <c r="I30" s="40" t="str">
        <v>Accept</v>
      </c>
      <c r="J30" s="40" t="str">
        <v>No</v>
      </c>
    </row>
    <row r="31" spans="1:10" x14ac:dyDescent="0.25">
      <c r="A31" s="39">
        <v>45650.950061030089</v>
      </c>
      <c r="B31" s="40" t="str">
        <v xml:space="preserve">Bharat Warude </v>
      </c>
      <c r="C31" s="40">
        <v>9922603825</v>
      </c>
      <c r="D31" s="42">
        <v>33134</v>
      </c>
      <c r="E31" s="40">
        <v>34</v>
      </c>
      <c r="F31" s="40" t="str">
        <v>Male</v>
      </c>
      <c r="G31" s="40" t="str">
        <v>E - wing</v>
      </c>
      <c r="H31" s="40">
        <v>601</v>
      </c>
      <c r="I31" s="40" t="str">
        <v>Accept</v>
      </c>
      <c r="J31" s="40" t="str">
        <v>Yes</v>
      </c>
    </row>
    <row r="32" spans="1:10" x14ac:dyDescent="0.25">
      <c r="A32" s="39">
        <v>45651.337309641203</v>
      </c>
      <c r="B32" s="40" t="str">
        <v>Saurabh Choudhary</v>
      </c>
      <c r="C32" s="40">
        <v>9738920028</v>
      </c>
      <c r="D32" s="42">
        <v>34661</v>
      </c>
      <c r="E32" s="40">
        <v>30</v>
      </c>
      <c r="F32" s="40" t="str">
        <v>Male</v>
      </c>
      <c r="G32" s="40" t="str">
        <v>A - wing</v>
      </c>
      <c r="H32" s="40">
        <v>101</v>
      </c>
      <c r="I32" s="40" t="str">
        <v>Accept</v>
      </c>
      <c r="J32" s="40" t="str">
        <v>Yes</v>
      </c>
    </row>
    <row r="33" spans="1:10" x14ac:dyDescent="0.25">
      <c r="A33" s="39">
        <v>45651.392979733791</v>
      </c>
      <c r="B33" s="40" t="str">
        <v>Manish Baghel</v>
      </c>
      <c r="C33" s="40">
        <v>7987430767</v>
      </c>
      <c r="D33" s="42">
        <v>29667</v>
      </c>
      <c r="E33" s="40">
        <v>43</v>
      </c>
      <c r="F33" s="40" t="str">
        <v>Male</v>
      </c>
      <c r="G33" s="40" t="str">
        <v>B - wing</v>
      </c>
      <c r="H33" s="40">
        <v>305</v>
      </c>
      <c r="I33" s="40" t="str">
        <v>Accept</v>
      </c>
      <c r="J33" s="40" t="str">
        <v>Yes</v>
      </c>
    </row>
    <row r="34" spans="1:10" x14ac:dyDescent="0.25">
      <c r="A34" s="39">
        <v>45651.459211979163</v>
      </c>
      <c r="B34" s="40" t="str">
        <v>Ayush khalkar</v>
      </c>
      <c r="C34" s="40">
        <v>8010180415</v>
      </c>
      <c r="D34" s="42">
        <v>38821</v>
      </c>
      <c r="E34" s="40">
        <v>18</v>
      </c>
      <c r="F34" s="40" t="str">
        <v>Male</v>
      </c>
      <c r="G34" s="40" t="str">
        <v>D - wing</v>
      </c>
      <c r="H34" s="40">
        <v>403</v>
      </c>
      <c r="I34" s="40" t="str">
        <v>Accept</v>
      </c>
      <c r="J34" s="40" t="str">
        <v>Yes</v>
      </c>
    </row>
    <row r="35" spans="1:10" x14ac:dyDescent="0.25">
      <c r="A35" s="39">
        <v>45651.544908796292</v>
      </c>
      <c r="B35" s="40" t="str">
        <v>Dnyanesh Raut</v>
      </c>
      <c r="C35" s="40">
        <v>8668681758</v>
      </c>
      <c r="D35" s="42">
        <v>29634</v>
      </c>
      <c r="E35" s="40">
        <v>43</v>
      </c>
      <c r="F35" s="40" t="str">
        <v>Male</v>
      </c>
      <c r="G35" s="40" t="str">
        <v>F - wing</v>
      </c>
      <c r="H35" s="40">
        <v>802</v>
      </c>
      <c r="I35" s="40" t="str">
        <v>Accept</v>
      </c>
      <c r="J35" s="40" t="str">
        <v>Yes</v>
      </c>
    </row>
    <row r="36" spans="1:10" x14ac:dyDescent="0.25">
      <c r="A36" s="39">
        <v>45651.667625590278</v>
      </c>
      <c r="B36" s="40" t="str">
        <v xml:space="preserve">Vishal kolaskar </v>
      </c>
      <c r="C36" s="40">
        <v>9561288498</v>
      </c>
      <c r="D36" s="42">
        <v>30391</v>
      </c>
      <c r="E36" s="40">
        <v>41</v>
      </c>
      <c r="F36" s="40" t="str">
        <v>Male</v>
      </c>
      <c r="G36" s="40" t="str">
        <v>F - wing</v>
      </c>
      <c r="H36" s="40">
        <v>602</v>
      </c>
      <c r="I36" s="40" t="str">
        <v>Accept</v>
      </c>
      <c r="J36" s="40" t="str">
        <v>No</v>
      </c>
    </row>
    <row r="37" spans="1:10" x14ac:dyDescent="0.25">
      <c r="A37" s="39">
        <v>45651.768759282408</v>
      </c>
      <c r="B37" s="40" t="str">
        <v>Sunil Roy</v>
      </c>
      <c r="C37" s="40">
        <v>9883688580</v>
      </c>
      <c r="D37" s="42">
        <v>31702</v>
      </c>
      <c r="E37" s="40">
        <v>38</v>
      </c>
      <c r="F37" s="40" t="str">
        <v>Male</v>
      </c>
      <c r="G37" s="40" t="str">
        <v>A - wing</v>
      </c>
      <c r="H37" s="40">
        <v>705</v>
      </c>
      <c r="I37" s="40" t="str">
        <v>Accept</v>
      </c>
      <c r="J37" s="40" t="str">
        <v>No</v>
      </c>
    </row>
    <row r="38" spans="1:10" x14ac:dyDescent="0.25">
      <c r="A38" s="39">
        <v>45651.816194652776</v>
      </c>
      <c r="B38" s="40" t="str">
        <v>Sagar Dilip Pise</v>
      </c>
      <c r="C38" s="40">
        <v>9834649731</v>
      </c>
      <c r="D38" s="42">
        <v>33129</v>
      </c>
      <c r="E38" s="40">
        <v>34</v>
      </c>
      <c r="F38" s="40" t="str">
        <v>Male</v>
      </c>
      <c r="G38" s="40" t="str">
        <v>E - wing</v>
      </c>
      <c r="H38" s="40">
        <v>302</v>
      </c>
      <c r="I38" s="40" t="str">
        <v>Accept</v>
      </c>
      <c r="J38" s="40" t="str">
        <v>No</v>
      </c>
    </row>
    <row r="39" spans="1:10" x14ac:dyDescent="0.25">
      <c r="A39" s="39">
        <v>45651.96300304398</v>
      </c>
      <c r="B39" s="40" t="str">
        <v xml:space="preserve">Sanjay Shishte </v>
      </c>
      <c r="C39" s="40">
        <v>9881439549</v>
      </c>
      <c r="D39" s="42">
        <v>29192</v>
      </c>
      <c r="E39" s="40">
        <v>45</v>
      </c>
      <c r="F39" s="40" t="str">
        <v>Male</v>
      </c>
      <c r="G39" s="40" t="str">
        <v>E - wing</v>
      </c>
      <c r="H39" s="40">
        <v>701</v>
      </c>
      <c r="I39" s="40" t="str">
        <v>Accept</v>
      </c>
      <c r="J39" s="40" t="str">
        <v>No</v>
      </c>
    </row>
    <row r="40" spans="1:10" x14ac:dyDescent="0.25">
      <c r="A40" s="39">
        <v>45652.328529699073</v>
      </c>
      <c r="B40" s="40" t="str">
        <v>Kamlesh patil</v>
      </c>
      <c r="C40" s="40">
        <v>9890397323</v>
      </c>
      <c r="D40" s="42">
        <v>31326</v>
      </c>
      <c r="E40" s="40">
        <v>39</v>
      </c>
      <c r="F40" s="40" t="str">
        <v>Male</v>
      </c>
      <c r="G40" s="40" t="str">
        <v>C - wing</v>
      </c>
      <c r="H40" s="40">
        <v>403</v>
      </c>
      <c r="I40" s="40" t="str">
        <v>Accept</v>
      </c>
      <c r="J40" s="40" t="str">
        <v>No</v>
      </c>
    </row>
    <row r="41" spans="1:10" x14ac:dyDescent="0.25">
      <c r="A41" s="39">
        <v>45652.775740613426</v>
      </c>
      <c r="B41" s="40" t="str">
        <v xml:space="preserve">Amit Tatyaso Malshikare </v>
      </c>
      <c r="C41" s="40">
        <v>9049785050</v>
      </c>
      <c r="D41" s="42">
        <v>32327</v>
      </c>
      <c r="E41" s="40">
        <v>36</v>
      </c>
      <c r="F41" s="40" t="str">
        <v>Male</v>
      </c>
      <c r="G41" s="40" t="str">
        <v>E - wing</v>
      </c>
      <c r="H41" s="40">
        <v>603</v>
      </c>
      <c r="I41" s="40" t="str">
        <v>Accept</v>
      </c>
      <c r="J41" s="40" t="str">
        <v>No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5"/>
  <sheetViews>
    <sheetView workbookViewId="0"/>
  </sheetViews>
  <sheetFormatPr defaultColWidth="12.6640625" defaultRowHeight="15.75" customHeight="1" x14ac:dyDescent="0.25"/>
  <cols>
    <col min="1" max="1" width="20.44140625" customWidth="1"/>
    <col min="2" max="2" width="24.21875" customWidth="1"/>
    <col min="3" max="3" width="15.33203125" customWidth="1"/>
    <col min="4" max="4" width="13.77734375" customWidth="1"/>
    <col min="9" max="9" width="19.88671875" customWidth="1"/>
    <col min="10" max="10" width="16.44140625" customWidth="1"/>
    <col min="13" max="13" width="17.33203125" customWidth="1"/>
  </cols>
  <sheetData>
    <row r="1" spans="1:14" ht="13.2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4" ht="21" customHeight="1" x14ac:dyDescent="0.25">
      <c r="A2" s="5">
        <f ca="1">IFERROR(__xludf.DUMMYFUNCTION("FILTER('Registration Data'!A:J, ('Registration Data'!E:E&gt;=8)*('Registration Data'!E:E&lt;=16)*('Registration Data'!F:F=""Female""))
"),45643.5703258912)</f>
        <v>45643.570325891204</v>
      </c>
      <c r="B2" s="6" t="str">
        <f ca="1">IFERROR(__xludf.DUMMYFUNCTION("""COMPUTED_VALUE"""),"Geet Kiran Khalkar")</f>
        <v>Geet Kiran Khalkar</v>
      </c>
      <c r="C2" s="6">
        <f ca="1">IFERROR(__xludf.DUMMYFUNCTION("""COMPUTED_VALUE"""),7588174403)</f>
        <v>7588174403</v>
      </c>
      <c r="D2" s="7">
        <f ca="1">IFERROR(__xludf.DUMMYFUNCTION("""COMPUTED_VALUE"""),42476)</f>
        <v>42476</v>
      </c>
      <c r="E2" s="6">
        <f ca="1">IFERROR(__xludf.DUMMYFUNCTION("""COMPUTED_VALUE"""),8)</f>
        <v>8</v>
      </c>
      <c r="F2" s="6" t="str">
        <f ca="1">IFERROR(__xludf.DUMMYFUNCTION("""COMPUTED_VALUE"""),"Female")</f>
        <v>Female</v>
      </c>
      <c r="G2" s="6" t="str">
        <f ca="1">IFERROR(__xludf.DUMMYFUNCTION("""COMPUTED_VALUE"""),"D - wing")</f>
        <v>D - wing</v>
      </c>
      <c r="H2" s="6">
        <f ca="1">IFERROR(__xludf.DUMMYFUNCTION("""COMPUTED_VALUE"""),403)</f>
        <v>403</v>
      </c>
      <c r="I2" s="6" t="str">
        <f ca="1">IFERROR(__xludf.DUMMYFUNCTION("""COMPUTED_VALUE"""),"Accept")</f>
        <v>Accept</v>
      </c>
      <c r="J2" s="6" t="str">
        <f ca="1">IFERROR(__xludf.DUMMYFUNCTION("""COMPUTED_VALUE"""),"No")</f>
        <v>No</v>
      </c>
    </row>
    <row r="3" spans="1:14" ht="21" customHeight="1" x14ac:dyDescent="0.25">
      <c r="A3" s="16">
        <f ca="1">IFERROR(__xludf.DUMMYFUNCTION("""COMPUTED_VALUE"""),45646.341148287)</f>
        <v>45646.341148287</v>
      </c>
      <c r="B3" s="17" t="str">
        <f ca="1">IFERROR(__xludf.DUMMYFUNCTION("""COMPUTED_VALUE"""),"Ovi jadhav ")</f>
        <v xml:space="preserve">Ovi jadhav </v>
      </c>
      <c r="C3" s="17">
        <f ca="1">IFERROR(__xludf.DUMMYFUNCTION("""COMPUTED_VALUE"""),9359481996)</f>
        <v>9359481996</v>
      </c>
      <c r="D3" s="18">
        <f ca="1">IFERROR(__xludf.DUMMYFUNCTION("""COMPUTED_VALUE"""),42297)</f>
        <v>42297</v>
      </c>
      <c r="E3" s="17">
        <f ca="1">IFERROR(__xludf.DUMMYFUNCTION("""COMPUTED_VALUE"""),9)</f>
        <v>9</v>
      </c>
      <c r="F3" s="17" t="str">
        <f ca="1">IFERROR(__xludf.DUMMYFUNCTION("""COMPUTED_VALUE"""),"Female")</f>
        <v>Female</v>
      </c>
      <c r="G3" s="17" t="str">
        <f ca="1">IFERROR(__xludf.DUMMYFUNCTION("""COMPUTED_VALUE"""),"E - wing")</f>
        <v>E - wing</v>
      </c>
      <c r="H3" s="17">
        <f ca="1">IFERROR(__xludf.DUMMYFUNCTION("""COMPUTED_VALUE"""),301)</f>
        <v>301</v>
      </c>
      <c r="I3" s="17" t="str">
        <f ca="1">IFERROR(__xludf.DUMMYFUNCTION("""COMPUTED_VALUE"""),"Accept")</f>
        <v>Accept</v>
      </c>
      <c r="J3" s="17" t="str">
        <f ca="1">IFERROR(__xludf.DUMMYFUNCTION("""COMPUTED_VALUE"""),"Yes")</f>
        <v>Yes</v>
      </c>
    </row>
    <row r="4" spans="1:14" ht="21" customHeight="1" x14ac:dyDescent="0.25">
      <c r="A4" s="16">
        <f ca="1">IFERROR(__xludf.DUMMYFUNCTION("""COMPUTED_VALUE"""),45646.424288449)</f>
        <v>45646.424288449001</v>
      </c>
      <c r="B4" s="17" t="str">
        <f ca="1">IFERROR(__xludf.DUMMYFUNCTION("""COMPUTED_VALUE"""),"Akshada Narendra Kharche ")</f>
        <v xml:space="preserve">Akshada Narendra Kharche </v>
      </c>
      <c r="C4" s="17">
        <f ca="1">IFERROR(__xludf.DUMMYFUNCTION("""COMPUTED_VALUE"""),7588418741)</f>
        <v>7588418741</v>
      </c>
      <c r="D4" s="18">
        <f ca="1">IFERROR(__xludf.DUMMYFUNCTION("""COMPUTED_VALUE"""),40617)</f>
        <v>40617</v>
      </c>
      <c r="E4" s="17">
        <f ca="1">IFERROR(__xludf.DUMMYFUNCTION("""COMPUTED_VALUE"""),13)</f>
        <v>13</v>
      </c>
      <c r="F4" s="17" t="str">
        <f ca="1">IFERROR(__xludf.DUMMYFUNCTION("""COMPUTED_VALUE"""),"Female")</f>
        <v>Female</v>
      </c>
      <c r="G4" s="17" t="str">
        <f ca="1">IFERROR(__xludf.DUMMYFUNCTION("""COMPUTED_VALUE"""),"D - wing")</f>
        <v>D - wing</v>
      </c>
      <c r="H4" s="17">
        <f ca="1">IFERROR(__xludf.DUMMYFUNCTION("""COMPUTED_VALUE"""),401)</f>
        <v>401</v>
      </c>
      <c r="I4" s="17" t="str">
        <f ca="1">IFERROR(__xludf.DUMMYFUNCTION("""COMPUTED_VALUE"""),"Accept")</f>
        <v>Accept</v>
      </c>
      <c r="J4" s="17" t="str">
        <f ca="1">IFERROR(__xludf.DUMMYFUNCTION("""COMPUTED_VALUE"""),"Yes")</f>
        <v>Yes</v>
      </c>
      <c r="M4" s="2" t="s">
        <v>108</v>
      </c>
      <c r="N4" s="2" t="s">
        <v>109</v>
      </c>
    </row>
    <row r="5" spans="1:14" ht="21" customHeight="1" x14ac:dyDescent="0.25">
      <c r="A5" s="23">
        <f ca="1">IFERROR(__xludf.DUMMYFUNCTION("""COMPUTED_VALUE"""),45647.6778978356)</f>
        <v>45647.677897835601</v>
      </c>
      <c r="B5" s="24" t="str">
        <f ca="1">IFERROR(__xludf.DUMMYFUNCTION("""COMPUTED_VALUE"""),"Ovi Navale")</f>
        <v>Ovi Navale</v>
      </c>
      <c r="C5" s="24">
        <f ca="1">IFERROR(__xludf.DUMMYFUNCTION("""COMPUTED_VALUE"""),9975885075)</f>
        <v>9975885075</v>
      </c>
      <c r="D5" s="25">
        <f ca="1">IFERROR(__xludf.DUMMYFUNCTION("""COMPUTED_VALUE"""),42441)</f>
        <v>42441</v>
      </c>
      <c r="E5" s="24">
        <f ca="1">IFERROR(__xludf.DUMMYFUNCTION("""COMPUTED_VALUE"""),8)</f>
        <v>8</v>
      </c>
      <c r="F5" s="24" t="str">
        <f ca="1">IFERROR(__xludf.DUMMYFUNCTION("""COMPUTED_VALUE"""),"Female")</f>
        <v>Female</v>
      </c>
      <c r="G5" s="24" t="str">
        <f ca="1">IFERROR(__xludf.DUMMYFUNCTION("""COMPUTED_VALUE"""),"F - wing")</f>
        <v>F - wing</v>
      </c>
      <c r="H5" s="24">
        <f ca="1">IFERROR(__xludf.DUMMYFUNCTION("""COMPUTED_VALUE"""),503)</f>
        <v>503</v>
      </c>
      <c r="I5" s="24" t="str">
        <f ca="1">IFERROR(__xludf.DUMMYFUNCTION("""COMPUTED_VALUE"""),"Accept")</f>
        <v>Accept</v>
      </c>
      <c r="J5" s="24" t="str">
        <f ca="1">IFERROR(__xludf.DUMMYFUNCTION("""COMPUTED_VALUE"""),"Yes")</f>
        <v>Yes</v>
      </c>
      <c r="M5" s="6" t="s">
        <v>110</v>
      </c>
      <c r="N5" s="6">
        <f ca="1">COUNTIF(Girls!G:G, "A - wing")</f>
        <v>0</v>
      </c>
    </row>
    <row r="6" spans="1:14" ht="21" customHeight="1" x14ac:dyDescent="0.25">
      <c r="A6" s="16">
        <f ca="1">IFERROR(__xludf.DUMMYFUNCTION("""COMPUTED_VALUE"""),45647.7565698148)</f>
        <v>45647.756569814803</v>
      </c>
      <c r="B6" s="17" t="str">
        <f ca="1">IFERROR(__xludf.DUMMYFUNCTION("""COMPUTED_VALUE"""),"Tanishka Shrikanth Dhatrak ")</f>
        <v xml:space="preserve">Tanishka Shrikanth Dhatrak </v>
      </c>
      <c r="C6" s="17">
        <f ca="1">IFERROR(__xludf.DUMMYFUNCTION("""COMPUTED_VALUE"""),9545551749)</f>
        <v>9545551749</v>
      </c>
      <c r="D6" s="18">
        <f ca="1">IFERROR(__xludf.DUMMYFUNCTION("""COMPUTED_VALUE"""),40597)</f>
        <v>40597</v>
      </c>
      <c r="E6" s="17">
        <f ca="1">IFERROR(__xludf.DUMMYFUNCTION("""COMPUTED_VALUE"""),13)</f>
        <v>13</v>
      </c>
      <c r="F6" s="17" t="str">
        <f ca="1">IFERROR(__xludf.DUMMYFUNCTION("""COMPUTED_VALUE"""),"Female")</f>
        <v>Female</v>
      </c>
      <c r="G6" s="17" t="str">
        <f ca="1">IFERROR(__xludf.DUMMYFUNCTION("""COMPUTED_VALUE"""),"D - wing")</f>
        <v>D - wing</v>
      </c>
      <c r="H6" s="17">
        <f ca="1">IFERROR(__xludf.DUMMYFUNCTION("""COMPUTED_VALUE"""),304)</f>
        <v>304</v>
      </c>
      <c r="I6" s="17" t="str">
        <f ca="1">IFERROR(__xludf.DUMMYFUNCTION("""COMPUTED_VALUE"""),"Accept")</f>
        <v>Accept</v>
      </c>
      <c r="J6" s="24" t="str">
        <f ca="1">IFERROR(__xludf.DUMMYFUNCTION("""COMPUTED_VALUE"""),"No")</f>
        <v>No</v>
      </c>
      <c r="M6" s="6" t="s">
        <v>111</v>
      </c>
      <c r="N6" s="6">
        <f ca="1">COUNTIF(Girls!G:G, "B - wing")</f>
        <v>1</v>
      </c>
    </row>
    <row r="7" spans="1:14" ht="21" customHeight="1" x14ac:dyDescent="0.25">
      <c r="A7" s="16">
        <f ca="1">IFERROR(__xludf.DUMMYFUNCTION("""COMPUTED_VALUE"""),45647.8462807407)</f>
        <v>45647.846280740698</v>
      </c>
      <c r="B7" s="17" t="str">
        <f ca="1">IFERROR(__xludf.DUMMYFUNCTION("""COMPUTED_VALUE"""),"Shreya Pradip Kale")</f>
        <v>Shreya Pradip Kale</v>
      </c>
      <c r="C7" s="17">
        <f ca="1">IFERROR(__xludf.DUMMYFUNCTION("""COMPUTED_VALUE"""),9423092888)</f>
        <v>9423092888</v>
      </c>
      <c r="D7" s="18">
        <f ca="1">IFERROR(__xludf.DUMMYFUNCTION("""COMPUTED_VALUE"""),41870)</f>
        <v>41870</v>
      </c>
      <c r="E7" s="17">
        <f ca="1">IFERROR(__xludf.DUMMYFUNCTION("""COMPUTED_VALUE"""),10)</f>
        <v>10</v>
      </c>
      <c r="F7" s="17" t="str">
        <f ca="1">IFERROR(__xludf.DUMMYFUNCTION("""COMPUTED_VALUE"""),"Female")</f>
        <v>Female</v>
      </c>
      <c r="G7" s="17" t="str">
        <f ca="1">IFERROR(__xludf.DUMMYFUNCTION("""COMPUTED_VALUE"""),"D - wing")</f>
        <v>D - wing</v>
      </c>
      <c r="H7" s="17">
        <f ca="1">IFERROR(__xludf.DUMMYFUNCTION("""COMPUTED_VALUE"""),204)</f>
        <v>204</v>
      </c>
      <c r="I7" s="17" t="str">
        <f ca="1">IFERROR(__xludf.DUMMYFUNCTION("""COMPUTED_VALUE"""),"Accept")</f>
        <v>Accept</v>
      </c>
      <c r="J7" s="24" t="str">
        <f ca="1">IFERROR(__xludf.DUMMYFUNCTION("""COMPUTED_VALUE"""),"No")</f>
        <v>No</v>
      </c>
      <c r="M7" s="19" t="s">
        <v>112</v>
      </c>
      <c r="N7" s="20">
        <f ca="1">COUNTIF(Girls!G:G, "C - wing")</f>
        <v>2</v>
      </c>
    </row>
    <row r="8" spans="1:14" ht="21" customHeight="1" x14ac:dyDescent="0.25">
      <c r="A8" s="23">
        <f ca="1">IFERROR(__xludf.DUMMYFUNCTION("""COMPUTED_VALUE"""),45649.9044212152)</f>
        <v>45649.9044212152</v>
      </c>
      <c r="B8" s="24" t="str">
        <f ca="1">IFERROR(__xludf.DUMMYFUNCTION("""COMPUTED_VALUE"""),"Anushka Mahesh Halde")</f>
        <v>Anushka Mahesh Halde</v>
      </c>
      <c r="C8" s="24">
        <f ca="1">IFERROR(__xludf.DUMMYFUNCTION("""COMPUTED_VALUE"""),8983279315)</f>
        <v>8983279315</v>
      </c>
      <c r="D8" s="25">
        <f ca="1">IFERROR(__xludf.DUMMYFUNCTION("""COMPUTED_VALUE"""),40558)</f>
        <v>40558</v>
      </c>
      <c r="E8" s="24">
        <f ca="1">IFERROR(__xludf.DUMMYFUNCTION("""COMPUTED_VALUE"""),13)</f>
        <v>13</v>
      </c>
      <c r="F8" s="24" t="str">
        <f ca="1">IFERROR(__xludf.DUMMYFUNCTION("""COMPUTED_VALUE"""),"Female")</f>
        <v>Female</v>
      </c>
      <c r="G8" s="24" t="str">
        <f ca="1">IFERROR(__xludf.DUMMYFUNCTION("""COMPUTED_VALUE"""),"D - wing")</f>
        <v>D - wing</v>
      </c>
      <c r="H8" s="24">
        <f ca="1">IFERROR(__xludf.DUMMYFUNCTION("""COMPUTED_VALUE"""),102)</f>
        <v>102</v>
      </c>
      <c r="I8" s="24" t="str">
        <f ca="1">IFERROR(__xludf.DUMMYFUNCTION("""COMPUTED_VALUE"""),"Accept")</f>
        <v>Accept</v>
      </c>
      <c r="J8" s="24" t="str">
        <f ca="1">IFERROR(__xludf.DUMMYFUNCTION("""COMPUTED_VALUE"""),"Yes")</f>
        <v>Yes</v>
      </c>
      <c r="M8" s="19" t="s">
        <v>113</v>
      </c>
      <c r="N8" s="20">
        <f ca="1">COUNTIF(Girls!G:G, "D - wing")</f>
        <v>7</v>
      </c>
    </row>
    <row r="9" spans="1:14" ht="21" customHeight="1" x14ac:dyDescent="0.25">
      <c r="A9" s="23">
        <f ca="1">IFERROR(__xludf.DUMMYFUNCTION("""COMPUTED_VALUE"""),45649.9087824652)</f>
        <v>45649.908782465202</v>
      </c>
      <c r="B9" s="24" t="str">
        <f ca="1">IFERROR(__xludf.DUMMYFUNCTION("""COMPUTED_VALUE"""),"Swara Mahesh Halde")</f>
        <v>Swara Mahesh Halde</v>
      </c>
      <c r="C9" s="24">
        <f ca="1">IFERROR(__xludf.DUMMYFUNCTION("""COMPUTED_VALUE"""),9225625906)</f>
        <v>9225625906</v>
      </c>
      <c r="D9" s="25">
        <f ca="1">IFERROR(__xludf.DUMMYFUNCTION("""COMPUTED_VALUE"""),41280)</f>
        <v>41280</v>
      </c>
      <c r="E9" s="24">
        <f ca="1">IFERROR(__xludf.DUMMYFUNCTION("""COMPUTED_VALUE"""),11)</f>
        <v>11</v>
      </c>
      <c r="F9" s="24" t="str">
        <f ca="1">IFERROR(__xludf.DUMMYFUNCTION("""COMPUTED_VALUE"""),"Female")</f>
        <v>Female</v>
      </c>
      <c r="G9" s="24" t="str">
        <f ca="1">IFERROR(__xludf.DUMMYFUNCTION("""COMPUTED_VALUE"""),"D - wing")</f>
        <v>D - wing</v>
      </c>
      <c r="H9" s="24">
        <f ca="1">IFERROR(__xludf.DUMMYFUNCTION("""COMPUTED_VALUE"""),102)</f>
        <v>102</v>
      </c>
      <c r="I9" s="24" t="str">
        <f ca="1">IFERROR(__xludf.DUMMYFUNCTION("""COMPUTED_VALUE"""),"Accept")</f>
        <v>Accept</v>
      </c>
      <c r="J9" s="24" t="str">
        <f ca="1">IFERROR(__xludf.DUMMYFUNCTION("""COMPUTED_VALUE"""),"Yes")</f>
        <v>Yes</v>
      </c>
      <c r="M9" s="19" t="s">
        <v>114</v>
      </c>
      <c r="N9" s="20">
        <f ca="1">COUNTIF(Girls!G:G, "E - wing")</f>
        <v>2</v>
      </c>
    </row>
    <row r="10" spans="1:14" ht="21" customHeight="1" x14ac:dyDescent="0.25">
      <c r="A10" s="23">
        <f ca="1">IFERROR(__xludf.DUMMYFUNCTION("""COMPUTED_VALUE"""),45650.8994912731)</f>
        <v>45650.8994912731</v>
      </c>
      <c r="B10" s="24" t="str">
        <f ca="1">IFERROR(__xludf.DUMMYFUNCTION("""COMPUTED_VALUE"""),"Garvi Praphull Patil ")</f>
        <v xml:space="preserve">Garvi Praphull Patil </v>
      </c>
      <c r="C10" s="24">
        <f ca="1">IFERROR(__xludf.DUMMYFUNCTION("""COMPUTED_VALUE"""),9730255600)</f>
        <v>9730255600</v>
      </c>
      <c r="D10" s="25">
        <f ca="1">IFERROR(__xludf.DUMMYFUNCTION("""COMPUTED_VALUE"""),42190)</f>
        <v>42190</v>
      </c>
      <c r="E10" s="24">
        <f ca="1">IFERROR(__xludf.DUMMYFUNCTION("""COMPUTED_VALUE"""),9)</f>
        <v>9</v>
      </c>
      <c r="F10" s="24" t="str">
        <f ca="1">IFERROR(__xludf.DUMMYFUNCTION("""COMPUTED_VALUE"""),"Female")</f>
        <v>Female</v>
      </c>
      <c r="G10" s="24" t="str">
        <f ca="1">IFERROR(__xludf.DUMMYFUNCTION("""COMPUTED_VALUE"""),"D - wing")</f>
        <v>D - wing</v>
      </c>
      <c r="H10" s="24">
        <f ca="1">IFERROR(__xludf.DUMMYFUNCTION("""COMPUTED_VALUE"""),503)</f>
        <v>503</v>
      </c>
      <c r="I10" s="24" t="str">
        <f ca="1">IFERROR(__xludf.DUMMYFUNCTION("""COMPUTED_VALUE"""),"Accept")</f>
        <v>Accept</v>
      </c>
      <c r="J10" s="24" t="str">
        <f ca="1">IFERROR(__xludf.DUMMYFUNCTION("""COMPUTED_VALUE"""),"Yes")</f>
        <v>Yes</v>
      </c>
      <c r="M10" s="19" t="s">
        <v>115</v>
      </c>
      <c r="N10" s="20">
        <f ca="1">COUNTIF(Girls!G:G, "F - wing")</f>
        <v>1</v>
      </c>
    </row>
    <row r="11" spans="1:14" ht="21" customHeight="1" x14ac:dyDescent="0.25">
      <c r="A11" s="16">
        <f ca="1">IFERROR(__xludf.DUMMYFUNCTION("""COMPUTED_VALUE"""),45651.3938518981)</f>
        <v>45651.393851898101</v>
      </c>
      <c r="B11" s="17" t="str">
        <f ca="1">IFERROR(__xludf.DUMMYFUNCTION("""COMPUTED_VALUE"""),"Tanishi Baghel")</f>
        <v>Tanishi Baghel</v>
      </c>
      <c r="C11" s="17">
        <f ca="1">IFERROR(__xludf.DUMMYFUNCTION("""COMPUTED_VALUE"""),7987430767)</f>
        <v>7987430767</v>
      </c>
      <c r="D11" s="18">
        <f ca="1">IFERROR(__xludf.DUMMYFUNCTION("""COMPUTED_VALUE"""),41403)</f>
        <v>41403</v>
      </c>
      <c r="E11" s="17">
        <f ca="1">IFERROR(__xludf.DUMMYFUNCTION("""COMPUTED_VALUE"""),11)</f>
        <v>11</v>
      </c>
      <c r="F11" s="17" t="str">
        <f ca="1">IFERROR(__xludf.DUMMYFUNCTION("""COMPUTED_VALUE"""),"Female")</f>
        <v>Female</v>
      </c>
      <c r="G11" s="17" t="str">
        <f ca="1">IFERROR(__xludf.DUMMYFUNCTION("""COMPUTED_VALUE"""),"B - wing")</f>
        <v>B - wing</v>
      </c>
      <c r="H11" s="17">
        <f ca="1">IFERROR(__xludf.DUMMYFUNCTION("""COMPUTED_VALUE"""),305)</f>
        <v>305</v>
      </c>
      <c r="I11" s="17" t="str">
        <f ca="1">IFERROR(__xludf.DUMMYFUNCTION("""COMPUTED_VALUE"""),"Accept")</f>
        <v>Accept</v>
      </c>
      <c r="J11" s="17" t="str">
        <f ca="1">IFERROR(__xludf.DUMMYFUNCTION("""COMPUTED_VALUE"""),"Yes")</f>
        <v>Yes</v>
      </c>
      <c r="M11" s="21" t="s">
        <v>116</v>
      </c>
      <c r="N11" s="22">
        <f ca="1">N5+N6+N7+N8+N9+N10</f>
        <v>13</v>
      </c>
    </row>
    <row r="12" spans="1:14" ht="21" customHeight="1" x14ac:dyDescent="0.25">
      <c r="A12" s="16">
        <f ca="1">IFERROR(__xludf.DUMMYFUNCTION("""COMPUTED_VALUE"""),45651.4365648495)</f>
        <v>45651.4365648495</v>
      </c>
      <c r="B12" s="17" t="str">
        <f ca="1">IFERROR(__xludf.DUMMYFUNCTION("""COMPUTED_VALUE"""),"Ishanvi Prashant Khandale")</f>
        <v>Ishanvi Prashant Khandale</v>
      </c>
      <c r="C12" s="17">
        <f ca="1">IFERROR(__xludf.DUMMYFUNCTION("""COMPUTED_VALUE"""),9890470946)</f>
        <v>9890470946</v>
      </c>
      <c r="D12" s="18">
        <f ca="1">IFERROR(__xludf.DUMMYFUNCTION("""COMPUTED_VALUE"""),41446)</f>
        <v>41446</v>
      </c>
      <c r="E12" s="17">
        <f ca="1">IFERROR(__xludf.DUMMYFUNCTION("""COMPUTED_VALUE"""),11)</f>
        <v>11</v>
      </c>
      <c r="F12" s="17" t="str">
        <f ca="1">IFERROR(__xludf.DUMMYFUNCTION("""COMPUTED_VALUE"""),"Female")</f>
        <v>Female</v>
      </c>
      <c r="G12" s="17" t="str">
        <f ca="1">IFERROR(__xludf.DUMMYFUNCTION("""COMPUTED_VALUE"""),"C - wing")</f>
        <v>C - wing</v>
      </c>
      <c r="H12" s="17">
        <f ca="1">IFERROR(__xludf.DUMMYFUNCTION("""COMPUTED_VALUE"""),503)</f>
        <v>503</v>
      </c>
      <c r="I12" s="17" t="str">
        <f ca="1">IFERROR(__xludf.DUMMYFUNCTION("""COMPUTED_VALUE"""),"Accept")</f>
        <v>Accept</v>
      </c>
      <c r="J12" s="17" t="str">
        <f ca="1">IFERROR(__xludf.DUMMYFUNCTION("""COMPUTED_VALUE"""),"Yes")</f>
        <v>Yes</v>
      </c>
    </row>
    <row r="13" spans="1:14" ht="21" customHeight="1" x14ac:dyDescent="0.25">
      <c r="A13" s="16">
        <f ca="1">IFERROR(__xludf.DUMMYFUNCTION("""COMPUTED_VALUE"""),45651.9816869791)</f>
        <v>45651.981686979103</v>
      </c>
      <c r="B13" s="17" t="str">
        <f ca="1">IFERROR(__xludf.DUMMYFUNCTION("""COMPUTED_VALUE"""),"Gaurita Yogesh Gade")</f>
        <v>Gaurita Yogesh Gade</v>
      </c>
      <c r="C13" s="17">
        <f ca="1">IFERROR(__xludf.DUMMYFUNCTION("""COMPUTED_VALUE"""),8793269564)</f>
        <v>8793269564</v>
      </c>
      <c r="D13" s="18">
        <f ca="1">IFERROR(__xludf.DUMMYFUNCTION("""COMPUTED_VALUE"""),41102)</f>
        <v>41102</v>
      </c>
      <c r="E13" s="17">
        <f ca="1">IFERROR(__xludf.DUMMYFUNCTION("""COMPUTED_VALUE"""),12)</f>
        <v>12</v>
      </c>
      <c r="F13" s="17" t="str">
        <f ca="1">IFERROR(__xludf.DUMMYFUNCTION("""COMPUTED_VALUE"""),"Female")</f>
        <v>Female</v>
      </c>
      <c r="G13" s="17" t="str">
        <f ca="1">IFERROR(__xludf.DUMMYFUNCTION("""COMPUTED_VALUE"""),"C - wing")</f>
        <v>C - wing</v>
      </c>
      <c r="H13" s="17">
        <f ca="1">IFERROR(__xludf.DUMMYFUNCTION("""COMPUTED_VALUE"""),604)</f>
        <v>604</v>
      </c>
      <c r="I13" s="17" t="str">
        <f ca="1">IFERROR(__xludf.DUMMYFUNCTION("""COMPUTED_VALUE"""),"Accept")</f>
        <v>Accept</v>
      </c>
      <c r="J13" s="17" t="str">
        <f ca="1">IFERROR(__xludf.DUMMYFUNCTION("""COMPUTED_VALUE"""),"No")</f>
        <v>No</v>
      </c>
    </row>
    <row r="14" spans="1:14" ht="21" customHeight="1" x14ac:dyDescent="0.25">
      <c r="A14" s="16">
        <f ca="1">IFERROR(__xludf.DUMMYFUNCTION("""COMPUTED_VALUE"""),45652.7778295254)</f>
        <v>45652.777829525403</v>
      </c>
      <c r="B14" s="17" t="str">
        <f ca="1">IFERROR(__xludf.DUMMYFUNCTION("""COMPUTED_VALUE"""),"Ishwari Amit Malshikare")</f>
        <v>Ishwari Amit Malshikare</v>
      </c>
      <c r="C14" s="17">
        <f ca="1">IFERROR(__xludf.DUMMYFUNCTION("""COMPUTED_VALUE"""),9049785050)</f>
        <v>9049785050</v>
      </c>
      <c r="D14" s="18">
        <f ca="1">IFERROR(__xludf.DUMMYFUNCTION("""COMPUTED_VALUE"""),41244)</f>
        <v>41244</v>
      </c>
      <c r="E14" s="17">
        <f ca="1">IFERROR(__xludf.DUMMYFUNCTION("""COMPUTED_VALUE"""),12)</f>
        <v>12</v>
      </c>
      <c r="F14" s="17" t="str">
        <f ca="1">IFERROR(__xludf.DUMMYFUNCTION("""COMPUTED_VALUE"""),"Female")</f>
        <v>Female</v>
      </c>
      <c r="G14" s="17" t="str">
        <f ca="1">IFERROR(__xludf.DUMMYFUNCTION("""COMPUTED_VALUE"""),"E - wing")</f>
        <v>E - wing</v>
      </c>
      <c r="H14" s="17">
        <f ca="1">IFERROR(__xludf.DUMMYFUNCTION("""COMPUTED_VALUE"""),603)</f>
        <v>603</v>
      </c>
      <c r="I14" s="17" t="str">
        <f ca="1">IFERROR(__xludf.DUMMYFUNCTION("""COMPUTED_VALUE"""),"Accept")</f>
        <v>Accept</v>
      </c>
      <c r="J14" s="17" t="str">
        <f ca="1">IFERROR(__xludf.DUMMYFUNCTION("""COMPUTED_VALUE"""),"No")</f>
        <v>No</v>
      </c>
    </row>
    <row r="15" spans="1:14" ht="21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36"/>
  <sheetViews>
    <sheetView workbookViewId="0"/>
  </sheetViews>
  <sheetFormatPr defaultColWidth="12.6640625" defaultRowHeight="15.75" customHeight="1" x14ac:dyDescent="0.25"/>
  <cols>
    <col min="1" max="1" width="19.21875" customWidth="1"/>
    <col min="2" max="2" width="36.21875" customWidth="1"/>
    <col min="3" max="3" width="16.109375" customWidth="1"/>
    <col min="4" max="4" width="15.33203125" customWidth="1"/>
    <col min="9" max="9" width="20.44140625" customWidth="1"/>
    <col min="10" max="10" width="16.33203125" customWidth="1"/>
    <col min="13" max="13" width="19.88671875" customWidth="1"/>
  </cols>
  <sheetData>
    <row r="1" spans="1:14" ht="13.2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4" ht="21" customHeight="1" x14ac:dyDescent="0.25">
      <c r="A2" s="5">
        <f ca="1">IFERROR(__xludf.DUMMYFUNCTION("FILTER('Registration Data'!A:J, ('Registration Data'!E:E&gt;=7)*('Registration Data'!E:E&lt;=17)*('Registration Data'!F:F=""Male""))
"),45645.4924084375)</f>
        <v>45645.492408437502</v>
      </c>
      <c r="B2" s="6" t="str">
        <f ca="1">IFERROR(__xludf.DUMMYFUNCTION("""COMPUTED_VALUE"""),"Vihaan Kunal Pawar")</f>
        <v>Vihaan Kunal Pawar</v>
      </c>
      <c r="C2" s="6">
        <f ca="1">IFERROR(__xludf.DUMMYFUNCTION("""COMPUTED_VALUE"""),9637575258)</f>
        <v>9637575258</v>
      </c>
      <c r="D2" s="7">
        <f ca="1">IFERROR(__xludf.DUMMYFUNCTION("""COMPUTED_VALUE"""),42088)</f>
        <v>42088</v>
      </c>
      <c r="E2" s="6">
        <f ca="1">IFERROR(__xludf.DUMMYFUNCTION("""COMPUTED_VALUE"""),9)</f>
        <v>9</v>
      </c>
      <c r="F2" s="6" t="str">
        <f ca="1">IFERROR(__xludf.DUMMYFUNCTION("""COMPUTED_VALUE"""),"Male")</f>
        <v>Male</v>
      </c>
      <c r="G2" s="6" t="str">
        <f ca="1">IFERROR(__xludf.DUMMYFUNCTION("""COMPUTED_VALUE"""),"C - wing")</f>
        <v>C - wing</v>
      </c>
      <c r="H2" s="6">
        <f ca="1">IFERROR(__xludf.DUMMYFUNCTION("""COMPUTED_VALUE"""),401)</f>
        <v>401</v>
      </c>
      <c r="I2" s="6" t="str">
        <f ca="1">IFERROR(__xludf.DUMMYFUNCTION("""COMPUTED_VALUE"""),"Accept")</f>
        <v>Accept</v>
      </c>
      <c r="J2" s="6" t="str">
        <f ca="1">IFERROR(__xludf.DUMMYFUNCTION("""COMPUTED_VALUE"""),"No")</f>
        <v>No</v>
      </c>
    </row>
    <row r="3" spans="1:14" ht="21" customHeight="1" x14ac:dyDescent="0.25">
      <c r="A3" s="16">
        <f ca="1">IFERROR(__xludf.DUMMYFUNCTION("""COMPUTED_VALUE"""),45645.8324699421)</f>
        <v>45645.832469942099</v>
      </c>
      <c r="B3" s="17" t="str">
        <f ca="1">IFERROR(__xludf.DUMMYFUNCTION("""COMPUTED_VALUE"""),"Ankur Newasekar")</f>
        <v>Ankur Newasekar</v>
      </c>
      <c r="C3" s="17">
        <f ca="1">IFERROR(__xludf.DUMMYFUNCTION("""COMPUTED_VALUE"""),8421659548)</f>
        <v>8421659548</v>
      </c>
      <c r="D3" s="18">
        <f ca="1">IFERROR(__xludf.DUMMYFUNCTION("""COMPUTED_VALUE"""),41478)</f>
        <v>41478</v>
      </c>
      <c r="E3" s="17">
        <f ca="1">IFERROR(__xludf.DUMMYFUNCTION("""COMPUTED_VALUE"""),11)</f>
        <v>11</v>
      </c>
      <c r="F3" s="17" t="str">
        <f ca="1">IFERROR(__xludf.DUMMYFUNCTION("""COMPUTED_VALUE"""),"Male")</f>
        <v>Male</v>
      </c>
      <c r="G3" s="17" t="str">
        <f ca="1">IFERROR(__xludf.DUMMYFUNCTION("""COMPUTED_VALUE"""),"A - wing")</f>
        <v>A - wing</v>
      </c>
      <c r="H3" s="17">
        <f ca="1">IFERROR(__xludf.DUMMYFUNCTION("""COMPUTED_VALUE"""),701)</f>
        <v>701</v>
      </c>
      <c r="I3" s="17" t="str">
        <f ca="1">IFERROR(__xludf.DUMMYFUNCTION("""COMPUTED_VALUE"""),"Accept")</f>
        <v>Accept</v>
      </c>
      <c r="J3" s="17" t="str">
        <f ca="1">IFERROR(__xludf.DUMMYFUNCTION("""COMPUTED_VALUE"""),"Yes")</f>
        <v>Yes</v>
      </c>
    </row>
    <row r="4" spans="1:14" ht="21" customHeight="1" x14ac:dyDescent="0.25">
      <c r="A4" s="16">
        <f ca="1">IFERROR(__xludf.DUMMYFUNCTION("""COMPUTED_VALUE"""),45646.2754822222)</f>
        <v>45646.275482222198</v>
      </c>
      <c r="B4" s="17" t="str">
        <f ca="1">IFERROR(__xludf.DUMMYFUNCTION("""COMPUTED_VALUE"""),"Digant Tewari ")</f>
        <v xml:space="preserve">Digant Tewari </v>
      </c>
      <c r="C4" s="17">
        <f ca="1">IFERROR(__xludf.DUMMYFUNCTION("""COMPUTED_VALUE"""),9321113950)</f>
        <v>9321113950</v>
      </c>
      <c r="D4" s="18">
        <f ca="1">IFERROR(__xludf.DUMMYFUNCTION("""COMPUTED_VALUE"""),40921)</f>
        <v>40921</v>
      </c>
      <c r="E4" s="17">
        <f ca="1">IFERROR(__xludf.DUMMYFUNCTION("""COMPUTED_VALUE"""),12)</f>
        <v>12</v>
      </c>
      <c r="F4" s="17" t="str">
        <f ca="1">IFERROR(__xludf.DUMMYFUNCTION("""COMPUTED_VALUE"""),"Male")</f>
        <v>Male</v>
      </c>
      <c r="G4" s="17" t="str">
        <f ca="1">IFERROR(__xludf.DUMMYFUNCTION("""COMPUTED_VALUE"""),"B - wing")</f>
        <v>B - wing</v>
      </c>
      <c r="H4" s="17">
        <f ca="1">IFERROR(__xludf.DUMMYFUNCTION("""COMPUTED_VALUE"""),201)</f>
        <v>201</v>
      </c>
      <c r="I4" s="17" t="str">
        <f ca="1">IFERROR(__xludf.DUMMYFUNCTION("""COMPUTED_VALUE"""),"Accept")</f>
        <v>Accept</v>
      </c>
      <c r="J4" s="17" t="str">
        <f ca="1">IFERROR(__xludf.DUMMYFUNCTION("""COMPUTED_VALUE"""),"No")</f>
        <v>No</v>
      </c>
      <c r="M4" s="2" t="s">
        <v>108</v>
      </c>
      <c r="N4" s="2" t="s">
        <v>109</v>
      </c>
    </row>
    <row r="5" spans="1:14" ht="21" customHeight="1" x14ac:dyDescent="0.25">
      <c r="A5" s="16">
        <f ca="1">IFERROR(__xludf.DUMMYFUNCTION("""COMPUTED_VALUE"""),45646.4213124652)</f>
        <v>45646.421312465201</v>
      </c>
      <c r="B5" s="17" t="str">
        <f ca="1">IFERROR(__xludf.DUMMYFUNCTION("""COMPUTED_VALUE"""),"Rudra Narendra Kharche")</f>
        <v>Rudra Narendra Kharche</v>
      </c>
      <c r="C5" s="17">
        <f ca="1">IFERROR(__xludf.DUMMYFUNCTION("""COMPUTED_VALUE"""),7588418741)</f>
        <v>7588418741</v>
      </c>
      <c r="D5" s="18">
        <f ca="1">IFERROR(__xludf.DUMMYFUNCTION("""COMPUTED_VALUE"""),41771)</f>
        <v>41771</v>
      </c>
      <c r="E5" s="17">
        <f ca="1">IFERROR(__xludf.DUMMYFUNCTION("""COMPUTED_VALUE"""),10)</f>
        <v>10</v>
      </c>
      <c r="F5" s="17" t="str">
        <f ca="1">IFERROR(__xludf.DUMMYFUNCTION("""COMPUTED_VALUE"""),"Male")</f>
        <v>Male</v>
      </c>
      <c r="G5" s="17" t="str">
        <f ca="1">IFERROR(__xludf.DUMMYFUNCTION("""COMPUTED_VALUE"""),"D - wing")</f>
        <v>D - wing</v>
      </c>
      <c r="H5" s="17">
        <f ca="1">IFERROR(__xludf.DUMMYFUNCTION("""COMPUTED_VALUE"""),401)</f>
        <v>401</v>
      </c>
      <c r="I5" s="17" t="str">
        <f ca="1">IFERROR(__xludf.DUMMYFUNCTION("""COMPUTED_VALUE"""),"Accept")</f>
        <v>Accept</v>
      </c>
      <c r="J5" s="17" t="str">
        <f ca="1">IFERROR(__xludf.DUMMYFUNCTION("""COMPUTED_VALUE"""),"Yes")</f>
        <v>Yes</v>
      </c>
      <c r="M5" s="6" t="s">
        <v>110</v>
      </c>
      <c r="N5" s="6">
        <f ca="1">COUNTIF(Boys!G:G, "A - wing")</f>
        <v>7</v>
      </c>
    </row>
    <row r="6" spans="1:14" ht="21" customHeight="1" x14ac:dyDescent="0.25">
      <c r="A6" s="16">
        <f ca="1">IFERROR(__xludf.DUMMYFUNCTION("""COMPUTED_VALUE"""),45647.5765184375)</f>
        <v>45647.576518437498</v>
      </c>
      <c r="B6" s="17" t="str">
        <f ca="1">IFERROR(__xludf.DUMMYFUNCTION("""COMPUTED_VALUE"""),"Vihaan Deshmukh ")</f>
        <v xml:space="preserve">Vihaan Deshmukh </v>
      </c>
      <c r="C6" s="17">
        <f ca="1">IFERROR(__xludf.DUMMYFUNCTION("""COMPUTED_VALUE"""),9767703265)</f>
        <v>9767703265</v>
      </c>
      <c r="D6" s="18">
        <f ca="1">IFERROR(__xludf.DUMMYFUNCTION("""COMPUTED_VALUE"""),41988)</f>
        <v>41988</v>
      </c>
      <c r="E6" s="17">
        <f ca="1">IFERROR(__xludf.DUMMYFUNCTION("""COMPUTED_VALUE"""),10)</f>
        <v>10</v>
      </c>
      <c r="F6" s="17" t="str">
        <f ca="1">IFERROR(__xludf.DUMMYFUNCTION("""COMPUTED_VALUE"""),"Male")</f>
        <v>Male</v>
      </c>
      <c r="G6" s="17" t="str">
        <f ca="1">IFERROR(__xludf.DUMMYFUNCTION("""COMPUTED_VALUE"""),"E - wing")</f>
        <v>E - wing</v>
      </c>
      <c r="H6" s="17">
        <f ca="1">IFERROR(__xludf.DUMMYFUNCTION("""COMPUTED_VALUE"""),703)</f>
        <v>703</v>
      </c>
      <c r="I6" s="17" t="str">
        <f ca="1">IFERROR(__xludf.DUMMYFUNCTION("""COMPUTED_VALUE"""),"Accept")</f>
        <v>Accept</v>
      </c>
      <c r="J6" s="17" t="str">
        <f ca="1">IFERROR(__xludf.DUMMYFUNCTION("""COMPUTED_VALUE"""),"Yes")</f>
        <v>Yes</v>
      </c>
      <c r="M6" s="6" t="s">
        <v>111</v>
      </c>
      <c r="N6" s="6">
        <f ca="1">COUNTIF(Boys!G:G, "B - wing")</f>
        <v>4</v>
      </c>
    </row>
    <row r="7" spans="1:14" ht="21" customHeight="1" x14ac:dyDescent="0.25">
      <c r="A7" s="16">
        <f ca="1">IFERROR(__xludf.DUMMYFUNCTION("""COMPUTED_VALUE"""),45647.582637581)</f>
        <v>45647.582637580999</v>
      </c>
      <c r="B7" s="17" t="str">
        <f ca="1">IFERROR(__xludf.DUMMYFUNCTION("""COMPUTED_VALUE"""),"SHREYASH SUDHIR MASNE")</f>
        <v>SHREYASH SUDHIR MASNE</v>
      </c>
      <c r="C7" s="17">
        <f ca="1">IFERROR(__xludf.DUMMYFUNCTION("""COMPUTED_VALUE"""),7756994357)</f>
        <v>7756994357</v>
      </c>
      <c r="D7" s="18">
        <f ca="1">IFERROR(__xludf.DUMMYFUNCTION("""COMPUTED_VALUE"""),41966)</f>
        <v>41966</v>
      </c>
      <c r="E7" s="17">
        <f ca="1">IFERROR(__xludf.DUMMYFUNCTION("""COMPUTED_VALUE"""),10)</f>
        <v>10</v>
      </c>
      <c r="F7" s="17" t="str">
        <f ca="1">IFERROR(__xludf.DUMMYFUNCTION("""COMPUTED_VALUE"""),"Male")</f>
        <v>Male</v>
      </c>
      <c r="G7" s="17" t="str">
        <f ca="1">IFERROR(__xludf.DUMMYFUNCTION("""COMPUTED_VALUE"""),"C - wing")</f>
        <v>C - wing</v>
      </c>
      <c r="H7" s="17">
        <f ca="1">IFERROR(__xludf.DUMMYFUNCTION("""COMPUTED_VALUE"""),202)</f>
        <v>202</v>
      </c>
      <c r="I7" s="17" t="str">
        <f ca="1">IFERROR(__xludf.DUMMYFUNCTION("""COMPUTED_VALUE"""),"Accept")</f>
        <v>Accept</v>
      </c>
      <c r="J7" s="17" t="str">
        <f ca="1">IFERROR(__xludf.DUMMYFUNCTION("""COMPUTED_VALUE"""),"Yes")</f>
        <v>Yes</v>
      </c>
      <c r="M7" s="19" t="s">
        <v>112</v>
      </c>
      <c r="N7" s="20">
        <f ca="1">COUNTIF(Boys!G:G, "C - wing")</f>
        <v>7</v>
      </c>
    </row>
    <row r="8" spans="1:14" ht="21" customHeight="1" x14ac:dyDescent="0.25">
      <c r="A8" s="16">
        <f ca="1">IFERROR(__xludf.DUMMYFUNCTION("""COMPUTED_VALUE"""),45647.5981908796)</f>
        <v>45647.598190879602</v>
      </c>
      <c r="B8" s="17" t="str">
        <f ca="1">IFERROR(__xludf.DUMMYFUNCTION("""COMPUTED_VALUE"""),"Samarthya Suryakant Nimbalkar")</f>
        <v>Samarthya Suryakant Nimbalkar</v>
      </c>
      <c r="C8" s="17">
        <f ca="1">IFERROR(__xludf.DUMMYFUNCTION("""COMPUTED_VALUE"""),9822602584)</f>
        <v>9822602584</v>
      </c>
      <c r="D8" s="18">
        <f ca="1">IFERROR(__xludf.DUMMYFUNCTION("""COMPUTED_VALUE"""),40858)</f>
        <v>40858</v>
      </c>
      <c r="E8" s="17">
        <f ca="1">IFERROR(__xludf.DUMMYFUNCTION("""COMPUTED_VALUE"""),13)</f>
        <v>13</v>
      </c>
      <c r="F8" s="17" t="str">
        <f ca="1">IFERROR(__xludf.DUMMYFUNCTION("""COMPUTED_VALUE"""),"Male")</f>
        <v>Male</v>
      </c>
      <c r="G8" s="17" t="str">
        <f ca="1">IFERROR(__xludf.DUMMYFUNCTION("""COMPUTED_VALUE"""),"A - wing")</f>
        <v>A - wing</v>
      </c>
      <c r="H8" s="17">
        <f ca="1">IFERROR(__xludf.DUMMYFUNCTION("""COMPUTED_VALUE"""),405)</f>
        <v>405</v>
      </c>
      <c r="I8" s="17" t="str">
        <f ca="1">IFERROR(__xludf.DUMMYFUNCTION("""COMPUTED_VALUE"""),"Accept")</f>
        <v>Accept</v>
      </c>
      <c r="J8" s="17" t="str">
        <f ca="1">IFERROR(__xludf.DUMMYFUNCTION("""COMPUTED_VALUE"""),"No")</f>
        <v>No</v>
      </c>
      <c r="M8" s="19" t="s">
        <v>113</v>
      </c>
      <c r="N8" s="20">
        <f ca="1">COUNTIF(Boys!G:G, "D - wing")</f>
        <v>5</v>
      </c>
    </row>
    <row r="9" spans="1:14" ht="21" customHeight="1" x14ac:dyDescent="0.25">
      <c r="A9" s="16">
        <f ca="1">IFERROR(__xludf.DUMMYFUNCTION("""COMPUTED_VALUE"""),45647.6059375462)</f>
        <v>45647.605937546199</v>
      </c>
      <c r="B9" s="17" t="str">
        <f ca="1">IFERROR(__xludf.DUMMYFUNCTION("""COMPUTED_VALUE"""),"Dhairyasheel Nimbalkar")</f>
        <v>Dhairyasheel Nimbalkar</v>
      </c>
      <c r="C9" s="17">
        <f ca="1">IFERROR(__xludf.DUMMYFUNCTION("""COMPUTED_VALUE"""),8767952354)</f>
        <v>8767952354</v>
      </c>
      <c r="D9" s="18">
        <f ca="1">IFERROR(__xludf.DUMMYFUNCTION("""COMPUTED_VALUE"""),39380)</f>
        <v>39380</v>
      </c>
      <c r="E9" s="17">
        <f ca="1">IFERROR(__xludf.DUMMYFUNCTION("""COMPUTED_VALUE"""),17)</f>
        <v>17</v>
      </c>
      <c r="F9" s="17" t="str">
        <f ca="1">IFERROR(__xludf.DUMMYFUNCTION("""COMPUTED_VALUE"""),"Male")</f>
        <v>Male</v>
      </c>
      <c r="G9" s="17" t="str">
        <f ca="1">IFERROR(__xludf.DUMMYFUNCTION("""COMPUTED_VALUE"""),"A - wing")</f>
        <v>A - wing</v>
      </c>
      <c r="H9" s="17">
        <f ca="1">IFERROR(__xludf.DUMMYFUNCTION("""COMPUTED_VALUE"""),405)</f>
        <v>405</v>
      </c>
      <c r="I9" s="17" t="str">
        <f ca="1">IFERROR(__xludf.DUMMYFUNCTION("""COMPUTED_VALUE"""),"Accept")</f>
        <v>Accept</v>
      </c>
      <c r="J9" s="17" t="str">
        <f ca="1">IFERROR(__xludf.DUMMYFUNCTION("""COMPUTED_VALUE"""),"No")</f>
        <v>No</v>
      </c>
      <c r="M9" s="19" t="s">
        <v>114</v>
      </c>
      <c r="N9" s="20">
        <f ca="1">COUNTIF(Boys!G:G, "E - wing")</f>
        <v>7</v>
      </c>
    </row>
    <row r="10" spans="1:14" ht="21" customHeight="1" x14ac:dyDescent="0.25">
      <c r="A10" s="16">
        <f ca="1">IFERROR(__xludf.DUMMYFUNCTION("""COMPUTED_VALUE"""),45647.6190089699)</f>
        <v>45647.619008969901</v>
      </c>
      <c r="B10" s="17" t="str">
        <f ca="1">IFERROR(__xludf.DUMMYFUNCTION("""COMPUTED_VALUE"""),"Advit Kedar")</f>
        <v>Advit Kedar</v>
      </c>
      <c r="C10" s="17">
        <f ca="1">IFERROR(__xludf.DUMMYFUNCTION("""COMPUTED_VALUE"""),7517621082)</f>
        <v>7517621082</v>
      </c>
      <c r="D10" s="18">
        <f ca="1">IFERROR(__xludf.DUMMYFUNCTION("""COMPUTED_VALUE"""),41320)</f>
        <v>41320</v>
      </c>
      <c r="E10" s="17">
        <f ca="1">IFERROR(__xludf.DUMMYFUNCTION("""COMPUTED_VALUE"""),11)</f>
        <v>11</v>
      </c>
      <c r="F10" s="17" t="str">
        <f ca="1">IFERROR(__xludf.DUMMYFUNCTION("""COMPUTED_VALUE"""),"Male")</f>
        <v>Male</v>
      </c>
      <c r="G10" s="17" t="str">
        <f ca="1">IFERROR(__xludf.DUMMYFUNCTION("""COMPUTED_VALUE"""),"A - wing")</f>
        <v>A - wing</v>
      </c>
      <c r="H10" s="17">
        <f ca="1">IFERROR(__xludf.DUMMYFUNCTION("""COMPUTED_VALUE"""),704)</f>
        <v>704</v>
      </c>
      <c r="I10" s="17" t="str">
        <f ca="1">IFERROR(__xludf.DUMMYFUNCTION("""COMPUTED_VALUE"""),"Accept")</f>
        <v>Accept</v>
      </c>
      <c r="J10" s="17" t="str">
        <f ca="1">IFERROR(__xludf.DUMMYFUNCTION("""COMPUTED_VALUE"""),"No")</f>
        <v>No</v>
      </c>
      <c r="M10" s="19" t="s">
        <v>115</v>
      </c>
      <c r="N10" s="20">
        <f ca="1">COUNTIF(Boys!G:G, "F - wing")</f>
        <v>2</v>
      </c>
    </row>
    <row r="11" spans="1:14" ht="21" customHeight="1" x14ac:dyDescent="0.25">
      <c r="A11" s="16">
        <f ca="1">IFERROR(__xludf.DUMMYFUNCTION("""COMPUTED_VALUE"""),45647.6198652083)</f>
        <v>45647.619865208297</v>
      </c>
      <c r="B11" s="17" t="str">
        <f ca="1">IFERROR(__xludf.DUMMYFUNCTION("""COMPUTED_VALUE"""),"Aditya Uday Chougale ")</f>
        <v xml:space="preserve">Aditya Uday Chougale </v>
      </c>
      <c r="C11" s="17">
        <f ca="1">IFERROR(__xludf.DUMMYFUNCTION("""COMPUTED_VALUE"""),9607942623)</f>
        <v>9607942623</v>
      </c>
      <c r="D11" s="18">
        <f ca="1">IFERROR(__xludf.DUMMYFUNCTION("""COMPUTED_VALUE"""),40332)</f>
        <v>40332</v>
      </c>
      <c r="E11" s="17">
        <f ca="1">IFERROR(__xludf.DUMMYFUNCTION("""COMPUTED_VALUE"""),14)</f>
        <v>14</v>
      </c>
      <c r="F11" s="17" t="str">
        <f ca="1">IFERROR(__xludf.DUMMYFUNCTION("""COMPUTED_VALUE"""),"Male")</f>
        <v>Male</v>
      </c>
      <c r="G11" s="17" t="str">
        <f ca="1">IFERROR(__xludf.DUMMYFUNCTION("""COMPUTED_VALUE"""),"E - wing")</f>
        <v>E - wing</v>
      </c>
      <c r="H11" s="17">
        <f ca="1">IFERROR(__xludf.DUMMYFUNCTION("""COMPUTED_VALUE"""),404)</f>
        <v>404</v>
      </c>
      <c r="I11" s="17" t="str">
        <f ca="1">IFERROR(__xludf.DUMMYFUNCTION("""COMPUTED_VALUE"""),"Accept")</f>
        <v>Accept</v>
      </c>
      <c r="J11" s="17" t="str">
        <f ca="1">IFERROR(__xludf.DUMMYFUNCTION("""COMPUTED_VALUE"""),"Yes")</f>
        <v>Yes</v>
      </c>
      <c r="M11" s="21" t="s">
        <v>116</v>
      </c>
      <c r="N11" s="22">
        <f ca="1">N5+N6+N7+N8+N9+N10</f>
        <v>32</v>
      </c>
    </row>
    <row r="12" spans="1:14" ht="21" customHeight="1" x14ac:dyDescent="0.25">
      <c r="A12" s="16">
        <f ca="1">IFERROR(__xludf.DUMMYFUNCTION("""COMPUTED_VALUE"""),45647.6820681134)</f>
        <v>45647.682068113398</v>
      </c>
      <c r="B12" s="17" t="str">
        <f ca="1">IFERROR(__xludf.DUMMYFUNCTION("""COMPUTED_VALUE"""),"Aayush Sanjay Shishte ")</f>
        <v xml:space="preserve">Aayush Sanjay Shishte </v>
      </c>
      <c r="C12" s="17">
        <f ca="1">IFERROR(__xludf.DUMMYFUNCTION("""COMPUTED_VALUE"""),9881439549)</f>
        <v>9881439549</v>
      </c>
      <c r="D12" s="18">
        <f ca="1">IFERROR(__xludf.DUMMYFUNCTION("""COMPUTED_VALUE"""),39730)</f>
        <v>39730</v>
      </c>
      <c r="E12" s="17">
        <f ca="1">IFERROR(__xludf.DUMMYFUNCTION("""COMPUTED_VALUE"""),16)</f>
        <v>16</v>
      </c>
      <c r="F12" s="17" t="str">
        <f ca="1">IFERROR(__xludf.DUMMYFUNCTION("""COMPUTED_VALUE"""),"Male")</f>
        <v>Male</v>
      </c>
      <c r="G12" s="17" t="str">
        <f ca="1">IFERROR(__xludf.DUMMYFUNCTION("""COMPUTED_VALUE"""),"E - wing")</f>
        <v>E - wing</v>
      </c>
      <c r="H12" s="17">
        <f ca="1">IFERROR(__xludf.DUMMYFUNCTION("""COMPUTED_VALUE"""),701)</f>
        <v>701</v>
      </c>
      <c r="I12" s="17" t="str">
        <f ca="1">IFERROR(__xludf.DUMMYFUNCTION("""COMPUTED_VALUE"""),"Accept")</f>
        <v>Accept</v>
      </c>
      <c r="J12" s="17" t="str">
        <f ca="1">IFERROR(__xludf.DUMMYFUNCTION("""COMPUTED_VALUE"""),"No")</f>
        <v>No</v>
      </c>
    </row>
    <row r="13" spans="1:14" ht="21" customHeight="1" x14ac:dyDescent="0.25">
      <c r="A13" s="16">
        <f ca="1">IFERROR(__xludf.DUMMYFUNCTION("""COMPUTED_VALUE"""),45647.8136092129)</f>
        <v>45647.813609212899</v>
      </c>
      <c r="B13" s="17" t="str">
        <f ca="1">IFERROR(__xludf.DUMMYFUNCTION("""COMPUTED_VALUE"""),"Vihaan Pranav Gund")</f>
        <v>Vihaan Pranav Gund</v>
      </c>
      <c r="C13" s="17">
        <f ca="1">IFERROR(__xludf.DUMMYFUNCTION("""COMPUTED_VALUE"""),9527378072)</f>
        <v>9527378072</v>
      </c>
      <c r="D13" s="18">
        <f ca="1">IFERROR(__xludf.DUMMYFUNCTION("""COMPUTED_VALUE"""),41760)</f>
        <v>41760</v>
      </c>
      <c r="E13" s="17">
        <f ca="1">IFERROR(__xludf.DUMMYFUNCTION("""COMPUTED_VALUE"""),10)</f>
        <v>10</v>
      </c>
      <c r="F13" s="17" t="str">
        <f ca="1">IFERROR(__xludf.DUMMYFUNCTION("""COMPUTED_VALUE"""),"Male")</f>
        <v>Male</v>
      </c>
      <c r="G13" s="17" t="str">
        <f ca="1">IFERROR(__xludf.DUMMYFUNCTION("""COMPUTED_VALUE"""),"C - wing")</f>
        <v>C - wing</v>
      </c>
      <c r="H13" s="17">
        <f ca="1">IFERROR(__xludf.DUMMYFUNCTION("""COMPUTED_VALUE"""),302)</f>
        <v>302</v>
      </c>
      <c r="I13" s="17" t="str">
        <f ca="1">IFERROR(__xludf.DUMMYFUNCTION("""COMPUTED_VALUE"""),"Accept")</f>
        <v>Accept</v>
      </c>
      <c r="J13" s="17" t="str">
        <f ca="1">IFERROR(__xludf.DUMMYFUNCTION("""COMPUTED_VALUE"""),"No")</f>
        <v>No</v>
      </c>
    </row>
    <row r="14" spans="1:14" ht="21" customHeight="1" x14ac:dyDescent="0.25">
      <c r="A14" s="16">
        <f ca="1">IFERROR(__xludf.DUMMYFUNCTION("""COMPUTED_VALUE"""),45648.4301384953)</f>
        <v>45648.4301384953</v>
      </c>
      <c r="B14" s="17" t="str">
        <f ca="1">IFERROR(__xludf.DUMMYFUNCTION("""COMPUTED_VALUE"""),"Vedant Dilip Koti ")</f>
        <v xml:space="preserve">Vedant Dilip Koti </v>
      </c>
      <c r="C14" s="17">
        <f ca="1">IFERROR(__xludf.DUMMYFUNCTION("""COMPUTED_VALUE"""),9834673126)</f>
        <v>9834673126</v>
      </c>
      <c r="D14" s="18">
        <f ca="1">IFERROR(__xludf.DUMMYFUNCTION("""COMPUTED_VALUE"""),41092)</f>
        <v>41092</v>
      </c>
      <c r="E14" s="17">
        <f ca="1">IFERROR(__xludf.DUMMYFUNCTION("""COMPUTED_VALUE"""),12)</f>
        <v>12</v>
      </c>
      <c r="F14" s="17" t="str">
        <f ca="1">IFERROR(__xludf.DUMMYFUNCTION("""COMPUTED_VALUE"""),"Male")</f>
        <v>Male</v>
      </c>
      <c r="G14" s="17" t="str">
        <f ca="1">IFERROR(__xludf.DUMMYFUNCTION("""COMPUTED_VALUE"""),"E - wing")</f>
        <v>E - wing</v>
      </c>
      <c r="H14" s="17">
        <f ca="1">IFERROR(__xludf.DUMMYFUNCTION("""COMPUTED_VALUE"""),101)</f>
        <v>101</v>
      </c>
      <c r="I14" s="17" t="str">
        <f ca="1">IFERROR(__xludf.DUMMYFUNCTION("""COMPUTED_VALUE"""),"Accept")</f>
        <v>Accept</v>
      </c>
      <c r="J14" s="17" t="str">
        <f ca="1">IFERROR(__xludf.DUMMYFUNCTION("""COMPUTED_VALUE"""),"Yes")</f>
        <v>Yes</v>
      </c>
    </row>
    <row r="15" spans="1:14" ht="21" customHeight="1" x14ac:dyDescent="0.25">
      <c r="A15" s="16">
        <f ca="1">IFERROR(__xludf.DUMMYFUNCTION("""COMPUTED_VALUE"""),45648.8042979861)</f>
        <v>45648.804297986098</v>
      </c>
      <c r="B15" s="17" t="str">
        <f ca="1">IFERROR(__xludf.DUMMYFUNCTION("""COMPUTED_VALUE"""),"Tanmay Shashikant Sonawane ")</f>
        <v xml:space="preserve">Tanmay Shashikant Sonawane </v>
      </c>
      <c r="C15" s="17" t="str">
        <f ca="1">IFERROR(__xludf.DUMMYFUNCTION("""COMPUTED_VALUE"""),"84829 15897")</f>
        <v>84829 15897</v>
      </c>
      <c r="D15" s="18">
        <f ca="1">IFERROR(__xludf.DUMMYFUNCTION("""COMPUTED_VALUE"""),39912)</f>
        <v>39912</v>
      </c>
      <c r="E15" s="17">
        <f ca="1">IFERROR(__xludf.DUMMYFUNCTION("""COMPUTED_VALUE"""),15)</f>
        <v>15</v>
      </c>
      <c r="F15" s="17" t="str">
        <f ca="1">IFERROR(__xludf.DUMMYFUNCTION("""COMPUTED_VALUE"""),"Male")</f>
        <v>Male</v>
      </c>
      <c r="G15" s="17" t="str">
        <f ca="1">IFERROR(__xludf.DUMMYFUNCTION("""COMPUTED_VALUE"""),"D - wing")</f>
        <v>D - wing</v>
      </c>
      <c r="H15" s="17">
        <f ca="1">IFERROR(__xludf.DUMMYFUNCTION("""COMPUTED_VALUE"""),602)</f>
        <v>602</v>
      </c>
      <c r="I15" s="17" t="str">
        <f ca="1">IFERROR(__xludf.DUMMYFUNCTION("""COMPUTED_VALUE"""),"Accept")</f>
        <v>Accept</v>
      </c>
      <c r="J15" s="17" t="str">
        <f ca="1">IFERROR(__xludf.DUMMYFUNCTION("""COMPUTED_VALUE"""),"No")</f>
        <v>No</v>
      </c>
    </row>
    <row r="16" spans="1:14" ht="21" customHeight="1" x14ac:dyDescent="0.25">
      <c r="A16" s="16">
        <f ca="1">IFERROR(__xludf.DUMMYFUNCTION("""COMPUTED_VALUE"""),45648.8080344328)</f>
        <v>45648.808034432797</v>
      </c>
      <c r="B16" s="17" t="str">
        <f ca="1">IFERROR(__xludf.DUMMYFUNCTION("""COMPUTED_VALUE"""),"Samarth Gopinath Tarange ")</f>
        <v xml:space="preserve">Samarth Gopinath Tarange </v>
      </c>
      <c r="C16" s="17">
        <f ca="1">IFERROR(__xludf.DUMMYFUNCTION("""COMPUTED_VALUE"""),9579165555)</f>
        <v>9579165555</v>
      </c>
      <c r="D16" s="18">
        <f ca="1">IFERROR(__xludf.DUMMYFUNCTION("""COMPUTED_VALUE"""),42483)</f>
        <v>42483</v>
      </c>
      <c r="E16" s="17">
        <f ca="1">IFERROR(__xludf.DUMMYFUNCTION("""COMPUTED_VALUE"""),8)</f>
        <v>8</v>
      </c>
      <c r="F16" s="17" t="str">
        <f ca="1">IFERROR(__xludf.DUMMYFUNCTION("""COMPUTED_VALUE"""),"Male")</f>
        <v>Male</v>
      </c>
      <c r="G16" s="17" t="str">
        <f ca="1">IFERROR(__xludf.DUMMYFUNCTION("""COMPUTED_VALUE"""),"B - wing")</f>
        <v>B - wing</v>
      </c>
      <c r="H16" s="17">
        <f ca="1">IFERROR(__xludf.DUMMYFUNCTION("""COMPUTED_VALUE"""),402)</f>
        <v>402</v>
      </c>
      <c r="I16" s="17" t="str">
        <f ca="1">IFERROR(__xludf.DUMMYFUNCTION("""COMPUTED_VALUE"""),"Accept")</f>
        <v>Accept</v>
      </c>
      <c r="J16" s="17" t="str">
        <f ca="1">IFERROR(__xludf.DUMMYFUNCTION("""COMPUTED_VALUE"""),"Yes")</f>
        <v>Yes</v>
      </c>
    </row>
    <row r="17" spans="1:10" ht="21" customHeight="1" x14ac:dyDescent="0.25">
      <c r="A17" s="16">
        <f ca="1">IFERROR(__xludf.DUMMYFUNCTION("""COMPUTED_VALUE"""),45649.3414017013)</f>
        <v>45649.341401701298</v>
      </c>
      <c r="B17" s="17" t="str">
        <f ca="1">IFERROR(__xludf.DUMMYFUNCTION("""COMPUTED_VALUE""")," Vedant Vishal Patil")</f>
        <v xml:space="preserve"> Vedant Vishal Patil</v>
      </c>
      <c r="C17" s="17">
        <f ca="1">IFERROR(__xludf.DUMMYFUNCTION("""COMPUTED_VALUE"""),9860241581)</f>
        <v>9860241581</v>
      </c>
      <c r="D17" s="18">
        <f ca="1">IFERROR(__xludf.DUMMYFUNCTION("""COMPUTED_VALUE"""),40245)</f>
        <v>40245</v>
      </c>
      <c r="E17" s="17">
        <f ca="1">IFERROR(__xludf.DUMMYFUNCTION("""COMPUTED_VALUE"""),14)</f>
        <v>14</v>
      </c>
      <c r="F17" s="17" t="str">
        <f ca="1">IFERROR(__xludf.DUMMYFUNCTION("""COMPUTED_VALUE"""),"Male")</f>
        <v>Male</v>
      </c>
      <c r="G17" s="17" t="str">
        <f ca="1">IFERROR(__xludf.DUMMYFUNCTION("""COMPUTED_VALUE"""),"B - wing")</f>
        <v>B - wing</v>
      </c>
      <c r="H17" s="17">
        <f ca="1">IFERROR(__xludf.DUMMYFUNCTION("""COMPUTED_VALUE"""),501)</f>
        <v>501</v>
      </c>
      <c r="I17" s="17" t="str">
        <f ca="1">IFERROR(__xludf.DUMMYFUNCTION("""COMPUTED_VALUE"""),"Accept")</f>
        <v>Accept</v>
      </c>
      <c r="J17" s="17" t="str">
        <f ca="1">IFERROR(__xludf.DUMMYFUNCTION("""COMPUTED_VALUE"""),"No")</f>
        <v>No</v>
      </c>
    </row>
    <row r="18" spans="1:10" ht="21" customHeight="1" x14ac:dyDescent="0.25">
      <c r="A18" s="16">
        <f ca="1">IFERROR(__xludf.DUMMYFUNCTION("""COMPUTED_VALUE"""),45649.4226198726)</f>
        <v>45649.422619872603</v>
      </c>
      <c r="B18" s="17" t="str">
        <f ca="1">IFERROR(__xludf.DUMMYFUNCTION("""COMPUTED_VALUE"""),"Siddharth  Pradeep Mane")</f>
        <v>Siddharth  Pradeep Mane</v>
      </c>
      <c r="C18" s="17">
        <f ca="1">IFERROR(__xludf.DUMMYFUNCTION("""COMPUTED_VALUE"""),8459493767)</f>
        <v>8459493767</v>
      </c>
      <c r="D18" s="18">
        <f ca="1">IFERROR(__xludf.DUMMYFUNCTION("""COMPUTED_VALUE"""),40865)</f>
        <v>40865</v>
      </c>
      <c r="E18" s="17">
        <f ca="1">IFERROR(__xludf.DUMMYFUNCTION("""COMPUTED_VALUE"""),13)</f>
        <v>13</v>
      </c>
      <c r="F18" s="17" t="str">
        <f ca="1">IFERROR(__xludf.DUMMYFUNCTION("""COMPUTED_VALUE"""),"Male")</f>
        <v>Male</v>
      </c>
      <c r="G18" s="17" t="str">
        <f ca="1">IFERROR(__xludf.DUMMYFUNCTION("""COMPUTED_VALUE"""),"A - wing")</f>
        <v>A - wing</v>
      </c>
      <c r="H18" s="17">
        <f ca="1">IFERROR(__xludf.DUMMYFUNCTION("""COMPUTED_VALUE"""),105)</f>
        <v>105</v>
      </c>
      <c r="I18" s="17" t="str">
        <f ca="1">IFERROR(__xludf.DUMMYFUNCTION("""COMPUTED_VALUE"""),"Accept")</f>
        <v>Accept</v>
      </c>
      <c r="J18" s="17" t="str">
        <f ca="1">IFERROR(__xludf.DUMMYFUNCTION("""COMPUTED_VALUE"""),"No")</f>
        <v>No</v>
      </c>
    </row>
    <row r="19" spans="1:10" ht="21" customHeight="1" x14ac:dyDescent="0.25">
      <c r="A19" s="16">
        <f ca="1">IFERROR(__xludf.DUMMYFUNCTION("""COMPUTED_VALUE"""),45649.7538055092)</f>
        <v>45649.753805509201</v>
      </c>
      <c r="B19" s="17" t="str">
        <f ca="1">IFERROR(__xludf.DUMMYFUNCTION("""COMPUTED_VALUE"""),"GURPAVITH SINGH BALJITSINGH SAHANI ")</f>
        <v xml:space="preserve">GURPAVITH SINGH BALJITSINGH SAHANI </v>
      </c>
      <c r="C19" s="17">
        <f ca="1">IFERROR(__xludf.DUMMYFUNCTION("""COMPUTED_VALUE"""),7385676777)</f>
        <v>7385676777</v>
      </c>
      <c r="D19" s="18">
        <f ca="1">IFERROR(__xludf.DUMMYFUNCTION("""COMPUTED_VALUE"""),41086)</f>
        <v>41086</v>
      </c>
      <c r="E19" s="17">
        <f ca="1">IFERROR(__xludf.DUMMYFUNCTION("""COMPUTED_VALUE"""),12)</f>
        <v>12</v>
      </c>
      <c r="F19" s="17" t="str">
        <f ca="1">IFERROR(__xludf.DUMMYFUNCTION("""COMPUTED_VALUE"""),"Male")</f>
        <v>Male</v>
      </c>
      <c r="G19" s="17" t="str">
        <f ca="1">IFERROR(__xludf.DUMMYFUNCTION("""COMPUTED_VALUE"""),"B - wing")</f>
        <v>B - wing</v>
      </c>
      <c r="H19" s="17">
        <f ca="1">IFERROR(__xludf.DUMMYFUNCTION("""COMPUTED_VALUE"""),601)</f>
        <v>601</v>
      </c>
      <c r="I19" s="17" t="str">
        <f ca="1">IFERROR(__xludf.DUMMYFUNCTION("""COMPUTED_VALUE"""),"Accept")</f>
        <v>Accept</v>
      </c>
      <c r="J19" s="17" t="str">
        <f ca="1">IFERROR(__xludf.DUMMYFUNCTION("""COMPUTED_VALUE"""),"Yes")</f>
        <v>Yes</v>
      </c>
    </row>
    <row r="20" spans="1:10" ht="21" customHeight="1" x14ac:dyDescent="0.25">
      <c r="A20" s="16">
        <f ca="1">IFERROR(__xludf.DUMMYFUNCTION("""COMPUTED_VALUE"""),45649.8911551504)</f>
        <v>45649.891155150399</v>
      </c>
      <c r="B20" s="17" t="str">
        <f ca="1">IFERROR(__xludf.DUMMYFUNCTION("""COMPUTED_VALUE"""),"Hitansh Zope")</f>
        <v>Hitansh Zope</v>
      </c>
      <c r="C20" s="17">
        <f ca="1">IFERROR(__xludf.DUMMYFUNCTION("""COMPUTED_VALUE"""),8983177109)</f>
        <v>8983177109</v>
      </c>
      <c r="D20" s="18">
        <f ca="1">IFERROR(__xludf.DUMMYFUNCTION("""COMPUTED_VALUE"""),42419)</f>
        <v>42419</v>
      </c>
      <c r="E20" s="17">
        <f ca="1">IFERROR(__xludf.DUMMYFUNCTION("""COMPUTED_VALUE"""),8)</f>
        <v>8</v>
      </c>
      <c r="F20" s="17" t="str">
        <f ca="1">IFERROR(__xludf.DUMMYFUNCTION("""COMPUTED_VALUE"""),"Male")</f>
        <v>Male</v>
      </c>
      <c r="G20" s="17" t="str">
        <f ca="1">IFERROR(__xludf.DUMMYFUNCTION("""COMPUTED_VALUE"""),"C - wing")</f>
        <v>C - wing</v>
      </c>
      <c r="H20" s="17">
        <f ca="1">IFERROR(__xludf.DUMMYFUNCTION("""COMPUTED_VALUE"""),404)</f>
        <v>404</v>
      </c>
      <c r="I20" s="17" t="str">
        <f ca="1">IFERROR(__xludf.DUMMYFUNCTION("""COMPUTED_VALUE"""),"Accept")</f>
        <v>Accept</v>
      </c>
      <c r="J20" s="17" t="str">
        <f ca="1">IFERROR(__xludf.DUMMYFUNCTION("""COMPUTED_VALUE"""),"Yes")</f>
        <v>Yes</v>
      </c>
    </row>
    <row r="21" spans="1:10" ht="21" customHeight="1" x14ac:dyDescent="0.25">
      <c r="A21" s="16">
        <f ca="1">IFERROR(__xludf.DUMMYFUNCTION("""COMPUTED_VALUE"""),45649.9371146527)</f>
        <v>45649.937114652697</v>
      </c>
      <c r="B21" s="17" t="str">
        <f ca="1">IFERROR(__xludf.DUMMYFUNCTION("""COMPUTED_VALUE"""),"Advik Amol Herode")</f>
        <v>Advik Amol Herode</v>
      </c>
      <c r="C21" s="17">
        <f ca="1">IFERROR(__xludf.DUMMYFUNCTION("""COMPUTED_VALUE"""),9011073122)</f>
        <v>9011073122</v>
      </c>
      <c r="D21" s="18">
        <f ca="1">IFERROR(__xludf.DUMMYFUNCTION("""COMPUTED_VALUE"""),42918)</f>
        <v>42918</v>
      </c>
      <c r="E21" s="17">
        <f ca="1">IFERROR(__xludf.DUMMYFUNCTION("""COMPUTED_VALUE"""),7)</f>
        <v>7</v>
      </c>
      <c r="F21" s="17" t="str">
        <f ca="1">IFERROR(__xludf.DUMMYFUNCTION("""COMPUTED_VALUE"""),"Male")</f>
        <v>Male</v>
      </c>
      <c r="G21" s="17" t="str">
        <f ca="1">IFERROR(__xludf.DUMMYFUNCTION("""COMPUTED_VALUE"""),"E - wing")</f>
        <v>E - wing</v>
      </c>
      <c r="H21" s="17">
        <f ca="1">IFERROR(__xludf.DUMMYFUNCTION("""COMPUTED_VALUE"""),702)</f>
        <v>702</v>
      </c>
      <c r="I21" s="17" t="str">
        <f ca="1">IFERROR(__xludf.DUMMYFUNCTION("""COMPUTED_VALUE"""),"Accept")</f>
        <v>Accept</v>
      </c>
      <c r="J21" s="17" t="str">
        <f ca="1">IFERROR(__xludf.DUMMYFUNCTION("""COMPUTED_VALUE"""),"No")</f>
        <v>No</v>
      </c>
    </row>
    <row r="22" spans="1:10" ht="21" customHeight="1" x14ac:dyDescent="0.25">
      <c r="A22" s="16">
        <f ca="1">IFERROR(__xludf.DUMMYFUNCTION("""COMPUTED_VALUE"""),45650.6210827893)</f>
        <v>45650.621082789301</v>
      </c>
      <c r="B22" s="17" t="str">
        <f ca="1">IFERROR(__xludf.DUMMYFUNCTION("""COMPUTED_VALUE"""),"Nishikant Bargaje ")</f>
        <v xml:space="preserve">Nishikant Bargaje </v>
      </c>
      <c r="C22" s="17">
        <f ca="1">IFERROR(__xludf.DUMMYFUNCTION("""COMPUTED_VALUE"""),8329545863)</f>
        <v>8329545863</v>
      </c>
      <c r="D22" s="18">
        <f ca="1">IFERROR(__xludf.DUMMYFUNCTION("""COMPUTED_VALUE"""),41642)</f>
        <v>41642</v>
      </c>
      <c r="E22" s="17">
        <f ca="1">IFERROR(__xludf.DUMMYFUNCTION("""COMPUTED_VALUE"""),10)</f>
        <v>10</v>
      </c>
      <c r="F22" s="17" t="str">
        <f ca="1">IFERROR(__xludf.DUMMYFUNCTION("""COMPUTED_VALUE"""),"Male")</f>
        <v>Male</v>
      </c>
      <c r="G22" s="17" t="str">
        <f ca="1">IFERROR(__xludf.DUMMYFUNCTION("""COMPUTED_VALUE"""),"A - wing")</f>
        <v>A - wing</v>
      </c>
      <c r="H22" s="17">
        <f ca="1">IFERROR(__xludf.DUMMYFUNCTION("""COMPUTED_VALUE"""),703)</f>
        <v>703</v>
      </c>
      <c r="I22" s="17" t="str">
        <f ca="1">IFERROR(__xludf.DUMMYFUNCTION("""COMPUTED_VALUE"""),"Accept")</f>
        <v>Accept</v>
      </c>
      <c r="J22" s="17" t="str">
        <f ca="1">IFERROR(__xludf.DUMMYFUNCTION("""COMPUTED_VALUE"""),"No")</f>
        <v>No</v>
      </c>
    </row>
    <row r="23" spans="1:10" ht="21" customHeight="1" x14ac:dyDescent="0.25">
      <c r="A23" s="16">
        <f ca="1">IFERROR(__xludf.DUMMYFUNCTION("""COMPUTED_VALUE"""),45650.8829855555)</f>
        <v>45650.882985555501</v>
      </c>
      <c r="B23" s="17" t="str">
        <f ca="1">IFERROR(__xludf.DUMMYFUNCTION("""COMPUTED_VALUE"""),"Angad ganesh kadam")</f>
        <v>Angad ganesh kadam</v>
      </c>
      <c r="C23" s="17">
        <f ca="1">IFERROR(__xludf.DUMMYFUNCTION("""COMPUTED_VALUE"""),8308469115)</f>
        <v>8308469115</v>
      </c>
      <c r="D23" s="18">
        <f ca="1">IFERROR(__xludf.DUMMYFUNCTION("""COMPUTED_VALUE"""),41944)</f>
        <v>41944</v>
      </c>
      <c r="E23" s="17">
        <f ca="1">IFERROR(__xludf.DUMMYFUNCTION("""COMPUTED_VALUE"""),10)</f>
        <v>10</v>
      </c>
      <c r="F23" s="17" t="str">
        <f ca="1">IFERROR(__xludf.DUMMYFUNCTION("""COMPUTED_VALUE"""),"Male")</f>
        <v>Male</v>
      </c>
      <c r="G23" s="17" t="str">
        <f ca="1">IFERROR(__xludf.DUMMYFUNCTION("""COMPUTED_VALUE"""),"C - wing")</f>
        <v>C - wing</v>
      </c>
      <c r="H23" s="17">
        <f ca="1">IFERROR(__xludf.DUMMYFUNCTION("""COMPUTED_VALUE"""),304)</f>
        <v>304</v>
      </c>
      <c r="I23" s="17" t="str">
        <f ca="1">IFERROR(__xludf.DUMMYFUNCTION("""COMPUTED_VALUE"""),"Accept")</f>
        <v>Accept</v>
      </c>
      <c r="J23" s="17" t="str">
        <f ca="1">IFERROR(__xludf.DUMMYFUNCTION("""COMPUTED_VALUE"""),"No")</f>
        <v>No</v>
      </c>
    </row>
    <row r="24" spans="1:10" ht="21" customHeight="1" x14ac:dyDescent="0.25">
      <c r="A24" s="16">
        <f ca="1">IFERROR(__xludf.DUMMYFUNCTION("""COMPUTED_VALUE"""),45650.9438463425)</f>
        <v>45650.943846342503</v>
      </c>
      <c r="B24" s="17" t="str">
        <f ca="1">IFERROR(__xludf.DUMMYFUNCTION("""COMPUTED_VALUE"""),"Vineet Jagdale")</f>
        <v>Vineet Jagdale</v>
      </c>
      <c r="C24" s="17">
        <f ca="1">IFERROR(__xludf.DUMMYFUNCTION("""COMPUTED_VALUE"""),8208964371)</f>
        <v>8208964371</v>
      </c>
      <c r="D24" s="18">
        <f ca="1">IFERROR(__xludf.DUMMYFUNCTION("""COMPUTED_VALUE"""),41761)</f>
        <v>41761</v>
      </c>
      <c r="E24" s="17">
        <f ca="1">IFERROR(__xludf.DUMMYFUNCTION("""COMPUTED_VALUE"""),10)</f>
        <v>10</v>
      </c>
      <c r="F24" s="17" t="str">
        <f ca="1">IFERROR(__xludf.DUMMYFUNCTION("""COMPUTED_VALUE"""),"Male")</f>
        <v>Male</v>
      </c>
      <c r="G24" s="17" t="str">
        <f ca="1">IFERROR(__xludf.DUMMYFUNCTION("""COMPUTED_VALUE"""),"C - wing")</f>
        <v>C - wing</v>
      </c>
      <c r="H24" s="17">
        <f ca="1">IFERROR(__xludf.DUMMYFUNCTION("""COMPUTED_VALUE"""),402)</f>
        <v>402</v>
      </c>
      <c r="I24" s="17" t="str">
        <f ca="1">IFERROR(__xludf.DUMMYFUNCTION("""COMPUTED_VALUE"""),"Accept")</f>
        <v>Accept</v>
      </c>
      <c r="J24" s="17" t="str">
        <f ca="1">IFERROR(__xludf.DUMMYFUNCTION("""COMPUTED_VALUE"""),"Yes")</f>
        <v>Yes</v>
      </c>
    </row>
    <row r="25" spans="1:10" ht="21" customHeight="1" x14ac:dyDescent="0.25">
      <c r="A25" s="16">
        <f ca="1">IFERROR(__xludf.DUMMYFUNCTION("""COMPUTED_VALUE"""),45651.5564458912)</f>
        <v>45651.556445891198</v>
      </c>
      <c r="B25" s="17" t="str">
        <f ca="1">IFERROR(__xludf.DUMMYFUNCTION("""COMPUTED_VALUE"""),"Nikhil Rakshe ")</f>
        <v xml:space="preserve">Nikhil Rakshe </v>
      </c>
      <c r="C25" s="17">
        <f ca="1">IFERROR(__xludf.DUMMYFUNCTION("""COMPUTED_VALUE"""),8830023952)</f>
        <v>8830023952</v>
      </c>
      <c r="D25" s="18">
        <f ca="1">IFERROR(__xludf.DUMMYFUNCTION("""COMPUTED_VALUE"""),40263)</f>
        <v>40263</v>
      </c>
      <c r="E25" s="17">
        <f ca="1">IFERROR(__xludf.DUMMYFUNCTION("""COMPUTED_VALUE"""),14)</f>
        <v>14</v>
      </c>
      <c r="F25" s="17" t="str">
        <f ca="1">IFERROR(__xludf.DUMMYFUNCTION("""COMPUTED_VALUE"""),"Male")</f>
        <v>Male</v>
      </c>
      <c r="G25" s="17" t="str">
        <f ca="1">IFERROR(__xludf.DUMMYFUNCTION("""COMPUTED_VALUE"""),"D - wing")</f>
        <v>D - wing</v>
      </c>
      <c r="H25" s="17">
        <f ca="1">IFERROR(__xludf.DUMMYFUNCTION("""COMPUTED_VALUE"""),201)</f>
        <v>201</v>
      </c>
      <c r="I25" s="17" t="str">
        <f ca="1">IFERROR(__xludf.DUMMYFUNCTION("""COMPUTED_VALUE"""),"Accept")</f>
        <v>Accept</v>
      </c>
      <c r="J25" s="17" t="str">
        <f ca="1">IFERROR(__xludf.DUMMYFUNCTION("""COMPUTED_VALUE"""),"No")</f>
        <v>No</v>
      </c>
    </row>
    <row r="26" spans="1:10" ht="21" customHeight="1" x14ac:dyDescent="0.25">
      <c r="A26" s="16">
        <f ca="1">IFERROR(__xludf.DUMMYFUNCTION("""COMPUTED_VALUE"""),45651.644187743)</f>
        <v>45651.644187742997</v>
      </c>
      <c r="B26" s="17" t="str">
        <f ca="1">IFERROR(__xludf.DUMMYFUNCTION("""COMPUTED_VALUE"""),"Abhijeet Angad biradar")</f>
        <v>Abhijeet Angad biradar</v>
      </c>
      <c r="C26" s="17">
        <f ca="1">IFERROR(__xludf.DUMMYFUNCTION("""COMPUTED_VALUE"""),9921019096)</f>
        <v>9921019096</v>
      </c>
      <c r="D26" s="18">
        <f ca="1">IFERROR(__xludf.DUMMYFUNCTION("""COMPUTED_VALUE"""),39957)</f>
        <v>39957</v>
      </c>
      <c r="E26" s="17">
        <f ca="1">IFERROR(__xludf.DUMMYFUNCTION("""COMPUTED_VALUE"""),15)</f>
        <v>15</v>
      </c>
      <c r="F26" s="17" t="str">
        <f ca="1">IFERROR(__xludf.DUMMYFUNCTION("""COMPUTED_VALUE"""),"Male")</f>
        <v>Male</v>
      </c>
      <c r="G26" s="17" t="str">
        <f ca="1">IFERROR(__xludf.DUMMYFUNCTION("""COMPUTED_VALUE"""),"D - wing")</f>
        <v>D - wing</v>
      </c>
      <c r="H26" s="17">
        <f ca="1">IFERROR(__xludf.DUMMYFUNCTION("""COMPUTED_VALUE"""),404)</f>
        <v>404</v>
      </c>
      <c r="I26" s="17" t="str">
        <f ca="1">IFERROR(__xludf.DUMMYFUNCTION("""COMPUTED_VALUE"""),"Accept")</f>
        <v>Accept</v>
      </c>
      <c r="J26" s="17" t="str">
        <f ca="1">IFERROR(__xludf.DUMMYFUNCTION("""COMPUTED_VALUE"""),"No")</f>
        <v>No</v>
      </c>
    </row>
    <row r="27" spans="1:10" ht="21" customHeight="1" x14ac:dyDescent="0.25">
      <c r="A27" s="16">
        <f ca="1">IFERROR(__xludf.DUMMYFUNCTION("""COMPUTED_VALUE"""),45651.668474456)</f>
        <v>45651.668474455997</v>
      </c>
      <c r="B27" s="17" t="str">
        <f ca="1">IFERROR(__xludf.DUMMYFUNCTION("""COMPUTED_VALUE"""),"Vihaan kolaskar ")</f>
        <v xml:space="preserve">Vihaan kolaskar </v>
      </c>
      <c r="C27" s="17">
        <f ca="1">IFERROR(__xludf.DUMMYFUNCTION("""COMPUTED_VALUE"""),9561288498)</f>
        <v>9561288498</v>
      </c>
      <c r="D27" s="18">
        <f ca="1">IFERROR(__xludf.DUMMYFUNCTION("""COMPUTED_VALUE"""),42445)</f>
        <v>42445</v>
      </c>
      <c r="E27" s="17">
        <f ca="1">IFERROR(__xludf.DUMMYFUNCTION("""COMPUTED_VALUE"""),8)</f>
        <v>8</v>
      </c>
      <c r="F27" s="17" t="str">
        <f ca="1">IFERROR(__xludf.DUMMYFUNCTION("""COMPUTED_VALUE"""),"Male")</f>
        <v>Male</v>
      </c>
      <c r="G27" s="17" t="str">
        <f ca="1">IFERROR(__xludf.DUMMYFUNCTION("""COMPUTED_VALUE"""),"F - wing")</f>
        <v>F - wing</v>
      </c>
      <c r="H27" s="17">
        <f ca="1">IFERROR(__xludf.DUMMYFUNCTION("""COMPUTED_VALUE"""),602)</f>
        <v>602</v>
      </c>
      <c r="I27" s="17" t="str">
        <f ca="1">IFERROR(__xludf.DUMMYFUNCTION("""COMPUTED_VALUE"""),"Accept")</f>
        <v>Accept</v>
      </c>
      <c r="J27" s="17" t="str">
        <f ca="1">IFERROR(__xludf.DUMMYFUNCTION("""COMPUTED_VALUE"""),"No")</f>
        <v>No</v>
      </c>
    </row>
    <row r="28" spans="1:10" ht="21" customHeight="1" x14ac:dyDescent="0.25">
      <c r="A28" s="16">
        <f ca="1">IFERROR(__xludf.DUMMYFUNCTION("""COMPUTED_VALUE"""),45651.8566293518)</f>
        <v>45651.856629351802</v>
      </c>
      <c r="B28" s="17" t="str">
        <f ca="1">IFERROR(__xludf.DUMMYFUNCTION("""COMPUTED_VALUE"""),"Aarush sandeep Telang")</f>
        <v>Aarush sandeep Telang</v>
      </c>
      <c r="C28" s="17">
        <f ca="1">IFERROR(__xludf.DUMMYFUNCTION("""COMPUTED_VALUE"""),9011054387)</f>
        <v>9011054387</v>
      </c>
      <c r="D28" s="18">
        <f ca="1">IFERROR(__xludf.DUMMYFUNCTION("""COMPUTED_VALUE"""),42977)</f>
        <v>42977</v>
      </c>
      <c r="E28" s="17">
        <f ca="1">IFERROR(__xludf.DUMMYFUNCTION("""COMPUTED_VALUE"""),7)</f>
        <v>7</v>
      </c>
      <c r="F28" s="17" t="str">
        <f ca="1">IFERROR(__xludf.DUMMYFUNCTION("""COMPUTED_VALUE"""),"Male")</f>
        <v>Male</v>
      </c>
      <c r="G28" s="17" t="str">
        <f ca="1">IFERROR(__xludf.DUMMYFUNCTION("""COMPUTED_VALUE"""),"E - wing")</f>
        <v>E - wing</v>
      </c>
      <c r="H28" s="17">
        <f ca="1">IFERROR(__xludf.DUMMYFUNCTION("""COMPUTED_VALUE"""),104)</f>
        <v>104</v>
      </c>
      <c r="I28" s="17" t="str">
        <f ca="1">IFERROR(__xludf.DUMMYFUNCTION("""COMPUTED_VALUE"""),"Accept")</f>
        <v>Accept</v>
      </c>
      <c r="J28" s="17" t="str">
        <f ca="1">IFERROR(__xludf.DUMMYFUNCTION("""COMPUTED_VALUE"""),"No")</f>
        <v>No</v>
      </c>
    </row>
    <row r="29" spans="1:10" ht="21" customHeight="1" x14ac:dyDescent="0.25">
      <c r="A29" s="16">
        <f ca="1">IFERROR(__xludf.DUMMYFUNCTION("""COMPUTED_VALUE"""),45651.8684459375)</f>
        <v>45651.8684459375</v>
      </c>
      <c r="B29" s="17" t="str">
        <f ca="1">IFERROR(__xludf.DUMMYFUNCTION("""COMPUTED_VALUE"""),"Kunal Khushal Dhande")</f>
        <v>Kunal Khushal Dhande</v>
      </c>
      <c r="C29" s="17">
        <f ca="1">IFERROR(__xludf.DUMMYFUNCTION("""COMPUTED_VALUE"""),8888482801)</f>
        <v>8888482801</v>
      </c>
      <c r="D29" s="18">
        <f ca="1">IFERROR(__xludf.DUMMYFUNCTION("""COMPUTED_VALUE"""),40479)</f>
        <v>40479</v>
      </c>
      <c r="E29" s="17">
        <f ca="1">IFERROR(__xludf.DUMMYFUNCTION("""COMPUTED_VALUE"""),14)</f>
        <v>14</v>
      </c>
      <c r="F29" s="17" t="str">
        <f ca="1">IFERROR(__xludf.DUMMYFUNCTION("""COMPUTED_VALUE"""),"Male")</f>
        <v>Male</v>
      </c>
      <c r="G29" s="17" t="str">
        <f ca="1">IFERROR(__xludf.DUMMYFUNCTION("""COMPUTED_VALUE"""),"E - wing")</f>
        <v>E - wing</v>
      </c>
      <c r="H29" s="17">
        <f ca="1">IFERROR(__xludf.DUMMYFUNCTION("""COMPUTED_VALUE"""),203)</f>
        <v>203</v>
      </c>
      <c r="I29" s="17" t="str">
        <f ca="1">IFERROR(__xludf.DUMMYFUNCTION("""COMPUTED_VALUE"""),"Accept")</f>
        <v>Accept</v>
      </c>
      <c r="J29" s="17" t="str">
        <f ca="1">IFERROR(__xludf.DUMMYFUNCTION("""COMPUTED_VALUE"""),"No")</f>
        <v>No</v>
      </c>
    </row>
    <row r="30" spans="1:10" ht="21" customHeight="1" x14ac:dyDescent="0.25">
      <c r="A30" s="23">
        <f ca="1">IFERROR(__xludf.DUMMYFUNCTION("""COMPUTED_VALUE"""),45651.9814173611)</f>
        <v>45651.981417361101</v>
      </c>
      <c r="B30" s="24" t="str">
        <f ca="1">IFERROR(__xludf.DUMMYFUNCTION("""COMPUTED_VALUE"""),"Soham Chetan Patil")</f>
        <v>Soham Chetan Patil</v>
      </c>
      <c r="C30" s="24">
        <f ca="1">IFERROR(__xludf.DUMMYFUNCTION("""COMPUTED_VALUE"""),7218372575)</f>
        <v>7218372575</v>
      </c>
      <c r="D30" s="25">
        <f ca="1">IFERROR(__xludf.DUMMYFUNCTION("""COMPUTED_VALUE"""),40552)</f>
        <v>40552</v>
      </c>
      <c r="E30" s="24">
        <f ca="1">IFERROR(__xludf.DUMMYFUNCTION("""COMPUTED_VALUE"""),13)</f>
        <v>13</v>
      </c>
      <c r="F30" s="24" t="str">
        <f ca="1">IFERROR(__xludf.DUMMYFUNCTION("""COMPUTED_VALUE"""),"Male")</f>
        <v>Male</v>
      </c>
      <c r="G30" s="24" t="str">
        <f ca="1">IFERROR(__xludf.DUMMYFUNCTION("""COMPUTED_VALUE"""),"A - wing")</f>
        <v>A - wing</v>
      </c>
      <c r="H30" s="24">
        <f ca="1">IFERROR(__xludf.DUMMYFUNCTION("""COMPUTED_VALUE"""),406)</f>
        <v>406</v>
      </c>
      <c r="I30" s="24" t="str">
        <f ca="1">IFERROR(__xludf.DUMMYFUNCTION("""COMPUTED_VALUE"""),"Accept")</f>
        <v>Accept</v>
      </c>
      <c r="J30" s="24" t="str">
        <f ca="1">IFERROR(__xludf.DUMMYFUNCTION("""COMPUTED_VALUE"""),"No")</f>
        <v>No</v>
      </c>
    </row>
    <row r="31" spans="1:10" ht="21" customHeight="1" x14ac:dyDescent="0.25">
      <c r="A31" s="23">
        <f ca="1">IFERROR(__xludf.DUMMYFUNCTION("""COMPUTED_VALUE"""),45652.3301147106)</f>
        <v>45652.330114710603</v>
      </c>
      <c r="B31" s="24" t="str">
        <f ca="1">IFERROR(__xludf.DUMMYFUNCTION("""COMPUTED_VALUE"""),"Mitansh Patil")</f>
        <v>Mitansh Patil</v>
      </c>
      <c r="C31" s="24">
        <f ca="1">IFERROR(__xludf.DUMMYFUNCTION("""COMPUTED_VALUE"""),9890397323)</f>
        <v>9890397323</v>
      </c>
      <c r="D31" s="25">
        <f ca="1">IFERROR(__xludf.DUMMYFUNCTION("""COMPUTED_VALUE"""),42996)</f>
        <v>42996</v>
      </c>
      <c r="E31" s="24">
        <f ca="1">IFERROR(__xludf.DUMMYFUNCTION("""COMPUTED_VALUE"""),7)</f>
        <v>7</v>
      </c>
      <c r="F31" s="24" t="str">
        <f ca="1">IFERROR(__xludf.DUMMYFUNCTION("""COMPUTED_VALUE"""),"Male")</f>
        <v>Male</v>
      </c>
      <c r="G31" s="24" t="str">
        <f ca="1">IFERROR(__xludf.DUMMYFUNCTION("""COMPUTED_VALUE"""),"C - wing")</f>
        <v>C - wing</v>
      </c>
      <c r="H31" s="24">
        <f ca="1">IFERROR(__xludf.DUMMYFUNCTION("""COMPUTED_VALUE"""),403)</f>
        <v>403</v>
      </c>
      <c r="I31" s="24" t="str">
        <f ca="1">IFERROR(__xludf.DUMMYFUNCTION("""COMPUTED_VALUE"""),"Accept")</f>
        <v>Accept</v>
      </c>
      <c r="J31" s="24" t="str">
        <f ca="1">IFERROR(__xludf.DUMMYFUNCTION("""COMPUTED_VALUE"""),"No")</f>
        <v>No</v>
      </c>
    </row>
    <row r="32" spans="1:10" ht="21" customHeight="1" x14ac:dyDescent="0.25">
      <c r="A32" s="23">
        <f ca="1">IFERROR(__xludf.DUMMYFUNCTION("""COMPUTED_VALUE"""),45652.7672598148)</f>
        <v>45652.767259814798</v>
      </c>
      <c r="B32" s="24" t="str">
        <f ca="1">IFERROR(__xludf.DUMMYFUNCTION("""COMPUTED_VALUE"""),"Varadraj Bharat Godage ")</f>
        <v xml:space="preserve">Varadraj Bharat Godage </v>
      </c>
      <c r="C32" s="24">
        <f ca="1">IFERROR(__xludf.DUMMYFUNCTION("""COMPUTED_VALUE"""),7588418741)</f>
        <v>7588418741</v>
      </c>
      <c r="D32" s="25">
        <f ca="1">IFERROR(__xludf.DUMMYFUNCTION("""COMPUTED_VALUE"""),42207)</f>
        <v>42207</v>
      </c>
      <c r="E32" s="24">
        <f ca="1">IFERROR(__xludf.DUMMYFUNCTION("""COMPUTED_VALUE"""),9)</f>
        <v>9</v>
      </c>
      <c r="F32" s="24" t="str">
        <f ca="1">IFERROR(__xludf.DUMMYFUNCTION("""COMPUTED_VALUE"""),"Male")</f>
        <v>Male</v>
      </c>
      <c r="G32" s="24" t="str">
        <f ca="1">IFERROR(__xludf.DUMMYFUNCTION("""COMPUTED_VALUE"""),"D - wing")</f>
        <v>D - wing</v>
      </c>
      <c r="H32" s="24">
        <f ca="1">IFERROR(__xludf.DUMMYFUNCTION("""COMPUTED_VALUE"""),704)</f>
        <v>704</v>
      </c>
      <c r="I32" s="24" t="str">
        <f ca="1">IFERROR(__xludf.DUMMYFUNCTION("""COMPUTED_VALUE"""),"Accept")</f>
        <v>Accept</v>
      </c>
      <c r="J32" s="24" t="str">
        <f ca="1">IFERROR(__xludf.DUMMYFUNCTION("""COMPUTED_VALUE"""),"No")</f>
        <v>No</v>
      </c>
    </row>
    <row r="33" spans="1:10" ht="21" customHeight="1" x14ac:dyDescent="0.25">
      <c r="A33" s="23">
        <f ca="1">IFERROR(__xludf.DUMMYFUNCTION("""COMPUTED_VALUE"""),45652.7818239699)</f>
        <v>45652.781823969897</v>
      </c>
      <c r="B33" s="24" t="str">
        <f ca="1">IFERROR(__xludf.DUMMYFUNCTION("""COMPUTED_VALUE"""),"Yashraj Tikode")</f>
        <v>Yashraj Tikode</v>
      </c>
      <c r="C33" s="24">
        <f ca="1">IFERROR(__xludf.DUMMYFUNCTION("""COMPUTED_VALUE"""),8605156451)</f>
        <v>8605156451</v>
      </c>
      <c r="D33" s="25">
        <f ca="1">IFERROR(__xludf.DUMMYFUNCTION("""COMPUTED_VALUE"""),41899)</f>
        <v>41899</v>
      </c>
      <c r="E33" s="24">
        <f ca="1">IFERROR(__xludf.DUMMYFUNCTION("""COMPUTED_VALUE"""),10)</f>
        <v>10</v>
      </c>
      <c r="F33" s="24" t="str">
        <f ca="1">IFERROR(__xludf.DUMMYFUNCTION("""COMPUTED_VALUE"""),"Male")</f>
        <v>Male</v>
      </c>
      <c r="G33" s="24" t="str">
        <f ca="1">IFERROR(__xludf.DUMMYFUNCTION("""COMPUTED_VALUE"""),"F - wing")</f>
        <v>F - wing</v>
      </c>
      <c r="H33" s="24">
        <f ca="1">IFERROR(__xludf.DUMMYFUNCTION("""COMPUTED_VALUE"""),302)</f>
        <v>302</v>
      </c>
      <c r="I33" s="24" t="str">
        <f ca="1">IFERROR(__xludf.DUMMYFUNCTION("""COMPUTED_VALUE"""),"Accept")</f>
        <v>Accept</v>
      </c>
      <c r="J33" s="24" t="str">
        <f ca="1">IFERROR(__xludf.DUMMYFUNCTION("""COMPUTED_VALUE"""),"No")</f>
        <v>No</v>
      </c>
    </row>
    <row r="34" spans="1:10" ht="21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21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21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4:I7"/>
  <sheetViews>
    <sheetView tabSelected="1" workbookViewId="0">
      <selection activeCell="E14" sqref="E14"/>
    </sheetView>
  </sheetViews>
  <sheetFormatPr defaultColWidth="12.6640625" defaultRowHeight="15.75" customHeight="1" x14ac:dyDescent="0.25"/>
  <cols>
    <col min="3" max="3" width="24.44140625" customWidth="1"/>
    <col min="4" max="4" width="17.109375" customWidth="1"/>
    <col min="8" max="8" width="14.33203125" customWidth="1"/>
  </cols>
  <sheetData>
    <row r="4" spans="2:9" x14ac:dyDescent="0.25">
      <c r="C4" s="27" t="s">
        <v>116</v>
      </c>
      <c r="D4" s="27" t="s">
        <v>117</v>
      </c>
      <c r="E4" s="28" t="s">
        <v>118</v>
      </c>
      <c r="F4" s="27" t="s">
        <v>119</v>
      </c>
      <c r="G4" s="27" t="s">
        <v>120</v>
      </c>
      <c r="H4" s="27" t="s">
        <v>121</v>
      </c>
      <c r="I4" s="27" t="s">
        <v>122</v>
      </c>
    </row>
    <row r="5" spans="2:9" x14ac:dyDescent="0.25">
      <c r="B5" s="29"/>
      <c r="C5" s="30" t="s">
        <v>123</v>
      </c>
      <c r="D5" s="6">
        <f ca="1">COUNTIF(Boys!J:J, "Yes")</f>
        <v>10</v>
      </c>
      <c r="E5" s="6">
        <f ca="1">COUNTIF(Girls!J:J, "Yes")</f>
        <v>8</v>
      </c>
      <c r="F5" s="6">
        <f>COUNTIF(MEN!J:J, "Yes")</f>
        <v>20</v>
      </c>
      <c r="G5" s="6">
        <f ca="1">COUNTIF(WOMEN!J:J, "Yes")</f>
        <v>0</v>
      </c>
      <c r="H5" s="31">
        <f t="shared" ref="H5:H7" ca="1" si="0">D5+E5+F5+G5</f>
        <v>38</v>
      </c>
      <c r="I5" s="32">
        <f t="shared" ref="I5:I7" ca="1" si="1">(D5*100)+(E5*100)+(F5*125)+(G5*125)</f>
        <v>4300</v>
      </c>
    </row>
    <row r="6" spans="2:9" x14ac:dyDescent="0.25">
      <c r="B6" s="29"/>
      <c r="C6" s="30" t="s">
        <v>124</v>
      </c>
      <c r="D6" s="6">
        <f ca="1">COUNTIF(Boys!J:J, "No")</f>
        <v>22</v>
      </c>
      <c r="E6" s="6">
        <f ca="1">COUNTIF(Girls!J:J, "No")</f>
        <v>5</v>
      </c>
      <c r="F6" s="6">
        <f>COUNTIF(MEN!J:J, "No")</f>
        <v>20</v>
      </c>
      <c r="G6" s="6">
        <f ca="1">COUNTIF(WOMEN!J:J, "No")</f>
        <v>2</v>
      </c>
      <c r="H6" s="31">
        <f t="shared" ca="1" si="0"/>
        <v>49</v>
      </c>
      <c r="I6" s="32">
        <f t="shared" ca="1" si="1"/>
        <v>5450</v>
      </c>
    </row>
    <row r="7" spans="2:9" x14ac:dyDescent="0.25">
      <c r="B7" s="29"/>
      <c r="C7" s="33" t="s">
        <v>125</v>
      </c>
      <c r="D7" s="33">
        <f ca="1">COUNTA(Boys!A:A)-1</f>
        <v>32</v>
      </c>
      <c r="E7" s="33">
        <f ca="1">COUNTA(Girls!A:A)-1</f>
        <v>13</v>
      </c>
      <c r="F7" s="33">
        <f>COUNTA(MEN!A:A)-1</f>
        <v>40</v>
      </c>
      <c r="G7" s="33">
        <f ca="1">COUNTA(WOMEN!A:A)-1</f>
        <v>2</v>
      </c>
      <c r="H7" s="34">
        <f t="shared" ca="1" si="0"/>
        <v>87</v>
      </c>
      <c r="I7" s="35">
        <f t="shared" ca="1" si="1"/>
        <v>9750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 Data</vt:lpstr>
      <vt:lpstr>WOMEN</vt:lpstr>
      <vt:lpstr>MEN</vt:lpstr>
      <vt:lpstr>Girls</vt:lpstr>
      <vt:lpstr>Boys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Chopade</cp:lastModifiedBy>
  <dcterms:modified xsi:type="dcterms:W3CDTF">2024-12-27T03:38:54Z</dcterms:modified>
</cp:coreProperties>
</file>