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OneDrive\Desktop\FMA Course By PWC\Projects\"/>
    </mc:Choice>
  </mc:AlternateContent>
  <bookViews>
    <workbookView xWindow="0" yWindow="0" windowWidth="20490" windowHeight="7755" tabRatio="1000"/>
  </bookViews>
  <sheets>
    <sheet name="Cover Page" sheetId="2" r:id="rId1"/>
    <sheet name="Problem Statement" sheetId="6" r:id="rId2"/>
    <sheet name="Q1 to Q3 Solution" sheetId="15" r:id="rId3"/>
    <sheet name="Q4 Forecast Solution" sheetId="16" r:id="rId4"/>
    <sheet name="Q5 DCF Solution" sheetId="17" r:id="rId5"/>
    <sheet name="Q6 Multiples Solution" sheetId="20" r:id="rId6"/>
    <sheet name="Q7 Net Asset Mod. Solution" sheetId="18" r:id="rId7"/>
    <sheet name="Q8 Market Cap. Solution" sheetId="1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5" l="1"/>
  <c r="C47" i="17"/>
  <c r="D31" i="16"/>
  <c r="K32" i="16"/>
  <c r="D27" i="15" l="1"/>
  <c r="C57" i="15" l="1"/>
  <c r="C33" i="15"/>
  <c r="C32" i="15"/>
  <c r="C31" i="15"/>
  <c r="C30" i="15"/>
  <c r="C34" i="15" l="1"/>
  <c r="D28" i="15"/>
  <c r="I25" i="15"/>
  <c r="H25" i="15"/>
  <c r="D7" i="15"/>
  <c r="D50" i="15"/>
  <c r="E50" i="15"/>
  <c r="F50" i="15"/>
  <c r="G50" i="15"/>
  <c r="H50" i="15"/>
  <c r="C50" i="15"/>
  <c r="D26" i="15"/>
  <c r="E26" i="15"/>
  <c r="F26" i="15"/>
  <c r="G26" i="15"/>
  <c r="C26" i="15"/>
  <c r="H32" i="17"/>
  <c r="J31" i="17"/>
  <c r="K34" i="17"/>
  <c r="H35" i="17"/>
  <c r="H29" i="17"/>
  <c r="E27" i="17" l="1"/>
  <c r="H37" i="17" l="1"/>
  <c r="K37" i="17"/>
  <c r="E5" i="19"/>
  <c r="D48" i="17" l="1"/>
  <c r="C48" i="17"/>
  <c r="B48" i="17"/>
  <c r="D47" i="17"/>
  <c r="D49" i="17" s="1"/>
  <c r="D50" i="17" s="1"/>
  <c r="C49" i="17"/>
  <c r="C50" i="17" s="1"/>
  <c r="B47" i="17"/>
  <c r="B49" i="17" s="1"/>
  <c r="B50" i="17" s="1"/>
  <c r="K29" i="17"/>
  <c r="K36" i="17"/>
  <c r="K35" i="17"/>
  <c r="K33" i="17"/>
  <c r="K32" i="17"/>
  <c r="K31" i="17"/>
  <c r="K30" i="17"/>
  <c r="K28" i="17"/>
  <c r="K27" i="17"/>
  <c r="E37" i="17"/>
  <c r="H36" i="17"/>
  <c r="H34" i="17"/>
  <c r="H33" i="17"/>
  <c r="H31" i="17"/>
  <c r="H30" i="17"/>
  <c r="H27" i="17"/>
  <c r="H28" i="17"/>
  <c r="K26" i="17"/>
  <c r="K38" i="17" s="1"/>
  <c r="H26" i="17"/>
  <c r="H38" i="17" s="1"/>
  <c r="E26" i="17"/>
  <c r="E38" i="17" s="1"/>
  <c r="E36" i="17"/>
  <c r="E35" i="17"/>
  <c r="E34" i="17"/>
  <c r="E33" i="17"/>
  <c r="E32" i="17"/>
  <c r="E31" i="17"/>
  <c r="E30" i="17"/>
  <c r="E29" i="17"/>
  <c r="E28" i="17"/>
  <c r="C49" i="15"/>
  <c r="C51" i="15" s="1"/>
  <c r="C25" i="15"/>
  <c r="C27" i="15" s="1"/>
  <c r="I18" i="20"/>
  <c r="D38" i="20"/>
  <c r="D36" i="20" s="1"/>
  <c r="B38" i="20"/>
  <c r="F37" i="20"/>
  <c r="B37" i="20"/>
  <c r="F34" i="20"/>
  <c r="D34" i="20"/>
  <c r="B34" i="20"/>
  <c r="F28" i="20"/>
  <c r="F38" i="20" s="1"/>
  <c r="B26" i="20"/>
  <c r="F22" i="20"/>
  <c r="D22" i="20"/>
  <c r="B22" i="20"/>
  <c r="F21" i="20"/>
  <c r="D21" i="20"/>
  <c r="B21" i="20"/>
  <c r="F18" i="20"/>
  <c r="F23" i="20" s="1"/>
  <c r="B18" i="20"/>
  <c r="B23" i="20" s="1"/>
  <c r="D17" i="20"/>
  <c r="D18" i="20" s="1"/>
  <c r="D23" i="20" s="1"/>
  <c r="B14" i="20"/>
  <c r="F11" i="20"/>
  <c r="F27" i="20" s="1"/>
  <c r="F26" i="20" s="1"/>
  <c r="D11" i="20"/>
  <c r="D27" i="20" s="1"/>
  <c r="D26" i="20" s="1"/>
  <c r="F7" i="20"/>
  <c r="F24" i="20" s="1"/>
  <c r="B7" i="20"/>
  <c r="B24" i="20" s="1"/>
  <c r="D6" i="20"/>
  <c r="D7" i="20" s="1"/>
  <c r="D24" i="20" s="1"/>
  <c r="E7" i="19"/>
  <c r="E6" i="19"/>
  <c r="G10" i="18"/>
  <c r="G13" i="18" s="1"/>
  <c r="E10" i="18"/>
  <c r="E13" i="18" s="1"/>
  <c r="C10" i="18"/>
  <c r="C13" i="18" s="1"/>
  <c r="J36" i="17"/>
  <c r="G36" i="17"/>
  <c r="D36" i="17"/>
  <c r="J35" i="17"/>
  <c r="G35" i="17"/>
  <c r="D35" i="17"/>
  <c r="J34" i="17"/>
  <c r="G34" i="17"/>
  <c r="D34" i="17"/>
  <c r="J33" i="17"/>
  <c r="G33" i="17"/>
  <c r="D33" i="17"/>
  <c r="J32" i="17"/>
  <c r="G32" i="17"/>
  <c r="D32" i="17"/>
  <c r="G31" i="17"/>
  <c r="D31" i="17"/>
  <c r="J30" i="17"/>
  <c r="G30" i="17"/>
  <c r="D30" i="17"/>
  <c r="J29" i="17"/>
  <c r="G29" i="17"/>
  <c r="D29" i="17"/>
  <c r="J28" i="17"/>
  <c r="G28" i="17"/>
  <c r="D28" i="17"/>
  <c r="J27" i="17"/>
  <c r="G27" i="17"/>
  <c r="D27" i="17"/>
  <c r="B35" i="16"/>
  <c r="B34" i="16"/>
  <c r="B33" i="16"/>
  <c r="B32" i="16"/>
  <c r="B31" i="16"/>
  <c r="B30" i="16"/>
  <c r="B29" i="16"/>
  <c r="B28" i="16"/>
  <c r="B27" i="16"/>
  <c r="B26" i="16"/>
  <c r="B25" i="16"/>
  <c r="B24" i="16"/>
  <c r="B23" i="16"/>
  <c r="K39" i="17" l="1"/>
  <c r="H39" i="17"/>
  <c r="E39" i="17"/>
  <c r="D49" i="15"/>
  <c r="D25" i="15"/>
  <c r="B42" i="20"/>
  <c r="F36" i="20"/>
  <c r="B36" i="20"/>
  <c r="B43" i="20" s="1"/>
  <c r="B41" i="20"/>
  <c r="D42" i="20"/>
  <c r="D41" i="20"/>
  <c r="D43" i="20"/>
  <c r="F43" i="20"/>
  <c r="F42" i="20"/>
  <c r="F41" i="20"/>
  <c r="D51" i="15" l="1"/>
  <c r="E49" i="15"/>
  <c r="F49" i="15" s="1"/>
  <c r="G49" i="15" s="1"/>
  <c r="C55" i="15" s="1"/>
  <c r="C56" i="15" s="1"/>
  <c r="E25" i="15"/>
  <c r="E27" i="15" s="1"/>
  <c r="H49" i="15" l="1"/>
  <c r="E51" i="15"/>
  <c r="F25" i="15"/>
  <c r="F51" i="15" l="1"/>
  <c r="F27" i="15"/>
  <c r="G25" i="15"/>
  <c r="G51" i="15" l="1"/>
  <c r="C54" i="15" s="1"/>
  <c r="G27" i="15"/>
  <c r="C58" i="15" l="1"/>
</calcChain>
</file>

<file path=xl/sharedStrings.xml><?xml version="1.0" encoding="utf-8"?>
<sst xmlns="http://schemas.openxmlformats.org/spreadsheetml/2006/main" count="206" uniqueCount="155">
  <si>
    <t>Month</t>
  </si>
  <si>
    <t>Price</t>
  </si>
  <si>
    <t>Years</t>
  </si>
  <si>
    <t>Project A Cash Flows</t>
  </si>
  <si>
    <t>Project B Cash flows</t>
  </si>
  <si>
    <t>Project C Cash flows</t>
  </si>
  <si>
    <t>Current Investment in Projects</t>
  </si>
  <si>
    <t>RR from Project</t>
  </si>
  <si>
    <t>Project A</t>
  </si>
  <si>
    <t>Project B</t>
  </si>
  <si>
    <t>Project C</t>
  </si>
  <si>
    <t>EV/Invested Capital</t>
  </si>
  <si>
    <t>EV/EBITDAR</t>
  </si>
  <si>
    <t>EV/ Revenue</t>
  </si>
  <si>
    <t>Enterprise Multiples</t>
  </si>
  <si>
    <t>Total Debt</t>
  </si>
  <si>
    <t>Total Equity</t>
  </si>
  <si>
    <t>Invested Capital</t>
  </si>
  <si>
    <t>EBITDAR</t>
  </si>
  <si>
    <t xml:space="preserve">          Finance Cost</t>
  </si>
  <si>
    <t xml:space="preserve">Add: Depreciation </t>
  </si>
  <si>
    <t>Earnings Before Tax</t>
  </si>
  <si>
    <t>Cash &amp; Cash equivalents</t>
  </si>
  <si>
    <t xml:space="preserve">Debt </t>
  </si>
  <si>
    <t xml:space="preserve">Market Cap </t>
  </si>
  <si>
    <t>Enterprise Value (Cr.)</t>
  </si>
  <si>
    <t>Prices to sales ratio</t>
  </si>
  <si>
    <t>Price to Book value</t>
  </si>
  <si>
    <t>Dividend Yield</t>
  </si>
  <si>
    <t>PE Ratio</t>
  </si>
  <si>
    <t>Equity Multiples</t>
  </si>
  <si>
    <t>Book value per Share</t>
  </si>
  <si>
    <t>Total equity</t>
  </si>
  <si>
    <t>DPS</t>
  </si>
  <si>
    <t>Market Cap (Cr)</t>
  </si>
  <si>
    <t>No of shares</t>
  </si>
  <si>
    <t>Market Price as on 31.03.23</t>
  </si>
  <si>
    <t xml:space="preserve">Basic EPS </t>
  </si>
  <si>
    <t>Sales per share</t>
  </si>
  <si>
    <t>Revenue from operations</t>
  </si>
  <si>
    <t>Pg</t>
  </si>
  <si>
    <t>TCS</t>
  </si>
  <si>
    <t>Wipro</t>
  </si>
  <si>
    <t>Page</t>
  </si>
  <si>
    <t>Infosys</t>
  </si>
  <si>
    <t>Particulars</t>
  </si>
  <si>
    <t>Net Asset Model</t>
  </si>
  <si>
    <t>Rs. In Crores</t>
  </si>
  <si>
    <t xml:space="preserve">Wipro </t>
  </si>
  <si>
    <t>Company</t>
  </si>
  <si>
    <t>Forecasting Project and Valuation Project</t>
  </si>
  <si>
    <t>Course 2 - PwC upGrad - FMA Project</t>
  </si>
  <si>
    <t>Constant Growth @ 9.7%</t>
  </si>
  <si>
    <t>Zero Growth</t>
  </si>
  <si>
    <t>Dividend grows @ 9.7% for the first 3 years and then @ 11.5% forever</t>
  </si>
  <si>
    <t>Dividend grows @ 9.7% for the first 3 years and then @ 11.5% for the 4th year and will stabilize @ 13% forever</t>
  </si>
  <si>
    <t>Answer</t>
  </si>
  <si>
    <t>Instrinsic Value of the stock</t>
  </si>
  <si>
    <t>Year</t>
  </si>
  <si>
    <t>A</t>
  </si>
  <si>
    <t>B</t>
  </si>
  <si>
    <t>3 months Weighted Average Method</t>
  </si>
  <si>
    <t xml:space="preserve">Difference between weighted average method and Forecast function is </t>
  </si>
  <si>
    <t>Answer:</t>
  </si>
  <si>
    <t>PV Factor @9%</t>
  </si>
  <si>
    <t>PV of Cash flows - A</t>
  </si>
  <si>
    <t>PV Factor @11%</t>
  </si>
  <si>
    <t>PV of Cash flows - B</t>
  </si>
  <si>
    <t>PV Factor @14%</t>
  </si>
  <si>
    <t>PV of Cash flows - C</t>
  </si>
  <si>
    <t>Decision: Though we have project B which needs less investment with higher return than project A, it's better to invest in Project A because of the higher cash flows from future periods. Project C is not recommendable as it is giving negative benefit irrespective of same investment and higher return rate.</t>
  </si>
  <si>
    <t>Total Assets</t>
  </si>
  <si>
    <t>Total Liabilities</t>
  </si>
  <si>
    <t>NCl</t>
  </si>
  <si>
    <t>CL</t>
  </si>
  <si>
    <t>Contingent liabilities</t>
  </si>
  <si>
    <t>Net Assets (Cr.)</t>
  </si>
  <si>
    <t>Outstanding Shares</t>
  </si>
  <si>
    <t>Market Price</t>
  </si>
  <si>
    <t>RS. In Crores</t>
  </si>
  <si>
    <t>ROE</t>
  </si>
  <si>
    <t>Dividend and EPS growth</t>
  </si>
  <si>
    <t>Revenue growth</t>
  </si>
  <si>
    <t>Free Cash Flows (Cr)</t>
  </si>
  <si>
    <t>Dividend per share (DPS) - Current period</t>
  </si>
  <si>
    <t>Stage 1</t>
  </si>
  <si>
    <t>Stage 2</t>
  </si>
  <si>
    <t>Dividend growth rate (g)</t>
  </si>
  <si>
    <t>Stage 1 Dividends</t>
  </si>
  <si>
    <t>Dividend per share (DPS)</t>
  </si>
  <si>
    <t>Present value (PV) of Dividend</t>
  </si>
  <si>
    <t>Share Price Calculation</t>
  </si>
  <si>
    <t>PV of Sum of Stage 1 Dividends</t>
  </si>
  <si>
    <t>Stage 2 Terminal Value</t>
  </si>
  <si>
    <t>Value Per Share (Rs.)</t>
  </si>
  <si>
    <t>PV of Stage 2 Terminal value</t>
  </si>
  <si>
    <t>Stage 3</t>
  </si>
  <si>
    <t>Initial Outlay</t>
  </si>
  <si>
    <t>NPV Value</t>
  </si>
  <si>
    <t>Price @ Year 4</t>
  </si>
  <si>
    <t>Year 3 dividend * (1+ Stage 2 Growth rate)</t>
  </si>
  <si>
    <t>NPV of Future Cash flows (Sum of 1 to 10 years only</t>
  </si>
  <si>
    <t>Cost of equity (Ke)</t>
  </si>
  <si>
    <t>Dividend Discount Model (DDM ) 2 stage</t>
  </si>
  <si>
    <t>Two Stage Model Assumptions</t>
  </si>
  <si>
    <t>Dividend Discount Model (DDM ) Multistage</t>
  </si>
  <si>
    <t>Multistage Model Assumptions</t>
  </si>
  <si>
    <t>(PV of the stock)</t>
  </si>
  <si>
    <t>Multistages Dividends</t>
  </si>
  <si>
    <t>Outflow</t>
  </si>
  <si>
    <t>Cash Inflow every year</t>
  </si>
  <si>
    <t>NPV OF Future cash Flows</t>
  </si>
  <si>
    <t>Todays value of the future cash Inflows</t>
  </si>
  <si>
    <t>Using NPV Method</t>
  </si>
  <si>
    <t>Projects</t>
  </si>
  <si>
    <t>Investment (in Rs)</t>
  </si>
  <si>
    <t>Cost of Equity</t>
  </si>
  <si>
    <t>Investment</t>
  </si>
  <si>
    <t>Question No.</t>
  </si>
  <si>
    <t>Problem Statement</t>
  </si>
  <si>
    <t>Q1</t>
  </si>
  <si>
    <t>Q2</t>
  </si>
  <si>
    <r>
      <t xml:space="preserve">Keeping the same assumptions in mind, calculate the intrinsic stock value of Infosys using the </t>
    </r>
    <r>
      <rPr>
        <b/>
        <sz val="10"/>
        <color theme="1"/>
        <rFont val="Sitka Heading"/>
      </rPr>
      <t>Dividend Discount Model (DDM)</t>
    </r>
    <r>
      <rPr>
        <sz val="10"/>
        <color theme="1"/>
        <rFont val="Sitka Heading"/>
      </rPr>
      <t>, where the dividend grows at 9.7% for the first 3 years and then at 11.5% forever.</t>
    </r>
  </si>
  <si>
    <t>Q3</t>
  </si>
  <si>
    <t>Calculate the intrinsic stock value of Infosys using the DDM Method, where the dividend grows at 9.7% for the first 3 years, at 11.5% for the 4th year, and will finally stabilise at 13% forever.</t>
  </si>
  <si>
    <t>Q4</t>
  </si>
  <si>
    <r>
      <t xml:space="preserve">The historical share price is provided in </t>
    </r>
    <r>
      <rPr>
        <b/>
        <sz val="10"/>
        <color theme="1"/>
        <rFont val="Sitka Heading"/>
      </rPr>
      <t xml:space="preserve">sheet 1.1 </t>
    </r>
    <r>
      <rPr>
        <sz val="10"/>
        <color theme="1"/>
        <rFont val="Sitka Heading"/>
      </rPr>
      <t>of the Excel sheet. It ranges from January 2023 to January 2024. Using that data, you are required to:
1. Prepare a forecast using the forecast function for February 2024 to February 2025. Assuming that the stock price will follow a similar pattern in 2024, please explain your buying strategy in the PPT and illustrate the trends in the linear model.
2. Calculate and compare the demand projection for the month of February 2024 using a three-month weighted moving average.</t>
    </r>
  </si>
  <si>
    <t>Q5</t>
  </si>
  <si>
    <r>
      <t xml:space="preserve">From your sources you have figured out that Infosys has few upcoming projects where they are planning to invest for their revenue growth. Using the </t>
    </r>
    <r>
      <rPr>
        <b/>
        <sz val="10"/>
        <color theme="1"/>
        <rFont val="Sitka Heading"/>
      </rPr>
      <t>Discounted Cash Flow (DCF)</t>
    </r>
    <r>
      <rPr>
        <sz val="10"/>
        <color theme="1"/>
        <rFont val="Sitka Heading"/>
      </rPr>
      <t xml:space="preserve"> method, calculate which project will be more profitable or feasible to invest in. The cash flows and the required assumptions are provided in</t>
    </r>
    <r>
      <rPr>
        <b/>
        <sz val="10"/>
        <color theme="1"/>
        <rFont val="Sitka Heading"/>
      </rPr>
      <t xml:space="preserve"> sheet 1.2 </t>
    </r>
    <r>
      <rPr>
        <sz val="10"/>
        <color theme="1"/>
        <rFont val="Sitka Heading"/>
      </rPr>
      <t>of the Excel sheet.</t>
    </r>
  </si>
  <si>
    <t>Q6</t>
  </si>
  <si>
    <r>
      <t xml:space="preserve">Calculate all the ratios requested in Excel </t>
    </r>
    <r>
      <rPr>
        <b/>
        <sz val="10"/>
        <color theme="1"/>
        <rFont val="Sitka Heading"/>
      </rPr>
      <t>sheet 1.3</t>
    </r>
    <r>
      <rPr>
        <sz val="10"/>
        <color theme="1"/>
        <rFont val="Sitka Heading"/>
      </rPr>
      <t>. The details of Infosys’s peers Wipro and TCS have been supplied to you in the multiples sheet (1.3). Calculate the equity multiples of Infosys and Wipro and suggest which company is better to invest in. </t>
    </r>
  </si>
  <si>
    <t>Q7</t>
  </si>
  <si>
    <t>Q8</t>
  </si>
  <si>
    <r>
      <t xml:space="preserve">Calculate the value of Infosys, Wipro and TCS as on 31.03.2023 using the </t>
    </r>
    <r>
      <rPr>
        <b/>
        <sz val="10"/>
        <color theme="1"/>
        <rFont val="Sitka Heading"/>
      </rPr>
      <t>Market Capitalization Method</t>
    </r>
    <r>
      <rPr>
        <sz val="10"/>
        <color theme="1"/>
        <rFont val="Sitka Heading"/>
      </rPr>
      <t xml:space="preserve"> in the </t>
    </r>
    <r>
      <rPr>
        <b/>
        <sz val="10"/>
        <color theme="1"/>
        <rFont val="Sitka Heading"/>
      </rPr>
      <t>sheet 1.5</t>
    </r>
    <r>
      <rPr>
        <sz val="10"/>
        <color theme="1"/>
        <rFont val="Sitka Heading"/>
      </rPr>
      <t>.</t>
    </r>
  </si>
  <si>
    <t>Q9</t>
  </si>
  <si>
    <r>
      <t xml:space="preserve">Prepare a PPT summarising your findings. The PPT has the following slides:
- </t>
    </r>
    <r>
      <rPr>
        <b/>
        <sz val="10"/>
        <color theme="1"/>
        <rFont val="Sitka Heading"/>
      </rPr>
      <t xml:space="preserve">Slide 1: </t>
    </r>
    <r>
      <rPr>
        <sz val="10"/>
        <color theme="1"/>
        <rFont val="Sitka Heading"/>
      </rPr>
      <t xml:space="preserve">This is the cover page of your PPT. Add your name and email address here.
- </t>
    </r>
    <r>
      <rPr>
        <b/>
        <sz val="10"/>
        <color theme="1"/>
        <rFont val="Sitka Heading"/>
      </rPr>
      <t xml:space="preserve">Slide 2: </t>
    </r>
    <r>
      <rPr>
        <sz val="10"/>
        <color theme="1"/>
        <rFont val="Sitka Heading"/>
      </rPr>
      <t xml:space="preserve">Provide a description of the Infosys company and business model. You can include market information, economic and IT trends. Also explain your buying strategy post forecast.
- </t>
    </r>
    <r>
      <rPr>
        <b/>
        <sz val="10"/>
        <color theme="1"/>
        <rFont val="Sitka Heading"/>
      </rPr>
      <t xml:space="preserve">Slide 3: </t>
    </r>
    <r>
      <rPr>
        <sz val="10"/>
        <color theme="1"/>
        <rFont val="Sitka Heading"/>
      </rPr>
      <t xml:space="preserve">Compare the intrinsic value under DDM method for all the scenarios and provide your comments.
- </t>
    </r>
    <r>
      <rPr>
        <b/>
        <sz val="10"/>
        <color theme="1"/>
        <rFont val="Sitka Heading"/>
      </rPr>
      <t xml:space="preserve">Slide 4: </t>
    </r>
    <r>
      <rPr>
        <sz val="10"/>
        <color theme="1"/>
        <rFont val="Sitka Heading"/>
      </rPr>
      <t xml:space="preserve">Discuss the key ratios of Infosys compared with industry players.
- </t>
    </r>
    <r>
      <rPr>
        <b/>
        <sz val="10"/>
        <color theme="1"/>
        <rFont val="Sitka Heading"/>
      </rPr>
      <t xml:space="preserve">Slide 5: </t>
    </r>
    <r>
      <rPr>
        <sz val="10"/>
        <color theme="1"/>
        <rFont val="Sitka Heading"/>
      </rPr>
      <t xml:space="preserve">Which method will you choose amongst the share price arrived and why? </t>
    </r>
  </si>
  <si>
    <t>(Value of my stock at the end of 4th Year)</t>
  </si>
  <si>
    <t>The historical share price is provided on your left. It ranges from January 2023 to January 2024. Using that data, you are required to:
1. Prepare a forecast using the forecast function for February 2024 to February 2025. Assuming that the stock price will follow a similar pattern in 2024, please explain your buying strategy in the PPT and illustrate the trends in the linear model.
2. Calculate and compare the demand projection for the month of February 2024 using a three-month weighted moving average.</t>
  </si>
  <si>
    <t>Q4.</t>
  </si>
  <si>
    <t>From your sources you have figured out that Infosys has few upcoming projects where they are planning to invest for their revenue growth. Using the Discounted Cash Flow (DCF) method, calculate which project will be more profitable or feasible to invest in. The cash flows and the required assumptions are provided below.</t>
  </si>
  <si>
    <t>Calculate all the ratios requested below. The details of Infosys’s peers Wipro and TCS have been supplied to you in below (Along with the page number they appear in the annual reports). Calculate the equity multiples of Infosys and Wipro and suggest which company is better to invest in. </t>
  </si>
  <si>
    <t>Calculate the Value of Infosys, Wipro and TCS using the Net Asset Model.</t>
  </si>
  <si>
    <t>Calculate the value of the following companies as on 31.03.2023 using Market Capitalization Method</t>
  </si>
  <si>
    <r>
      <t xml:space="preserve">Calculate the Value of Infosys, Wipro and TCS using the </t>
    </r>
    <r>
      <rPr>
        <b/>
        <sz val="10"/>
        <color theme="1"/>
        <rFont val="Sitka Heading"/>
      </rPr>
      <t>Net Asset Model</t>
    </r>
    <r>
      <rPr>
        <sz val="10"/>
        <color theme="1"/>
        <rFont val="Sitka Heading"/>
      </rPr>
      <t>, in sheet</t>
    </r>
    <r>
      <rPr>
        <b/>
        <sz val="10"/>
        <color theme="1"/>
        <rFont val="Sitka Heading"/>
      </rPr>
      <t xml:space="preserve"> 1.4</t>
    </r>
    <r>
      <rPr>
        <sz val="10"/>
        <color theme="1"/>
        <rFont val="Sitka Heading"/>
      </rPr>
      <t>.</t>
    </r>
  </si>
  <si>
    <r>
      <rPr>
        <b/>
        <sz val="10"/>
        <color theme="1"/>
        <rFont val="Sitka Heading"/>
      </rPr>
      <t xml:space="preserve">Suggestion: </t>
    </r>
    <r>
      <rPr>
        <sz val="10"/>
        <color theme="1"/>
        <rFont val="Sitka Heading"/>
      </rPr>
      <t xml:space="preserve">Choosing between Infosys and Wipro for investment depends on your investment goals, risk tolerance, and other personal preferences. Let's summarize the key points for each company:
</t>
    </r>
    <r>
      <rPr>
        <b/>
        <sz val="10"/>
        <color theme="1"/>
        <rFont val="Sitka Heading"/>
      </rPr>
      <t>Infosys:</t>
    </r>
    <r>
      <rPr>
        <sz val="10"/>
        <color theme="1"/>
        <rFont val="Sitka Heading"/>
      </rPr>
      <t xml:space="preserve">
Higher PE ratio (24.78), indicating a relatively higher valuation compared to earnings.
Higher dividend yield (0.0238), potentially attractive for income-oriented investors.
Higher Price to Book Value (7.82), suggesting a premium on net assets.
Higher Price to Sales Ratio (4.04), indicating a higher valuation relative to revenue.
</t>
    </r>
    <r>
      <rPr>
        <b/>
        <sz val="10"/>
        <color theme="1"/>
        <rFont val="Sitka Heading"/>
      </rPr>
      <t>Wipro:</t>
    </r>
    <r>
      <rPr>
        <sz val="10"/>
        <color theme="1"/>
        <rFont val="Sitka Heading"/>
      </rPr>
      <t xml:space="preserve">
Lower PE ratio (17.62), indicating a relatively lower valuation compared to earnings.
Lower dividend yield (0.0027).
Lower Price to Book Value (2.58), suggesting a lower valuation relative to net assets.
Lower Price to Sales Ratio (2.22), indicating a lower valuation relative to revenue.
Lower enterprise multiples (EV/Revenue: 2.2795, EV/EBITDAR: 10.7917, EV/Invested Capital: 2.2242).
</t>
    </r>
    <r>
      <rPr>
        <b/>
        <sz val="10"/>
        <color theme="1"/>
        <rFont val="Sitka Heading"/>
      </rPr>
      <t>Considerations:</t>
    </r>
    <r>
      <rPr>
        <sz val="10"/>
        <color theme="1"/>
        <rFont val="Sitka Heading"/>
      </rPr>
      <t xml:space="preserve">
If you prioritize potential for capital appreciation and lower valuations, Wipro might be more attractive.
If you seek income through dividends and are comfortable with a higher valuation, Infosys might be considered.
Infosys, with its higher valuation multiples, may be perceived as riskier in terms of potential price volatility.
Wipro, with lower valuations, may be considered less risky.</t>
    </r>
  </si>
  <si>
    <t>Calculate the intrinsic stock value of Infosys using the Zero Growth Model. Keep the following considerations in mind:
- The dividend for 2023 is 17.5.
- Assume the Required Rate of Return (RR) to be 17%.
Also find the intrinsic stock value if there is a constant growth of 9.7%, as per the annual report.</t>
  </si>
  <si>
    <t>d</t>
  </si>
  <si>
    <t>k</t>
  </si>
  <si>
    <t>d/k</t>
  </si>
  <si>
    <t>d/(k-g)</t>
  </si>
  <si>
    <t>PV of Sum of Stage 1 and Stage 2 Dividends</t>
  </si>
  <si>
    <t>Year 5 dividend * (1+ Stage 3 Growth rate)</t>
  </si>
  <si>
    <t>&gt;Rs,448.30 is the intrinsic value of the stock as per today.</t>
  </si>
  <si>
    <t>Net Profit/Loss</t>
  </si>
  <si>
    <t>d*(1+g)/(k-g)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</si>
</sst>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_);[Red]\(&quot;$&quot;#,##0.00\)"/>
    <numFmt numFmtId="165" formatCode="_(&quot;$&quot;* #,##0.00_);_(&quot;$&quot;* \(#,##0.00\);_(&quot;$&quot;* &quot;-&quot;??_);_(@_)"/>
    <numFmt numFmtId="166" formatCode="_(* #,##0.00_);_(* \(#,##0.00\);_(* &quot;-&quot;??_);_(@_)"/>
    <numFmt numFmtId="167" formatCode="0.0000"/>
    <numFmt numFmtId="168" formatCode="_(* #,##0_);_(* \(#,##0\);_(* &quot;-&quot;??_);_(@_)"/>
    <numFmt numFmtId="169" formatCode="0.000"/>
  </numFmts>
  <fonts count="16" x14ac:knownFonts="1">
    <font>
      <sz val="11"/>
      <color theme="1"/>
      <name val="Calibri"/>
      <family val="2"/>
    </font>
    <font>
      <sz val="11"/>
      <color theme="1"/>
      <name val="Calibri"/>
      <family val="2"/>
    </font>
    <font>
      <b/>
      <sz val="11"/>
      <color theme="1"/>
      <name val="Calibri"/>
      <family val="2"/>
    </font>
    <font>
      <sz val="8"/>
      <name val="Calibri"/>
      <family val="2"/>
    </font>
    <font>
      <b/>
      <sz val="11"/>
      <color theme="1"/>
      <name val="Sitka Heading"/>
    </font>
    <font>
      <sz val="11"/>
      <color theme="1"/>
      <name val="Sitka Heading"/>
    </font>
    <font>
      <b/>
      <sz val="10"/>
      <color theme="1"/>
      <name val="Sitka Heading"/>
    </font>
    <font>
      <sz val="10"/>
      <color theme="1"/>
      <name val="Sitka Heading"/>
    </font>
    <font>
      <sz val="10"/>
      <color rgb="FFFF0000"/>
      <name val="Sitka Heading"/>
    </font>
    <font>
      <sz val="10"/>
      <color theme="4"/>
      <name val="Sitka Heading"/>
    </font>
    <font>
      <b/>
      <sz val="10"/>
      <color theme="0"/>
      <name val="Sitka Heading"/>
    </font>
    <font>
      <b/>
      <sz val="10"/>
      <color rgb="FFFF0000"/>
      <name val="Sitka Heading"/>
    </font>
    <font>
      <b/>
      <u/>
      <sz val="10"/>
      <color theme="1"/>
      <name val="Sitka Heading"/>
    </font>
    <font>
      <b/>
      <sz val="10"/>
      <name val="Sitka Heading"/>
    </font>
    <font>
      <sz val="10"/>
      <name val="Sitka Heading"/>
    </font>
    <font>
      <sz val="28"/>
      <color theme="1"/>
      <name val="Sitka Heading"/>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tint="-0.749992370372631"/>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166" fontId="1" fillId="0" borderId="0" applyFont="0" applyFill="0" applyBorder="0" applyAlignment="0" applyProtection="0"/>
    <xf numFmtId="9" fontId="1" fillId="0" borderId="0" applyFont="0" applyFill="0" applyBorder="0" applyAlignment="0" applyProtection="0"/>
  </cellStyleXfs>
  <cellXfs count="186">
    <xf numFmtId="0" fontId="0" fillId="0" borderId="0" xfId="0"/>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6" fillId="0" borderId="0" xfId="0" applyFont="1" applyAlignment="1">
      <alignment horizontal="center" wrapText="1"/>
    </xf>
    <xf numFmtId="4" fontId="7" fillId="0" borderId="0" xfId="0" applyNumberFormat="1" applyFont="1"/>
    <xf numFmtId="10" fontId="7" fillId="0" borderId="0" xfId="0" applyNumberFormat="1" applyFont="1"/>
    <xf numFmtId="9" fontId="7" fillId="0" borderId="0" xfId="0" applyNumberFormat="1" applyFont="1"/>
    <xf numFmtId="166" fontId="7" fillId="0" borderId="0" xfId="1" applyFont="1"/>
    <xf numFmtId="2" fontId="6" fillId="0" borderId="0" xfId="0" applyNumberFormat="1" applyFont="1"/>
    <xf numFmtId="166" fontId="7" fillId="0" borderId="0" xfId="1" applyFont="1" applyFill="1"/>
    <xf numFmtId="0" fontId="6" fillId="0" borderId="7" xfId="0" applyFont="1" applyBorder="1"/>
    <xf numFmtId="166" fontId="6" fillId="0" borderId="0" xfId="1" applyFont="1" applyAlignment="1">
      <alignment horizontal="center"/>
    </xf>
    <xf numFmtId="0" fontId="6" fillId="7" borderId="7" xfId="0" applyFont="1" applyFill="1" applyBorder="1" applyAlignment="1">
      <alignment horizontal="center"/>
    </xf>
    <xf numFmtId="0" fontId="6" fillId="0" borderId="0" xfId="0" applyFont="1" applyAlignment="1">
      <alignment horizontal="center"/>
    </xf>
    <xf numFmtId="0" fontId="7" fillId="0" borderId="7" xfId="0" applyFont="1" applyBorder="1"/>
    <xf numFmtId="0" fontId="6" fillId="5" borderId="0" xfId="0" applyFont="1" applyFill="1"/>
    <xf numFmtId="0" fontId="2" fillId="0" borderId="0" xfId="0" applyFont="1" applyAlignment="1">
      <alignment wrapText="1"/>
    </xf>
    <xf numFmtId="0" fontId="0" fillId="0" borderId="0" xfId="0" applyAlignment="1">
      <alignment vertical="top"/>
    </xf>
    <xf numFmtId="0" fontId="7" fillId="0" borderId="0" xfId="0" applyFont="1" applyAlignment="1">
      <alignment horizontal="center"/>
    </xf>
    <xf numFmtId="2" fontId="7" fillId="0" borderId="0" xfId="0" applyNumberFormat="1" applyFont="1" applyAlignment="1">
      <alignment horizontal="center"/>
    </xf>
    <xf numFmtId="10" fontId="7" fillId="0" borderId="0" xfId="0" applyNumberFormat="1" applyFont="1" applyAlignment="1">
      <alignment horizontal="center"/>
    </xf>
    <xf numFmtId="9" fontId="7" fillId="0" borderId="0" xfId="0" applyNumberFormat="1" applyFont="1" applyAlignment="1">
      <alignment horizontal="center"/>
    </xf>
    <xf numFmtId="166" fontId="7" fillId="0" borderId="0" xfId="1" applyFont="1" applyAlignment="1">
      <alignment horizontal="center"/>
    </xf>
    <xf numFmtId="2" fontId="6" fillId="0" borderId="0" xfId="0" applyNumberFormat="1" applyFont="1" applyAlignment="1">
      <alignment horizontal="center"/>
    </xf>
    <xf numFmtId="166" fontId="7" fillId="0" borderId="0" xfId="1" applyFont="1" applyBorder="1" applyAlignment="1">
      <alignment horizontal="center"/>
    </xf>
    <xf numFmtId="166" fontId="7" fillId="0" borderId="0" xfId="1" applyFont="1" applyFill="1" applyAlignment="1">
      <alignment horizontal="center"/>
    </xf>
    <xf numFmtId="166" fontId="6" fillId="0" borderId="0" xfId="1" applyFont="1" applyFill="1" applyAlignment="1">
      <alignment horizontal="center"/>
    </xf>
    <xf numFmtId="0" fontId="9" fillId="0" borderId="0" xfId="0" applyFont="1" applyAlignment="1">
      <alignment horizontal="center"/>
    </xf>
    <xf numFmtId="9" fontId="9" fillId="0" borderId="0" xfId="0" applyNumberFormat="1" applyFont="1" applyAlignment="1">
      <alignment horizontal="center"/>
    </xf>
    <xf numFmtId="10" fontId="9" fillId="0" borderId="0" xfId="0" applyNumberFormat="1" applyFont="1" applyAlignment="1">
      <alignment horizontal="center"/>
    </xf>
    <xf numFmtId="9" fontId="7" fillId="0" borderId="7" xfId="0" applyNumberFormat="1" applyFont="1" applyBorder="1" applyAlignment="1">
      <alignment horizontal="center"/>
    </xf>
    <xf numFmtId="169" fontId="7" fillId="0" borderId="0" xfId="0" applyNumberFormat="1" applyFont="1" applyAlignment="1">
      <alignment horizontal="center"/>
    </xf>
    <xf numFmtId="169" fontId="6" fillId="5" borderId="0" xfId="0" applyNumberFormat="1" applyFont="1" applyFill="1" applyAlignment="1">
      <alignment horizontal="center"/>
    </xf>
    <xf numFmtId="166" fontId="7" fillId="0" borderId="0" xfId="1" applyFont="1" applyFill="1" applyBorder="1" applyAlignment="1">
      <alignment horizontal="center"/>
    </xf>
    <xf numFmtId="0" fontId="6" fillId="0" borderId="7" xfId="0" applyFont="1" applyBorder="1" applyAlignment="1">
      <alignment horizontal="center"/>
    </xf>
    <xf numFmtId="0" fontId="10"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7" fillId="0" borderId="1" xfId="0" applyFont="1" applyBorder="1" applyAlignment="1">
      <alignment horizontal="left" wrapText="1"/>
    </xf>
    <xf numFmtId="0" fontId="7" fillId="0" borderId="0" xfId="0" applyFont="1" applyAlignment="1">
      <alignment horizontal="left" wrapText="1"/>
    </xf>
    <xf numFmtId="2" fontId="6" fillId="0" borderId="7" xfId="0" applyNumberFormat="1" applyFont="1" applyBorder="1" applyAlignment="1">
      <alignment horizontal="center"/>
    </xf>
    <xf numFmtId="0" fontId="7" fillId="0" borderId="7" xfId="0" applyFont="1" applyBorder="1" applyAlignment="1">
      <alignment horizontal="center"/>
    </xf>
    <xf numFmtId="166" fontId="7" fillId="0" borderId="7" xfId="1" applyFont="1" applyBorder="1" applyAlignment="1">
      <alignment horizontal="center"/>
    </xf>
    <xf numFmtId="166" fontId="7" fillId="0" borderId="7" xfId="1" applyFont="1" applyFill="1" applyBorder="1" applyAlignment="1">
      <alignment horizontal="center"/>
    </xf>
    <xf numFmtId="10" fontId="7" fillId="0" borderId="7" xfId="0" applyNumberFormat="1" applyFont="1" applyBorder="1"/>
    <xf numFmtId="169" fontId="6" fillId="0" borderId="7" xfId="0" applyNumberFormat="1" applyFont="1" applyBorder="1" applyAlignment="1">
      <alignment horizontal="center"/>
    </xf>
    <xf numFmtId="0" fontId="7" fillId="0" borderId="0" xfId="0" applyFont="1" applyAlignment="1">
      <alignment horizontal="left"/>
    </xf>
    <xf numFmtId="14" fontId="7" fillId="0" borderId="0" xfId="0" applyNumberFormat="1" applyFont="1"/>
    <xf numFmtId="0" fontId="7" fillId="0" borderId="0" xfId="0" applyFont="1" applyAlignment="1">
      <alignment wrapText="1"/>
    </xf>
    <xf numFmtId="17" fontId="7" fillId="0" borderId="0" xfId="0" applyNumberFormat="1" applyFont="1" applyAlignment="1">
      <alignment horizontal="center"/>
    </xf>
    <xf numFmtId="1" fontId="7" fillId="0" borderId="0" xfId="0" applyNumberFormat="1" applyFont="1" applyAlignment="1">
      <alignment horizontal="center"/>
    </xf>
    <xf numFmtId="0" fontId="6" fillId="4" borderId="1" xfId="0" applyFont="1" applyFill="1" applyBorder="1" applyAlignment="1">
      <alignment horizontal="center"/>
    </xf>
    <xf numFmtId="17" fontId="7" fillId="0" borderId="1" xfId="0" applyNumberFormat="1" applyFont="1" applyBorder="1" applyAlignment="1">
      <alignment horizontal="center"/>
    </xf>
    <xf numFmtId="0" fontId="7" fillId="0" borderId="1" xfId="0" applyFont="1" applyBorder="1" applyAlignment="1">
      <alignment horizontal="center"/>
    </xf>
    <xf numFmtId="1" fontId="7" fillId="2" borderId="1" xfId="0" applyNumberFormat="1" applyFont="1" applyFill="1" applyBorder="1" applyAlignment="1">
      <alignment horizontal="center"/>
    </xf>
    <xf numFmtId="0" fontId="6" fillId="0" borderId="0" xfId="0" applyFont="1" applyAlignment="1">
      <alignment horizontal="left"/>
    </xf>
    <xf numFmtId="9" fontId="7" fillId="0" borderId="1" xfId="0" applyNumberFormat="1" applyFont="1" applyBorder="1" applyAlignment="1">
      <alignment horizontal="center"/>
    </xf>
    <xf numFmtId="0" fontId="6" fillId="0" borderId="1" xfId="0" applyFont="1" applyBorder="1" applyAlignment="1">
      <alignment horizontal="center"/>
    </xf>
    <xf numFmtId="0" fontId="11" fillId="0" borderId="1" xfId="0" applyFont="1" applyBorder="1" applyAlignment="1">
      <alignment horizontal="center"/>
    </xf>
    <xf numFmtId="0" fontId="6" fillId="0" borderId="0" xfId="0" applyFont="1" applyAlignment="1">
      <alignment horizontal="right"/>
    </xf>
    <xf numFmtId="0" fontId="9" fillId="0" borderId="1" xfId="0" applyFont="1" applyBorder="1" applyAlignment="1">
      <alignment horizontal="right"/>
    </xf>
    <xf numFmtId="168" fontId="9" fillId="0" borderId="1" xfId="1" applyNumberFormat="1" applyFont="1" applyBorder="1" applyAlignment="1">
      <alignment horizontal="right"/>
    </xf>
    <xf numFmtId="0" fontId="7" fillId="0" borderId="0" xfId="0" applyFont="1" applyAlignment="1">
      <alignment horizontal="right"/>
    </xf>
    <xf numFmtId="0" fontId="7" fillId="0" borderId="1" xfId="0" applyFont="1" applyBorder="1"/>
    <xf numFmtId="167" fontId="8" fillId="0" borderId="1" xfId="0" applyNumberFormat="1" applyFont="1" applyBorder="1"/>
    <xf numFmtId="168" fontId="7" fillId="6" borderId="1" xfId="1" applyNumberFormat="1" applyFont="1" applyFill="1" applyBorder="1"/>
    <xf numFmtId="168" fontId="6" fillId="6" borderId="1" xfId="1" applyNumberFormat="1" applyFont="1" applyFill="1" applyBorder="1"/>
    <xf numFmtId="0" fontId="6" fillId="0" borderId="1" xfId="0" applyFont="1" applyBorder="1"/>
    <xf numFmtId="168" fontId="7" fillId="0" borderId="0" xfId="0" applyNumberFormat="1" applyFont="1"/>
    <xf numFmtId="168" fontId="6" fillId="0" borderId="0" xfId="0" applyNumberFormat="1" applyFont="1"/>
    <xf numFmtId="168" fontId="6" fillId="0" borderId="0" xfId="1" applyNumberFormat="1" applyFont="1"/>
    <xf numFmtId="168" fontId="7" fillId="0" borderId="0" xfId="1" applyNumberFormat="1" applyFont="1"/>
    <xf numFmtId="0" fontId="12" fillId="0" borderId="0" xfId="0" applyFont="1"/>
    <xf numFmtId="166" fontId="7" fillId="9" borderId="1" xfId="1" applyFont="1" applyFill="1" applyBorder="1"/>
    <xf numFmtId="166" fontId="7" fillId="0" borderId="0" xfId="0" applyNumberFormat="1" applyFont="1"/>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7" fillId="0" borderId="11" xfId="0" applyFont="1" applyBorder="1"/>
    <xf numFmtId="0" fontId="7" fillId="0" borderId="10" xfId="0" applyFont="1" applyBorder="1"/>
    <xf numFmtId="0" fontId="7" fillId="0" borderId="12" xfId="0" applyFont="1" applyBorder="1"/>
    <xf numFmtId="0" fontId="7" fillId="0" borderId="9" xfId="0" applyFont="1" applyBorder="1"/>
    <xf numFmtId="166" fontId="7" fillId="0" borderId="10" xfId="0" applyNumberFormat="1" applyFont="1" applyBorder="1"/>
    <xf numFmtId="2" fontId="7" fillId="0" borderId="10" xfId="0" applyNumberFormat="1" applyFont="1" applyBorder="1"/>
    <xf numFmtId="168" fontId="7" fillId="0" borderId="10" xfId="1" applyNumberFormat="1" applyFont="1" applyBorder="1"/>
    <xf numFmtId="166" fontId="7" fillId="0" borderId="10" xfId="1" applyFont="1" applyBorder="1"/>
    <xf numFmtId="0" fontId="7" fillId="0" borderId="0" xfId="1" applyNumberFormat="1" applyFont="1" applyBorder="1" applyAlignment="1">
      <alignment horizontal="center"/>
    </xf>
    <xf numFmtId="165" fontId="7" fillId="0" borderId="0" xfId="0" applyNumberFormat="1" applyFont="1"/>
    <xf numFmtId="10" fontId="7" fillId="0" borderId="10" xfId="0" applyNumberFormat="1" applyFont="1" applyBorder="1"/>
    <xf numFmtId="0" fontId="6" fillId="0" borderId="11" xfId="0" applyFont="1" applyBorder="1"/>
    <xf numFmtId="168" fontId="7" fillId="0" borderId="10" xfId="0" applyNumberFormat="1" applyFont="1" applyBorder="1"/>
    <xf numFmtId="2" fontId="6" fillId="0" borderId="10" xfId="0" applyNumberFormat="1" applyFont="1" applyBorder="1"/>
    <xf numFmtId="0" fontId="7" fillId="2" borderId="11" xfId="0" applyFont="1" applyFill="1" applyBorder="1"/>
    <xf numFmtId="166" fontId="7" fillId="2" borderId="10" xfId="0" applyNumberFormat="1" applyFont="1" applyFill="1" applyBorder="1"/>
    <xf numFmtId="0" fontId="7" fillId="2" borderId="0" xfId="0" applyFont="1" applyFill="1" applyAlignment="1">
      <alignment horizontal="center"/>
    </xf>
    <xf numFmtId="0" fontId="7" fillId="2" borderId="0" xfId="0" applyFont="1" applyFill="1"/>
    <xf numFmtId="0" fontId="7" fillId="2" borderId="9" xfId="0" applyFont="1" applyFill="1" applyBorder="1"/>
    <xf numFmtId="2" fontId="7" fillId="2" borderId="10" xfId="0" applyNumberFormat="1" applyFont="1" applyFill="1" applyBorder="1"/>
    <xf numFmtId="0" fontId="7" fillId="2" borderId="10" xfId="0" applyFont="1" applyFill="1" applyBorder="1"/>
    <xf numFmtId="0" fontId="6" fillId="2" borderId="11" xfId="0" applyFont="1" applyFill="1" applyBorder="1"/>
    <xf numFmtId="167" fontId="7" fillId="2" borderId="10" xfId="0" applyNumberFormat="1" applyFont="1" applyFill="1" applyBorder="1"/>
    <xf numFmtId="2" fontId="13" fillId="2" borderId="10" xfId="0" applyNumberFormat="1" applyFont="1" applyFill="1" applyBorder="1"/>
    <xf numFmtId="0" fontId="13" fillId="2" borderId="0" xfId="0" applyFont="1" applyFill="1" applyAlignment="1">
      <alignment horizontal="center"/>
    </xf>
    <xf numFmtId="0" fontId="7" fillId="2" borderId="8" xfId="0" applyFont="1" applyFill="1" applyBorder="1"/>
    <xf numFmtId="167" fontId="7" fillId="2" borderId="6" xfId="0" applyNumberFormat="1" applyFont="1" applyFill="1" applyBorder="1"/>
    <xf numFmtId="0" fontId="7" fillId="2" borderId="7" xfId="0" applyFont="1" applyFill="1" applyBorder="1" applyAlignment="1">
      <alignment horizontal="center"/>
    </xf>
    <xf numFmtId="0" fontId="7" fillId="2" borderId="7" xfId="0" applyFont="1" applyFill="1" applyBorder="1"/>
    <xf numFmtId="0" fontId="7" fillId="2" borderId="5" xfId="0" applyFont="1" applyFill="1" applyBorder="1"/>
    <xf numFmtId="0" fontId="7" fillId="0" borderId="10" xfId="0" applyFont="1" applyBorder="1" applyAlignment="1">
      <alignment horizontal="center"/>
    </xf>
    <xf numFmtId="0" fontId="14" fillId="0" borderId="10" xfId="0" applyFont="1" applyBorder="1" applyAlignment="1">
      <alignment horizontal="center"/>
    </xf>
    <xf numFmtId="0" fontId="7" fillId="0" borderId="0" xfId="0" applyFont="1" applyAlignment="1">
      <alignment horizontal="center" vertical="center"/>
    </xf>
    <xf numFmtId="0" fontId="6" fillId="0" borderId="0" xfId="0" applyFont="1" applyAlignment="1">
      <alignment horizontal="center" vertical="center"/>
    </xf>
    <xf numFmtId="0" fontId="8" fillId="0" borderId="0" xfId="0" applyFont="1" applyAlignment="1">
      <alignment horizontal="left"/>
    </xf>
    <xf numFmtId="168" fontId="7" fillId="0" borderId="1" xfId="1" applyNumberFormat="1" applyFont="1" applyFill="1" applyBorder="1"/>
    <xf numFmtId="166" fontId="7" fillId="0" borderId="1" xfId="0" applyNumberFormat="1" applyFont="1" applyBorder="1"/>
    <xf numFmtId="2" fontId="7" fillId="0" borderId="1" xfId="0" applyNumberFormat="1" applyFont="1" applyBorder="1"/>
    <xf numFmtId="0" fontId="15" fillId="2" borderId="0" xfId="0" applyFont="1" applyFill="1"/>
    <xf numFmtId="0" fontId="5" fillId="2" borderId="0" xfId="0" applyFont="1" applyFill="1"/>
    <xf numFmtId="0" fontId="7" fillId="0" borderId="0" xfId="0" applyFont="1" applyAlignment="1">
      <alignment vertical="top" wrapText="1"/>
    </xf>
    <xf numFmtId="2" fontId="7" fillId="2" borderId="1" xfId="0" applyNumberFormat="1" applyFont="1" applyFill="1" applyBorder="1" applyAlignment="1">
      <alignment horizontal="center"/>
    </xf>
    <xf numFmtId="2" fontId="6" fillId="5" borderId="0" xfId="0" applyNumberFormat="1" applyFont="1" applyFill="1" applyAlignment="1">
      <alignment horizontal="center"/>
    </xf>
    <xf numFmtId="1" fontId="7" fillId="0" borderId="0" xfId="0" applyNumberFormat="1" applyFont="1"/>
    <xf numFmtId="9" fontId="7" fillId="0" borderId="1" xfId="2" applyFont="1" applyBorder="1"/>
    <xf numFmtId="166" fontId="7" fillId="6" borderId="1" xfId="0" applyNumberFormat="1" applyFont="1" applyFill="1" applyBorder="1"/>
    <xf numFmtId="2" fontId="7" fillId="0" borderId="0" xfId="0" applyNumberFormat="1" applyFont="1" applyAlignment="1">
      <alignment horizontal="left"/>
    </xf>
    <xf numFmtId="0" fontId="7" fillId="0" borderId="0" xfId="0" applyFont="1" applyBorder="1"/>
    <xf numFmtId="38" fontId="7" fillId="0" borderId="0" xfId="0" applyNumberFormat="1" applyFont="1" applyBorder="1"/>
    <xf numFmtId="9" fontId="7" fillId="0" borderId="0" xfId="2" applyFont="1" applyBorder="1"/>
    <xf numFmtId="38" fontId="7" fillId="0" borderId="11" xfId="0" applyNumberFormat="1" applyFont="1" applyBorder="1"/>
    <xf numFmtId="9" fontId="7" fillId="0" borderId="11" xfId="2" applyFont="1" applyBorder="1"/>
    <xf numFmtId="0" fontId="7" fillId="8" borderId="0" xfId="0" applyFont="1" applyFill="1" applyBorder="1" applyAlignment="1">
      <alignment horizontal="center"/>
    </xf>
    <xf numFmtId="0" fontId="7" fillId="9" borderId="1" xfId="0" applyFont="1" applyFill="1" applyBorder="1" applyAlignment="1">
      <alignment wrapText="1"/>
    </xf>
    <xf numFmtId="166" fontId="7" fillId="3" borderId="1" xfId="1" applyFont="1" applyFill="1" applyBorder="1"/>
    <xf numFmtId="0" fontId="7" fillId="3" borderId="1" xfId="0" applyFont="1" applyFill="1" applyBorder="1"/>
    <xf numFmtId="164" fontId="7" fillId="9" borderId="1" xfId="1" applyNumberFormat="1" applyFont="1" applyFill="1" applyBorder="1"/>
    <xf numFmtId="0" fontId="7" fillId="0" borderId="1" xfId="0" applyFont="1" applyBorder="1" applyAlignment="1">
      <alignment horizontal="left" wrapText="1"/>
    </xf>
    <xf numFmtId="0" fontId="6" fillId="0" borderId="0" xfId="0" applyFont="1" applyAlignment="1">
      <alignment horizontal="center"/>
    </xf>
    <xf numFmtId="0" fontId="6" fillId="2" borderId="0" xfId="0" applyFont="1" applyFill="1" applyAlignment="1">
      <alignment horizontal="left"/>
    </xf>
    <xf numFmtId="0" fontId="6" fillId="7" borderId="7" xfId="0" applyFont="1" applyFill="1" applyBorder="1" applyAlignment="1">
      <alignment horizontal="center"/>
    </xf>
    <xf numFmtId="0" fontId="6" fillId="0" borderId="7" xfId="0" applyFont="1" applyBorder="1" applyAlignment="1">
      <alignment horizontal="left"/>
    </xf>
    <xf numFmtId="0" fontId="7" fillId="0" borderId="13" xfId="0" applyFont="1" applyBorder="1" applyAlignment="1">
      <alignment horizontal="left" wrapText="1"/>
    </xf>
    <xf numFmtId="0" fontId="7" fillId="0" borderId="14" xfId="0" applyFont="1" applyBorder="1" applyAlignment="1">
      <alignment horizontal="left" wrapText="1"/>
    </xf>
    <xf numFmtId="0" fontId="7" fillId="0" borderId="15" xfId="0" applyFont="1" applyBorder="1" applyAlignment="1">
      <alignment horizontal="left" wrapText="1"/>
    </xf>
    <xf numFmtId="0" fontId="7" fillId="0" borderId="11" xfId="0" applyFont="1" applyBorder="1" applyAlignment="1">
      <alignment horizontal="left" wrapText="1"/>
    </xf>
    <xf numFmtId="0" fontId="7" fillId="0" borderId="0" xfId="0" applyFont="1" applyAlignment="1">
      <alignment horizontal="left" wrapText="1"/>
    </xf>
    <xf numFmtId="0" fontId="7" fillId="0" borderId="9" xfId="0" applyFont="1" applyBorder="1" applyAlignment="1">
      <alignment horizontal="left" wrapText="1"/>
    </xf>
    <xf numFmtId="0" fontId="7" fillId="0" borderId="8" xfId="0" applyFont="1" applyBorder="1" applyAlignment="1">
      <alignment horizontal="left" wrapText="1"/>
    </xf>
    <xf numFmtId="0" fontId="7" fillId="0" borderId="7" xfId="0" applyFont="1" applyBorder="1" applyAlignment="1">
      <alignment horizontal="left" wrapText="1"/>
    </xf>
    <xf numFmtId="0" fontId="7" fillId="0" borderId="5" xfId="0" applyFont="1" applyBorder="1" applyAlignment="1">
      <alignment horizontal="left" wrapText="1"/>
    </xf>
    <xf numFmtId="0" fontId="6" fillId="4" borderId="12" xfId="0" applyFont="1" applyFill="1" applyBorder="1" applyAlignment="1">
      <alignment horizontal="center" vertical="center"/>
    </xf>
    <xf numFmtId="0" fontId="6" fillId="4" borderId="6" xfId="0" applyFont="1" applyFill="1" applyBorder="1" applyAlignment="1">
      <alignment horizontal="center" vertical="center"/>
    </xf>
    <xf numFmtId="0" fontId="6" fillId="2" borderId="13" xfId="0" applyFont="1" applyFill="1" applyBorder="1" applyAlignment="1">
      <alignment horizontal="left" wrapText="1"/>
    </xf>
    <xf numFmtId="0" fontId="6" fillId="2" borderId="14" xfId="0" applyFont="1" applyFill="1" applyBorder="1" applyAlignment="1">
      <alignment horizontal="left" wrapText="1"/>
    </xf>
    <xf numFmtId="0" fontId="6" fillId="2" borderId="15" xfId="0" applyFont="1" applyFill="1" applyBorder="1" applyAlignment="1">
      <alignment horizontal="left" wrapText="1"/>
    </xf>
    <xf numFmtId="0" fontId="6" fillId="2" borderId="8" xfId="0" applyFont="1" applyFill="1" applyBorder="1" applyAlignment="1">
      <alignment horizontal="left" wrapText="1"/>
    </xf>
    <xf numFmtId="0" fontId="6" fillId="2" borderId="7" xfId="0" applyFont="1" applyFill="1" applyBorder="1" applyAlignment="1">
      <alignment horizontal="left" wrapText="1"/>
    </xf>
    <xf numFmtId="0" fontId="6" fillId="2" borderId="5" xfId="0" applyFont="1" applyFill="1" applyBorder="1" applyAlignment="1">
      <alignment horizontal="left" wrapText="1"/>
    </xf>
    <xf numFmtId="0" fontId="6" fillId="0" borderId="1" xfId="0" applyFont="1" applyBorder="1" applyAlignment="1">
      <alignment horizontal="center"/>
    </xf>
    <xf numFmtId="0" fontId="7" fillId="8" borderId="7" xfId="0" applyFont="1" applyFill="1" applyBorder="1" applyAlignment="1">
      <alignment horizontal="center"/>
    </xf>
    <xf numFmtId="0" fontId="7" fillId="0" borderId="13" xfId="0" applyFont="1" applyBorder="1" applyAlignment="1">
      <alignment horizontal="left" vertical="center" wrapText="1"/>
    </xf>
    <xf numFmtId="0" fontId="7" fillId="0" borderId="14" xfId="0" applyFont="1" applyBorder="1" applyAlignment="1">
      <alignment horizontal="left" vertical="center" wrapText="1"/>
    </xf>
    <xf numFmtId="0" fontId="7" fillId="0" borderId="15" xfId="0" applyFont="1" applyBorder="1" applyAlignment="1">
      <alignment horizontal="left" vertical="center" wrapText="1"/>
    </xf>
    <xf numFmtId="0" fontId="7" fillId="0" borderId="11" xfId="0" applyFont="1" applyBorder="1" applyAlignment="1">
      <alignment horizontal="left" vertical="center" wrapText="1"/>
    </xf>
    <xf numFmtId="0" fontId="7" fillId="0" borderId="0" xfId="0" applyFont="1" applyAlignment="1">
      <alignment horizontal="left" vertical="center" wrapText="1"/>
    </xf>
    <xf numFmtId="0" fontId="7" fillId="0" borderId="9"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7" fillId="0" borderId="5" xfId="0" applyFont="1" applyBorder="1" applyAlignment="1">
      <alignment horizontal="left" vertical="center" wrapText="1"/>
    </xf>
    <xf numFmtId="0" fontId="6" fillId="4" borderId="13"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14" fillId="0" borderId="13" xfId="0" applyFont="1" applyBorder="1" applyAlignment="1">
      <alignment horizontal="left" vertical="center" wrapText="1"/>
    </xf>
    <xf numFmtId="0" fontId="14" fillId="0" borderId="14" xfId="0" applyFont="1" applyBorder="1" applyAlignment="1">
      <alignment horizontal="left" vertical="center" wrapText="1"/>
    </xf>
    <xf numFmtId="0" fontId="14" fillId="0" borderId="15" xfId="0" applyFont="1" applyBorder="1" applyAlignment="1">
      <alignment horizontal="left" vertical="center" wrapText="1"/>
    </xf>
    <xf numFmtId="0" fontId="14" fillId="0" borderId="11" xfId="0" applyFont="1" applyBorder="1" applyAlignment="1">
      <alignment horizontal="left" vertical="center" wrapText="1"/>
    </xf>
    <xf numFmtId="0" fontId="14" fillId="0" borderId="0" xfId="0" applyFont="1" applyAlignment="1">
      <alignment horizontal="left" vertical="center" wrapText="1"/>
    </xf>
    <xf numFmtId="0" fontId="14" fillId="0" borderId="9" xfId="0" applyFont="1" applyBorder="1" applyAlignment="1">
      <alignment horizontal="left" vertical="center" wrapText="1"/>
    </xf>
    <xf numFmtId="0" fontId="14" fillId="0" borderId="8" xfId="0" applyFont="1" applyBorder="1" applyAlignment="1">
      <alignment horizontal="left" vertical="center" wrapText="1"/>
    </xf>
    <xf numFmtId="0" fontId="14" fillId="0" borderId="7" xfId="0" applyFont="1" applyBorder="1" applyAlignment="1">
      <alignment horizontal="left" vertical="center" wrapText="1"/>
    </xf>
    <xf numFmtId="0" fontId="14" fillId="0" borderId="5" xfId="0" applyFont="1" applyBorder="1" applyAlignment="1">
      <alignment horizontal="left" vertical="center" wrapText="1"/>
    </xf>
    <xf numFmtId="0" fontId="7" fillId="0" borderId="0" xfId="0" applyFont="1" applyAlignment="1">
      <alignment horizontal="left" vertical="top" wrapText="1"/>
    </xf>
    <xf numFmtId="0" fontId="7" fillId="0" borderId="12" xfId="0" applyFont="1" applyBorder="1" applyAlignment="1">
      <alignment horizontal="center" vertical="center"/>
    </xf>
    <xf numFmtId="0" fontId="7" fillId="0" borderId="6" xfId="0" applyFont="1" applyBorder="1" applyAlignment="1">
      <alignment horizontal="center" vertical="center"/>
    </xf>
    <xf numFmtId="0" fontId="7" fillId="0" borderId="1" xfId="0" applyFont="1" applyBorder="1" applyAlignment="1">
      <alignment horizontal="left"/>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forward val="11"/>
            <c:dispRSqr val="0"/>
            <c:dispEq val="0"/>
          </c:trendline>
          <c:cat>
            <c:numRef>
              <c:f>'Q4 Forecast Solution'!$A$10:$A$22</c:f>
              <c:numCache>
                <c:formatCode>mmm\-yy</c:formatCode>
                <c:ptCount val="13"/>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numCache>
            </c:numRef>
          </c:cat>
          <c:val>
            <c:numRef>
              <c:f>'Q4 Forecast Solution'!$B$10:$B$22</c:f>
              <c:numCache>
                <c:formatCode>General</c:formatCode>
                <c:ptCount val="13"/>
                <c:pt idx="0">
                  <c:v>1533</c:v>
                </c:pt>
                <c:pt idx="1">
                  <c:v>1487</c:v>
                </c:pt>
                <c:pt idx="2">
                  <c:v>1427</c:v>
                </c:pt>
                <c:pt idx="3">
                  <c:v>1252</c:v>
                </c:pt>
                <c:pt idx="4">
                  <c:v>1318</c:v>
                </c:pt>
                <c:pt idx="5">
                  <c:v>1335</c:v>
                </c:pt>
                <c:pt idx="6">
                  <c:v>1355</c:v>
                </c:pt>
                <c:pt idx="7">
                  <c:v>1435</c:v>
                </c:pt>
                <c:pt idx="8">
                  <c:v>1435</c:v>
                </c:pt>
                <c:pt idx="9">
                  <c:v>1368</c:v>
                </c:pt>
                <c:pt idx="10">
                  <c:v>1455</c:v>
                </c:pt>
                <c:pt idx="11">
                  <c:v>1542</c:v>
                </c:pt>
                <c:pt idx="12">
                  <c:v>1652</c:v>
                </c:pt>
              </c:numCache>
            </c:numRef>
          </c:val>
          <c:extLst xmlns:c16r2="http://schemas.microsoft.com/office/drawing/2015/06/chart">
            <c:ext xmlns:c16="http://schemas.microsoft.com/office/drawing/2014/chart" uri="{C3380CC4-5D6E-409C-BE32-E72D297353CC}">
              <c16:uniqueId val="{00000001-8C6D-4638-8931-59DAEA15A2D5}"/>
            </c:ext>
          </c:extLst>
        </c:ser>
        <c:dLbls>
          <c:showLegendKey val="0"/>
          <c:showVal val="0"/>
          <c:showCatName val="0"/>
          <c:showSerName val="0"/>
          <c:showPercent val="0"/>
          <c:showBubbleSize val="0"/>
        </c:dLbls>
        <c:gapWidth val="219"/>
        <c:overlap val="-27"/>
        <c:axId val="-1218422032"/>
        <c:axId val="-1218434000"/>
      </c:barChart>
      <c:dateAx>
        <c:axId val="-12184220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34000"/>
        <c:crosses val="autoZero"/>
        <c:auto val="1"/>
        <c:lblOffset val="100"/>
        <c:baseTimeUnit val="months"/>
      </c:dateAx>
      <c:valAx>
        <c:axId val="-121843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220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025371828521428E-2"/>
          <c:y val="0.19486111111111112"/>
          <c:w val="0.87753018372703417"/>
          <c:h val="0.64426837270341208"/>
        </c:manualLayout>
      </c:layout>
      <c:lineChart>
        <c:grouping val="standard"/>
        <c:varyColors val="0"/>
        <c:ser>
          <c:idx val="0"/>
          <c:order val="0"/>
          <c:tx>
            <c:strRef>
              <c:f>'Q4 Forecast Solution'!$B$9</c:f>
              <c:strCache>
                <c:ptCount val="1"/>
                <c:pt idx="0">
                  <c:v>Price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'Q4 Forecast Solution'!$A$10:$A$22</c:f>
              <c:numCache>
                <c:formatCode>mmm\-yy</c:formatCode>
                <c:ptCount val="13"/>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numCache>
            </c:numRef>
          </c:cat>
          <c:val>
            <c:numRef>
              <c:f>'Q4 Forecast Solution'!$B$10:$B$22</c:f>
              <c:numCache>
                <c:formatCode>General</c:formatCode>
                <c:ptCount val="13"/>
                <c:pt idx="0">
                  <c:v>1533</c:v>
                </c:pt>
                <c:pt idx="1">
                  <c:v>1487</c:v>
                </c:pt>
                <c:pt idx="2">
                  <c:v>1427</c:v>
                </c:pt>
                <c:pt idx="3">
                  <c:v>1252</c:v>
                </c:pt>
                <c:pt idx="4">
                  <c:v>1318</c:v>
                </c:pt>
                <c:pt idx="5">
                  <c:v>1335</c:v>
                </c:pt>
                <c:pt idx="6">
                  <c:v>1355</c:v>
                </c:pt>
                <c:pt idx="7">
                  <c:v>1435</c:v>
                </c:pt>
                <c:pt idx="8">
                  <c:v>1435</c:v>
                </c:pt>
                <c:pt idx="9">
                  <c:v>1368</c:v>
                </c:pt>
                <c:pt idx="10">
                  <c:v>1455</c:v>
                </c:pt>
                <c:pt idx="11">
                  <c:v>1542</c:v>
                </c:pt>
                <c:pt idx="12">
                  <c:v>1652</c:v>
                </c:pt>
              </c:numCache>
            </c:numRef>
          </c:val>
          <c:smooth val="0"/>
          <c:extLst xmlns:c16r2="http://schemas.microsoft.com/office/drawing/2015/06/chart">
            <c:ext xmlns:c16="http://schemas.microsoft.com/office/drawing/2014/chart" uri="{C3380CC4-5D6E-409C-BE32-E72D297353CC}">
              <c16:uniqueId val="{00000000-61D1-49E9-A88E-6EB03046FB36}"/>
            </c:ext>
          </c:extLst>
        </c:ser>
        <c:dLbls>
          <c:showLegendKey val="0"/>
          <c:showVal val="0"/>
          <c:showCatName val="0"/>
          <c:showSerName val="0"/>
          <c:showPercent val="0"/>
          <c:showBubbleSize val="0"/>
        </c:dLbls>
        <c:smooth val="0"/>
        <c:axId val="-1218437264"/>
        <c:axId val="-1218432368"/>
      </c:lineChart>
      <c:dateAx>
        <c:axId val="-12184372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32368"/>
        <c:crosses val="autoZero"/>
        <c:auto val="1"/>
        <c:lblOffset val="100"/>
        <c:baseTimeUnit val="months"/>
      </c:dateAx>
      <c:valAx>
        <c:axId val="-121843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372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91440</xdr:colOff>
      <xdr:row>7</xdr:row>
      <xdr:rowOff>175260</xdr:rowOff>
    </xdr:from>
    <xdr:to>
      <xdr:col>15</xdr:col>
      <xdr:colOff>365760</xdr:colOff>
      <xdr:row>26</xdr:row>
      <xdr:rowOff>137160</xdr:rowOff>
    </xdr:to>
    <xdr:graphicFrame macro="">
      <xdr:nvGraphicFramePr>
        <xdr:cNvPr id="2" name="Chart 1">
          <a:extLst>
            <a:ext uri="{FF2B5EF4-FFF2-40B4-BE49-F238E27FC236}">
              <a16:creationId xmlns:a16="http://schemas.microsoft.com/office/drawing/2014/main" xmlns="" id="{EC1742EF-AFE5-486F-85AA-2492AD3BD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34</xdr:row>
      <xdr:rowOff>152400</xdr:rowOff>
    </xdr:from>
    <xdr:to>
      <xdr:col>12</xdr:col>
      <xdr:colOff>409575</xdr:colOff>
      <xdr:row>47</xdr:row>
      <xdr:rowOff>171450</xdr:rowOff>
    </xdr:to>
    <xdr:graphicFrame macro="">
      <xdr:nvGraphicFramePr>
        <xdr:cNvPr id="3" name="Chart 2">
          <a:extLst>
            <a:ext uri="{FF2B5EF4-FFF2-40B4-BE49-F238E27FC236}">
              <a16:creationId xmlns:a16="http://schemas.microsoft.com/office/drawing/2014/main" xmlns="" id="{8460D609-0618-6262-CD44-6CAA04D2B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K11"/>
  <sheetViews>
    <sheetView showGridLines="0" tabSelected="1" topLeftCell="A4" workbookViewId="0">
      <selection activeCell="E11" sqref="E11"/>
    </sheetView>
  </sheetViews>
  <sheetFormatPr defaultColWidth="8.7109375" defaultRowHeight="18" x14ac:dyDescent="0.35"/>
  <cols>
    <col min="1" max="16384" width="8.7109375" style="3"/>
  </cols>
  <sheetData>
    <row r="9" spans="2:11" ht="44.25" x14ac:dyDescent="0.85">
      <c r="B9" s="119" t="s">
        <v>50</v>
      </c>
      <c r="C9" s="119"/>
      <c r="D9" s="120"/>
      <c r="E9" s="120"/>
      <c r="F9" s="120"/>
      <c r="G9" s="119"/>
      <c r="H9" s="119"/>
      <c r="I9" s="119"/>
      <c r="J9" s="119"/>
      <c r="K9" s="119"/>
    </row>
    <row r="11" spans="2:11" x14ac:dyDescent="0.35">
      <c r="B11" s="2" t="s">
        <v>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zoomScale="99" zoomScaleNormal="99" workbookViewId="0">
      <selection activeCell="B5" sqref="B5"/>
    </sheetView>
  </sheetViews>
  <sheetFormatPr defaultRowHeight="15" x14ac:dyDescent="0.25"/>
  <cols>
    <col min="1" max="1" width="12.7109375" customWidth="1"/>
    <col min="2" max="2" width="79.7109375" customWidth="1"/>
    <col min="3" max="3" width="6.5703125" style="1" customWidth="1"/>
    <col min="4" max="5" width="8.85546875" style="1" customWidth="1"/>
  </cols>
  <sheetData>
    <row r="1" spans="1:5" ht="16.5" x14ac:dyDescent="0.25">
      <c r="A1" s="39" t="s">
        <v>118</v>
      </c>
      <c r="B1" s="39" t="s">
        <v>119</v>
      </c>
    </row>
    <row r="2" spans="1:5" ht="99" x14ac:dyDescent="0.35">
      <c r="A2" s="40" t="s">
        <v>120</v>
      </c>
      <c r="B2" s="41" t="s">
        <v>145</v>
      </c>
      <c r="C2" s="20"/>
      <c r="D2" s="20"/>
      <c r="E2" s="20"/>
    </row>
    <row r="3" spans="1:5" ht="49.5" x14ac:dyDescent="0.35">
      <c r="A3" s="40" t="s">
        <v>121</v>
      </c>
      <c r="B3" s="41" t="s">
        <v>122</v>
      </c>
    </row>
    <row r="4" spans="1:5" ht="33" x14ac:dyDescent="0.35">
      <c r="A4" s="40" t="s">
        <v>123</v>
      </c>
      <c r="B4" s="41" t="s">
        <v>124</v>
      </c>
    </row>
    <row r="5" spans="1:5" ht="115.5" x14ac:dyDescent="0.35">
      <c r="A5" s="40" t="s">
        <v>125</v>
      </c>
      <c r="B5" s="41" t="s">
        <v>126</v>
      </c>
    </row>
    <row r="6" spans="1:5" ht="66" x14ac:dyDescent="0.35">
      <c r="A6" s="40" t="s">
        <v>127</v>
      </c>
      <c r="B6" s="41" t="s">
        <v>128</v>
      </c>
    </row>
    <row r="7" spans="1:5" ht="49.5" x14ac:dyDescent="0.35">
      <c r="A7" s="40" t="s">
        <v>129</v>
      </c>
      <c r="B7" s="41" t="s">
        <v>130</v>
      </c>
    </row>
    <row r="8" spans="1:5" ht="16.5" x14ac:dyDescent="0.35">
      <c r="A8" s="40" t="s">
        <v>131</v>
      </c>
      <c r="B8" s="41" t="s">
        <v>143</v>
      </c>
    </row>
    <row r="9" spans="1:5" ht="33" x14ac:dyDescent="0.35">
      <c r="A9" s="40" t="s">
        <v>132</v>
      </c>
      <c r="B9" s="41" t="s">
        <v>133</v>
      </c>
    </row>
    <row r="10" spans="1:5" ht="132" x14ac:dyDescent="0.35">
      <c r="A10" s="40" t="s">
        <v>134</v>
      </c>
      <c r="B10" s="41" t="s">
        <v>135</v>
      </c>
    </row>
    <row r="11" spans="1:5" x14ac:dyDescent="0.25">
      <c r="B11" s="21"/>
    </row>
    <row r="12" spans="1:5" x14ac:dyDescent="0.25">
      <c r="B12" s="21"/>
    </row>
    <row r="13" spans="1:5" x14ac:dyDescent="0.25">
      <c r="B13" s="21"/>
    </row>
    <row r="14" spans="1:5" x14ac:dyDescent="0.25">
      <c r="B14" s="21"/>
    </row>
    <row r="15" spans="1:5" x14ac:dyDescent="0.25">
      <c r="B15" s="21"/>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showGridLines="0" zoomScaleNormal="100" workbookViewId="0">
      <selection activeCell="D10" sqref="D10"/>
    </sheetView>
  </sheetViews>
  <sheetFormatPr defaultColWidth="8.7109375" defaultRowHeight="16.5" x14ac:dyDescent="0.35"/>
  <cols>
    <col min="1" max="1" width="8.7109375" style="5"/>
    <col min="2" max="2" width="36.140625" style="5" customWidth="1"/>
    <col min="3" max="3" width="12.28515625" style="22" customWidth="1"/>
    <col min="4" max="4" width="11.28515625" style="22" bestFit="1" customWidth="1"/>
    <col min="5" max="5" width="12" style="22" bestFit="1" customWidth="1"/>
    <col min="6" max="7" width="11.28515625" style="22" bestFit="1" customWidth="1"/>
    <col min="8" max="9" width="9.28515625" style="22" bestFit="1" customWidth="1"/>
    <col min="10" max="10" width="8.7109375" style="5"/>
    <col min="11" max="11" width="24.7109375" style="5" bestFit="1" customWidth="1"/>
    <col min="12" max="12" width="12.140625" style="5" bestFit="1" customWidth="1"/>
    <col min="13" max="13" width="10.85546875" style="5" bestFit="1" customWidth="1"/>
    <col min="14" max="16384" width="8.7109375" style="5"/>
  </cols>
  <sheetData>
    <row r="1" spans="1:24" ht="86.65" customHeight="1" x14ac:dyDescent="0.35">
      <c r="A1" s="40" t="s">
        <v>120</v>
      </c>
      <c r="B1" s="138" t="s">
        <v>145</v>
      </c>
      <c r="C1" s="138"/>
      <c r="D1" s="138"/>
      <c r="E1" s="138"/>
      <c r="F1" s="138"/>
      <c r="G1" s="138"/>
    </row>
    <row r="2" spans="1:24" s="4" customFormat="1" ht="41.65" customHeight="1" x14ac:dyDescent="0.35">
      <c r="A2" s="40" t="s">
        <v>121</v>
      </c>
      <c r="B2" s="138" t="s">
        <v>122</v>
      </c>
      <c r="C2" s="138"/>
      <c r="D2" s="138"/>
      <c r="E2" s="138"/>
      <c r="F2" s="138"/>
      <c r="G2" s="138"/>
      <c r="H2" s="17"/>
      <c r="I2" s="17"/>
    </row>
    <row r="3" spans="1:24" ht="36.4" customHeight="1" x14ac:dyDescent="0.35">
      <c r="A3" s="40" t="s">
        <v>123</v>
      </c>
      <c r="B3" s="138" t="s">
        <v>124</v>
      </c>
      <c r="C3" s="138"/>
      <c r="D3" s="138"/>
      <c r="E3" s="138"/>
      <c r="F3" s="138"/>
      <c r="G3" s="138"/>
    </row>
    <row r="4" spans="1:24" x14ac:dyDescent="0.35">
      <c r="B4" s="6"/>
      <c r="H4" s="22" t="s">
        <v>146</v>
      </c>
      <c r="I4" s="22">
        <v>17.5</v>
      </c>
    </row>
    <row r="5" spans="1:24" x14ac:dyDescent="0.35">
      <c r="A5" s="17" t="s">
        <v>120</v>
      </c>
      <c r="B5" s="6"/>
      <c r="H5" s="22" t="s">
        <v>147</v>
      </c>
      <c r="I5" s="24">
        <v>0.17</v>
      </c>
    </row>
    <row r="6" spans="1:24" x14ac:dyDescent="0.35">
      <c r="A6" s="17" t="s">
        <v>63</v>
      </c>
      <c r="B6" s="4" t="s">
        <v>53</v>
      </c>
      <c r="C6" s="22">
        <v>17.5</v>
      </c>
      <c r="D6" s="25">
        <v>0.17</v>
      </c>
      <c r="I6" s="7"/>
    </row>
    <row r="7" spans="1:24" x14ac:dyDescent="0.35">
      <c r="A7" s="5" t="s">
        <v>59</v>
      </c>
      <c r="B7" s="5" t="s">
        <v>57</v>
      </c>
      <c r="C7" s="23" t="s">
        <v>148</v>
      </c>
      <c r="D7" s="23">
        <f>C6/D6</f>
        <v>102.94117647058823</v>
      </c>
      <c r="L7" s="8"/>
      <c r="M7" s="8"/>
    </row>
    <row r="9" spans="1:24" x14ac:dyDescent="0.35">
      <c r="B9" s="4" t="s">
        <v>52</v>
      </c>
      <c r="C9" s="24">
        <v>9.7000000000000003E-2</v>
      </c>
      <c r="D9" s="25">
        <v>0.17</v>
      </c>
      <c r="L9" s="10"/>
      <c r="M9" s="10"/>
    </row>
    <row r="10" spans="1:24" x14ac:dyDescent="0.35">
      <c r="A10" s="5" t="s">
        <v>60</v>
      </c>
      <c r="B10" s="4" t="s">
        <v>57</v>
      </c>
      <c r="C10" s="22" t="s">
        <v>154</v>
      </c>
      <c r="D10" s="27">
        <f>C6*(1+C9)/(D6-C9)</f>
        <v>262.97945205479448</v>
      </c>
      <c r="E10" s="23"/>
      <c r="H10" s="28"/>
      <c r="I10" s="29"/>
      <c r="V10" s="9"/>
    </row>
    <row r="11" spans="1:24" s="18" customFormat="1" x14ac:dyDescent="0.35">
      <c r="B11" s="14"/>
      <c r="C11" s="38"/>
      <c r="D11" s="43"/>
      <c r="E11" s="44"/>
      <c r="F11" s="44"/>
      <c r="G11" s="44"/>
      <c r="H11" s="45"/>
      <c r="I11" s="46"/>
      <c r="V11" s="47"/>
    </row>
    <row r="12" spans="1:24" x14ac:dyDescent="0.35">
      <c r="B12" s="4"/>
      <c r="C12" s="17"/>
      <c r="D12" s="27"/>
      <c r="H12" s="28"/>
      <c r="I12" s="29"/>
      <c r="L12" s="13"/>
      <c r="M12" s="13"/>
      <c r="V12" s="9"/>
    </row>
    <row r="13" spans="1:24" x14ac:dyDescent="0.35">
      <c r="A13" s="17" t="s">
        <v>121</v>
      </c>
      <c r="B13" s="4" t="s">
        <v>54</v>
      </c>
      <c r="C13" s="17"/>
      <c r="D13" s="17"/>
      <c r="E13" s="17"/>
      <c r="I13" s="29"/>
      <c r="K13" s="4"/>
      <c r="L13" s="12"/>
      <c r="M13" s="12"/>
      <c r="V13" s="10"/>
      <c r="W13" s="10"/>
      <c r="X13" s="10"/>
    </row>
    <row r="14" spans="1:24" x14ac:dyDescent="0.35">
      <c r="A14" s="17"/>
      <c r="B14" s="4"/>
      <c r="C14" s="17"/>
      <c r="D14" s="17"/>
      <c r="E14" s="17"/>
      <c r="I14" s="30"/>
      <c r="K14" s="4"/>
      <c r="L14" s="4"/>
      <c r="M14" s="4"/>
      <c r="V14" s="10"/>
      <c r="W14" s="10"/>
      <c r="X14" s="10"/>
    </row>
    <row r="15" spans="1:24" x14ac:dyDescent="0.35">
      <c r="A15" s="17" t="s">
        <v>63</v>
      </c>
      <c r="B15" s="14" t="s">
        <v>103</v>
      </c>
      <c r="I15" s="29"/>
    </row>
    <row r="16" spans="1:24" x14ac:dyDescent="0.35">
      <c r="A16" s="22"/>
      <c r="B16" s="140" t="s">
        <v>104</v>
      </c>
      <c r="C16" s="140"/>
      <c r="D16" s="140"/>
      <c r="E16" s="140"/>
      <c r="F16" s="140"/>
      <c r="G16" s="140"/>
      <c r="I16" s="15"/>
      <c r="K16" s="4"/>
      <c r="L16" s="12"/>
      <c r="M16" s="12"/>
    </row>
    <row r="17" spans="2:9" x14ac:dyDescent="0.35">
      <c r="B17" s="5" t="s">
        <v>84</v>
      </c>
      <c r="D17" s="31">
        <v>17.5</v>
      </c>
      <c r="I17" s="26"/>
    </row>
    <row r="18" spans="2:9" x14ac:dyDescent="0.35">
      <c r="B18" s="5" t="s">
        <v>102</v>
      </c>
      <c r="D18" s="32">
        <v>0.17</v>
      </c>
      <c r="I18" s="26"/>
    </row>
    <row r="19" spans="2:9" x14ac:dyDescent="0.35">
      <c r="C19" s="17" t="s">
        <v>85</v>
      </c>
      <c r="D19" s="17" t="s">
        <v>86</v>
      </c>
      <c r="I19" s="26"/>
    </row>
    <row r="20" spans="2:9" x14ac:dyDescent="0.35">
      <c r="B20" s="5" t="s">
        <v>87</v>
      </c>
      <c r="C20" s="33">
        <v>9.7000000000000003E-2</v>
      </c>
      <c r="D20" s="33">
        <v>0.115</v>
      </c>
      <c r="I20" s="26"/>
    </row>
    <row r="21" spans="2:9" x14ac:dyDescent="0.35">
      <c r="C21" s="24"/>
      <c r="D21" s="24"/>
      <c r="I21" s="26"/>
    </row>
    <row r="22" spans="2:9" x14ac:dyDescent="0.35">
      <c r="D22" s="141" t="s">
        <v>85</v>
      </c>
      <c r="E22" s="141"/>
      <c r="F22" s="141"/>
      <c r="G22" s="141"/>
      <c r="I22" s="26"/>
    </row>
    <row r="23" spans="2:9" s="4" customFormat="1" x14ac:dyDescent="0.35">
      <c r="C23" s="139" t="s">
        <v>58</v>
      </c>
      <c r="D23" s="139"/>
      <c r="E23" s="139"/>
      <c r="F23" s="139"/>
      <c r="G23" s="139"/>
      <c r="H23" s="17"/>
      <c r="I23" s="26"/>
    </row>
    <row r="24" spans="2:9" s="4" customFormat="1" x14ac:dyDescent="0.35">
      <c r="B24" s="14" t="s">
        <v>88</v>
      </c>
      <c r="C24" s="17">
        <v>0</v>
      </c>
      <c r="D24" s="17">
        <v>1</v>
      </c>
      <c r="E24" s="17">
        <v>2</v>
      </c>
      <c r="F24" s="17">
        <v>3</v>
      </c>
      <c r="G24" s="17">
        <v>4</v>
      </c>
      <c r="H24" s="17"/>
      <c r="I24" s="15"/>
    </row>
    <row r="25" spans="2:9" x14ac:dyDescent="0.35">
      <c r="B25" s="5" t="s">
        <v>89</v>
      </c>
      <c r="C25" s="22">
        <f>D17</f>
        <v>17.5</v>
      </c>
      <c r="D25" s="23">
        <f>C25*(1+C20)</f>
        <v>19.197499999999998</v>
      </c>
      <c r="E25" s="23">
        <f>D25*(1+C20)</f>
        <v>21.059657499999997</v>
      </c>
      <c r="F25" s="23">
        <f>E25*(1+C20)</f>
        <v>23.102444277499995</v>
      </c>
      <c r="G25" s="23">
        <f>F25*(1+D20)</f>
        <v>25.759225369412494</v>
      </c>
      <c r="H25" s="23">
        <f>C25+(C25*C20)</f>
        <v>19.197500000000002</v>
      </c>
      <c r="I25" s="26">
        <f>F25+(F25*D20)</f>
        <v>25.759225369412494</v>
      </c>
    </row>
    <row r="26" spans="2:9" x14ac:dyDescent="0.35">
      <c r="B26" s="18" t="s">
        <v>102</v>
      </c>
      <c r="C26" s="34">
        <f>$D$18</f>
        <v>0.17</v>
      </c>
      <c r="D26" s="34">
        <f t="shared" ref="D26:G26" si="0">$D$18</f>
        <v>0.17</v>
      </c>
      <c r="E26" s="34">
        <f t="shared" si="0"/>
        <v>0.17</v>
      </c>
      <c r="F26" s="34">
        <f t="shared" si="0"/>
        <v>0.17</v>
      </c>
      <c r="G26" s="34">
        <f t="shared" si="0"/>
        <v>0.17</v>
      </c>
      <c r="I26" s="26"/>
    </row>
    <row r="27" spans="2:9" x14ac:dyDescent="0.35">
      <c r="B27" s="4" t="s">
        <v>90</v>
      </c>
      <c r="C27" s="22">
        <f>C25</f>
        <v>17.5</v>
      </c>
      <c r="D27" s="27">
        <f>ABS(PV(D26,D24,D25))</f>
        <v>16.408119658119652</v>
      </c>
      <c r="E27" s="27">
        <f>ABS(PV(E26,E24,0,E25))</f>
        <v>15.384365183724158</v>
      </c>
      <c r="F27" s="27">
        <f t="shared" ref="F27" si="1">ABS(PV(F26,F24,0,F25))</f>
        <v>14.424485988500342</v>
      </c>
      <c r="G27" s="27">
        <f>ABS(PV(G26,G24,0,G25))</f>
        <v>13.746411860835797</v>
      </c>
      <c r="I27" s="26"/>
    </row>
    <row r="28" spans="2:9" x14ac:dyDescent="0.35">
      <c r="D28" s="23">
        <f>ABS(PV(D18,D24,,D25))</f>
        <v>16.408119658119656</v>
      </c>
      <c r="E28" s="23"/>
      <c r="F28" s="23"/>
      <c r="G28" s="23"/>
      <c r="I28" s="26"/>
    </row>
    <row r="29" spans="2:9" x14ac:dyDescent="0.35">
      <c r="B29" s="14" t="s">
        <v>91</v>
      </c>
      <c r="I29" s="26"/>
    </row>
    <row r="30" spans="2:9" x14ac:dyDescent="0.35">
      <c r="B30" s="5" t="s">
        <v>92</v>
      </c>
      <c r="C30" s="23">
        <f>SUM(D27:F27)</f>
        <v>46.216970830344152</v>
      </c>
      <c r="D30" s="23"/>
      <c r="I30" s="26"/>
    </row>
    <row r="31" spans="2:9" x14ac:dyDescent="0.35">
      <c r="B31" s="5" t="s">
        <v>100</v>
      </c>
      <c r="C31" s="35">
        <f>F25*(1+D20)</f>
        <v>25.759225369412494</v>
      </c>
      <c r="D31" s="23"/>
      <c r="I31" s="26"/>
    </row>
    <row r="32" spans="2:9" x14ac:dyDescent="0.35">
      <c r="B32" s="5" t="s">
        <v>93</v>
      </c>
      <c r="C32" s="35">
        <f>C31/(D18-D20)</f>
        <v>468.34955217113622</v>
      </c>
      <c r="E32" s="22" t="s">
        <v>136</v>
      </c>
      <c r="G32" s="22" t="s">
        <v>149</v>
      </c>
      <c r="H32" s="23"/>
      <c r="I32" s="26"/>
    </row>
    <row r="33" spans="1:20" x14ac:dyDescent="0.35">
      <c r="B33" s="5" t="s">
        <v>95</v>
      </c>
      <c r="C33" s="35">
        <f>ABS(PV(D18,F24,,C32))</f>
        <v>292.42367049414327</v>
      </c>
      <c r="E33" s="22" t="s">
        <v>107</v>
      </c>
      <c r="I33" s="26"/>
    </row>
    <row r="34" spans="1:20" x14ac:dyDescent="0.35">
      <c r="B34" s="19" t="s">
        <v>94</v>
      </c>
      <c r="C34" s="36">
        <f>C30+C33</f>
        <v>338.64064132448743</v>
      </c>
      <c r="I34" s="37"/>
    </row>
    <row r="35" spans="1:20" s="18" customFormat="1" x14ac:dyDescent="0.35">
      <c r="B35" s="14"/>
      <c r="C35" s="48"/>
      <c r="D35" s="44"/>
      <c r="E35" s="44"/>
      <c r="F35" s="44"/>
      <c r="G35" s="44"/>
      <c r="H35" s="44"/>
      <c r="I35" s="46"/>
    </row>
    <row r="36" spans="1:20" s="18" customFormat="1" x14ac:dyDescent="0.35">
      <c r="B36" s="14"/>
      <c r="C36" s="48"/>
      <c r="D36" s="44"/>
      <c r="E36" s="44"/>
      <c r="F36" s="44"/>
      <c r="G36" s="44"/>
      <c r="H36" s="44"/>
      <c r="I36" s="46"/>
    </row>
    <row r="37" spans="1:20" s="4" customFormat="1" x14ac:dyDescent="0.35">
      <c r="A37" s="17" t="s">
        <v>123</v>
      </c>
      <c r="B37" s="4" t="s">
        <v>55</v>
      </c>
      <c r="C37" s="17"/>
      <c r="D37" s="17"/>
      <c r="E37" s="17"/>
      <c r="F37" s="17"/>
      <c r="G37" s="17"/>
      <c r="H37" s="17"/>
      <c r="I37" s="15"/>
      <c r="J37" s="5"/>
      <c r="K37" s="5"/>
      <c r="L37" s="5"/>
      <c r="M37" s="5"/>
      <c r="N37" s="5"/>
      <c r="O37" s="5"/>
      <c r="P37" s="5"/>
      <c r="Q37" s="5"/>
      <c r="R37" s="5"/>
      <c r="S37" s="5"/>
      <c r="T37" s="5"/>
    </row>
    <row r="38" spans="1:20" s="4" customFormat="1" x14ac:dyDescent="0.35">
      <c r="A38" s="17"/>
      <c r="C38" s="17"/>
      <c r="D38" s="17"/>
      <c r="E38" s="17"/>
      <c r="F38" s="17"/>
      <c r="G38" s="17"/>
      <c r="H38" s="17"/>
      <c r="I38" s="15"/>
      <c r="J38" s="5"/>
      <c r="K38" s="5"/>
      <c r="L38" s="5"/>
      <c r="M38" s="5"/>
      <c r="N38" s="5"/>
      <c r="O38" s="5"/>
      <c r="P38" s="5"/>
      <c r="Q38" s="5"/>
      <c r="R38" s="5"/>
      <c r="S38" s="5"/>
      <c r="T38" s="5"/>
    </row>
    <row r="39" spans="1:20" x14ac:dyDescent="0.35">
      <c r="A39" s="17" t="s">
        <v>56</v>
      </c>
      <c r="B39" s="142" t="s">
        <v>105</v>
      </c>
      <c r="C39" s="142"/>
      <c r="D39" s="142"/>
      <c r="E39" s="142"/>
      <c r="F39" s="142"/>
      <c r="G39" s="142"/>
      <c r="I39" s="26"/>
    </row>
    <row r="40" spans="1:20" x14ac:dyDescent="0.35">
      <c r="A40" s="4"/>
      <c r="B40" s="140" t="s">
        <v>106</v>
      </c>
      <c r="C40" s="140"/>
      <c r="D40" s="140"/>
      <c r="E40" s="140"/>
      <c r="F40" s="140"/>
      <c r="G40" s="140"/>
    </row>
    <row r="41" spans="1:20" x14ac:dyDescent="0.35">
      <c r="B41" s="5" t="s">
        <v>84</v>
      </c>
      <c r="D41" s="31">
        <v>17.5</v>
      </c>
      <c r="I41" s="26"/>
    </row>
    <row r="42" spans="1:20" x14ac:dyDescent="0.35">
      <c r="B42" s="5" t="s">
        <v>102</v>
      </c>
      <c r="D42" s="32">
        <v>0.17</v>
      </c>
      <c r="I42" s="26"/>
    </row>
    <row r="43" spans="1:20" x14ac:dyDescent="0.35">
      <c r="C43" s="17" t="s">
        <v>85</v>
      </c>
      <c r="D43" s="17" t="s">
        <v>86</v>
      </c>
      <c r="E43" s="17" t="s">
        <v>96</v>
      </c>
      <c r="I43" s="26"/>
    </row>
    <row r="44" spans="1:20" x14ac:dyDescent="0.35">
      <c r="B44" s="5" t="s">
        <v>87</v>
      </c>
      <c r="C44" s="33">
        <v>9.7000000000000003E-2</v>
      </c>
      <c r="D44" s="33">
        <v>0.115</v>
      </c>
      <c r="E44" s="32">
        <v>0.13</v>
      </c>
      <c r="I44" s="26"/>
    </row>
    <row r="45" spans="1:20" x14ac:dyDescent="0.35">
      <c r="C45" s="24"/>
      <c r="D45" s="24"/>
      <c r="I45" s="26"/>
    </row>
    <row r="46" spans="1:20" x14ac:dyDescent="0.35">
      <c r="D46" s="141" t="s">
        <v>85</v>
      </c>
      <c r="E46" s="141"/>
      <c r="F46" s="141"/>
      <c r="G46" s="16" t="s">
        <v>86</v>
      </c>
      <c r="H46" s="38" t="s">
        <v>96</v>
      </c>
      <c r="I46" s="17"/>
      <c r="J46" s="4"/>
      <c r="K46" s="4"/>
    </row>
    <row r="47" spans="1:20" x14ac:dyDescent="0.35">
      <c r="C47" s="139" t="s">
        <v>58</v>
      </c>
      <c r="D47" s="139"/>
      <c r="E47" s="139"/>
      <c r="F47" s="139"/>
      <c r="G47" s="139"/>
      <c r="H47" s="17"/>
      <c r="I47" s="26"/>
    </row>
    <row r="48" spans="1:20" x14ac:dyDescent="0.35">
      <c r="B48" s="14" t="s">
        <v>108</v>
      </c>
      <c r="C48" s="17">
        <v>0</v>
      </c>
      <c r="D48" s="17">
        <v>1</v>
      </c>
      <c r="E48" s="17">
        <v>2</v>
      </c>
      <c r="F48" s="17">
        <v>3</v>
      </c>
      <c r="G48" s="17">
        <v>4</v>
      </c>
      <c r="H48" s="17">
        <v>5</v>
      </c>
      <c r="I48" s="15"/>
    </row>
    <row r="49" spans="2:9" x14ac:dyDescent="0.35">
      <c r="B49" s="5" t="s">
        <v>89</v>
      </c>
      <c r="C49" s="22">
        <f>D41</f>
        <v>17.5</v>
      </c>
      <c r="D49" s="23">
        <f>C49*(1+C44)</f>
        <v>19.197499999999998</v>
      </c>
      <c r="E49" s="23">
        <f>D49*(1+C44)</f>
        <v>21.059657499999997</v>
      </c>
      <c r="F49" s="23">
        <f>E49*(1+C44)</f>
        <v>23.102444277499995</v>
      </c>
      <c r="G49" s="23">
        <f>F49*(1+D44)</f>
        <v>25.759225369412494</v>
      </c>
      <c r="H49" s="23">
        <f>G49*(1+E44)</f>
        <v>29.107924667436116</v>
      </c>
      <c r="I49" s="26"/>
    </row>
    <row r="50" spans="2:9" x14ac:dyDescent="0.35">
      <c r="B50" s="18" t="s">
        <v>102</v>
      </c>
      <c r="C50" s="25">
        <f>$D$42</f>
        <v>0.17</v>
      </c>
      <c r="D50" s="25">
        <f t="shared" ref="D50:H50" si="2">$D$42</f>
        <v>0.17</v>
      </c>
      <c r="E50" s="25">
        <f t="shared" si="2"/>
        <v>0.17</v>
      </c>
      <c r="F50" s="25">
        <f t="shared" si="2"/>
        <v>0.17</v>
      </c>
      <c r="G50" s="25">
        <f t="shared" si="2"/>
        <v>0.17</v>
      </c>
      <c r="H50" s="25">
        <f t="shared" si="2"/>
        <v>0.17</v>
      </c>
      <c r="I50" s="26"/>
    </row>
    <row r="51" spans="2:9" x14ac:dyDescent="0.35">
      <c r="B51" s="4" t="s">
        <v>90</v>
      </c>
      <c r="C51" s="22">
        <f>C49</f>
        <v>17.5</v>
      </c>
      <c r="D51" s="27">
        <f>ABS(PV(D50,D48,D49))</f>
        <v>16.408119658119652</v>
      </c>
      <c r="E51" s="27">
        <f>ABS(PV(E50,E48,0,E49))</f>
        <v>15.384365183724158</v>
      </c>
      <c r="F51" s="27">
        <f t="shared" ref="F51" si="3">ABS(PV(F50,F48,0,F49))</f>
        <v>14.424485988500342</v>
      </c>
      <c r="G51" s="27">
        <f>ABS(PV(G50,G48,0,G49))</f>
        <v>13.746411860835797</v>
      </c>
      <c r="H51" s="27"/>
      <c r="I51" s="26"/>
    </row>
    <row r="52" spans="2:9" x14ac:dyDescent="0.35">
      <c r="I52" s="26"/>
    </row>
    <row r="53" spans="2:9" x14ac:dyDescent="0.35">
      <c r="B53" s="14" t="s">
        <v>91</v>
      </c>
      <c r="I53" s="26"/>
    </row>
    <row r="54" spans="2:9" x14ac:dyDescent="0.35">
      <c r="B54" s="5" t="s">
        <v>150</v>
      </c>
      <c r="C54" s="23">
        <f>SUM(D51:G51)</f>
        <v>59.963382691179952</v>
      </c>
      <c r="D54" s="23"/>
      <c r="I54" s="26"/>
    </row>
    <row r="55" spans="2:9" x14ac:dyDescent="0.35">
      <c r="B55" s="5" t="s">
        <v>151</v>
      </c>
      <c r="C55" s="35">
        <f>G49*(1+E44)</f>
        <v>29.107924667436116</v>
      </c>
      <c r="D55" s="23"/>
      <c r="I55" s="26"/>
    </row>
    <row r="56" spans="2:9" x14ac:dyDescent="0.35">
      <c r="B56" s="5" t="s">
        <v>93</v>
      </c>
      <c r="C56" s="35">
        <f>C55/(D42-E44)</f>
        <v>727.69811668590273</v>
      </c>
      <c r="D56" s="22" t="s">
        <v>99</v>
      </c>
      <c r="E56" s="23"/>
      <c r="I56" s="26"/>
    </row>
    <row r="57" spans="2:9" x14ac:dyDescent="0.35">
      <c r="B57" s="5" t="s">
        <v>95</v>
      </c>
      <c r="C57" s="35">
        <f>ABS(PV(D42,G48,,C56))</f>
        <v>388.33613506861116</v>
      </c>
      <c r="I57" s="26"/>
    </row>
    <row r="58" spans="2:9" x14ac:dyDescent="0.35">
      <c r="B58" s="4" t="s">
        <v>94</v>
      </c>
      <c r="C58" s="123">
        <f>C57+C54</f>
        <v>448.29951775979112</v>
      </c>
      <c r="I58" s="37"/>
    </row>
    <row r="59" spans="2:9" x14ac:dyDescent="0.35">
      <c r="I59" s="26"/>
    </row>
    <row r="60" spans="2:9" x14ac:dyDescent="0.35">
      <c r="B60" s="5" t="s">
        <v>152</v>
      </c>
    </row>
  </sheetData>
  <mergeCells count="10">
    <mergeCell ref="B1:G1"/>
    <mergeCell ref="B2:G2"/>
    <mergeCell ref="B3:G3"/>
    <mergeCell ref="C47:G47"/>
    <mergeCell ref="B16:G16"/>
    <mergeCell ref="D22:G22"/>
    <mergeCell ref="B39:G39"/>
    <mergeCell ref="B40:G40"/>
    <mergeCell ref="D46:F46"/>
    <mergeCell ref="C23:G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16" workbookViewId="0">
      <selection activeCell="D31" sqref="D31"/>
    </sheetView>
  </sheetViews>
  <sheetFormatPr defaultColWidth="8.7109375" defaultRowHeight="16.5" x14ac:dyDescent="0.35"/>
  <cols>
    <col min="1" max="1" width="8.7109375" style="22"/>
    <col min="2" max="2" width="10.7109375" style="22" customWidth="1"/>
    <col min="3" max="3" width="10.5703125" style="5" bestFit="1" customWidth="1"/>
    <col min="4" max="4" width="8.7109375" style="5" customWidth="1"/>
    <col min="5" max="16384" width="8.7109375" style="5"/>
  </cols>
  <sheetData>
    <row r="1" spans="1:14" ht="16.5" customHeight="1" x14ac:dyDescent="0.35">
      <c r="C1" s="54" t="s">
        <v>138</v>
      </c>
      <c r="D1" s="143" t="s">
        <v>137</v>
      </c>
      <c r="E1" s="144"/>
      <c r="F1" s="144"/>
      <c r="G1" s="144"/>
      <c r="H1" s="144"/>
      <c r="I1" s="144"/>
      <c r="J1" s="144"/>
      <c r="K1" s="144"/>
      <c r="L1" s="144"/>
      <c r="M1" s="144"/>
      <c r="N1" s="145"/>
    </row>
    <row r="2" spans="1:14" ht="14.65" customHeight="1" x14ac:dyDescent="0.35">
      <c r="D2" s="146"/>
      <c r="E2" s="147"/>
      <c r="F2" s="147"/>
      <c r="G2" s="147"/>
      <c r="H2" s="147"/>
      <c r="I2" s="147"/>
      <c r="J2" s="147"/>
      <c r="K2" s="147"/>
      <c r="L2" s="147"/>
      <c r="M2" s="147"/>
      <c r="N2" s="148"/>
    </row>
    <row r="3" spans="1:14" ht="14.65" customHeight="1" x14ac:dyDescent="0.35">
      <c r="D3" s="146"/>
      <c r="E3" s="147"/>
      <c r="F3" s="147"/>
      <c r="G3" s="147"/>
      <c r="H3" s="147"/>
      <c r="I3" s="147"/>
      <c r="J3" s="147"/>
      <c r="K3" s="147"/>
      <c r="L3" s="147"/>
      <c r="M3" s="147"/>
      <c r="N3" s="148"/>
    </row>
    <row r="4" spans="1:14" ht="14.65" customHeight="1" x14ac:dyDescent="0.35">
      <c r="D4" s="146"/>
      <c r="E4" s="147"/>
      <c r="F4" s="147"/>
      <c r="G4" s="147"/>
      <c r="H4" s="147"/>
      <c r="I4" s="147"/>
      <c r="J4" s="147"/>
      <c r="K4" s="147"/>
      <c r="L4" s="147"/>
      <c r="M4" s="147"/>
      <c r="N4" s="148"/>
    </row>
    <row r="5" spans="1:14" ht="14.65" customHeight="1" x14ac:dyDescent="0.35">
      <c r="D5" s="146"/>
      <c r="E5" s="147"/>
      <c r="F5" s="147"/>
      <c r="G5" s="147"/>
      <c r="H5" s="147"/>
      <c r="I5" s="147"/>
      <c r="J5" s="147"/>
      <c r="K5" s="147"/>
      <c r="L5" s="147"/>
      <c r="M5" s="147"/>
      <c r="N5" s="148"/>
    </row>
    <row r="6" spans="1:14" ht="14.65" customHeight="1" x14ac:dyDescent="0.35">
      <c r="D6" s="146"/>
      <c r="E6" s="147"/>
      <c r="F6" s="147"/>
      <c r="G6" s="147"/>
      <c r="H6" s="147"/>
      <c r="I6" s="147"/>
      <c r="J6" s="147"/>
      <c r="K6" s="147"/>
      <c r="L6" s="147"/>
      <c r="M6" s="147"/>
      <c r="N6" s="148"/>
    </row>
    <row r="7" spans="1:14" ht="14.65" customHeight="1" x14ac:dyDescent="0.35">
      <c r="D7" s="149"/>
      <c r="E7" s="150"/>
      <c r="F7" s="150"/>
      <c r="G7" s="150"/>
      <c r="H7" s="150"/>
      <c r="I7" s="150"/>
      <c r="J7" s="150"/>
      <c r="K7" s="150"/>
      <c r="L7" s="150"/>
      <c r="M7" s="150"/>
      <c r="N7" s="151"/>
    </row>
    <row r="8" spans="1:14" x14ac:dyDescent="0.35">
      <c r="C8" s="50"/>
    </row>
    <row r="9" spans="1:14" x14ac:dyDescent="0.35">
      <c r="A9" s="54" t="s">
        <v>0</v>
      </c>
      <c r="B9" s="54" t="s">
        <v>1</v>
      </c>
      <c r="C9" s="50"/>
    </row>
    <row r="10" spans="1:14" x14ac:dyDescent="0.35">
      <c r="A10" s="55">
        <v>44927</v>
      </c>
      <c r="B10" s="56">
        <v>1533</v>
      </c>
      <c r="C10" s="50"/>
    </row>
    <row r="11" spans="1:14" x14ac:dyDescent="0.35">
      <c r="A11" s="55">
        <v>44958</v>
      </c>
      <c r="B11" s="56">
        <v>1487</v>
      </c>
    </row>
    <row r="12" spans="1:14" x14ac:dyDescent="0.35">
      <c r="A12" s="55">
        <v>44986</v>
      </c>
      <c r="B12" s="56">
        <v>1427</v>
      </c>
    </row>
    <row r="13" spans="1:14" x14ac:dyDescent="0.35">
      <c r="A13" s="55">
        <v>45017</v>
      </c>
      <c r="B13" s="56">
        <v>1252</v>
      </c>
    </row>
    <row r="14" spans="1:14" x14ac:dyDescent="0.35">
      <c r="A14" s="55">
        <v>45047</v>
      </c>
      <c r="B14" s="56">
        <v>1318</v>
      </c>
    </row>
    <row r="15" spans="1:14" x14ac:dyDescent="0.35">
      <c r="A15" s="55">
        <v>45078</v>
      </c>
      <c r="B15" s="56">
        <v>1335</v>
      </c>
    </row>
    <row r="16" spans="1:14" x14ac:dyDescent="0.35">
      <c r="A16" s="55">
        <v>45108</v>
      </c>
      <c r="B16" s="56">
        <v>1355</v>
      </c>
    </row>
    <row r="17" spans="1:11" x14ac:dyDescent="0.35">
      <c r="A17" s="55">
        <v>45139</v>
      </c>
      <c r="B17" s="56">
        <v>1435</v>
      </c>
    </row>
    <row r="18" spans="1:11" x14ac:dyDescent="0.35">
      <c r="A18" s="55">
        <v>45170</v>
      </c>
      <c r="B18" s="56">
        <v>1435</v>
      </c>
    </row>
    <row r="19" spans="1:11" x14ac:dyDescent="0.35">
      <c r="A19" s="55">
        <v>45200</v>
      </c>
      <c r="B19" s="56">
        <v>1368</v>
      </c>
    </row>
    <row r="20" spans="1:11" x14ac:dyDescent="0.35">
      <c r="A20" s="55">
        <v>45231</v>
      </c>
      <c r="B20" s="56">
        <v>1455</v>
      </c>
    </row>
    <row r="21" spans="1:11" x14ac:dyDescent="0.35">
      <c r="A21" s="55">
        <v>45261</v>
      </c>
      <c r="B21" s="56">
        <v>1542</v>
      </c>
    </row>
    <row r="22" spans="1:11" x14ac:dyDescent="0.35">
      <c r="A22" s="55">
        <v>45292</v>
      </c>
      <c r="B22" s="56">
        <v>1652</v>
      </c>
    </row>
    <row r="23" spans="1:11" x14ac:dyDescent="0.35">
      <c r="A23" s="55">
        <v>45323</v>
      </c>
      <c r="B23" s="57">
        <f>FORECAST(A23,$B$10:$B$22,$A$10:$A$22)</f>
        <v>1499.9856118880307</v>
      </c>
      <c r="C23" s="124"/>
    </row>
    <row r="24" spans="1:11" x14ac:dyDescent="0.35">
      <c r="A24" s="55">
        <v>45352</v>
      </c>
      <c r="B24" s="57">
        <f t="shared" ref="B24:B35" si="0">FORECAST(A24,$B$10:$B$22,$A$10:$A$22)</f>
        <v>1509.4177755080618</v>
      </c>
      <c r="C24" s="124"/>
    </row>
    <row r="25" spans="1:11" x14ac:dyDescent="0.35">
      <c r="A25" s="55">
        <v>45383</v>
      </c>
      <c r="B25" s="57">
        <f t="shared" si="0"/>
        <v>1519.5004331708551</v>
      </c>
      <c r="C25" s="124"/>
    </row>
    <row r="26" spans="1:11" x14ac:dyDescent="0.35">
      <c r="A26" s="55">
        <v>45413</v>
      </c>
      <c r="B26" s="57">
        <f t="shared" si="0"/>
        <v>1529.2578438122673</v>
      </c>
      <c r="C26" s="124"/>
    </row>
    <row r="27" spans="1:11" x14ac:dyDescent="0.35">
      <c r="A27" s="55">
        <v>45444</v>
      </c>
      <c r="B27" s="57">
        <f t="shared" si="0"/>
        <v>1539.3405014750588</v>
      </c>
      <c r="C27" s="124"/>
    </row>
    <row r="28" spans="1:11" x14ac:dyDescent="0.35">
      <c r="A28" s="55">
        <v>45474</v>
      </c>
      <c r="B28" s="57">
        <f t="shared" si="0"/>
        <v>1549.097912116471</v>
      </c>
      <c r="C28" s="124"/>
    </row>
    <row r="29" spans="1:11" x14ac:dyDescent="0.35">
      <c r="A29" s="55">
        <v>45505</v>
      </c>
      <c r="B29" s="57">
        <f t="shared" si="0"/>
        <v>1559.1805697792643</v>
      </c>
      <c r="C29" s="124"/>
    </row>
    <row r="30" spans="1:11" x14ac:dyDescent="0.35">
      <c r="A30" s="55">
        <v>45536</v>
      </c>
      <c r="B30" s="57">
        <f t="shared" si="0"/>
        <v>1569.2632274420557</v>
      </c>
      <c r="C30" s="124"/>
      <c r="D30" s="58" t="s">
        <v>61</v>
      </c>
      <c r="E30" s="49"/>
      <c r="F30" s="49"/>
      <c r="G30" s="49"/>
      <c r="H30" s="49"/>
      <c r="I30" s="49"/>
      <c r="J30" s="49"/>
      <c r="K30" s="49"/>
    </row>
    <row r="31" spans="1:11" x14ac:dyDescent="0.35">
      <c r="A31" s="55">
        <v>45566</v>
      </c>
      <c r="B31" s="57">
        <f t="shared" si="0"/>
        <v>1579.0206380834679</v>
      </c>
      <c r="C31" s="124"/>
      <c r="D31" s="127">
        <f>((B22*3)+(B21*2)+(B20*1))/6</f>
        <v>1582.5</v>
      </c>
      <c r="E31" s="49"/>
      <c r="F31" s="49"/>
      <c r="H31" s="49"/>
      <c r="I31" s="49"/>
      <c r="J31" s="49"/>
      <c r="K31" s="49"/>
    </row>
    <row r="32" spans="1:11" x14ac:dyDescent="0.35">
      <c r="A32" s="55">
        <v>45597</v>
      </c>
      <c r="B32" s="57">
        <f t="shared" si="0"/>
        <v>1589.1032957462612</v>
      </c>
      <c r="C32" s="124"/>
      <c r="D32" s="58" t="s">
        <v>62</v>
      </c>
      <c r="E32" s="49"/>
      <c r="F32" s="49"/>
      <c r="G32" s="49"/>
      <c r="H32" s="49"/>
      <c r="I32" s="49"/>
      <c r="J32" s="49"/>
      <c r="K32" s="122">
        <f>D31-B23</f>
        <v>82.514388111969311</v>
      </c>
    </row>
    <row r="33" spans="1:3" x14ac:dyDescent="0.35">
      <c r="A33" s="55">
        <v>45627</v>
      </c>
      <c r="B33" s="57">
        <f t="shared" si="0"/>
        <v>1598.8607063876734</v>
      </c>
      <c r="C33" s="124"/>
    </row>
    <row r="34" spans="1:3" x14ac:dyDescent="0.35">
      <c r="A34" s="55">
        <v>45658</v>
      </c>
      <c r="B34" s="57">
        <f t="shared" si="0"/>
        <v>1608.9433640504649</v>
      </c>
      <c r="C34" s="124"/>
    </row>
    <row r="35" spans="1:3" x14ac:dyDescent="0.35">
      <c r="A35" s="55">
        <v>45689</v>
      </c>
      <c r="B35" s="57">
        <f t="shared" si="0"/>
        <v>1619.0260217132582</v>
      </c>
      <c r="C35" s="124"/>
    </row>
    <row r="36" spans="1:3" x14ac:dyDescent="0.35">
      <c r="A36" s="52"/>
      <c r="B36" s="53"/>
    </row>
    <row r="37" spans="1:3" x14ac:dyDescent="0.35">
      <c r="A37" s="52"/>
    </row>
    <row r="38" spans="1:3" x14ac:dyDescent="0.35">
      <c r="A38" s="52"/>
    </row>
    <row r="39" spans="1:3" x14ac:dyDescent="0.35">
      <c r="A39" s="52"/>
    </row>
    <row r="40" spans="1:3" x14ac:dyDescent="0.35">
      <c r="A40" s="52"/>
    </row>
    <row r="41" spans="1:3" x14ac:dyDescent="0.35">
      <c r="A41" s="52"/>
    </row>
    <row r="42" spans="1:3" x14ac:dyDescent="0.35">
      <c r="A42" s="52"/>
    </row>
    <row r="43" spans="1:3" x14ac:dyDescent="0.35">
      <c r="A43" s="52"/>
    </row>
    <row r="44" spans="1:3" x14ac:dyDescent="0.35">
      <c r="A44" s="52"/>
    </row>
    <row r="45" spans="1:3" x14ac:dyDescent="0.35">
      <c r="A45" s="52"/>
    </row>
    <row r="46" spans="1:3" x14ac:dyDescent="0.35">
      <c r="A46" s="52"/>
    </row>
    <row r="47" spans="1:3" x14ac:dyDescent="0.35">
      <c r="A47" s="52"/>
    </row>
    <row r="48" spans="1:3" x14ac:dyDescent="0.35">
      <c r="A48" s="52"/>
    </row>
    <row r="49" spans="1:1" x14ac:dyDescent="0.35">
      <c r="A49" s="52"/>
    </row>
    <row r="50" spans="1:1" x14ac:dyDescent="0.35">
      <c r="A50" s="52"/>
    </row>
    <row r="51" spans="1:1" x14ac:dyDescent="0.35">
      <c r="A51" s="52"/>
    </row>
    <row r="52" spans="1:1" x14ac:dyDescent="0.35">
      <c r="A52" s="52"/>
    </row>
    <row r="53" spans="1:1" x14ac:dyDescent="0.35">
      <c r="A53" s="52"/>
    </row>
    <row r="54" spans="1:1" x14ac:dyDescent="0.35">
      <c r="A54" s="52"/>
    </row>
    <row r="55" spans="1:1" x14ac:dyDescent="0.35">
      <c r="A55" s="52"/>
    </row>
    <row r="56" spans="1:1" x14ac:dyDescent="0.35">
      <c r="A56" s="52"/>
    </row>
    <row r="57" spans="1:1" x14ac:dyDescent="0.35">
      <c r="A57" s="52"/>
    </row>
    <row r="58" spans="1:1" x14ac:dyDescent="0.35">
      <c r="A58" s="52"/>
    </row>
    <row r="59" spans="1:1" x14ac:dyDescent="0.35">
      <c r="A59" s="52"/>
    </row>
    <row r="60" spans="1:1" x14ac:dyDescent="0.35">
      <c r="A60" s="52"/>
    </row>
    <row r="61" spans="1:1" x14ac:dyDescent="0.35">
      <c r="A61" s="52"/>
    </row>
    <row r="62" spans="1:1" x14ac:dyDescent="0.35">
      <c r="A62" s="52"/>
    </row>
    <row r="63" spans="1:1" x14ac:dyDescent="0.35">
      <c r="A63" s="52"/>
    </row>
    <row r="64" spans="1:1" x14ac:dyDescent="0.35">
      <c r="A64" s="52"/>
    </row>
    <row r="65" spans="1:1" x14ac:dyDescent="0.35">
      <c r="A65" s="52"/>
    </row>
    <row r="66" spans="1:1" x14ac:dyDescent="0.35">
      <c r="A66" s="52"/>
    </row>
    <row r="67" spans="1:1" x14ac:dyDescent="0.35">
      <c r="A67" s="52"/>
    </row>
    <row r="68" spans="1:1" x14ac:dyDescent="0.35">
      <c r="A68" s="52"/>
    </row>
    <row r="69" spans="1:1" x14ac:dyDescent="0.35">
      <c r="A69" s="52"/>
    </row>
    <row r="70" spans="1:1" x14ac:dyDescent="0.35">
      <c r="A70" s="52"/>
    </row>
    <row r="71" spans="1:1" x14ac:dyDescent="0.35">
      <c r="A71" s="52"/>
    </row>
    <row r="72" spans="1:1" x14ac:dyDescent="0.35">
      <c r="A72" s="52"/>
    </row>
    <row r="73" spans="1:1" x14ac:dyDescent="0.35">
      <c r="A73" s="52"/>
    </row>
    <row r="74" spans="1:1" x14ac:dyDescent="0.35">
      <c r="A74" s="52"/>
    </row>
    <row r="75" spans="1:1" x14ac:dyDescent="0.35">
      <c r="A75" s="52"/>
    </row>
    <row r="76" spans="1:1" x14ac:dyDescent="0.35">
      <c r="A76" s="52"/>
    </row>
    <row r="77" spans="1:1" x14ac:dyDescent="0.35">
      <c r="A77" s="52"/>
    </row>
    <row r="78" spans="1:1" x14ac:dyDescent="0.35">
      <c r="A78" s="52"/>
    </row>
    <row r="79" spans="1:1" x14ac:dyDescent="0.35">
      <c r="A79" s="52"/>
    </row>
    <row r="80" spans="1:1" x14ac:dyDescent="0.35">
      <c r="A80" s="52"/>
    </row>
    <row r="81" spans="1:1" x14ac:dyDescent="0.35">
      <c r="A81" s="52"/>
    </row>
    <row r="82" spans="1:1" x14ac:dyDescent="0.35">
      <c r="A82" s="52"/>
    </row>
    <row r="83" spans="1:1" x14ac:dyDescent="0.35">
      <c r="A83" s="52"/>
    </row>
    <row r="84" spans="1:1" x14ac:dyDescent="0.35">
      <c r="A84" s="52"/>
    </row>
    <row r="85" spans="1:1" x14ac:dyDescent="0.35">
      <c r="A85" s="52"/>
    </row>
    <row r="86" spans="1:1" x14ac:dyDescent="0.35">
      <c r="A86" s="52"/>
    </row>
    <row r="87" spans="1:1" x14ac:dyDescent="0.35">
      <c r="A87" s="52"/>
    </row>
    <row r="88" spans="1:1" x14ac:dyDescent="0.35">
      <c r="A88" s="52"/>
    </row>
    <row r="89" spans="1:1" x14ac:dyDescent="0.35">
      <c r="A89" s="52"/>
    </row>
  </sheetData>
  <mergeCells count="1">
    <mergeCell ref="D1:N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topLeftCell="A30" zoomScale="98" workbookViewId="0">
      <selection activeCell="D49" sqref="D49"/>
    </sheetView>
  </sheetViews>
  <sheetFormatPr defaultColWidth="8.7109375" defaultRowHeight="16.5" x14ac:dyDescent="0.35"/>
  <cols>
    <col min="1" max="1" width="13.28515625" style="5" customWidth="1"/>
    <col min="2" max="2" width="14.7109375" style="5" bestFit="1" customWidth="1"/>
    <col min="3" max="3" width="18" style="5" bestFit="1" customWidth="1"/>
    <col min="4" max="4" width="18.140625" style="5" bestFit="1" customWidth="1"/>
    <col min="5" max="6" width="17.85546875" style="5" bestFit="1" customWidth="1"/>
    <col min="7" max="7" width="14.28515625" style="5" bestFit="1" customWidth="1"/>
    <col min="8" max="8" width="14.5703125" style="5" bestFit="1" customWidth="1"/>
    <col min="9" max="9" width="17.85546875" style="5" bestFit="1" customWidth="1"/>
    <col min="10" max="10" width="14.7109375" style="5" bestFit="1" customWidth="1"/>
    <col min="11" max="11" width="16.7109375" style="5" customWidth="1"/>
    <col min="12" max="16384" width="8.7109375" style="5"/>
  </cols>
  <sheetData>
    <row r="1" spans="1:9" ht="14.65" customHeight="1" x14ac:dyDescent="0.35">
      <c r="A1" s="152" t="s">
        <v>127</v>
      </c>
      <c r="B1" s="162" t="s">
        <v>139</v>
      </c>
      <c r="C1" s="163"/>
      <c r="D1" s="163"/>
      <c r="E1" s="163"/>
      <c r="F1" s="163"/>
      <c r="G1" s="163"/>
      <c r="H1" s="163"/>
      <c r="I1" s="164"/>
    </row>
    <row r="2" spans="1:9" s="4" customFormat="1" x14ac:dyDescent="0.35">
      <c r="A2" s="153"/>
      <c r="B2" s="165"/>
      <c r="C2" s="166"/>
      <c r="D2" s="166"/>
      <c r="E2" s="166"/>
      <c r="F2" s="166"/>
      <c r="G2" s="166"/>
      <c r="H2" s="166"/>
      <c r="I2" s="167"/>
    </row>
    <row r="3" spans="1:9" x14ac:dyDescent="0.35">
      <c r="B3" s="168"/>
      <c r="C3" s="169"/>
      <c r="D3" s="169"/>
      <c r="E3" s="169"/>
      <c r="F3" s="169"/>
      <c r="G3" s="169"/>
      <c r="H3" s="169"/>
      <c r="I3" s="170"/>
    </row>
    <row r="4" spans="1:9" x14ac:dyDescent="0.35">
      <c r="B4" s="42"/>
      <c r="C4" s="42"/>
      <c r="D4" s="42"/>
      <c r="E4" s="42"/>
      <c r="F4" s="42"/>
      <c r="G4" s="42"/>
      <c r="H4" s="42"/>
      <c r="I4" s="42"/>
    </row>
    <row r="5" spans="1:9" s="17" customFormat="1" x14ac:dyDescent="0.35">
      <c r="B5" s="54" t="s">
        <v>2</v>
      </c>
      <c r="C5" s="54" t="s">
        <v>3</v>
      </c>
      <c r="D5" s="54" t="s">
        <v>4</v>
      </c>
      <c r="E5" s="54" t="s">
        <v>5</v>
      </c>
    </row>
    <row r="6" spans="1:9" x14ac:dyDescent="0.35">
      <c r="B6" s="56">
        <v>1</v>
      </c>
      <c r="C6" s="56">
        <v>125000</v>
      </c>
      <c r="D6" s="56">
        <v>254000</v>
      </c>
      <c r="E6" s="56">
        <v>85000</v>
      </c>
    </row>
    <row r="7" spans="1:9" x14ac:dyDescent="0.35">
      <c r="B7" s="56">
        <v>2</v>
      </c>
      <c r="C7" s="56">
        <v>284900</v>
      </c>
      <c r="D7" s="56">
        <v>147000</v>
      </c>
      <c r="E7" s="56">
        <v>134000</v>
      </c>
    </row>
    <row r="8" spans="1:9" x14ac:dyDescent="0.35">
      <c r="B8" s="56">
        <v>3</v>
      </c>
      <c r="C8" s="56">
        <v>226000</v>
      </c>
      <c r="D8" s="56">
        <v>374000</v>
      </c>
      <c r="E8" s="56">
        <v>222000</v>
      </c>
    </row>
    <row r="9" spans="1:9" x14ac:dyDescent="0.35">
      <c r="B9" s="56">
        <v>4</v>
      </c>
      <c r="C9" s="56">
        <v>345000</v>
      </c>
      <c r="D9" s="56">
        <v>119000</v>
      </c>
      <c r="E9" s="56">
        <v>345000</v>
      </c>
    </row>
    <row r="10" spans="1:9" x14ac:dyDescent="0.35">
      <c r="B10" s="56">
        <v>5</v>
      </c>
      <c r="C10" s="56">
        <v>185000</v>
      </c>
      <c r="D10" s="56">
        <v>423000</v>
      </c>
      <c r="E10" s="56">
        <v>148000</v>
      </c>
    </row>
    <row r="11" spans="1:9" x14ac:dyDescent="0.35">
      <c r="B11" s="56">
        <v>6</v>
      </c>
      <c r="C11" s="56">
        <v>450000</v>
      </c>
      <c r="D11" s="56">
        <v>234000</v>
      </c>
      <c r="E11" s="56">
        <v>358000</v>
      </c>
    </row>
    <row r="12" spans="1:9" x14ac:dyDescent="0.35">
      <c r="B12" s="56">
        <v>7</v>
      </c>
      <c r="C12" s="56">
        <v>141443</v>
      </c>
      <c r="D12" s="56">
        <v>175000</v>
      </c>
      <c r="E12" s="56">
        <v>455000</v>
      </c>
    </row>
    <row r="13" spans="1:9" x14ac:dyDescent="0.35">
      <c r="B13" s="56">
        <v>8</v>
      </c>
      <c r="C13" s="56">
        <v>253577</v>
      </c>
      <c r="D13" s="56">
        <v>298000</v>
      </c>
      <c r="E13" s="56">
        <v>532000</v>
      </c>
    </row>
    <row r="14" spans="1:9" x14ac:dyDescent="0.35">
      <c r="B14" s="56">
        <v>9</v>
      </c>
      <c r="C14" s="56">
        <v>560000</v>
      </c>
      <c r="D14" s="56">
        <v>345000</v>
      </c>
      <c r="E14" s="56">
        <v>365000</v>
      </c>
    </row>
    <row r="15" spans="1:9" x14ac:dyDescent="0.35">
      <c r="B15" s="56">
        <v>10</v>
      </c>
      <c r="C15" s="56">
        <v>780000</v>
      </c>
      <c r="D15" s="56">
        <v>478000</v>
      </c>
      <c r="E15" s="56">
        <v>450000</v>
      </c>
    </row>
    <row r="17" spans="1:11" x14ac:dyDescent="0.35">
      <c r="B17" s="5" t="s">
        <v>6</v>
      </c>
      <c r="D17" s="5" t="s">
        <v>7</v>
      </c>
    </row>
    <row r="18" spans="1:11" x14ac:dyDescent="0.35">
      <c r="B18" s="54" t="s">
        <v>114</v>
      </c>
      <c r="C18" s="54" t="s">
        <v>115</v>
      </c>
      <c r="D18" s="54" t="s">
        <v>116</v>
      </c>
    </row>
    <row r="19" spans="1:11" x14ac:dyDescent="0.35">
      <c r="B19" s="56" t="s">
        <v>8</v>
      </c>
      <c r="C19" s="56">
        <v>1500000</v>
      </c>
      <c r="D19" s="59">
        <v>8.5000000000000006E-2</v>
      </c>
    </row>
    <row r="20" spans="1:11" x14ac:dyDescent="0.35">
      <c r="B20" s="56" t="s">
        <v>9</v>
      </c>
      <c r="C20" s="56">
        <v>1200000</v>
      </c>
      <c r="D20" s="59">
        <v>0.11</v>
      </c>
    </row>
    <row r="21" spans="1:11" x14ac:dyDescent="0.35">
      <c r="B21" s="56" t="s">
        <v>10</v>
      </c>
      <c r="C21" s="56">
        <v>1500000</v>
      </c>
      <c r="D21" s="59">
        <v>0.14000000000000001</v>
      </c>
    </row>
    <row r="24" spans="1:11" x14ac:dyDescent="0.35">
      <c r="A24" s="4" t="s">
        <v>63</v>
      </c>
    </row>
    <row r="25" spans="1:11" s="17" customFormat="1" x14ac:dyDescent="0.35">
      <c r="B25" s="60" t="s">
        <v>2</v>
      </c>
      <c r="C25" s="60" t="s">
        <v>3</v>
      </c>
      <c r="D25" s="61" t="s">
        <v>64</v>
      </c>
      <c r="E25" s="60" t="s">
        <v>65</v>
      </c>
      <c r="F25" s="60" t="s">
        <v>4</v>
      </c>
      <c r="G25" s="61" t="s">
        <v>66</v>
      </c>
      <c r="H25" s="60" t="s">
        <v>67</v>
      </c>
      <c r="I25" s="60" t="s">
        <v>5</v>
      </c>
      <c r="J25" s="61" t="s">
        <v>68</v>
      </c>
      <c r="K25" s="60" t="s">
        <v>69</v>
      </c>
    </row>
    <row r="26" spans="1:11" s="65" customFormat="1" x14ac:dyDescent="0.35">
      <c r="A26" s="62" t="s">
        <v>109</v>
      </c>
      <c r="B26" s="63">
        <v>0</v>
      </c>
      <c r="C26" s="63">
        <v>-1500000</v>
      </c>
      <c r="D26" s="63"/>
      <c r="E26" s="64">
        <f>C26</f>
        <v>-1500000</v>
      </c>
      <c r="F26" s="63">
        <v>-1200000</v>
      </c>
      <c r="G26" s="63"/>
      <c r="H26" s="63">
        <f>F26</f>
        <v>-1200000</v>
      </c>
      <c r="I26" s="63">
        <v>-1500000</v>
      </c>
      <c r="J26" s="63"/>
      <c r="K26" s="63">
        <f>I26</f>
        <v>-1500000</v>
      </c>
    </row>
    <row r="27" spans="1:11" ht="33" x14ac:dyDescent="0.35">
      <c r="A27" s="51" t="s">
        <v>110</v>
      </c>
      <c r="B27" s="66">
        <v>1</v>
      </c>
      <c r="C27" s="66">
        <v>125000</v>
      </c>
      <c r="D27" s="67">
        <f>1/(1+0.09)</f>
        <v>0.9174311926605504</v>
      </c>
      <c r="E27" s="68">
        <f>ABS(PV($D19,B27,C27))</f>
        <v>115207.37327188934</v>
      </c>
      <c r="F27" s="66">
        <v>254000</v>
      </c>
      <c r="G27" s="67">
        <f>1/(1+0.11)</f>
        <v>0.9009009009009008</v>
      </c>
      <c r="H27" s="68">
        <f>ABS(PV($D$20,B27,0,F27))</f>
        <v>228828.82882882882</v>
      </c>
      <c r="I27" s="56">
        <v>85000</v>
      </c>
      <c r="J27" s="67">
        <f>1/(1+0.14)</f>
        <v>0.8771929824561403</v>
      </c>
      <c r="K27" s="68">
        <f>ABS(PV($D$21,B27,0,I27))</f>
        <v>74561.403508771924</v>
      </c>
    </row>
    <row r="28" spans="1:11" x14ac:dyDescent="0.35">
      <c r="B28" s="66">
        <v>2</v>
      </c>
      <c r="C28" s="66">
        <v>284900</v>
      </c>
      <c r="D28" s="67">
        <f>1/((1+0.09)^2)</f>
        <v>0.84167999326655996</v>
      </c>
      <c r="E28" s="68">
        <f>ABS(PV($D$19,B28,0,C28))</f>
        <v>242009.81120856252</v>
      </c>
      <c r="F28" s="66">
        <v>147000</v>
      </c>
      <c r="G28" s="67">
        <f>1/((1+0.11)^2)</f>
        <v>0.8116224332440547</v>
      </c>
      <c r="H28" s="68">
        <f>ABS(PV($D$20,B28,0,F28))</f>
        <v>119308.49768687604</v>
      </c>
      <c r="I28" s="56">
        <v>134000</v>
      </c>
      <c r="J28" s="67">
        <f>1/((1+0.14)^2)</f>
        <v>0.76946752847029842</v>
      </c>
      <c r="K28" s="68">
        <f t="shared" ref="K28:K36" si="0">ABS(PV($D$21,B28,0,I28))</f>
        <v>103108.64881501999</v>
      </c>
    </row>
    <row r="29" spans="1:11" x14ac:dyDescent="0.35">
      <c r="B29" s="66">
        <v>3</v>
      </c>
      <c r="C29" s="66">
        <v>226000</v>
      </c>
      <c r="D29" s="67">
        <f>1/((1+0.09)^3)</f>
        <v>0.77218348006106419</v>
      </c>
      <c r="E29" s="68">
        <f t="shared" ref="E29:E36" si="1">ABS(PV($D$19,B29,0,C29))</f>
        <v>176937.23024534481</v>
      </c>
      <c r="F29" s="66">
        <v>374000</v>
      </c>
      <c r="G29" s="67">
        <f>1/((1+0.11)^3)</f>
        <v>0.73119138130095018</v>
      </c>
      <c r="H29" s="68">
        <f>ABS(PV($D$20,B29,0,F29))</f>
        <v>273465.57660655538</v>
      </c>
      <c r="I29" s="56">
        <v>222000</v>
      </c>
      <c r="J29" s="67">
        <f>1/((1+0.14)^3)</f>
        <v>0.67497151620201612</v>
      </c>
      <c r="K29" s="68">
        <f>ABS(PV($D$21,B29,0,I29))</f>
        <v>149843.67659684757</v>
      </c>
    </row>
    <row r="30" spans="1:11" x14ac:dyDescent="0.35">
      <c r="B30" s="66">
        <v>4</v>
      </c>
      <c r="C30" s="66">
        <v>345000</v>
      </c>
      <c r="D30" s="67">
        <f>1/((1+0.09)^4)</f>
        <v>0.7084252110651964</v>
      </c>
      <c r="E30" s="68">
        <f t="shared" si="1"/>
        <v>248943.12807244388</v>
      </c>
      <c r="F30" s="66">
        <v>119000</v>
      </c>
      <c r="G30" s="67">
        <f>1/((1+0.11)^4)</f>
        <v>0.65873097414500015</v>
      </c>
      <c r="H30" s="68">
        <f t="shared" ref="H30:H36" si="2">ABS(PV($D$20,B30,0,F30))</f>
        <v>78388.985923255008</v>
      </c>
      <c r="I30" s="56">
        <v>345000</v>
      </c>
      <c r="J30" s="67">
        <f>1/((1+0.14)^4)</f>
        <v>0.59208027737018942</v>
      </c>
      <c r="K30" s="68">
        <f t="shared" si="0"/>
        <v>204267.69569271535</v>
      </c>
    </row>
    <row r="31" spans="1:11" x14ac:dyDescent="0.35">
      <c r="B31" s="66">
        <v>5</v>
      </c>
      <c r="C31" s="66">
        <v>185000</v>
      </c>
      <c r="D31" s="67">
        <f>1/((1+0.09)^5)</f>
        <v>0.64993138629834524</v>
      </c>
      <c r="E31" s="68">
        <f t="shared" si="1"/>
        <v>123033.40330836071</v>
      </c>
      <c r="F31" s="66">
        <v>423000</v>
      </c>
      <c r="G31" s="67">
        <f>1/((1+0.11)^5)</f>
        <v>0.5934513280585586</v>
      </c>
      <c r="H31" s="68">
        <f t="shared" si="2"/>
        <v>251029.91176877031</v>
      </c>
      <c r="I31" s="56">
        <v>148000</v>
      </c>
      <c r="J31" s="67">
        <f>1/((1+0.14)^5)</f>
        <v>0.51936866435981521</v>
      </c>
      <c r="K31" s="68">
        <f t="shared" si="0"/>
        <v>76866.562325252657</v>
      </c>
    </row>
    <row r="32" spans="1:11" x14ac:dyDescent="0.35">
      <c r="B32" s="66">
        <v>6</v>
      </c>
      <c r="C32" s="66">
        <v>450000</v>
      </c>
      <c r="D32" s="67">
        <f>1/((1+0.09)^6)</f>
        <v>0.5962673268792158</v>
      </c>
      <c r="E32" s="68">
        <f t="shared" si="1"/>
        <v>275825.29076478921</v>
      </c>
      <c r="F32" s="66">
        <v>234000</v>
      </c>
      <c r="G32" s="67">
        <f>1/((1+0.11)^6)</f>
        <v>0.53464083608879154</v>
      </c>
      <c r="H32" s="68">
        <f>ABS(PV($D$20,B32,0,F32))</f>
        <v>125105.95564477722</v>
      </c>
      <c r="I32" s="56">
        <v>358000</v>
      </c>
      <c r="J32" s="67">
        <f>1/((1+0.14)^6)</f>
        <v>0.45558654768404844</v>
      </c>
      <c r="K32" s="68">
        <f t="shared" si="0"/>
        <v>163099.98407088933</v>
      </c>
    </row>
    <row r="33" spans="1:11" x14ac:dyDescent="0.35">
      <c r="B33" s="66">
        <v>7</v>
      </c>
      <c r="C33" s="66">
        <v>141443</v>
      </c>
      <c r="D33" s="67">
        <f>1/((1+0.09)^7)</f>
        <v>0.54703424484331731</v>
      </c>
      <c r="E33" s="68">
        <f t="shared" si="1"/>
        <v>79904.877832348342</v>
      </c>
      <c r="F33" s="66">
        <v>175000</v>
      </c>
      <c r="G33" s="67">
        <f>1/((1+0.11)^7)</f>
        <v>0.48165841089080319</v>
      </c>
      <c r="H33" s="68">
        <f t="shared" si="2"/>
        <v>84290.221905890561</v>
      </c>
      <c r="I33" s="56">
        <v>455000</v>
      </c>
      <c r="J33" s="67">
        <f>1/((1+0.14)^7)</f>
        <v>0.39963732252986695</v>
      </c>
      <c r="K33" s="68">
        <f t="shared" si="0"/>
        <v>181834.98175108948</v>
      </c>
    </row>
    <row r="34" spans="1:11" x14ac:dyDescent="0.35">
      <c r="B34" s="66">
        <v>8</v>
      </c>
      <c r="C34" s="66">
        <v>253577</v>
      </c>
      <c r="D34" s="67">
        <f>1/((1+0.09)^8)</f>
        <v>0.50186627967276809</v>
      </c>
      <c r="E34" s="68">
        <f t="shared" si="1"/>
        <v>132029.79654368528</v>
      </c>
      <c r="F34" s="66">
        <v>298000</v>
      </c>
      <c r="G34" s="67">
        <f>1/((1+0.11)^8)</f>
        <v>0.43392649629802077</v>
      </c>
      <c r="H34" s="68">
        <f t="shared" si="2"/>
        <v>129310.09589681019</v>
      </c>
      <c r="I34" s="56">
        <v>532000</v>
      </c>
      <c r="J34" s="67">
        <f>1/((1+0.14)^8)</f>
        <v>0.35055905485076044</v>
      </c>
      <c r="K34" s="68">
        <f>ABS(PV($D$21,B34,0,I34))</f>
        <v>186497.41718060456</v>
      </c>
    </row>
    <row r="35" spans="1:11" x14ac:dyDescent="0.35">
      <c r="B35" s="66">
        <v>9</v>
      </c>
      <c r="C35" s="66">
        <v>560000</v>
      </c>
      <c r="D35" s="67">
        <f>1/((1+0.09)^9)</f>
        <v>0.46042777951630098</v>
      </c>
      <c r="E35" s="68">
        <f t="shared" si="1"/>
        <v>268732.6181764176</v>
      </c>
      <c r="F35" s="66">
        <v>345000</v>
      </c>
      <c r="G35" s="67">
        <f>1/((1+0.11)^9)</f>
        <v>0.39092477143965831</v>
      </c>
      <c r="H35" s="68">
        <f>ABS(PV($D$20,B35,0,F35))</f>
        <v>134869.04614668211</v>
      </c>
      <c r="I35" s="56">
        <v>365000</v>
      </c>
      <c r="J35" s="67">
        <f>1/((1+0.14)^9)</f>
        <v>0.3075079428515442</v>
      </c>
      <c r="K35" s="68">
        <f t="shared" si="0"/>
        <v>112240.39914081365</v>
      </c>
    </row>
    <row r="36" spans="1:11" x14ac:dyDescent="0.35">
      <c r="B36" s="66">
        <v>10</v>
      </c>
      <c r="C36" s="66">
        <v>780000</v>
      </c>
      <c r="D36" s="67">
        <f>1/((1+0.09)^10)</f>
        <v>0.42241080689568894</v>
      </c>
      <c r="E36" s="68">
        <f t="shared" si="1"/>
        <v>344982.62372877833</v>
      </c>
      <c r="F36" s="66">
        <v>478000</v>
      </c>
      <c r="G36" s="67">
        <f>1/((1+0.11)^10)</f>
        <v>0.3521844787744669</v>
      </c>
      <c r="H36" s="68">
        <f t="shared" si="2"/>
        <v>168344.18085419518</v>
      </c>
      <c r="I36" s="56">
        <v>450000</v>
      </c>
      <c r="J36" s="67">
        <f>1/((1+0.14)^10)</f>
        <v>0.26974380951889843</v>
      </c>
      <c r="K36" s="68">
        <f t="shared" si="0"/>
        <v>121384.71428350428</v>
      </c>
    </row>
    <row r="37" spans="1:11" s="4" customFormat="1" x14ac:dyDescent="0.35">
      <c r="B37" s="160" t="s">
        <v>101</v>
      </c>
      <c r="C37" s="160"/>
      <c r="D37" s="160"/>
      <c r="E37" s="69">
        <f>NPV(D19,C27:C36)</f>
        <v>2007606.1531526195</v>
      </c>
      <c r="F37" s="70"/>
      <c r="G37" s="70"/>
      <c r="H37" s="69">
        <f>NPV(D20,F27:F36)</f>
        <v>1592941.3012626409</v>
      </c>
      <c r="I37" s="70"/>
      <c r="J37" s="70"/>
      <c r="K37" s="69">
        <f>NPV(D21,I27:I36)</f>
        <v>1373705.483365509</v>
      </c>
    </row>
    <row r="38" spans="1:11" x14ac:dyDescent="0.35">
      <c r="C38" s="5" t="s">
        <v>97</v>
      </c>
      <c r="D38" s="4"/>
      <c r="E38" s="71">
        <f>E26</f>
        <v>-1500000</v>
      </c>
      <c r="F38" s="4"/>
      <c r="G38" s="4"/>
      <c r="H38" s="71">
        <f>H26</f>
        <v>-1200000</v>
      </c>
      <c r="I38" s="72"/>
      <c r="J38" s="72"/>
      <c r="K38" s="72">
        <f>K26</f>
        <v>-1500000</v>
      </c>
    </row>
    <row r="39" spans="1:11" x14ac:dyDescent="0.35">
      <c r="C39" s="4" t="s">
        <v>98</v>
      </c>
      <c r="E39" s="73">
        <f>E37+E38</f>
        <v>507606.15315261949</v>
      </c>
      <c r="F39" s="11"/>
      <c r="G39" s="11"/>
      <c r="H39" s="73">
        <f>H37+H38</f>
        <v>392941.30126264086</v>
      </c>
      <c r="I39" s="74"/>
      <c r="J39" s="74"/>
      <c r="K39" s="73">
        <f>K37+K38</f>
        <v>-126294.51663449104</v>
      </c>
    </row>
    <row r="40" spans="1:11" x14ac:dyDescent="0.35">
      <c r="C40" s="4"/>
      <c r="E40" s="73"/>
      <c r="F40" s="11"/>
      <c r="G40" s="11"/>
      <c r="H40" s="73"/>
      <c r="I40" s="74"/>
      <c r="J40" s="74"/>
      <c r="K40" s="73"/>
    </row>
    <row r="41" spans="1:11" ht="16.149999999999999" customHeight="1" x14ac:dyDescent="0.35">
      <c r="B41" s="154" t="s">
        <v>70</v>
      </c>
      <c r="C41" s="155"/>
      <c r="D41" s="155"/>
      <c r="E41" s="155"/>
      <c r="F41" s="155"/>
      <c r="G41" s="155"/>
      <c r="H41" s="155"/>
      <c r="I41" s="155"/>
      <c r="J41" s="155"/>
      <c r="K41" s="156"/>
    </row>
    <row r="42" spans="1:11" ht="16.149999999999999" customHeight="1" x14ac:dyDescent="0.35">
      <c r="B42" s="157"/>
      <c r="C42" s="158"/>
      <c r="D42" s="158"/>
      <c r="E42" s="158"/>
      <c r="F42" s="158"/>
      <c r="G42" s="158"/>
      <c r="H42" s="158"/>
      <c r="I42" s="158"/>
      <c r="J42" s="158"/>
      <c r="K42" s="159"/>
    </row>
    <row r="43" spans="1:11" ht="16.149999999999999" customHeight="1" x14ac:dyDescent="0.35">
      <c r="B43" s="42"/>
      <c r="C43" s="42"/>
      <c r="D43" s="42"/>
      <c r="E43" s="42"/>
      <c r="F43" s="42"/>
      <c r="G43" s="42"/>
      <c r="H43" s="42"/>
      <c r="I43" s="42"/>
      <c r="J43" s="42"/>
      <c r="K43" s="42"/>
    </row>
    <row r="44" spans="1:11" x14ac:dyDescent="0.35">
      <c r="A44" s="75" t="s">
        <v>113</v>
      </c>
    </row>
    <row r="45" spans="1:11" x14ac:dyDescent="0.35">
      <c r="B45" s="161" t="s">
        <v>112</v>
      </c>
      <c r="C45" s="161"/>
      <c r="D45" s="161"/>
    </row>
    <row r="46" spans="1:11" x14ac:dyDescent="0.35">
      <c r="B46" s="133" t="s">
        <v>8</v>
      </c>
      <c r="C46" s="133" t="s">
        <v>9</v>
      </c>
      <c r="D46" s="133" t="s">
        <v>10</v>
      </c>
      <c r="E46" s="81"/>
      <c r="F46" s="128"/>
      <c r="G46" s="128"/>
      <c r="H46" s="128"/>
    </row>
    <row r="47" spans="1:11" ht="33" x14ac:dyDescent="0.35">
      <c r="A47" s="134" t="s">
        <v>111</v>
      </c>
      <c r="B47" s="135">
        <f>NPV(D19,C27:C36)</f>
        <v>2007606.1531526195</v>
      </c>
      <c r="C47" s="137">
        <f>NPV(D20,F27:F36)</f>
        <v>1592941.3012626409</v>
      </c>
      <c r="D47" s="76">
        <f>NPV(D21,I27:I36)</f>
        <v>1373705.483365509</v>
      </c>
      <c r="E47" s="131"/>
      <c r="F47" s="129"/>
      <c r="G47" s="129"/>
      <c r="H47" s="128"/>
    </row>
    <row r="48" spans="1:11" x14ac:dyDescent="0.35">
      <c r="A48" s="136" t="s">
        <v>117</v>
      </c>
      <c r="B48" s="135">
        <f>C19</f>
        <v>1500000</v>
      </c>
      <c r="C48" s="135">
        <f>C20</f>
        <v>1200000</v>
      </c>
      <c r="D48" s="135">
        <f>C21</f>
        <v>1500000</v>
      </c>
      <c r="E48" s="81"/>
      <c r="F48" s="128"/>
      <c r="G48" s="128"/>
      <c r="H48" s="128"/>
    </row>
    <row r="49" spans="1:8" ht="31.9" customHeight="1" x14ac:dyDescent="0.35">
      <c r="A49" s="66" t="s">
        <v>153</v>
      </c>
      <c r="B49" s="117">
        <f>B47-B48</f>
        <v>507606.15315261949</v>
      </c>
      <c r="C49" s="117">
        <f t="shared" ref="C49:D49" si="3">C47-C48</f>
        <v>392941.30126264086</v>
      </c>
      <c r="D49" s="117">
        <f t="shared" si="3"/>
        <v>-126294.51663449104</v>
      </c>
      <c r="E49" s="131"/>
      <c r="F49" s="129"/>
      <c r="G49" s="129"/>
      <c r="H49" s="128"/>
    </row>
    <row r="50" spans="1:8" x14ac:dyDescent="0.35">
      <c r="A50" s="66"/>
      <c r="B50" s="125">
        <f>B49/B48</f>
        <v>0.33840410210174632</v>
      </c>
      <c r="C50" s="125">
        <f t="shared" ref="C50:D50" si="4">C49/C48</f>
        <v>0.32745108438553405</v>
      </c>
      <c r="D50" s="125">
        <f t="shared" si="4"/>
        <v>-8.4196344422994021E-2</v>
      </c>
      <c r="E50" s="132"/>
      <c r="F50" s="130"/>
      <c r="G50" s="130"/>
      <c r="H50" s="128"/>
    </row>
  </sheetData>
  <mergeCells count="5">
    <mergeCell ref="A1:A2"/>
    <mergeCell ref="B41:K42"/>
    <mergeCell ref="B37:D37"/>
    <mergeCell ref="B45:D45"/>
    <mergeCell ref="B1:I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showGridLines="0" topLeftCell="A8" zoomScale="78" zoomScaleNormal="78" workbookViewId="0">
      <selection activeCell="B9" sqref="B9"/>
    </sheetView>
  </sheetViews>
  <sheetFormatPr defaultColWidth="8.7109375" defaultRowHeight="16.5" x14ac:dyDescent="0.35"/>
  <cols>
    <col min="1" max="1" width="23.7109375" style="5" bestFit="1" customWidth="1"/>
    <col min="2" max="2" width="20.7109375" style="5" bestFit="1" customWidth="1"/>
    <col min="3" max="3" width="5.140625" style="22" customWidth="1"/>
    <col min="4" max="4" width="27.28515625" style="5" bestFit="1" customWidth="1"/>
    <col min="5" max="5" width="4.140625" style="5" bestFit="1" customWidth="1"/>
    <col min="6" max="6" width="17.7109375" style="5" customWidth="1"/>
    <col min="7" max="7" width="4.140625" style="5" bestFit="1" customWidth="1"/>
    <col min="8" max="8" width="8.7109375" style="5"/>
    <col min="9" max="9" width="9.28515625" style="5" bestFit="1" customWidth="1"/>
    <col min="10" max="16384" width="8.7109375" style="5"/>
  </cols>
  <sheetData>
    <row r="1" spans="1:8" ht="16.5" customHeight="1" x14ac:dyDescent="0.35">
      <c r="A1" s="171" t="s">
        <v>129</v>
      </c>
      <c r="B1" s="173" t="s">
        <v>140</v>
      </c>
      <c r="C1" s="174"/>
      <c r="D1" s="174"/>
      <c r="E1" s="174"/>
      <c r="F1" s="174"/>
      <c r="G1" s="174"/>
      <c r="H1" s="175"/>
    </row>
    <row r="2" spans="1:8" x14ac:dyDescent="0.35">
      <c r="A2" s="172"/>
      <c r="B2" s="176"/>
      <c r="C2" s="177"/>
      <c r="D2" s="177"/>
      <c r="E2" s="177"/>
      <c r="F2" s="177"/>
      <c r="G2" s="177"/>
      <c r="H2" s="178"/>
    </row>
    <row r="3" spans="1:8" x14ac:dyDescent="0.35">
      <c r="A3" s="4"/>
      <c r="B3" s="179"/>
      <c r="C3" s="180"/>
      <c r="D3" s="180"/>
      <c r="E3" s="180"/>
      <c r="F3" s="180"/>
      <c r="G3" s="180"/>
      <c r="H3" s="181"/>
    </row>
    <row r="4" spans="1:8" x14ac:dyDescent="0.35">
      <c r="A4" s="4"/>
    </row>
    <row r="5" spans="1:8" s="17" customFormat="1" x14ac:dyDescent="0.35">
      <c r="A5" s="78" t="s">
        <v>45</v>
      </c>
      <c r="B5" s="60" t="s">
        <v>44</v>
      </c>
      <c r="C5" s="79" t="s">
        <v>43</v>
      </c>
      <c r="D5" s="60" t="s">
        <v>42</v>
      </c>
      <c r="E5" s="79" t="s">
        <v>40</v>
      </c>
      <c r="F5" s="79" t="s">
        <v>41</v>
      </c>
      <c r="G5" s="80" t="s">
        <v>40</v>
      </c>
    </row>
    <row r="6" spans="1:8" x14ac:dyDescent="0.35">
      <c r="A6" s="81" t="s">
        <v>39</v>
      </c>
      <c r="B6" s="82">
        <v>146767</v>
      </c>
      <c r="C6" s="22">
        <v>75</v>
      </c>
      <c r="D6" s="82">
        <f>(904876/10000000)*1000000</f>
        <v>90487.6</v>
      </c>
      <c r="E6" s="5">
        <v>234</v>
      </c>
      <c r="F6" s="83">
        <v>225458</v>
      </c>
      <c r="G6" s="84">
        <v>72</v>
      </c>
    </row>
    <row r="7" spans="1:8" x14ac:dyDescent="0.35">
      <c r="A7" s="81" t="s">
        <v>38</v>
      </c>
      <c r="B7" s="85">
        <f>(B6/B10)*10000000</f>
        <v>353.77817470007915</v>
      </c>
      <c r="D7" s="85">
        <f>(D6/D10)*10000000</f>
        <v>164.88512450536749</v>
      </c>
      <c r="F7" s="85">
        <f>(F6/F10)*10000000</f>
        <v>616.16516691633774</v>
      </c>
      <c r="G7" s="84"/>
    </row>
    <row r="8" spans="1:8" x14ac:dyDescent="0.35">
      <c r="A8" s="81" t="s">
        <v>37</v>
      </c>
      <c r="B8" s="82">
        <v>57.63</v>
      </c>
      <c r="C8" s="22">
        <v>274</v>
      </c>
      <c r="D8" s="86">
        <v>20.73</v>
      </c>
      <c r="E8" s="5">
        <v>87</v>
      </c>
      <c r="F8" s="82">
        <v>115.19</v>
      </c>
      <c r="G8" s="84">
        <v>17</v>
      </c>
    </row>
    <row r="9" spans="1:8" x14ac:dyDescent="0.35">
      <c r="A9" s="81" t="s">
        <v>36</v>
      </c>
      <c r="B9" s="82">
        <v>1427.95</v>
      </c>
      <c r="D9" s="86">
        <v>365.25</v>
      </c>
      <c r="F9" s="82">
        <v>3205.9</v>
      </c>
      <c r="G9" s="84"/>
    </row>
    <row r="10" spans="1:8" x14ac:dyDescent="0.35">
      <c r="A10" s="81" t="s">
        <v>35</v>
      </c>
      <c r="B10" s="87">
        <v>4148560044</v>
      </c>
      <c r="C10" s="22">
        <v>119</v>
      </c>
      <c r="D10" s="86">
        <v>5487917741</v>
      </c>
      <c r="F10" s="88">
        <v>3659051373</v>
      </c>
      <c r="G10" s="84">
        <v>239</v>
      </c>
    </row>
    <row r="11" spans="1:8" x14ac:dyDescent="0.35">
      <c r="A11" s="81" t="s">
        <v>34</v>
      </c>
      <c r="B11" s="88">
        <v>592394</v>
      </c>
      <c r="C11" s="89">
        <v>15</v>
      </c>
      <c r="D11" s="88">
        <f>(D10*D9)/10000000</f>
        <v>200446.19549002501</v>
      </c>
      <c r="E11" s="90"/>
      <c r="F11" s="88">
        <f>(F10*F9)/10000000</f>
        <v>1173055.2796700702</v>
      </c>
      <c r="G11" s="84"/>
    </row>
    <row r="12" spans="1:8" x14ac:dyDescent="0.35">
      <c r="A12" s="81" t="s">
        <v>33</v>
      </c>
      <c r="B12" s="82">
        <v>34</v>
      </c>
      <c r="C12" s="22">
        <v>23</v>
      </c>
      <c r="D12" s="86">
        <v>1</v>
      </c>
      <c r="F12" s="82">
        <v>24</v>
      </c>
      <c r="G12" s="84">
        <v>250</v>
      </c>
    </row>
    <row r="13" spans="1:8" x14ac:dyDescent="0.35">
      <c r="A13" s="81" t="s">
        <v>80</v>
      </c>
      <c r="B13" s="82"/>
      <c r="D13" s="86"/>
      <c r="F13" s="82"/>
      <c r="G13" s="84"/>
    </row>
    <row r="14" spans="1:8" x14ac:dyDescent="0.35">
      <c r="A14" s="81" t="s">
        <v>81</v>
      </c>
      <c r="B14" s="91">
        <f>9.7%</f>
        <v>9.6999999999999989E-2</v>
      </c>
      <c r="C14" s="22">
        <v>23</v>
      </c>
      <c r="D14" s="86"/>
      <c r="F14" s="82"/>
      <c r="G14" s="84"/>
    </row>
    <row r="15" spans="1:8" x14ac:dyDescent="0.35">
      <c r="A15" s="92" t="s">
        <v>82</v>
      </c>
      <c r="B15" s="91">
        <v>0.20699999999999999</v>
      </c>
      <c r="C15" s="22">
        <v>23</v>
      </c>
      <c r="D15" s="86"/>
      <c r="F15" s="82"/>
      <c r="G15" s="84"/>
    </row>
    <row r="16" spans="1:8" x14ac:dyDescent="0.35">
      <c r="A16" s="92" t="s">
        <v>83</v>
      </c>
      <c r="B16" s="91"/>
      <c r="D16" s="86"/>
      <c r="F16" s="82"/>
      <c r="G16" s="84"/>
    </row>
    <row r="17" spans="1:9" x14ac:dyDescent="0.35">
      <c r="A17" s="81" t="s">
        <v>32</v>
      </c>
      <c r="B17" s="82">
        <v>75795</v>
      </c>
      <c r="C17" s="22">
        <v>31</v>
      </c>
      <c r="D17" s="86">
        <f>D37</f>
        <v>77726.8</v>
      </c>
      <c r="F17" s="82">
        <v>91206</v>
      </c>
      <c r="G17" s="84">
        <v>190</v>
      </c>
    </row>
    <row r="18" spans="1:9" x14ac:dyDescent="0.35">
      <c r="A18" s="95" t="s">
        <v>31</v>
      </c>
      <c r="B18" s="96">
        <f>(B17/B10)*10000000</f>
        <v>182.70194765439436</v>
      </c>
      <c r="C18" s="97"/>
      <c r="D18" s="96">
        <f>(D17/D10)*10000000</f>
        <v>141.63258938687508</v>
      </c>
      <c r="E18" s="98"/>
      <c r="F18" s="96">
        <f>(F17/F10)*10000000</f>
        <v>249.26132678268903</v>
      </c>
      <c r="G18" s="99"/>
      <c r="H18" s="77"/>
      <c r="I18" s="77">
        <f>B18*B23</f>
        <v>1427.95</v>
      </c>
    </row>
    <row r="19" spans="1:9" x14ac:dyDescent="0.35">
      <c r="A19" s="95"/>
      <c r="B19" s="96"/>
      <c r="C19" s="97"/>
      <c r="D19" s="100"/>
      <c r="E19" s="98"/>
      <c r="F19" s="101"/>
      <c r="G19" s="99"/>
      <c r="H19" s="77"/>
    </row>
    <row r="20" spans="1:9" x14ac:dyDescent="0.35">
      <c r="A20" s="102" t="s">
        <v>30</v>
      </c>
      <c r="B20" s="96"/>
      <c r="C20" s="97"/>
      <c r="D20" s="100"/>
      <c r="E20" s="98"/>
      <c r="F20" s="101"/>
      <c r="G20" s="99"/>
      <c r="H20" s="77"/>
    </row>
    <row r="21" spans="1:9" x14ac:dyDescent="0.35">
      <c r="A21" s="95" t="s">
        <v>29</v>
      </c>
      <c r="B21" s="100">
        <f>B9/B8</f>
        <v>24.777893458268263</v>
      </c>
      <c r="C21" s="97"/>
      <c r="D21" s="100">
        <f>D9/D8</f>
        <v>17.619392185238784</v>
      </c>
      <c r="E21" s="98"/>
      <c r="F21" s="100">
        <f>F9/F8</f>
        <v>27.831408976473654</v>
      </c>
      <c r="G21" s="99"/>
    </row>
    <row r="22" spans="1:9" x14ac:dyDescent="0.35">
      <c r="A22" s="95" t="s">
        <v>28</v>
      </c>
      <c r="B22" s="103">
        <f>B12/B9</f>
        <v>2.3810357505514898E-2</v>
      </c>
      <c r="C22" s="97"/>
      <c r="D22" s="103">
        <f>D12/D9</f>
        <v>2.7378507871321013E-3</v>
      </c>
      <c r="E22" s="98"/>
      <c r="F22" s="103">
        <f>F12/F9</f>
        <v>7.4861973236844568E-3</v>
      </c>
      <c r="G22" s="99"/>
    </row>
    <row r="23" spans="1:9" x14ac:dyDescent="0.35">
      <c r="A23" s="95" t="s">
        <v>27</v>
      </c>
      <c r="B23" s="96">
        <f>B9/B18</f>
        <v>7.8157349625038597</v>
      </c>
      <c r="C23" s="97"/>
      <c r="D23" s="96">
        <f>D9/D18</f>
        <v>2.5788556262450659</v>
      </c>
      <c r="E23" s="98"/>
      <c r="F23" s="96">
        <f>F9/F18</f>
        <v>12.861602083964543</v>
      </c>
      <c r="G23" s="99"/>
    </row>
    <row r="24" spans="1:9" x14ac:dyDescent="0.35">
      <c r="A24" s="95" t="s">
        <v>26</v>
      </c>
      <c r="B24" s="100">
        <f>B9/B7</f>
        <v>4.0362863006192127</v>
      </c>
      <c r="C24" s="97"/>
      <c r="D24" s="100">
        <f>D9/D7</f>
        <v>2.2151786044720492</v>
      </c>
      <c r="E24" s="98"/>
      <c r="F24" s="100">
        <f>F9/F7</f>
        <v>5.2029880495261649</v>
      </c>
      <c r="G24" s="99"/>
    </row>
    <row r="25" spans="1:9" x14ac:dyDescent="0.35">
      <c r="A25" s="95"/>
      <c r="B25" s="100"/>
      <c r="C25" s="97"/>
      <c r="D25" s="100"/>
      <c r="E25" s="98"/>
      <c r="F25" s="101"/>
      <c r="G25" s="99"/>
    </row>
    <row r="26" spans="1:9" x14ac:dyDescent="0.35">
      <c r="A26" s="102" t="s">
        <v>25</v>
      </c>
      <c r="B26" s="104">
        <f>B27+B28-B29</f>
        <v>580549</v>
      </c>
      <c r="C26" s="105"/>
      <c r="D26" s="104">
        <f>D27+D28-D29</f>
        <v>206267.495490025</v>
      </c>
      <c r="E26" s="98"/>
      <c r="F26" s="104">
        <f>F27+F28-F29</f>
        <v>1167430.2796700702</v>
      </c>
      <c r="G26" s="99"/>
    </row>
    <row r="27" spans="1:9" x14ac:dyDescent="0.35">
      <c r="A27" s="81" t="s">
        <v>24</v>
      </c>
      <c r="B27" s="87">
        <v>592394</v>
      </c>
      <c r="C27" s="89">
        <v>15</v>
      </c>
      <c r="D27" s="86">
        <f>D11</f>
        <v>200446.19549002501</v>
      </c>
      <c r="F27" s="93">
        <f>F11</f>
        <v>1173055.2796700702</v>
      </c>
      <c r="G27" s="84"/>
    </row>
    <row r="28" spans="1:9" x14ac:dyDescent="0.35">
      <c r="A28" s="81" t="s">
        <v>23</v>
      </c>
      <c r="B28" s="82">
        <v>328</v>
      </c>
      <c r="C28" s="22">
        <v>293</v>
      </c>
      <c r="D28" s="86">
        <v>15009.3</v>
      </c>
      <c r="F28" s="82">
        <f>173+1325</f>
        <v>1498</v>
      </c>
      <c r="G28" s="84">
        <v>204</v>
      </c>
    </row>
    <row r="29" spans="1:9" x14ac:dyDescent="0.35">
      <c r="A29" s="81" t="s">
        <v>22</v>
      </c>
      <c r="B29" s="86">
        <v>12173</v>
      </c>
      <c r="C29" s="22">
        <v>295</v>
      </c>
      <c r="D29" s="86">
        <v>9188</v>
      </c>
      <c r="E29" s="5">
        <v>232</v>
      </c>
      <c r="F29" s="82">
        <v>7123</v>
      </c>
      <c r="G29" s="84">
        <v>190</v>
      </c>
    </row>
    <row r="30" spans="1:9" x14ac:dyDescent="0.35">
      <c r="A30" s="81"/>
      <c r="B30" s="82"/>
      <c r="D30" s="86"/>
      <c r="F30" s="82"/>
      <c r="G30" s="84"/>
    </row>
    <row r="31" spans="1:9" x14ac:dyDescent="0.35">
      <c r="A31" s="81" t="s">
        <v>21</v>
      </c>
      <c r="B31" s="86">
        <v>33322</v>
      </c>
      <c r="C31" s="22">
        <v>273</v>
      </c>
      <c r="D31" s="86">
        <v>14765.7</v>
      </c>
      <c r="E31" s="5">
        <v>234</v>
      </c>
      <c r="F31" s="82">
        <v>56907</v>
      </c>
      <c r="G31" s="84">
        <v>72</v>
      </c>
    </row>
    <row r="32" spans="1:9" x14ac:dyDescent="0.35">
      <c r="A32" s="81" t="s">
        <v>20</v>
      </c>
      <c r="B32" s="86">
        <v>4225</v>
      </c>
      <c r="C32" s="22">
        <v>273</v>
      </c>
      <c r="D32" s="86">
        <v>3340.2</v>
      </c>
      <c r="E32" s="5">
        <v>234</v>
      </c>
      <c r="F32" s="82">
        <v>5022</v>
      </c>
      <c r="G32" s="84">
        <v>72</v>
      </c>
    </row>
    <row r="33" spans="1:13" x14ac:dyDescent="0.35">
      <c r="A33" s="81" t="s">
        <v>19</v>
      </c>
      <c r="B33" s="86">
        <v>284</v>
      </c>
      <c r="C33" s="22">
        <v>273</v>
      </c>
      <c r="D33" s="86">
        <v>1007.7</v>
      </c>
      <c r="E33" s="5">
        <v>234</v>
      </c>
      <c r="F33" s="82">
        <v>779</v>
      </c>
      <c r="G33" s="84">
        <v>72</v>
      </c>
    </row>
    <row r="34" spans="1:13" x14ac:dyDescent="0.35">
      <c r="A34" s="92" t="s">
        <v>18</v>
      </c>
      <c r="B34" s="94">
        <f>B31+B32+B33</f>
        <v>37831</v>
      </c>
      <c r="C34" s="17"/>
      <c r="D34" s="94">
        <f>D31+D32+D33</f>
        <v>19113.600000000002</v>
      </c>
      <c r="F34" s="94">
        <f>F31+F32+F33</f>
        <v>62708</v>
      </c>
      <c r="G34" s="84"/>
    </row>
    <row r="35" spans="1:13" x14ac:dyDescent="0.35">
      <c r="A35" s="81"/>
      <c r="B35" s="86"/>
      <c r="D35" s="86"/>
      <c r="F35" s="82"/>
      <c r="G35" s="84"/>
    </row>
    <row r="36" spans="1:13" x14ac:dyDescent="0.35">
      <c r="A36" s="92" t="s">
        <v>17</v>
      </c>
      <c r="B36" s="94">
        <f>B37+B38</f>
        <v>76123</v>
      </c>
      <c r="C36" s="17"/>
      <c r="D36" s="94">
        <f>D37+D38</f>
        <v>92736.1</v>
      </c>
      <c r="F36" s="94">
        <f>F37+F38</f>
        <v>92704</v>
      </c>
      <c r="G36" s="84"/>
    </row>
    <row r="37" spans="1:13" x14ac:dyDescent="0.35">
      <c r="A37" s="81" t="s">
        <v>16</v>
      </c>
      <c r="B37" s="86">
        <f>B17</f>
        <v>75795</v>
      </c>
      <c r="D37" s="86">
        <v>77726.8</v>
      </c>
      <c r="F37" s="86">
        <f>F17</f>
        <v>91206</v>
      </c>
      <c r="G37" s="84"/>
    </row>
    <row r="38" spans="1:13" x14ac:dyDescent="0.35">
      <c r="A38" s="81" t="s">
        <v>15</v>
      </c>
      <c r="B38" s="86">
        <f>B28</f>
        <v>328</v>
      </c>
      <c r="D38" s="86">
        <f>D28</f>
        <v>15009.3</v>
      </c>
      <c r="F38" s="82">
        <f>F28</f>
        <v>1498</v>
      </c>
      <c r="G38" s="84"/>
    </row>
    <row r="39" spans="1:13" x14ac:dyDescent="0.35">
      <c r="A39" s="81"/>
      <c r="B39" s="86"/>
      <c r="D39" s="86"/>
      <c r="F39" s="82"/>
      <c r="G39" s="84"/>
    </row>
    <row r="40" spans="1:13" x14ac:dyDescent="0.35">
      <c r="A40" s="102" t="s">
        <v>14</v>
      </c>
      <c r="B40" s="100"/>
      <c r="C40" s="97"/>
      <c r="D40" s="100"/>
      <c r="E40" s="98"/>
      <c r="F40" s="101"/>
      <c r="G40" s="99"/>
    </row>
    <row r="41" spans="1:13" x14ac:dyDescent="0.35">
      <c r="A41" s="95" t="s">
        <v>13</v>
      </c>
      <c r="B41" s="103">
        <f>B26/B6</f>
        <v>3.9555826582269855</v>
      </c>
      <c r="C41" s="97"/>
      <c r="D41" s="103">
        <f>D26/D6</f>
        <v>2.2795111760067126</v>
      </c>
      <c r="E41" s="98"/>
      <c r="F41" s="103">
        <f>F26/F6</f>
        <v>5.1780388350383229</v>
      </c>
      <c r="G41" s="99"/>
    </row>
    <row r="42" spans="1:13" x14ac:dyDescent="0.35">
      <c r="A42" s="95" t="s">
        <v>12</v>
      </c>
      <c r="B42" s="103">
        <f>B26/B34</f>
        <v>15.345853929317226</v>
      </c>
      <c r="C42" s="97"/>
      <c r="D42" s="103">
        <f>D26/D34</f>
        <v>10.791661198833552</v>
      </c>
      <c r="E42" s="98"/>
      <c r="F42" s="103">
        <f>F26/F34</f>
        <v>18.616927340531834</v>
      </c>
      <c r="G42" s="99"/>
    </row>
    <row r="43" spans="1:13" x14ac:dyDescent="0.35">
      <c r="A43" s="106" t="s">
        <v>11</v>
      </c>
      <c r="B43" s="107">
        <f>B26/B36</f>
        <v>7.6264598084678745</v>
      </c>
      <c r="C43" s="108"/>
      <c r="D43" s="107">
        <f>D26/D36</f>
        <v>2.2242416436536039</v>
      </c>
      <c r="E43" s="109"/>
      <c r="F43" s="107">
        <f>F26/F36</f>
        <v>12.593095008522504</v>
      </c>
      <c r="G43" s="110"/>
    </row>
    <row r="45" spans="1:13" ht="16.5" customHeight="1" x14ac:dyDescent="0.35">
      <c r="A45" s="182" t="s">
        <v>144</v>
      </c>
      <c r="B45" s="182"/>
      <c r="C45" s="182"/>
      <c r="D45" s="182"/>
      <c r="E45" s="182"/>
      <c r="F45" s="182"/>
      <c r="G45" s="182"/>
      <c r="H45" s="182"/>
      <c r="I45" s="182"/>
      <c r="J45" s="182"/>
      <c r="K45" s="182"/>
      <c r="L45" s="182"/>
      <c r="M45" s="182"/>
    </row>
    <row r="46" spans="1:13" x14ac:dyDescent="0.35">
      <c r="A46" s="182"/>
      <c r="B46" s="182"/>
      <c r="C46" s="182"/>
      <c r="D46" s="182"/>
      <c r="E46" s="182"/>
      <c r="F46" s="182"/>
      <c r="G46" s="182"/>
      <c r="H46" s="182"/>
      <c r="I46" s="182"/>
      <c r="J46" s="182"/>
      <c r="K46" s="182"/>
      <c r="L46" s="182"/>
      <c r="M46" s="182"/>
    </row>
    <row r="47" spans="1:13" x14ac:dyDescent="0.35">
      <c r="A47" s="182"/>
      <c r="B47" s="182"/>
      <c r="C47" s="182"/>
      <c r="D47" s="182"/>
      <c r="E47" s="182"/>
      <c r="F47" s="182"/>
      <c r="G47" s="182"/>
      <c r="H47" s="182"/>
      <c r="I47" s="182"/>
      <c r="J47" s="182"/>
      <c r="K47" s="182"/>
      <c r="L47" s="182"/>
      <c r="M47" s="182"/>
    </row>
    <row r="48" spans="1:13" x14ac:dyDescent="0.35">
      <c r="A48" s="182"/>
      <c r="B48" s="182"/>
      <c r="C48" s="182"/>
      <c r="D48" s="182"/>
      <c r="E48" s="182"/>
      <c r="F48" s="182"/>
      <c r="G48" s="182"/>
      <c r="H48" s="182"/>
      <c r="I48" s="182"/>
      <c r="J48" s="182"/>
      <c r="K48" s="182"/>
      <c r="L48" s="182"/>
      <c r="M48" s="182"/>
    </row>
    <row r="49" spans="1:13" x14ac:dyDescent="0.35">
      <c r="A49" s="182"/>
      <c r="B49" s="182"/>
      <c r="C49" s="182"/>
      <c r="D49" s="182"/>
      <c r="E49" s="182"/>
      <c r="F49" s="182"/>
      <c r="G49" s="182"/>
      <c r="H49" s="182"/>
      <c r="I49" s="182"/>
      <c r="J49" s="182"/>
      <c r="K49" s="182"/>
      <c r="L49" s="182"/>
      <c r="M49" s="182"/>
    </row>
    <row r="50" spans="1:13" x14ac:dyDescent="0.35">
      <c r="A50" s="182"/>
      <c r="B50" s="182"/>
      <c r="C50" s="182"/>
      <c r="D50" s="182"/>
      <c r="E50" s="182"/>
      <c r="F50" s="182"/>
      <c r="G50" s="182"/>
      <c r="H50" s="182"/>
      <c r="I50" s="182"/>
      <c r="J50" s="182"/>
      <c r="K50" s="182"/>
      <c r="L50" s="182"/>
      <c r="M50" s="182"/>
    </row>
    <row r="51" spans="1:13" x14ac:dyDescent="0.35">
      <c r="A51" s="182"/>
      <c r="B51" s="182"/>
      <c r="C51" s="182"/>
      <c r="D51" s="182"/>
      <c r="E51" s="182"/>
      <c r="F51" s="182"/>
      <c r="G51" s="182"/>
      <c r="H51" s="182"/>
      <c r="I51" s="182"/>
      <c r="J51" s="182"/>
      <c r="K51" s="182"/>
      <c r="L51" s="182"/>
      <c r="M51" s="182"/>
    </row>
    <row r="52" spans="1:13" x14ac:dyDescent="0.35">
      <c r="A52" s="182"/>
      <c r="B52" s="182"/>
      <c r="C52" s="182"/>
      <c r="D52" s="182"/>
      <c r="E52" s="182"/>
      <c r="F52" s="182"/>
      <c r="G52" s="182"/>
      <c r="H52" s="182"/>
      <c r="I52" s="182"/>
      <c r="J52" s="182"/>
      <c r="K52" s="182"/>
      <c r="L52" s="182"/>
      <c r="M52" s="182"/>
    </row>
    <row r="53" spans="1:13" x14ac:dyDescent="0.35">
      <c r="A53" s="182"/>
      <c r="B53" s="182"/>
      <c r="C53" s="182"/>
      <c r="D53" s="182"/>
      <c r="E53" s="182"/>
      <c r="F53" s="182"/>
      <c r="G53" s="182"/>
      <c r="H53" s="182"/>
      <c r="I53" s="182"/>
      <c r="J53" s="182"/>
      <c r="K53" s="182"/>
      <c r="L53" s="182"/>
      <c r="M53" s="182"/>
    </row>
    <row r="54" spans="1:13" x14ac:dyDescent="0.35">
      <c r="A54" s="182"/>
      <c r="B54" s="182"/>
      <c r="C54" s="182"/>
      <c r="D54" s="182"/>
      <c r="E54" s="182"/>
      <c r="F54" s="182"/>
      <c r="G54" s="182"/>
      <c r="H54" s="182"/>
      <c r="I54" s="182"/>
      <c r="J54" s="182"/>
      <c r="K54" s="182"/>
      <c r="L54" s="182"/>
      <c r="M54" s="182"/>
    </row>
    <row r="55" spans="1:13" x14ac:dyDescent="0.35">
      <c r="A55" s="182"/>
      <c r="B55" s="182"/>
      <c r="C55" s="182"/>
      <c r="D55" s="182"/>
      <c r="E55" s="182"/>
      <c r="F55" s="182"/>
      <c r="G55" s="182"/>
      <c r="H55" s="182"/>
      <c r="I55" s="182"/>
      <c r="J55" s="182"/>
      <c r="K55" s="182"/>
      <c r="L55" s="182"/>
      <c r="M55" s="182"/>
    </row>
    <row r="56" spans="1:13" x14ac:dyDescent="0.35">
      <c r="A56" s="182"/>
      <c r="B56" s="182"/>
      <c r="C56" s="182"/>
      <c r="D56" s="182"/>
      <c r="E56" s="182"/>
      <c r="F56" s="182"/>
      <c r="G56" s="182"/>
      <c r="H56" s="182"/>
      <c r="I56" s="182"/>
      <c r="J56" s="182"/>
      <c r="K56" s="182"/>
      <c r="L56" s="182"/>
      <c r="M56" s="182"/>
    </row>
    <row r="57" spans="1:13" x14ac:dyDescent="0.35">
      <c r="A57" s="182"/>
      <c r="B57" s="182"/>
      <c r="C57" s="182"/>
      <c r="D57" s="182"/>
      <c r="E57" s="182"/>
      <c r="F57" s="182"/>
      <c r="G57" s="182"/>
      <c r="H57" s="182"/>
      <c r="I57" s="182"/>
      <c r="J57" s="182"/>
      <c r="K57" s="182"/>
      <c r="L57" s="182"/>
      <c r="M57" s="182"/>
    </row>
    <row r="58" spans="1:13" x14ac:dyDescent="0.35">
      <c r="A58" s="182"/>
      <c r="B58" s="182"/>
      <c r="C58" s="182"/>
      <c r="D58" s="182"/>
      <c r="E58" s="182"/>
      <c r="F58" s="182"/>
      <c r="G58" s="182"/>
      <c r="H58" s="182"/>
      <c r="I58" s="182"/>
      <c r="J58" s="182"/>
      <c r="K58" s="182"/>
      <c r="L58" s="182"/>
      <c r="M58" s="182"/>
    </row>
    <row r="59" spans="1:13" x14ac:dyDescent="0.35">
      <c r="A59" s="182"/>
      <c r="B59" s="182"/>
      <c r="C59" s="182"/>
      <c r="D59" s="182"/>
      <c r="E59" s="182"/>
      <c r="F59" s="182"/>
      <c r="G59" s="182"/>
      <c r="H59" s="182"/>
      <c r="I59" s="182"/>
      <c r="J59" s="182"/>
      <c r="K59" s="182"/>
      <c r="L59" s="182"/>
      <c r="M59" s="182"/>
    </row>
    <row r="60" spans="1:13" x14ac:dyDescent="0.35">
      <c r="A60" s="182"/>
      <c r="B60" s="182"/>
      <c r="C60" s="182"/>
      <c r="D60" s="182"/>
      <c r="E60" s="182"/>
      <c r="F60" s="182"/>
      <c r="G60" s="182"/>
      <c r="H60" s="182"/>
      <c r="I60" s="182"/>
      <c r="J60" s="182"/>
      <c r="K60" s="182"/>
      <c r="L60" s="182"/>
      <c r="M60" s="182"/>
    </row>
    <row r="61" spans="1:13" x14ac:dyDescent="0.35">
      <c r="A61" s="182"/>
      <c r="B61" s="182"/>
      <c r="C61" s="182"/>
      <c r="D61" s="182"/>
      <c r="E61" s="182"/>
      <c r="F61" s="182"/>
      <c r="G61" s="182"/>
      <c r="H61" s="182"/>
      <c r="I61" s="182"/>
      <c r="J61" s="182"/>
      <c r="K61" s="182"/>
      <c r="L61" s="182"/>
      <c r="M61" s="182"/>
    </row>
    <row r="62" spans="1:13" x14ac:dyDescent="0.35">
      <c r="A62" s="182"/>
      <c r="B62" s="182"/>
      <c r="C62" s="182"/>
      <c r="D62" s="182"/>
      <c r="E62" s="182"/>
      <c r="F62" s="182"/>
      <c r="G62" s="182"/>
      <c r="H62" s="182"/>
      <c r="I62" s="182"/>
      <c r="J62" s="182"/>
      <c r="K62" s="182"/>
      <c r="L62" s="182"/>
      <c r="M62" s="182"/>
    </row>
    <row r="63" spans="1:13" x14ac:dyDescent="0.35">
      <c r="A63" s="182"/>
      <c r="B63" s="182"/>
      <c r="C63" s="182"/>
      <c r="D63" s="182"/>
      <c r="E63" s="182"/>
      <c r="F63" s="182"/>
      <c r="G63" s="182"/>
      <c r="H63" s="182"/>
      <c r="I63" s="182"/>
      <c r="J63" s="182"/>
      <c r="K63" s="182"/>
      <c r="L63" s="182"/>
      <c r="M63" s="182"/>
    </row>
    <row r="64" spans="1:13" x14ac:dyDescent="0.35">
      <c r="A64" s="182"/>
      <c r="B64" s="182"/>
      <c r="C64" s="182"/>
      <c r="D64" s="182"/>
      <c r="E64" s="182"/>
      <c r="F64" s="182"/>
      <c r="G64" s="182"/>
      <c r="H64" s="182"/>
      <c r="I64" s="182"/>
      <c r="J64" s="182"/>
      <c r="K64" s="182"/>
      <c r="L64" s="182"/>
      <c r="M64" s="182"/>
    </row>
    <row r="65" spans="1:13" x14ac:dyDescent="0.35">
      <c r="A65" s="121"/>
      <c r="B65" s="121"/>
      <c r="C65" s="121"/>
      <c r="D65" s="121"/>
      <c r="E65" s="121"/>
      <c r="F65" s="121"/>
      <c r="G65" s="121"/>
      <c r="H65" s="121"/>
      <c r="I65" s="121"/>
      <c r="J65" s="121"/>
      <c r="K65" s="121"/>
      <c r="L65" s="121"/>
      <c r="M65" s="121"/>
    </row>
    <row r="66" spans="1:13" x14ac:dyDescent="0.35">
      <c r="A66" s="121"/>
      <c r="B66" s="121"/>
      <c r="C66" s="121"/>
      <c r="D66" s="121"/>
      <c r="E66" s="121"/>
      <c r="F66" s="121"/>
      <c r="G66" s="121"/>
      <c r="H66" s="121"/>
      <c r="I66" s="121"/>
      <c r="J66" s="121"/>
      <c r="K66" s="121"/>
      <c r="L66" s="121"/>
      <c r="M66" s="121"/>
    </row>
    <row r="67" spans="1:13" x14ac:dyDescent="0.35">
      <c r="A67" s="121"/>
      <c r="B67" s="121"/>
      <c r="C67" s="121"/>
      <c r="D67" s="121"/>
      <c r="E67" s="121"/>
      <c r="F67" s="121"/>
      <c r="G67" s="121"/>
      <c r="H67" s="121"/>
      <c r="I67" s="121"/>
      <c r="J67" s="121"/>
      <c r="K67" s="121"/>
      <c r="L67" s="121"/>
      <c r="M67" s="121"/>
    </row>
    <row r="68" spans="1:13" x14ac:dyDescent="0.35">
      <c r="A68" s="121"/>
      <c r="B68" s="121"/>
      <c r="C68" s="121"/>
      <c r="D68" s="121"/>
      <c r="E68" s="121"/>
      <c r="F68" s="121"/>
      <c r="G68" s="121"/>
      <c r="H68" s="121"/>
      <c r="I68" s="121"/>
      <c r="J68" s="121"/>
      <c r="K68" s="121"/>
      <c r="L68" s="121"/>
      <c r="M68" s="121"/>
    </row>
    <row r="69" spans="1:13" x14ac:dyDescent="0.35">
      <c r="A69" s="121"/>
      <c r="B69" s="121"/>
      <c r="C69" s="121"/>
      <c r="D69" s="121"/>
      <c r="E69" s="121"/>
      <c r="F69" s="121"/>
      <c r="G69" s="121"/>
      <c r="H69" s="121"/>
      <c r="I69" s="121"/>
      <c r="J69" s="121"/>
      <c r="K69" s="121"/>
      <c r="L69" s="121"/>
      <c r="M69" s="121"/>
    </row>
    <row r="70" spans="1:13" x14ac:dyDescent="0.35">
      <c r="A70" s="121"/>
      <c r="B70" s="121"/>
      <c r="C70" s="121"/>
      <c r="D70" s="121"/>
      <c r="E70" s="121"/>
      <c r="F70" s="121"/>
      <c r="G70" s="121"/>
      <c r="H70" s="121"/>
      <c r="I70" s="121"/>
      <c r="J70" s="121"/>
      <c r="K70" s="121"/>
      <c r="L70" s="121"/>
      <c r="M70" s="121"/>
    </row>
  </sheetData>
  <mergeCells count="3">
    <mergeCell ref="A1:A2"/>
    <mergeCell ref="B1:H3"/>
    <mergeCell ref="A45:M6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E10" sqref="E10"/>
    </sheetView>
  </sheetViews>
  <sheetFormatPr defaultColWidth="8.7109375" defaultRowHeight="16.5" x14ac:dyDescent="0.35"/>
  <cols>
    <col min="1" max="1" width="8.7109375" style="22"/>
    <col min="2" max="2" width="17.7109375" style="22" bestFit="1" customWidth="1"/>
    <col min="3" max="6" width="8.7109375" style="22"/>
    <col min="7" max="7" width="11.28515625" style="22" bestFit="1" customWidth="1"/>
    <col min="8" max="8" width="8.7109375" style="22"/>
    <col min="9" max="9" width="46" style="22" bestFit="1" customWidth="1"/>
    <col min="10" max="16384" width="8.7109375" style="22"/>
  </cols>
  <sheetData>
    <row r="1" spans="1:9" x14ac:dyDescent="0.35">
      <c r="A1" s="152" t="s">
        <v>131</v>
      </c>
      <c r="B1" s="183" t="s">
        <v>141</v>
      </c>
      <c r="C1" s="183"/>
      <c r="D1" s="183"/>
      <c r="E1" s="183"/>
      <c r="F1" s="183"/>
      <c r="G1" s="183"/>
    </row>
    <row r="2" spans="1:9" x14ac:dyDescent="0.35">
      <c r="A2" s="153"/>
      <c r="B2" s="184"/>
      <c r="C2" s="184"/>
      <c r="D2" s="184"/>
      <c r="E2" s="184"/>
      <c r="F2" s="184"/>
      <c r="G2" s="184"/>
    </row>
    <row r="3" spans="1:9" x14ac:dyDescent="0.35">
      <c r="A3" s="114"/>
      <c r="B3" s="113"/>
      <c r="C3" s="113"/>
      <c r="D3" s="113"/>
      <c r="E3" s="113"/>
      <c r="F3" s="113"/>
      <c r="G3" s="113"/>
    </row>
    <row r="4" spans="1:9" x14ac:dyDescent="0.35">
      <c r="B4" s="17" t="s">
        <v>46</v>
      </c>
      <c r="G4" s="17" t="s">
        <v>47</v>
      </c>
    </row>
    <row r="5" spans="1:9" s="17" customFormat="1" x14ac:dyDescent="0.35">
      <c r="B5" s="54"/>
      <c r="C5" s="54" t="s">
        <v>44</v>
      </c>
      <c r="D5" s="54" t="s">
        <v>40</v>
      </c>
      <c r="E5" s="54" t="s">
        <v>48</v>
      </c>
      <c r="F5" s="54" t="s">
        <v>40</v>
      </c>
      <c r="G5" s="54" t="s">
        <v>41</v>
      </c>
      <c r="H5" s="54" t="s">
        <v>40</v>
      </c>
    </row>
    <row r="6" spans="1:9" x14ac:dyDescent="0.35">
      <c r="B6" s="111" t="s">
        <v>71</v>
      </c>
      <c r="C6" s="111">
        <v>125816</v>
      </c>
      <c r="D6" s="111">
        <v>271</v>
      </c>
      <c r="E6" s="111">
        <v>117582.2</v>
      </c>
      <c r="F6" s="111">
        <v>330</v>
      </c>
      <c r="G6" s="111">
        <v>143651</v>
      </c>
      <c r="H6" s="111">
        <v>190</v>
      </c>
      <c r="I6" s="22">
        <v>10000000</v>
      </c>
    </row>
    <row r="7" spans="1:9" x14ac:dyDescent="0.35">
      <c r="B7" s="111" t="s">
        <v>72</v>
      </c>
      <c r="C7" s="111"/>
      <c r="D7" s="111"/>
      <c r="E7" s="111"/>
      <c r="F7" s="111"/>
      <c r="G7" s="111"/>
      <c r="H7" s="111"/>
    </row>
    <row r="8" spans="1:9" x14ac:dyDescent="0.35">
      <c r="B8" s="111" t="s">
        <v>73</v>
      </c>
      <c r="C8" s="111">
        <v>10835</v>
      </c>
      <c r="D8" s="111">
        <v>272</v>
      </c>
      <c r="E8" s="111">
        <v>12631.6</v>
      </c>
      <c r="F8" s="111">
        <v>331</v>
      </c>
      <c r="G8" s="111">
        <v>8887</v>
      </c>
      <c r="H8" s="111">
        <v>190</v>
      </c>
    </row>
    <row r="9" spans="1:9" x14ac:dyDescent="0.35">
      <c r="B9" s="111" t="s">
        <v>74</v>
      </c>
      <c r="C9" s="111">
        <v>39186</v>
      </c>
      <c r="D9" s="111">
        <v>272</v>
      </c>
      <c r="E9" s="111">
        <v>26775.3</v>
      </c>
      <c r="F9" s="111">
        <v>331</v>
      </c>
      <c r="G9" s="111">
        <v>43558</v>
      </c>
      <c r="H9" s="111">
        <v>190</v>
      </c>
    </row>
    <row r="10" spans="1:9" x14ac:dyDescent="0.35">
      <c r="B10" s="112" t="s">
        <v>75</v>
      </c>
      <c r="C10" s="111">
        <f>4762+959+92</f>
        <v>5813</v>
      </c>
      <c r="D10" s="111">
        <v>328</v>
      </c>
      <c r="E10" s="111">
        <f>1524+767.5+1607.6+9146.5</f>
        <v>13045.6</v>
      </c>
      <c r="F10" s="111">
        <v>405</v>
      </c>
      <c r="G10" s="111">
        <f>1542+318</f>
        <v>1860</v>
      </c>
      <c r="H10" s="111">
        <v>239</v>
      </c>
      <c r="I10" s="115"/>
    </row>
    <row r="11" spans="1:9" x14ac:dyDescent="0.35">
      <c r="B11" s="111"/>
      <c r="C11" s="111"/>
      <c r="D11" s="111"/>
      <c r="E11" s="111"/>
      <c r="F11" s="111"/>
      <c r="G11" s="111"/>
      <c r="H11" s="111"/>
      <c r="I11" s="115"/>
    </row>
    <row r="12" spans="1:9" x14ac:dyDescent="0.35">
      <c r="B12" s="111"/>
      <c r="C12" s="111"/>
      <c r="D12" s="111"/>
      <c r="E12" s="111"/>
      <c r="F12" s="111"/>
      <c r="G12" s="111"/>
      <c r="H12" s="111"/>
    </row>
    <row r="13" spans="1:9" x14ac:dyDescent="0.35">
      <c r="B13" s="60" t="s">
        <v>76</v>
      </c>
      <c r="C13" s="60">
        <f>C6-SUM(C8:C10)</f>
        <v>69982</v>
      </c>
      <c r="D13" s="60"/>
      <c r="E13" s="60">
        <f>E6-SUM(E8:E10)</f>
        <v>65129.7</v>
      </c>
      <c r="F13" s="60"/>
      <c r="G13" s="60">
        <f>G6-SUM(G8:G10)</f>
        <v>89346</v>
      </c>
      <c r="H13" s="56"/>
    </row>
  </sheetData>
  <mergeCells count="2">
    <mergeCell ref="A1:A2"/>
    <mergeCell ref="B1:G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showGridLines="0" workbookViewId="0"/>
  </sheetViews>
  <sheetFormatPr defaultColWidth="8.7109375" defaultRowHeight="16.5" x14ac:dyDescent="0.35"/>
  <cols>
    <col min="1" max="2" width="8.7109375" style="5"/>
    <col min="3" max="3" width="22.7109375" style="5" bestFit="1" customWidth="1"/>
    <col min="4" max="4" width="11.5703125" style="5" bestFit="1" customWidth="1"/>
    <col min="5" max="5" width="19.7109375" style="5" bestFit="1" customWidth="1"/>
    <col min="6" max="16384" width="8.7109375" style="5"/>
  </cols>
  <sheetData>
    <row r="2" spans="1:7" s="4" customFormat="1" x14ac:dyDescent="0.35">
      <c r="A2" s="54" t="s">
        <v>132</v>
      </c>
      <c r="B2" s="185" t="s">
        <v>142</v>
      </c>
      <c r="C2" s="185"/>
      <c r="D2" s="185"/>
      <c r="E2" s="185"/>
      <c r="F2" s="185"/>
      <c r="G2" s="185"/>
    </row>
    <row r="4" spans="1:7" s="4" customFormat="1" x14ac:dyDescent="0.35">
      <c r="A4" s="4" t="s">
        <v>63</v>
      </c>
      <c r="B4" s="54" t="s">
        <v>49</v>
      </c>
      <c r="C4" s="54" t="s">
        <v>77</v>
      </c>
      <c r="D4" s="54" t="s">
        <v>78</v>
      </c>
      <c r="E4" s="54" t="s">
        <v>79</v>
      </c>
    </row>
    <row r="5" spans="1:7" x14ac:dyDescent="0.35">
      <c r="B5" s="66" t="s">
        <v>44</v>
      </c>
      <c r="C5" s="116">
        <v>4148560044</v>
      </c>
      <c r="D5" s="66">
        <v>1427.95</v>
      </c>
      <c r="E5" s="117">
        <f>(C5*D5)/10000000</f>
        <v>592393.63148297998</v>
      </c>
    </row>
    <row r="6" spans="1:7" x14ac:dyDescent="0.35">
      <c r="B6" s="66" t="s">
        <v>42</v>
      </c>
      <c r="C6" s="118">
        <v>5487917741</v>
      </c>
      <c r="D6" s="118">
        <v>365.25</v>
      </c>
      <c r="E6" s="117">
        <f>(C6*D6)/10000000</f>
        <v>200446.19549002501</v>
      </c>
    </row>
    <row r="7" spans="1:7" x14ac:dyDescent="0.35">
      <c r="B7" s="66" t="s">
        <v>41</v>
      </c>
      <c r="C7" s="117">
        <v>3659051373</v>
      </c>
      <c r="D7" s="66">
        <v>3205.9</v>
      </c>
      <c r="E7" s="126">
        <f>(C7*D7)/10000000</f>
        <v>1173055.2796700702</v>
      </c>
    </row>
  </sheetData>
  <mergeCells count="1">
    <mergeCell ref="B2:G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DD011806DE3C44B12958CDDA6CCFDA" ma:contentTypeVersion="8" ma:contentTypeDescription="Create a new document." ma:contentTypeScope="" ma:versionID="ab50ff7fad7c22f9d082577e66aac00c">
  <xsd:schema xmlns:xsd="http://www.w3.org/2001/XMLSchema" xmlns:xs="http://www.w3.org/2001/XMLSchema" xmlns:p="http://schemas.microsoft.com/office/2006/metadata/properties" xmlns:ns3="f221b8d2-84ba-49ee-b5aa-03414b4be8e5" xmlns:ns4="dcd7d697-e1f0-4f84-bf23-452d489f2a50" targetNamespace="http://schemas.microsoft.com/office/2006/metadata/properties" ma:root="true" ma:fieldsID="5e43ffb01fcde43836f757c42a548a07" ns3:_="" ns4:_="">
    <xsd:import namespace="f221b8d2-84ba-49ee-b5aa-03414b4be8e5"/>
    <xsd:import namespace="dcd7d697-e1f0-4f84-bf23-452d489f2a5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21b8d2-84ba-49ee-b5aa-03414b4be8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cd7d697-e1f0-4f84-bf23-452d489f2a5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221b8d2-84ba-49ee-b5aa-03414b4be8e5" xsi:nil="true"/>
  </documentManagement>
</p:properties>
</file>

<file path=customXml/itemProps1.xml><?xml version="1.0" encoding="utf-8"?>
<ds:datastoreItem xmlns:ds="http://schemas.openxmlformats.org/officeDocument/2006/customXml" ds:itemID="{82C78B83-EC9C-4A42-A424-C09ADD4AB1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21b8d2-84ba-49ee-b5aa-03414b4be8e5"/>
    <ds:schemaRef ds:uri="dcd7d697-e1f0-4f84-bf23-452d489f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879549-DAD3-4BC4-A629-457363654CB5}">
  <ds:schemaRefs>
    <ds:schemaRef ds:uri="http://schemas.microsoft.com/sharepoint/v3/contenttype/forms"/>
  </ds:schemaRefs>
</ds:datastoreItem>
</file>

<file path=customXml/itemProps3.xml><?xml version="1.0" encoding="utf-8"?>
<ds:datastoreItem xmlns:ds="http://schemas.openxmlformats.org/officeDocument/2006/customXml" ds:itemID="{7E876438-077E-4AD9-8631-3503F26262D7}">
  <ds:schemaRefs>
    <ds:schemaRef ds:uri="http://purl.org/dc/elements/1.1/"/>
    <ds:schemaRef ds:uri="http://schemas.microsoft.com/office/2006/documentManagement/types"/>
    <ds:schemaRef ds:uri="f221b8d2-84ba-49ee-b5aa-03414b4be8e5"/>
    <ds:schemaRef ds:uri="http://schemas.microsoft.com/office/2006/metadata/properties"/>
    <ds:schemaRef ds:uri="http://purl.org/dc/dcmitype/"/>
    <ds:schemaRef ds:uri="http://www.w3.org/XML/1998/namespace"/>
    <ds:schemaRef ds:uri="http://purl.org/dc/terms/"/>
    <ds:schemaRef ds:uri="http://schemas.microsoft.com/office/infopath/2007/PartnerControls"/>
    <ds:schemaRef ds:uri="dcd7d697-e1f0-4f84-bf23-452d489f2a50"/>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Problem Statement</vt:lpstr>
      <vt:lpstr>Q1 to Q3 Solution</vt:lpstr>
      <vt:lpstr>Q4 Forecast Solution</vt:lpstr>
      <vt:lpstr>Q5 DCF Solution</vt:lpstr>
      <vt:lpstr>Q6 Multiples Solution</vt:lpstr>
      <vt:lpstr>Q7 Net Asset Mod. Solution</vt:lpstr>
      <vt:lpstr>Q8 Market Cap. Solution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Dalmia (IN)</dc:creator>
  <cp:lastModifiedBy>DELL</cp:lastModifiedBy>
  <cp:lastPrinted>2024-01-16T16:59:25Z</cp:lastPrinted>
  <dcterms:created xsi:type="dcterms:W3CDTF">2024-01-03T11:26:08Z</dcterms:created>
  <dcterms:modified xsi:type="dcterms:W3CDTF">2025-10-31T11:32:17Z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0x010100A1DD011806DE3C44B12958CDDA6CCFDA</vt:lpwstr>
  </property>
</Properties>
</file>