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firstSheet="2" activeTab="4"/>
  </bookViews>
  <sheets>
    <sheet name="Lookup_List" sheetId="1" r:id="rId1"/>
    <sheet name="Sales Forecast &amp; Cash Inflow" sheetId="2" r:id="rId2"/>
    <sheet name="Expenses Forecast &amp; Cash Outflo" sheetId="4" r:id="rId3"/>
    <sheet name="Working Capital Management" sheetId="5" r:id="rId4"/>
    <sheet name="Cash Flow Forecasting Model" sheetId="6" r:id="rId5"/>
  </sheets>
  <calcPr calcId="152511"/>
</workbook>
</file>

<file path=xl/calcChain.xml><?xml version="1.0" encoding="utf-8"?>
<calcChain xmlns="http://schemas.openxmlformats.org/spreadsheetml/2006/main">
  <c r="L14" i="5" l="1"/>
  <c r="L18" i="5"/>
  <c r="L22" i="5"/>
  <c r="M14" i="5"/>
  <c r="M18" i="5"/>
  <c r="M22" i="5"/>
  <c r="J14" i="5"/>
  <c r="J18" i="5"/>
  <c r="J22" i="5"/>
  <c r="C18" i="5"/>
  <c r="D18" i="5" s="1"/>
  <c r="C44" i="5" s="1"/>
  <c r="C22" i="5"/>
  <c r="D22" i="5" s="1"/>
  <c r="C48" i="5" s="1"/>
  <c r="E18" i="4"/>
  <c r="I20" i="4"/>
  <c r="M12" i="5" s="1"/>
  <c r="I21" i="4"/>
  <c r="M13" i="5" s="1"/>
  <c r="I22" i="4"/>
  <c r="I23" i="4"/>
  <c r="M15" i="5" s="1"/>
  <c r="I24" i="4"/>
  <c r="M16" i="5" s="1"/>
  <c r="I25" i="4"/>
  <c r="M17" i="5" s="1"/>
  <c r="I26" i="4"/>
  <c r="I27" i="4"/>
  <c r="M19" i="5" s="1"/>
  <c r="I28" i="4"/>
  <c r="M20" i="5" s="1"/>
  <c r="I29" i="4"/>
  <c r="M21" i="5" s="1"/>
  <c r="I30" i="4"/>
  <c r="I31" i="4"/>
  <c r="M23" i="5" s="1"/>
  <c r="H20" i="4"/>
  <c r="L12" i="5" s="1"/>
  <c r="H21" i="4"/>
  <c r="L13" i="5" s="1"/>
  <c r="H22" i="4"/>
  <c r="H23" i="4"/>
  <c r="L15" i="5" s="1"/>
  <c r="H24" i="4"/>
  <c r="L16" i="5" s="1"/>
  <c r="H25" i="4"/>
  <c r="L17" i="5" s="1"/>
  <c r="H26" i="4"/>
  <c r="H27" i="4"/>
  <c r="L19" i="5" s="1"/>
  <c r="H28" i="4"/>
  <c r="L20" i="5" s="1"/>
  <c r="H29" i="4"/>
  <c r="L21" i="5" s="1"/>
  <c r="H30" i="4"/>
  <c r="H31" i="4"/>
  <c r="L23" i="5" s="1"/>
  <c r="F20" i="4"/>
  <c r="J12" i="5" s="1"/>
  <c r="F21" i="4"/>
  <c r="J13" i="5" s="1"/>
  <c r="F22" i="4"/>
  <c r="F23" i="4"/>
  <c r="J15" i="5" s="1"/>
  <c r="F24" i="4"/>
  <c r="J16" i="5" s="1"/>
  <c r="F25" i="4"/>
  <c r="J17" i="5" s="1"/>
  <c r="F26" i="4"/>
  <c r="F27" i="4"/>
  <c r="J19" i="5" s="1"/>
  <c r="F28" i="4"/>
  <c r="J20" i="5" s="1"/>
  <c r="F29" i="4"/>
  <c r="J21" i="5" s="1"/>
  <c r="N21" i="5" s="1"/>
  <c r="D47" i="5" s="1"/>
  <c r="F30" i="4"/>
  <c r="F31" i="4"/>
  <c r="J23" i="5" s="1"/>
  <c r="G21" i="4"/>
  <c r="K13" i="5" s="1"/>
  <c r="G25" i="4"/>
  <c r="K17" i="5" s="1"/>
  <c r="G29" i="4"/>
  <c r="K21" i="5" s="1"/>
  <c r="D18" i="4"/>
  <c r="C18" i="4"/>
  <c r="F18" i="2"/>
  <c r="G18" i="2" s="1"/>
  <c r="F19" i="2"/>
  <c r="F20" i="2"/>
  <c r="J20" i="2" s="1"/>
  <c r="C14" i="5" s="1"/>
  <c r="D14" i="5" s="1"/>
  <c r="C40" i="5" s="1"/>
  <c r="F21" i="2"/>
  <c r="J21" i="2" s="1"/>
  <c r="L22" i="2" s="1"/>
  <c r="F22" i="2"/>
  <c r="G24" i="4" s="1"/>
  <c r="K16" i="5" s="1"/>
  <c r="F23" i="2"/>
  <c r="F24" i="2"/>
  <c r="J24" i="2" s="1"/>
  <c r="F25" i="2"/>
  <c r="J25" i="2" s="1"/>
  <c r="L26" i="2" s="1"/>
  <c r="F26" i="2"/>
  <c r="G28" i="4" s="1"/>
  <c r="K20" i="5" s="1"/>
  <c r="F27" i="2"/>
  <c r="F28" i="2"/>
  <c r="J28" i="2" s="1"/>
  <c r="F29" i="2"/>
  <c r="J29" i="2" s="1"/>
  <c r="K29" i="2" s="1"/>
  <c r="E16" i="2"/>
  <c r="D16" i="2"/>
  <c r="C16" i="2"/>
  <c r="N17" i="5" l="1"/>
  <c r="D43" i="5" s="1"/>
  <c r="N20" i="5"/>
  <c r="O21" i="5" s="1"/>
  <c r="N16" i="5"/>
  <c r="O17" i="5" s="1"/>
  <c r="N13" i="5"/>
  <c r="O14" i="5" s="1"/>
  <c r="G20" i="4"/>
  <c r="K12" i="5" s="1"/>
  <c r="G20" i="2"/>
  <c r="G31" i="4"/>
  <c r="K23" i="5" s="1"/>
  <c r="N23" i="5" s="1"/>
  <c r="D49" i="5" s="1"/>
  <c r="G27" i="4"/>
  <c r="K19" i="5" s="1"/>
  <c r="N19" i="5" s="1"/>
  <c r="G23" i="4"/>
  <c r="K15" i="5" s="1"/>
  <c r="N15" i="5" s="1"/>
  <c r="G30" i="4"/>
  <c r="K22" i="5" s="1"/>
  <c r="N22" i="5" s="1"/>
  <c r="G26" i="4"/>
  <c r="K18" i="5" s="1"/>
  <c r="N18" i="5" s="1"/>
  <c r="D44" i="5" s="1"/>
  <c r="E44" i="5" s="1"/>
  <c r="G22" i="4"/>
  <c r="K14" i="5" s="1"/>
  <c r="N14" i="5" s="1"/>
  <c r="C23" i="5"/>
  <c r="D23" i="5" s="1"/>
  <c r="C49" i="5" s="1"/>
  <c r="C19" i="5"/>
  <c r="D19" i="5" s="1"/>
  <c r="C45" i="5" s="1"/>
  <c r="C15" i="5"/>
  <c r="D15" i="5" s="1"/>
  <c r="C41" i="5" s="1"/>
  <c r="M10" i="5"/>
  <c r="L10" i="5"/>
  <c r="D46" i="5"/>
  <c r="D42" i="5"/>
  <c r="J10" i="5"/>
  <c r="O22" i="5"/>
  <c r="P21" i="5"/>
  <c r="M47" i="5" s="1"/>
  <c r="O18" i="5"/>
  <c r="P17" i="5"/>
  <c r="M43" i="5" s="1"/>
  <c r="F23" i="5"/>
  <c r="F19" i="5"/>
  <c r="G19" i="5" s="1"/>
  <c r="L45" i="5" s="1"/>
  <c r="F15" i="5"/>
  <c r="G15" i="5" s="1"/>
  <c r="L41" i="5" s="1"/>
  <c r="F16" i="5"/>
  <c r="J30" i="4"/>
  <c r="E23" i="6" s="1"/>
  <c r="H23" i="6" s="1"/>
  <c r="J26" i="4"/>
  <c r="E19" i="6" s="1"/>
  <c r="H19" i="6" s="1"/>
  <c r="J22" i="4"/>
  <c r="E15" i="6" s="1"/>
  <c r="H15" i="6" s="1"/>
  <c r="J29" i="4"/>
  <c r="E22" i="6" s="1"/>
  <c r="H22" i="6" s="1"/>
  <c r="J25" i="4"/>
  <c r="E18" i="6" s="1"/>
  <c r="H18" i="6" s="1"/>
  <c r="J21" i="4"/>
  <c r="E14" i="6" s="1"/>
  <c r="H14" i="6" s="1"/>
  <c r="J28" i="4"/>
  <c r="E21" i="6" s="1"/>
  <c r="H21" i="6" s="1"/>
  <c r="J24" i="4"/>
  <c r="E17" i="6" s="1"/>
  <c r="H17" i="6" s="1"/>
  <c r="F18" i="4"/>
  <c r="H18" i="4"/>
  <c r="I18" i="4"/>
  <c r="J31" i="4"/>
  <c r="E24" i="6" s="1"/>
  <c r="H24" i="6" s="1"/>
  <c r="J23" i="4"/>
  <c r="E16" i="6" s="1"/>
  <c r="H16" i="6" s="1"/>
  <c r="G28" i="2"/>
  <c r="G24" i="2"/>
  <c r="G27" i="2"/>
  <c r="G23" i="2"/>
  <c r="L29" i="2"/>
  <c r="K28" i="2"/>
  <c r="L25" i="2"/>
  <c r="K24" i="2"/>
  <c r="L21" i="2"/>
  <c r="K20" i="2"/>
  <c r="M29" i="2"/>
  <c r="D24" i="6" s="1"/>
  <c r="F24" i="6" s="1"/>
  <c r="K21" i="2"/>
  <c r="K25" i="2"/>
  <c r="G29" i="2"/>
  <c r="G26" i="2"/>
  <c r="G22" i="2"/>
  <c r="J18" i="2"/>
  <c r="C12" i="5" s="1"/>
  <c r="D12" i="5" s="1"/>
  <c r="F13" i="5" s="1"/>
  <c r="J22" i="2"/>
  <c r="C16" i="5" s="1"/>
  <c r="D16" i="5" s="1"/>
  <c r="F17" i="5" s="1"/>
  <c r="J26" i="2"/>
  <c r="C20" i="5" s="1"/>
  <c r="D20" i="5" s="1"/>
  <c r="F21" i="5" s="1"/>
  <c r="J19" i="2"/>
  <c r="C13" i="5" s="1"/>
  <c r="D13" i="5" s="1"/>
  <c r="F14" i="5" s="1"/>
  <c r="G14" i="5" s="1"/>
  <c r="L40" i="5" s="1"/>
  <c r="J23" i="2"/>
  <c r="C17" i="5" s="1"/>
  <c r="D17" i="5" s="1"/>
  <c r="C43" i="5" s="1"/>
  <c r="E43" i="5" s="1"/>
  <c r="J27" i="2"/>
  <c r="C21" i="5" s="1"/>
  <c r="D21" i="5" s="1"/>
  <c r="C47" i="5" s="1"/>
  <c r="E47" i="5" s="1"/>
  <c r="G21" i="2"/>
  <c r="G25" i="2"/>
  <c r="G19" i="2"/>
  <c r="F16" i="2"/>
  <c r="D48" i="5" l="1"/>
  <c r="E48" i="5" s="1"/>
  <c r="O23" i="5"/>
  <c r="P22" i="5"/>
  <c r="M48" i="5" s="1"/>
  <c r="F20" i="5"/>
  <c r="F18" i="5"/>
  <c r="G18" i="5" s="1"/>
  <c r="L44" i="5" s="1"/>
  <c r="D39" i="5"/>
  <c r="K10" i="5"/>
  <c r="O20" i="5"/>
  <c r="P20" i="5" s="1"/>
  <c r="M46" i="5" s="1"/>
  <c r="D45" i="5"/>
  <c r="E45" i="5" s="1"/>
  <c r="O16" i="5"/>
  <c r="P16" i="5" s="1"/>
  <c r="M42" i="5" s="1"/>
  <c r="D41" i="5"/>
  <c r="E41" i="5" s="1"/>
  <c r="D40" i="5"/>
  <c r="E40" i="5" s="1"/>
  <c r="P14" i="5"/>
  <c r="M40" i="5" s="1"/>
  <c r="N40" i="5" s="1"/>
  <c r="O15" i="5"/>
  <c r="P15" i="5" s="1"/>
  <c r="M41" i="5" s="1"/>
  <c r="N41" i="5" s="1"/>
  <c r="E49" i="5"/>
  <c r="J27" i="4"/>
  <c r="E20" i="6" s="1"/>
  <c r="H20" i="6" s="1"/>
  <c r="G12" i="5"/>
  <c r="L38" i="5" s="1"/>
  <c r="G23" i="5"/>
  <c r="L49" i="5" s="1"/>
  <c r="P18" i="5"/>
  <c r="M44" i="5" s="1"/>
  <c r="N44" i="5" s="1"/>
  <c r="G17" i="5"/>
  <c r="L43" i="5" s="1"/>
  <c r="N43" i="5" s="1"/>
  <c r="C38" i="5"/>
  <c r="C39" i="5"/>
  <c r="E39" i="5" s="1"/>
  <c r="C10" i="5"/>
  <c r="G20" i="5"/>
  <c r="L46" i="5" s="1"/>
  <c r="N46" i="5" s="1"/>
  <c r="G13" i="5"/>
  <c r="L39" i="5" s="1"/>
  <c r="O19" i="5"/>
  <c r="P19" i="5" s="1"/>
  <c r="M45" i="5" s="1"/>
  <c r="F22" i="5"/>
  <c r="G22" i="5" s="1"/>
  <c r="L48" i="5" s="1"/>
  <c r="N48" i="5" s="1"/>
  <c r="C42" i="5"/>
  <c r="E42" i="5" s="1"/>
  <c r="N12" i="5"/>
  <c r="N45" i="5"/>
  <c r="M21" i="2"/>
  <c r="D16" i="6" s="1"/>
  <c r="F16" i="6" s="1"/>
  <c r="J20" i="4"/>
  <c r="G18" i="4"/>
  <c r="D10" i="5"/>
  <c r="P23" i="5"/>
  <c r="M49" i="5" s="1"/>
  <c r="G21" i="5"/>
  <c r="L47" i="5" s="1"/>
  <c r="N47" i="5" s="1"/>
  <c r="C46" i="5"/>
  <c r="E46" i="5" s="1"/>
  <c r="G16" i="5"/>
  <c r="L42" i="5" s="1"/>
  <c r="L27" i="2"/>
  <c r="K26" i="2"/>
  <c r="M26" i="2" s="1"/>
  <c r="D21" i="6" s="1"/>
  <c r="F21" i="6" s="1"/>
  <c r="L23" i="2"/>
  <c r="K22" i="2"/>
  <c r="M22" i="2" s="1"/>
  <c r="D17" i="6" s="1"/>
  <c r="F17" i="6" s="1"/>
  <c r="M20" i="2"/>
  <c r="D15" i="6" s="1"/>
  <c r="F15" i="6" s="1"/>
  <c r="L20" i="2"/>
  <c r="K19" i="2"/>
  <c r="L28" i="2"/>
  <c r="M28" i="2" s="1"/>
  <c r="D23" i="6" s="1"/>
  <c r="F23" i="6" s="1"/>
  <c r="K27" i="2"/>
  <c r="L24" i="2"/>
  <c r="M24" i="2" s="1"/>
  <c r="D19" i="6" s="1"/>
  <c r="F19" i="6" s="1"/>
  <c r="K23" i="2"/>
  <c r="M23" i="2" s="1"/>
  <c r="D18" i="6" s="1"/>
  <c r="F18" i="6" s="1"/>
  <c r="L19" i="2"/>
  <c r="K18" i="2"/>
  <c r="J16" i="2"/>
  <c r="M25" i="2"/>
  <c r="D20" i="6" s="1"/>
  <c r="F20" i="6" s="1"/>
  <c r="F10" i="5" l="1"/>
  <c r="C36" i="5"/>
  <c r="D38" i="5"/>
  <c r="N10" i="5"/>
  <c r="O13" i="5"/>
  <c r="P12" i="5"/>
  <c r="M38" i="5" s="1"/>
  <c r="N38" i="5" s="1"/>
  <c r="N49" i="5"/>
  <c r="L16" i="2"/>
  <c r="N42" i="5"/>
  <c r="J18" i="4"/>
  <c r="E13" i="6"/>
  <c r="M19" i="2"/>
  <c r="D14" i="6" s="1"/>
  <c r="F14" i="6" s="1"/>
  <c r="K16" i="2"/>
  <c r="M18" i="2"/>
  <c r="M27" i="2"/>
  <c r="D22" i="6" s="1"/>
  <c r="F22" i="6" s="1"/>
  <c r="M16" i="2" l="1"/>
  <c r="D13" i="6"/>
  <c r="P13" i="5"/>
  <c r="M39" i="5" s="1"/>
  <c r="N39" i="5" s="1"/>
  <c r="O10" i="5"/>
  <c r="H13" i="6"/>
  <c r="H11" i="6" s="1"/>
  <c r="E11" i="6"/>
  <c r="E38" i="5"/>
  <c r="E36" i="5" s="1"/>
  <c r="D36" i="5"/>
  <c r="F13" i="6" l="1"/>
  <c r="D11" i="6"/>
  <c r="G13" i="6" l="1"/>
  <c r="C14" i="6" s="1"/>
  <c r="G14" i="6" s="1"/>
  <c r="C15" i="6" s="1"/>
  <c r="G15" i="6" s="1"/>
  <c r="C16" i="6" s="1"/>
  <c r="G16" i="6" s="1"/>
  <c r="C17" i="6" s="1"/>
  <c r="G17" i="6" s="1"/>
  <c r="C18" i="6" s="1"/>
  <c r="G18" i="6" s="1"/>
  <c r="C19" i="6" s="1"/>
  <c r="G19" i="6" s="1"/>
  <c r="C20" i="6" s="1"/>
  <c r="F11" i="6"/>
  <c r="G20" i="6" l="1"/>
  <c r="C21" i="6" l="1"/>
  <c r="G21" i="6" s="1"/>
  <c r="C22" i="6" l="1"/>
  <c r="G22" i="6" s="1"/>
  <c r="C23" i="6" s="1"/>
  <c r="G23" i="6" s="1"/>
  <c r="C24" i="6" s="1"/>
  <c r="G24" i="6" l="1"/>
  <c r="G11" i="6" s="1"/>
  <c r="C11" i="6"/>
</calcChain>
</file>

<file path=xl/sharedStrings.xml><?xml version="1.0" encoding="utf-8"?>
<sst xmlns="http://schemas.openxmlformats.org/spreadsheetml/2006/main" count="141" uniqueCount="122">
  <si>
    <r>
      <t>Period Covered:</t>
    </r>
    <r>
      <rPr>
        <sz val="11"/>
        <color theme="1"/>
        <rFont val="Calibri"/>
        <family val="2"/>
        <scheme val="minor"/>
      </rPr>
      <t xml:space="preserve"> Monthly (12 months)</t>
    </r>
  </si>
  <si>
    <r>
      <t>Tools Used:</t>
    </r>
    <r>
      <rPr>
        <sz val="11"/>
        <color theme="1"/>
        <rFont val="Calibri"/>
        <family val="2"/>
        <scheme val="minor"/>
      </rPr>
      <t xml:space="preserve"> Excel</t>
    </r>
  </si>
  <si>
    <t>Key Focus Areas:</t>
  </si>
  <si>
    <t>Cash Inflow &amp; Outflow Forecast</t>
  </si>
  <si>
    <t>Working Capital Analysis (Receivables, Payables, Inventory)</t>
  </si>
  <si>
    <t>Automation using formulas/pivots</t>
  </si>
  <si>
    <t>Dashboard (Summary + KPIs)</t>
  </si>
  <si>
    <t>Executive Summary (Insights &amp; Recommendations)</t>
  </si>
  <si>
    <t>Net Cash Flow</t>
  </si>
  <si>
    <t>| Step  | Focus                                    | Output                           | Learning Goals                                                |</t>
  </si>
  <si>
    <t>| ----- | ---------------------------------------- | -------------------------------- | ------------------------------------------------------------- |</t>
  </si>
  <si>
    <t>| **1** | **Business Understanding &amp; Assumptions** | Project Scope &amp; Inputs Sheet     | Learn how a Senior Analyst thinks and plans cash forecasting. |</t>
  </si>
  <si>
    <t>| **2** | **Sales Forecasting**                    | Monthly Inflows Table            | Link revenue logic to AR &amp; Cash collections.                  |</t>
  </si>
  <si>
    <t>| **3** | **Expense Forecasting**                  | Fixed &amp; Variable Outflows Table  | Learn cost categorization and predictability.                 |</t>
  </si>
  <si>
    <t>| **4** | **AR &amp; AP Schedules**                    | AR/AP Aging Tables               | Master working capital cycle: DSO, DPO                        |</t>
  </si>
  <si>
    <t>| **5** | **Cash Flow Forecasting**                | 12-month Forecast Model          | Net Cash Flow, Burn Rate, and Closing Balances                |</t>
  </si>
  <si>
    <t>| **6** | **Working Capital Metrics**              | CCC, DSO, DPO Sheet              | Key metrics for FP\&amp;A dashboards                              |</t>
  </si>
  <si>
    <t>| **7** | **Dashboard**                            | Charts + KPIs + Summary          | Visualization, Automation &amp; Insights                          |</t>
  </si>
  <si>
    <t>| **8** | **Executive Summary**                    | Written analysis &amp; action points | Communicate like a senior FP\&amp;A analyst                       |</t>
  </si>
  <si>
    <t>| **9** | **Final Portfolio Prep**                 | Formatting, PDF export           | Impress recruiters &amp; build confidence                         |</t>
  </si>
  <si>
    <r>
      <t>Company: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theme="1"/>
        <rFont val="Calibri"/>
        <family val="2"/>
        <scheme val="minor"/>
      </rPr>
      <t>Zomato (Public Company</t>
    </r>
    <r>
      <rPr>
        <sz val="11"/>
        <color theme="1"/>
        <rFont val="Calibri"/>
        <family val="2"/>
        <scheme val="minor"/>
      </rPr>
      <t xml:space="preserve"> – we’ll simulate the data)</t>
    </r>
  </si>
  <si>
    <t>Assumptions:</t>
  </si>
  <si>
    <t>90% of sales are made through app-based prepaid collections (cash inflow in same month)</t>
  </si>
  <si>
    <t>10% are credit sales with 30-day payment term (collected next month)</t>
  </si>
  <si>
    <t>Marketing and delivery are major variable expenses</t>
  </si>
  <si>
    <t>Fixed monthly expenses include rent, salaries, tech infrastructure</t>
  </si>
  <si>
    <t>Forecasting monthly sales and mapping how much of that converts to cash inflow (immediately or with delay).</t>
  </si>
  <si>
    <t>Month</t>
  </si>
  <si>
    <t>Food Delivery (INR)</t>
  </si>
  <si>
    <t>Dinning Out (INR)</t>
  </si>
  <si>
    <t>Hyperpure B2B (INR)</t>
  </si>
  <si>
    <t>Total Sales (INR)</t>
  </si>
  <si>
    <t>Sales Growth (%)</t>
  </si>
  <si>
    <t>90% Current (INR)</t>
  </si>
  <si>
    <t>10% Next Month (INR)</t>
  </si>
  <si>
    <t>Total Inflow (INR)</t>
  </si>
  <si>
    <t>Total</t>
  </si>
  <si>
    <t>a) SALES FORECAST TABLE (INPUT)</t>
  </si>
  <si>
    <t>b) CASH INFLOW FORECAST (BASED ON COLLECTION TERMS)</t>
  </si>
  <si>
    <t>➡️ Simulate increasing sales by 2%–5% per month to reflect business growth.</t>
  </si>
  <si>
    <t>➡️ Understand inflow timing vs revenue recognition</t>
  </si>
  <si>
    <t>➡️ Accurate cash planning = revenue timing + terms</t>
  </si>
  <si>
    <t>➡️ This sheet links to Cash Flow Forecast model</t>
  </si>
  <si>
    <r>
      <t>Forecast monthly outflows – both fixed and variable</t>
    </r>
    <r>
      <rPr>
        <sz val="14"/>
        <color rgb="FFC00000"/>
        <rFont val="Calibri"/>
        <family val="2"/>
        <scheme val="minor"/>
      </rPr>
      <t xml:space="preserve"> –</t>
    </r>
    <r>
      <rPr>
        <b/>
        <sz val="14"/>
        <color rgb="FFC00000"/>
        <rFont val="Calibri"/>
        <family val="2"/>
        <scheme val="minor"/>
      </rPr>
      <t xml:space="preserve"> to estimate total cash needs.</t>
    </r>
  </si>
  <si>
    <t>| Type     | Category              | Description                         |</t>
  </si>
  <si>
    <t>| -------- | --------------------- | ----------------------------------- |</t>
  </si>
  <si>
    <t>| Fixed    | Salaries              | Tech, ops, mgmt team salaries       |</t>
  </si>
  <si>
    <t>| Fixed    | Rent                  | Office, cloud infra (AWS, hosting)  |</t>
  </si>
  <si>
    <t>| Fixed    | Software Licenses     | SaaS subscriptions, tools           |</t>
  </si>
  <si>
    <t>| Variable | Delivery Partner Cost | % of food delivery sales            |</t>
  </si>
  <si>
    <t>| Variable | Marketing &amp; Ads       | % of total sales                    |</t>
  </si>
  <si>
    <t>| Variable | Restaurant Commission | % of dining out sales               |</t>
  </si>
  <si>
    <t>| Variable | Hyperpure Logistics   | % of Hyperpure B2B sales            |</t>
  </si>
  <si>
    <t>| Variable | Other Variable Costs  | Miscellaneous based on sales growth |</t>
  </si>
  <si>
    <t xml:space="preserve">C) MONTHLY OUTFOLW TABLE </t>
  </si>
  <si>
    <t>💡 Standard Assumptions (Adjustable):</t>
  </si>
  <si>
    <r>
      <t xml:space="preserve">Delivery Partner Cost = </t>
    </r>
    <r>
      <rPr>
        <b/>
        <sz val="11"/>
        <color theme="1"/>
        <rFont val="Calibri"/>
        <family val="2"/>
        <scheme val="minor"/>
      </rPr>
      <t>40% of Food Delivery sales</t>
    </r>
  </si>
  <si>
    <r>
      <t xml:space="preserve">Marketing = </t>
    </r>
    <r>
      <rPr>
        <b/>
        <sz val="11"/>
        <color theme="1"/>
        <rFont val="Calibri"/>
        <family val="2"/>
        <scheme val="minor"/>
      </rPr>
      <t>10% of Total Sales</t>
    </r>
  </si>
  <si>
    <r>
      <t xml:space="preserve">Restaurant Commissions = </t>
    </r>
    <r>
      <rPr>
        <b/>
        <sz val="11"/>
        <color theme="1"/>
        <rFont val="Calibri"/>
        <family val="2"/>
        <scheme val="minor"/>
      </rPr>
      <t>20% of Dining Out Sales</t>
    </r>
  </si>
  <si>
    <r>
      <t xml:space="preserve">Hyperpure Logistics = </t>
    </r>
    <r>
      <rPr>
        <b/>
        <sz val="11"/>
        <color theme="1"/>
        <rFont val="Calibri"/>
        <family val="2"/>
        <scheme val="minor"/>
      </rPr>
      <t>15% of B2B Sales</t>
    </r>
  </si>
  <si>
    <t>Salaries, Rent, Licenses = Fixed monthly</t>
  </si>
  <si>
    <t>Salaries (INR)</t>
  </si>
  <si>
    <t>Rent (INR)</t>
  </si>
  <si>
    <t>Licences (INR)</t>
  </si>
  <si>
    <t>Delivery Cost (INR)</t>
  </si>
  <si>
    <t>Marketing (INR)</t>
  </si>
  <si>
    <t>Restaurant Commission (INR)</t>
  </si>
  <si>
    <t>Logistics (INR)</t>
  </si>
  <si>
    <t>Total Outflow (INR)</t>
  </si>
  <si>
    <r>
      <t xml:space="preserve">➡️ Split fixed vs variable helps in </t>
    </r>
    <r>
      <rPr>
        <b/>
        <sz val="11"/>
        <color theme="1"/>
        <rFont val="Calibri"/>
        <family val="2"/>
        <scheme val="minor"/>
      </rPr>
      <t>scenario analysis</t>
    </r>
  </si>
  <si>
    <t>➡️ You can stress-test expenses if sales drop</t>
  </si>
  <si>
    <t>➡️ Automation using % links is a standard FP&amp;A technique</t>
  </si>
  <si>
    <t>Working Capital Management begins. You’ll now simulate how cash is tied up in receivables and managed through payables.</t>
  </si>
  <si>
    <t>10% of Zomato’s revenue is on credit (as per Step 2).</t>
  </si>
  <si>
    <r>
      <t xml:space="preserve">Now we track how that 10% converts into cash using average </t>
    </r>
    <r>
      <rPr>
        <b/>
        <sz val="11"/>
        <color theme="1"/>
        <rFont val="Calibri"/>
        <family val="2"/>
        <scheme val="minor"/>
      </rPr>
      <t>collection days (DSO)</t>
    </r>
    <r>
      <rPr>
        <sz val="11"/>
        <color theme="1"/>
        <rFont val="Calibri"/>
        <family val="2"/>
        <scheme val="minor"/>
      </rPr>
      <t>.</t>
    </r>
  </si>
  <si>
    <t>Total Sales</t>
  </si>
  <si>
    <t>Credit Sales 10% on (TS)</t>
  </si>
  <si>
    <t xml:space="preserve">Days Sales Outstanding </t>
  </si>
  <si>
    <t>Collected Next Month</t>
  </si>
  <si>
    <t>DSO = (Accounts Receivable / Credit Sales)× 30</t>
  </si>
  <si>
    <t>AR (from last month)</t>
  </si>
  <si>
    <t>DPO = (Account Payable / Current Month Credit Purchases ​) × 30</t>
  </si>
  <si>
    <t>C) ACCOUNT RECEIVABLE AGING TABLE</t>
  </si>
  <si>
    <t>d) ACCOUNT PAYABLE AGING TABLE</t>
  </si>
  <si>
    <t>AP (Previous Month)</t>
  </si>
  <si>
    <t xml:space="preserve">Days Purchases Outstanding </t>
  </si>
  <si>
    <r>
      <t>DPO</t>
    </r>
    <r>
      <rPr>
        <sz val="11"/>
        <color theme="1"/>
        <rFont val="Calibri"/>
        <family val="2"/>
        <scheme val="minor"/>
      </rPr>
      <t xml:space="preserve"> = Average number of days Zomato takes to pay its vendors.</t>
    </r>
  </si>
  <si>
    <t>In our case, 15–30 days = standard.</t>
  </si>
  <si>
    <t>* Note</t>
  </si>
  <si>
    <r>
      <t>DSO</t>
    </r>
    <r>
      <rPr>
        <sz val="11"/>
        <color theme="1"/>
        <rFont val="Calibri"/>
        <family val="2"/>
        <scheme val="minor"/>
      </rPr>
      <t xml:space="preserve"> = Average number of days it takes to collect money from customers.</t>
    </r>
  </si>
  <si>
    <t>If payment term is 30 days → DSO = 30</t>
  </si>
  <si>
    <t>Helps you monitor if collections are on time</t>
  </si>
  <si>
    <t>Credit Purchases (INR)</t>
  </si>
  <si>
    <t>NWC</t>
  </si>
  <si>
    <t>Account Receivables</t>
  </si>
  <si>
    <t>Account Payables</t>
  </si>
  <si>
    <t>NWC = Accounts Receivable − Accounts Payable</t>
  </si>
  <si>
    <t>👉 Negative NWC = business owes more than it’s owed.</t>
  </si>
  <si>
    <t xml:space="preserve">e) NET WORKING CAPITAL </t>
  </si>
  <si>
    <t xml:space="preserve">f) CASH CONVERSION CYCLE (CCC) </t>
  </si>
  <si>
    <t>CCC=DSO+DIO−DPO</t>
  </si>
  <si>
    <r>
      <t xml:space="preserve">But since </t>
    </r>
    <r>
      <rPr>
        <b/>
        <sz val="11"/>
        <color theme="1"/>
        <rFont val="Calibri"/>
        <family val="2"/>
        <scheme val="minor"/>
      </rPr>
      <t>inventory (DIO)</t>
    </r>
    <r>
      <rPr>
        <sz val="11"/>
        <color theme="1"/>
        <rFont val="Calibri"/>
        <family val="2"/>
        <scheme val="minor"/>
      </rPr>
      <t xml:space="preserve"> is not in your table, we’ll assume:</t>
    </r>
  </si>
  <si>
    <t>You’re a service/B2B business (like Hyperpure or Zomato)</t>
  </si>
  <si>
    <r>
      <t xml:space="preserve">Inventory is negligible, so </t>
    </r>
    <r>
      <rPr>
        <b/>
        <sz val="11"/>
        <color theme="1"/>
        <rFont val="Calibri"/>
        <family val="2"/>
        <scheme val="minor"/>
      </rPr>
      <t>DIO ≈ 0</t>
    </r>
  </si>
  <si>
    <t>Then:</t>
  </si>
  <si>
    <t>CCO = DSO − DPO</t>
  </si>
  <si>
    <t>DSO (Days)</t>
  </si>
  <si>
    <t>DPO (Days)</t>
  </si>
  <si>
    <t>CCO (Days)</t>
  </si>
  <si>
    <r>
      <t>➡️ Net Working Capital is consistently negative</t>
    </r>
    <r>
      <rPr>
        <sz val="11"/>
        <color theme="1"/>
        <rFont val="Calibri"/>
        <family val="2"/>
        <scheme val="minor"/>
      </rPr>
      <t xml:space="preserve"> = your company collects fast (DSO) but pays vendors more (large AP).</t>
    </r>
  </si>
  <si>
    <r>
      <t>➡️ CCO stays around +0.02 to +0.07 days</t>
    </r>
    <r>
      <rPr>
        <sz val="11"/>
        <color theme="1"/>
        <rFont val="Calibri"/>
        <family val="2"/>
        <scheme val="minor"/>
      </rPr>
      <t xml:space="preserve"> = healthy cash flow cycle. You collect as fast as you pay.</t>
    </r>
  </si>
  <si>
    <r>
      <t xml:space="preserve">projecting your </t>
    </r>
    <r>
      <rPr>
        <b/>
        <sz val="11"/>
        <color theme="1"/>
        <rFont val="Calibri"/>
        <family val="2"/>
        <scheme val="minor"/>
      </rPr>
      <t>monthly cash position</t>
    </r>
    <r>
      <rPr>
        <sz val="11"/>
        <color theme="1"/>
        <rFont val="Calibri"/>
        <family val="2"/>
        <scheme val="minor"/>
      </rPr>
      <t xml:space="preserve"> based on:</t>
    </r>
  </si>
  <si>
    <t>Inflows (from sales collection)</t>
  </si>
  <si>
    <t>Outflows (expenses, vendor payments)</t>
  </si>
  <si>
    <t>Opening and closing cash balances</t>
  </si>
  <si>
    <t>Working capital movements</t>
  </si>
  <si>
    <t xml:space="preserve">g) CASH FLOW FORECAST TABLE </t>
  </si>
  <si>
    <t>Opening Cash</t>
  </si>
  <si>
    <t>Closing Cash</t>
  </si>
  <si>
    <t>Burn Rate</t>
  </si>
  <si>
    <t>💰 Inflow</t>
  </si>
  <si>
    <t>💸 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</si>
</sst>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9" formatCode="_ * #,##0_ ;_ * \-#,##0_ ;_ * &quot;-&quot;??_ ;_ @_ "/>
    <numFmt numFmtId="170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center" inden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6" fillId="0" borderId="0" xfId="0" applyFont="1"/>
    <xf numFmtId="0" fontId="7" fillId="0" borderId="0" xfId="0" applyFont="1"/>
    <xf numFmtId="0" fontId="8" fillId="0" borderId="0" xfId="0" applyFont="1"/>
    <xf numFmtId="169" fontId="0" fillId="0" borderId="0" xfId="1" applyNumberFormat="1" applyFont="1"/>
    <xf numFmtId="0" fontId="0" fillId="0" borderId="0" xfId="0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69" fontId="0" fillId="0" borderId="0" xfId="1" applyNumberFormat="1" applyFont="1" applyAlignment="1">
      <alignment horizontal="center" vertical="center"/>
    </xf>
    <xf numFmtId="17" fontId="0" fillId="3" borderId="1" xfId="0" applyNumberFormat="1" applyFont="1" applyFill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169" fontId="3" fillId="0" borderId="0" xfId="1" applyNumberFormat="1" applyFont="1"/>
    <xf numFmtId="170" fontId="0" fillId="0" borderId="0" xfId="2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169" fontId="0" fillId="0" borderId="0" xfId="0" applyNumberFormat="1"/>
    <xf numFmtId="43" fontId="0" fillId="0" borderId="0" xfId="1" applyNumberFormat="1" applyFont="1"/>
    <xf numFmtId="17" fontId="0" fillId="0" borderId="0" xfId="1" applyNumberFormat="1" applyFont="1"/>
    <xf numFmtId="2" fontId="0" fillId="0" borderId="0" xfId="0" applyNumberFormat="1"/>
    <xf numFmtId="17" fontId="0" fillId="3" borderId="2" xfId="0" applyNumberFormat="1" applyFont="1" applyFill="1" applyBorder="1" applyAlignment="1">
      <alignment horizontal="center" vertical="center"/>
    </xf>
    <xf numFmtId="17" fontId="0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57"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5" formatCode="_ * #,##0.00_ ;_ * \-#,##0.0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35" formatCode="_ * #,##0.00_ ;_ * \-#,##0.0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/yy"/>
      <alignment horizontal="center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_ * #,##0_ ;_ * \-#,##0_ ;_ * &quot;-&quot;??_ ;_ @_ "/>
      <alignment horizontal="center" vertical="center" textRotation="0" wrapText="0" indent="0" justifyLastLine="0" shrinkToFit="0" readingOrder="0"/>
    </dxf>
    <dxf>
      <numFmt numFmtId="22" formatCode="mmm/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47624</xdr:rowOff>
    </xdr:from>
    <xdr:to>
      <xdr:col>4</xdr:col>
      <xdr:colOff>1257300</xdr:colOff>
      <xdr:row>6</xdr:row>
      <xdr:rowOff>0</xdr:rowOff>
    </xdr:to>
    <xdr:sp macro="" textlink="">
      <xdr:nvSpPr>
        <xdr:cNvPr id="3" name="Rounded Rectangle 2"/>
        <xdr:cNvSpPr/>
      </xdr:nvSpPr>
      <xdr:spPr>
        <a:xfrm>
          <a:off x="257175" y="209549"/>
          <a:ext cx="4210050" cy="904876"/>
        </a:xfrm>
        <a:prstGeom prst="round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Company: Zomato </a:t>
          </a:r>
        </a:p>
        <a:p>
          <a:pPr algn="l"/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Project Title: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Cash Flow Forecasting &amp; Working Capital Management</a:t>
          </a:r>
          <a:r>
            <a:rPr lang="en-IN">
              <a:solidFill>
                <a:schemeClr val="tx1"/>
              </a:solidFill>
            </a:rPr>
            <a:t> </a:t>
          </a:r>
        </a:p>
        <a:p>
          <a:pPr algn="l"/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Period: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Apr 2024 to Mar 2025 (Monthly)</a:t>
          </a:r>
          <a:r>
            <a:rPr lang="en-IN">
              <a:solidFill>
                <a:schemeClr val="tx1"/>
              </a:solidFill>
            </a:rPr>
            <a:t> </a:t>
          </a:r>
        </a:p>
        <a:p>
          <a:pPr algn="l"/>
          <a:r>
            <a:rPr lang="en-IN" sz="11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Currency:</a:t>
          </a:r>
          <a:r>
            <a:rPr lang="en-I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INR</a:t>
          </a:r>
          <a:r>
            <a:rPr lang="en-IN">
              <a:solidFill>
                <a:schemeClr val="tx1"/>
              </a:solidFill>
            </a:rPr>
            <a:t> </a:t>
          </a:r>
          <a:endParaRPr lang="en-IN" sz="1100">
            <a:solidFill>
              <a:schemeClr val="tx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7:G29" totalsRowShown="0" headerRowDxfId="56" dataDxfId="55" dataCellStyle="Comma">
  <autoFilter ref="B17:G29"/>
  <tableColumns count="6">
    <tableColumn id="1" name="Month" dataDxfId="54"/>
    <tableColumn id="2" name="Food Delivery (INR)" dataDxfId="53" dataCellStyle="Comma"/>
    <tableColumn id="3" name="Dinning Out (INR)" dataDxfId="52" dataCellStyle="Comma"/>
    <tableColumn id="4" name="Hyperpure B2B (INR)" dataDxfId="51" dataCellStyle="Comma"/>
    <tableColumn id="5" name="Total Sales (INR)" dataDxfId="50" dataCellStyle="Comma">
      <calculatedColumnFormula>SUM(Table1[[#This Row],[Food Delivery (INR)]:[Hyperpure B2B (INR)]])</calculatedColumnFormula>
    </tableColumn>
    <tableColumn id="6" name="Sales Growth (%)" dataDxfId="49" dataCellStyle="Percent">
      <calculatedColumnFormula>IFERROR((Table1[[#This Row],[Total Sales (INR)]]-F17)/F17,"-")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7:M29" totalsRowShown="0" dataDxfId="43" dataCellStyle="Comma">
  <autoFilter ref="I17:M29"/>
  <tableColumns count="5">
    <tableColumn id="1" name="Month" dataDxfId="48"/>
    <tableColumn id="2" name="Total Sales (INR)" dataDxfId="47" dataCellStyle="Comma">
      <calculatedColumnFormula>Table1[[#This Row],[Total Sales (INR)]]</calculatedColumnFormula>
    </tableColumn>
    <tableColumn id="3" name="90% Current (INR)" dataDxfId="46" dataCellStyle="Comma">
      <calculatedColumnFormula>J18*90%</calculatedColumnFormula>
    </tableColumn>
    <tableColumn id="4" name="10% Next Month (INR)" dataDxfId="45" dataCellStyle="Comma">
      <calculatedColumnFormula>J17*10%</calculatedColumnFormula>
    </tableColumn>
    <tableColumn id="5" name="Total Inflow (INR)" dataDxfId="44" dataCellStyle="Comma">
      <calculatedColumnFormula>K18+L18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19:J31" totalsRowShown="0" headerRowDxfId="40" dataDxfId="41" dataCellStyle="Comma">
  <autoFilter ref="B19:J31"/>
  <tableColumns count="9">
    <tableColumn id="1" name="Month" dataDxfId="42"/>
    <tableColumn id="2" name="Salaries (INR)" dataDxfId="39" dataCellStyle="Comma"/>
    <tableColumn id="3" name="Rent (INR)" dataDxfId="38" dataCellStyle="Comma"/>
    <tableColumn id="4" name="Licences (INR)" dataDxfId="33" dataCellStyle="Comma"/>
    <tableColumn id="5" name="Delivery Cost (INR)" dataDxfId="36" dataCellStyle="Comma">
      <calculatedColumnFormula>'Sales Forecast &amp; Cash Inflow'!C18*40%</calculatedColumnFormula>
    </tableColumn>
    <tableColumn id="6" name="Marketing (INR)" dataDxfId="37" dataCellStyle="Comma">
      <calculatedColumnFormula>'Sales Forecast &amp; Cash Inflow'!F18*10%</calculatedColumnFormula>
    </tableColumn>
    <tableColumn id="7" name="Restaurant Commission (INR)" dataDxfId="35" dataCellStyle="Comma">
      <calculatedColumnFormula>'Sales Forecast &amp; Cash Inflow'!D18*20%</calculatedColumnFormula>
    </tableColumn>
    <tableColumn id="8" name="Logistics (INR)" dataDxfId="34" dataCellStyle="Comma">
      <calculatedColumnFormula>'Sales Forecast &amp; Cash Inflow'!E18*15%</calculatedColumnFormula>
    </tableColumn>
    <tableColumn id="9" name="Total Outflow (INR)" dataDxfId="32" dataCellStyle="Comma">
      <calculatedColumnFormula>SUM(Table4[[#This Row],[Salaries (INR)]:[Logistics (INR)]])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11:G23" totalsRowShown="0">
  <autoFilter ref="B11:G23"/>
  <tableColumns count="6">
    <tableColumn id="1" name="Month" dataDxfId="31"/>
    <tableColumn id="2" name="Total Sales" dataDxfId="30" dataCellStyle="Comma">
      <calculatedColumnFormula>'Sales Forecast &amp; Cash Inflow'!J18</calculatedColumnFormula>
    </tableColumn>
    <tableColumn id="3" name="Credit Sales 10% on (TS)" dataDxfId="27" dataCellStyle="Comma">
      <calculatedColumnFormula>ROUND(Table6[[#This Row],[Total Sales]]*10%,0)</calculatedColumnFormula>
    </tableColumn>
    <tableColumn id="4" name="Collected Next Month" dataDxfId="29" dataCellStyle="Comma"/>
    <tableColumn id="6" name="AR (from last month)" dataDxfId="28" dataCellStyle="Comma"/>
    <tableColumn id="7" name="Days Sales Outstanding " dataDxfId="26" dataCellStyle="Comma">
      <calculatedColumnFormula>IF(Table6[[#This Row],[Credit Sales 10% on (TS)]]=0, 0, ROUND((Table6[[#This Row],[AR (from last month)]]/Table6[[#This Row],[Credit Sales 10% on (TS)]])*30, 2))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I11:P23" totalsRowShown="0" headerRowDxfId="23" headerRowBorderDxfId="24" tableBorderDxfId="25">
  <autoFilter ref="I11:P23"/>
  <tableColumns count="8">
    <tableColumn id="1" name="Month" dataDxfId="22"/>
    <tableColumn id="2" name="Delivery Cost (INR)" dataDxfId="21" dataCellStyle="Comma">
      <calculatedColumnFormula>'Expenses Forecast &amp; Cash Outflo'!F20</calculatedColumnFormula>
    </tableColumn>
    <tableColumn id="3" name="Marketing (INR)" dataDxfId="20" dataCellStyle="Comma">
      <calculatedColumnFormula>'Expenses Forecast &amp; Cash Outflo'!G20</calculatedColumnFormula>
    </tableColumn>
    <tableColumn id="8" name="Restaurant Commission (INR)" dataDxfId="19" dataCellStyle="Comma">
      <calculatedColumnFormula>'Expenses Forecast &amp; Cash Outflo'!H20</calculatedColumnFormula>
    </tableColumn>
    <tableColumn id="4" name="Logistics (INR)" dataDxfId="18" dataCellStyle="Comma">
      <calculatedColumnFormula>'Expenses Forecast &amp; Cash Outflo'!I20</calculatedColumnFormula>
    </tableColumn>
    <tableColumn id="5" name="Credit Purchases (INR)" dataDxfId="17" dataCellStyle="Comma">
      <calculatedColumnFormula>SUM(Table7[[#This Row],[Delivery Cost (INR)]:[Logistics (INR)]])</calculatedColumnFormula>
    </tableColumn>
    <tableColumn id="6" name="AP (Previous Month)" dataDxfId="16" dataCellStyle="Comma"/>
    <tableColumn id="7" name="Days Purchases Outstanding " dataDxfId="15" dataCellStyle="Comma">
      <calculatedColumnFormula>IF(Table7[[#This Row],[Credit Purchases (INR)]]=0,0,ROUND((Table7[[#This Row],[AP (Previous Month)]]/Table7[[#This Row],[Credit Purchases (INR)]])*30,2))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B37:E49" totalsRowShown="0">
  <autoFilter ref="B37:E49"/>
  <tableColumns count="4">
    <tableColumn id="1" name="Month" dataDxfId="14"/>
    <tableColumn id="2" name="Account Receivables" dataDxfId="13" dataCellStyle="Comma">
      <calculatedColumnFormula>D12</calculatedColumnFormula>
    </tableColumn>
    <tableColumn id="3" name="Account Payables" dataDxfId="12" dataCellStyle="Comma">
      <calculatedColumnFormula>N12</calculatedColumnFormula>
    </tableColumn>
    <tableColumn id="4" name="NWC" dataDxfId="11" dataCellStyle="Comma">
      <calculatedColumnFormula>Table8[[#This Row],[Account Receivables]]-Table8[[#This Row],[Account Payables]]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K37:N49" totalsRowShown="0">
  <autoFilter ref="K37:N49"/>
  <tableColumns count="4">
    <tableColumn id="1" name="Month" dataDxfId="10"/>
    <tableColumn id="2" name="DSO (Days)" dataDxfId="9">
      <calculatedColumnFormula>G12</calculatedColumnFormula>
    </tableColumn>
    <tableColumn id="3" name="DPO (Days)" dataDxfId="8">
      <calculatedColumnFormula>P12</calculatedColumnFormula>
    </tableColumn>
    <tableColumn id="4" name="CCO (Days)" dataDxfId="7">
      <calculatedColumnFormula>Table9[[#This Row],[DSO (Days)]]-Table9[[#This Row],[DPO (Days)]]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10" displayName="Table10" ref="B12:H24" totalsRowShown="0">
  <autoFilter ref="B12:H24"/>
  <tableColumns count="7">
    <tableColumn id="1" name="Month" dataDxfId="6"/>
    <tableColumn id="2" name="Opening Cash" dataDxfId="1" dataCellStyle="Comma"/>
    <tableColumn id="3" name="💰 Inflow" dataDxfId="5" dataCellStyle="Comma">
      <calculatedColumnFormula>'Sales Forecast &amp; Cash Inflow'!M18</calculatedColumnFormula>
    </tableColumn>
    <tableColumn id="4" name="💸 Outflow" dataDxfId="4" dataCellStyle="Comma">
      <calculatedColumnFormula>'Expenses Forecast &amp; Cash Outflo'!J20</calculatedColumnFormula>
    </tableColumn>
    <tableColumn id="5" name="Net Cash Flow" dataDxfId="3" dataCellStyle="Comma">
      <calculatedColumnFormula>Table10[[#This Row],[💰 Inflow]]-Table10[[#This Row],[💸 Outflow]]</calculatedColumnFormula>
    </tableColumn>
    <tableColumn id="6" name="Closing Cash" dataDxfId="2" dataCellStyle="Comma">
      <calculatedColumnFormula>Table10[[#This Row],[Opening Cash]]+Table10[[#This Row],[Net Cash Flow]]</calculatedColumnFormula>
    </tableColumn>
    <tableColumn id="7" name="Burn Rate" dataDxfId="0" dataCellStyle="Comma">
      <calculatedColumnFormula>Table10[[#This Row],[💸 Outflow]]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8"/>
  <sheetViews>
    <sheetView workbookViewId="0">
      <selection activeCell="H18" sqref="H18"/>
    </sheetView>
  </sheetViews>
  <sheetFormatPr defaultRowHeight="15" x14ac:dyDescent="0.25"/>
  <cols>
    <col min="1" max="1" width="3.7109375" customWidth="1"/>
    <col min="8" max="8" width="3.7109375" customWidth="1"/>
  </cols>
  <sheetData>
    <row r="1" spans="2:9" ht="15" customHeight="1" x14ac:dyDescent="0.25"/>
    <row r="2" spans="2:9" ht="23.25" x14ac:dyDescent="0.25">
      <c r="B2" s="1" t="s">
        <v>20</v>
      </c>
      <c r="I2" s="3"/>
    </row>
    <row r="3" spans="2:9" x14ac:dyDescent="0.25">
      <c r="B3" s="1" t="s">
        <v>0</v>
      </c>
    </row>
    <row r="4" spans="2:9" x14ac:dyDescent="0.25">
      <c r="B4" s="1" t="s">
        <v>1</v>
      </c>
    </row>
    <row r="5" spans="2:9" x14ac:dyDescent="0.25">
      <c r="I5" s="2"/>
    </row>
    <row r="6" spans="2:9" x14ac:dyDescent="0.25">
      <c r="B6" s="1" t="s">
        <v>2</v>
      </c>
      <c r="I6" s="4" t="s">
        <v>9</v>
      </c>
    </row>
    <row r="7" spans="2:9" x14ac:dyDescent="0.25">
      <c r="B7" s="2"/>
      <c r="I7" s="2" t="s">
        <v>10</v>
      </c>
    </row>
    <row r="8" spans="2:9" x14ac:dyDescent="0.25">
      <c r="B8" s="2" t="s">
        <v>3</v>
      </c>
      <c r="I8" s="4" t="s">
        <v>11</v>
      </c>
    </row>
    <row r="9" spans="2:9" x14ac:dyDescent="0.25">
      <c r="B9" s="2"/>
      <c r="I9" s="2" t="s">
        <v>12</v>
      </c>
    </row>
    <row r="10" spans="2:9" x14ac:dyDescent="0.25">
      <c r="B10" s="2" t="s">
        <v>4</v>
      </c>
      <c r="I10" s="4" t="s">
        <v>13</v>
      </c>
    </row>
    <row r="11" spans="2:9" x14ac:dyDescent="0.25">
      <c r="B11" s="2"/>
      <c r="I11" s="2" t="s">
        <v>14</v>
      </c>
    </row>
    <row r="12" spans="2:9" x14ac:dyDescent="0.25">
      <c r="B12" s="2" t="s">
        <v>5</v>
      </c>
      <c r="I12" s="4" t="s">
        <v>15</v>
      </c>
    </row>
    <row r="13" spans="2:9" x14ac:dyDescent="0.25">
      <c r="B13" s="2"/>
      <c r="I13" s="2" t="s">
        <v>16</v>
      </c>
    </row>
    <row r="14" spans="2:9" x14ac:dyDescent="0.25">
      <c r="B14" s="2" t="s">
        <v>6</v>
      </c>
      <c r="I14" s="4" t="s">
        <v>17</v>
      </c>
    </row>
    <row r="15" spans="2:9" x14ac:dyDescent="0.25">
      <c r="B15" s="2"/>
      <c r="I15" s="2" t="s">
        <v>18</v>
      </c>
    </row>
    <row r="16" spans="2:9" x14ac:dyDescent="0.25">
      <c r="B16" s="2" t="s">
        <v>7</v>
      </c>
      <c r="I16" s="4" t="s">
        <v>19</v>
      </c>
    </row>
    <row r="17" spans="9:9" x14ac:dyDescent="0.25">
      <c r="I17" s="2"/>
    </row>
    <row r="18" spans="9:9" x14ac:dyDescent="0.25">
      <c r="I18" s="4"/>
    </row>
    <row r="20" spans="9:9" ht="23.25" x14ac:dyDescent="0.25">
      <c r="I20" s="3"/>
    </row>
    <row r="22" spans="9:9" x14ac:dyDescent="0.25">
      <c r="I22" s="1"/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2" spans="9:9" ht="23.25" x14ac:dyDescent="0.25">
      <c r="I32" s="3"/>
    </row>
    <row r="35" spans="9:9" x14ac:dyDescent="0.25">
      <c r="I35" s="2"/>
    </row>
    <row r="36" spans="9:9" x14ac:dyDescent="0.25">
      <c r="I36" s="4"/>
    </row>
    <row r="37" spans="9:9" x14ac:dyDescent="0.25">
      <c r="I37" s="2"/>
    </row>
    <row r="38" spans="9:9" x14ac:dyDescent="0.25">
      <c r="I38" s="4"/>
    </row>
    <row r="39" spans="9:9" x14ac:dyDescent="0.25">
      <c r="I39" s="2"/>
    </row>
    <row r="40" spans="9:9" x14ac:dyDescent="0.25">
      <c r="I40" s="4"/>
    </row>
    <row r="41" spans="9:9" x14ac:dyDescent="0.25">
      <c r="I41" s="2"/>
    </row>
    <row r="42" spans="9:9" x14ac:dyDescent="0.25">
      <c r="I42" s="4"/>
    </row>
    <row r="44" spans="9:9" ht="23.25" x14ac:dyDescent="0.25">
      <c r="I44" s="3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6" spans="9:9" ht="23.25" x14ac:dyDescent="0.25">
      <c r="I56" s="3"/>
    </row>
    <row r="57" spans="9:9" x14ac:dyDescent="0.25">
      <c r="I57" s="2"/>
    </row>
    <row r="58" spans="9:9" x14ac:dyDescent="0.25">
      <c r="I58" s="2"/>
    </row>
    <row r="59" spans="9:9" x14ac:dyDescent="0.25">
      <c r="I59" s="2"/>
    </row>
    <row r="60" spans="9:9" x14ac:dyDescent="0.25">
      <c r="I60" s="4"/>
    </row>
    <row r="61" spans="9:9" x14ac:dyDescent="0.25">
      <c r="I61" s="2"/>
    </row>
    <row r="62" spans="9:9" x14ac:dyDescent="0.25">
      <c r="I62" s="2"/>
    </row>
    <row r="63" spans="9:9" x14ac:dyDescent="0.25">
      <c r="I63" s="2"/>
    </row>
    <row r="64" spans="9:9" x14ac:dyDescent="0.25">
      <c r="I64" s="2"/>
    </row>
    <row r="66" spans="9:9" ht="23.25" x14ac:dyDescent="0.25">
      <c r="I66" s="3"/>
    </row>
    <row r="69" spans="9:9" x14ac:dyDescent="0.25">
      <c r="I69" s="2"/>
    </row>
    <row r="70" spans="9:9" x14ac:dyDescent="0.25">
      <c r="I70" s="2"/>
    </row>
    <row r="71" spans="9:9" x14ac:dyDescent="0.25">
      <c r="I71" s="2"/>
    </row>
    <row r="72" spans="9:9" x14ac:dyDescent="0.25">
      <c r="I72" s="2"/>
    </row>
    <row r="73" spans="9:9" x14ac:dyDescent="0.25">
      <c r="I73" s="2"/>
    </row>
    <row r="74" spans="9:9" x14ac:dyDescent="0.25">
      <c r="I74" s="2"/>
    </row>
    <row r="76" spans="9:9" ht="23.25" x14ac:dyDescent="0.25">
      <c r="I76" s="3"/>
    </row>
    <row r="79" spans="9:9" x14ac:dyDescent="0.25">
      <c r="I79" s="2"/>
    </row>
    <row r="80" spans="9:9" x14ac:dyDescent="0.25">
      <c r="I80" s="2"/>
    </row>
    <row r="81" spans="9:9" x14ac:dyDescent="0.25">
      <c r="I81" s="2"/>
    </row>
    <row r="82" spans="9:9" x14ac:dyDescent="0.25">
      <c r="I82" s="2"/>
    </row>
    <row r="83" spans="9:9" x14ac:dyDescent="0.25">
      <c r="I83" s="2"/>
    </row>
    <row r="84" spans="9:9" x14ac:dyDescent="0.25">
      <c r="I84" s="2"/>
    </row>
    <row r="85" spans="9:9" x14ac:dyDescent="0.25">
      <c r="I85" s="2"/>
    </row>
    <row r="86" spans="9:9" x14ac:dyDescent="0.25">
      <c r="I86" s="2"/>
    </row>
    <row r="87" spans="9:9" x14ac:dyDescent="0.25">
      <c r="I87" s="2"/>
    </row>
    <row r="88" spans="9:9" x14ac:dyDescent="0.25">
      <c r="I8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opLeftCell="A2" workbookViewId="0">
      <selection activeCell="A13" sqref="A13"/>
    </sheetView>
  </sheetViews>
  <sheetFormatPr defaultRowHeight="15" x14ac:dyDescent="0.25"/>
  <cols>
    <col min="1" max="1" width="3.7109375" customWidth="1"/>
    <col min="3" max="3" width="20.42578125" customWidth="1"/>
    <col min="4" max="4" width="18.7109375" customWidth="1"/>
    <col min="5" max="5" width="21.28515625" customWidth="1"/>
    <col min="6" max="6" width="17.5703125" customWidth="1"/>
    <col min="7" max="7" width="21.140625" bestFit="1" customWidth="1"/>
    <col min="8" max="8" width="5.7109375" customWidth="1"/>
    <col min="10" max="10" width="17.5703125" customWidth="1"/>
    <col min="11" max="11" width="18.85546875" customWidth="1"/>
    <col min="12" max="12" width="22.85546875" customWidth="1"/>
    <col min="13" max="13" width="18.7109375" customWidth="1"/>
  </cols>
  <sheetData>
    <row r="1" spans="2:13" ht="12.95" customHeight="1" x14ac:dyDescent="0.25"/>
    <row r="2" spans="2:13" ht="15" customHeight="1" x14ac:dyDescent="0.25">
      <c r="H2" s="5" t="s">
        <v>21</v>
      </c>
    </row>
    <row r="3" spans="2:13" x14ac:dyDescent="0.25">
      <c r="H3" s="2"/>
    </row>
    <row r="4" spans="2:13" x14ac:dyDescent="0.25">
      <c r="H4" s="2" t="s">
        <v>22</v>
      </c>
    </row>
    <row r="5" spans="2:13" x14ac:dyDescent="0.25">
      <c r="H5" s="2"/>
    </row>
    <row r="6" spans="2:13" x14ac:dyDescent="0.25">
      <c r="H6" s="2" t="s">
        <v>23</v>
      </c>
    </row>
    <row r="7" spans="2:13" x14ac:dyDescent="0.25">
      <c r="H7" s="2"/>
    </row>
    <row r="8" spans="2:13" x14ac:dyDescent="0.25">
      <c r="B8" s="1"/>
      <c r="H8" s="2" t="s">
        <v>24</v>
      </c>
    </row>
    <row r="9" spans="2:13" x14ac:dyDescent="0.25">
      <c r="B9" s="1"/>
      <c r="H9" s="2"/>
    </row>
    <row r="10" spans="2:13" x14ac:dyDescent="0.25">
      <c r="B10" s="1"/>
      <c r="H10" s="2" t="s">
        <v>25</v>
      </c>
    </row>
    <row r="11" spans="2:13" x14ac:dyDescent="0.25">
      <c r="B11" s="1"/>
    </row>
    <row r="12" spans="2:13" ht="18.75" x14ac:dyDescent="0.3">
      <c r="B12" s="6" t="s">
        <v>26</v>
      </c>
    </row>
    <row r="14" spans="2:13" ht="18.75" x14ac:dyDescent="0.3">
      <c r="B14" s="7" t="s">
        <v>37</v>
      </c>
      <c r="I14" s="7" t="s">
        <v>38</v>
      </c>
    </row>
    <row r="15" spans="2:13" ht="12.95" customHeight="1" x14ac:dyDescent="0.3">
      <c r="B15" s="7"/>
    </row>
    <row r="16" spans="2:13" x14ac:dyDescent="0.25">
      <c r="B16" s="1" t="s">
        <v>36</v>
      </c>
      <c r="C16" s="14">
        <f>SUBTOTAL(9,C18:C29)</f>
        <v>17700000</v>
      </c>
      <c r="D16" s="14">
        <f t="shared" ref="D16:F16" si="0">SUBTOTAL(9,D18:D29)</f>
        <v>4920000</v>
      </c>
      <c r="E16" s="14">
        <f t="shared" si="0"/>
        <v>6660000</v>
      </c>
      <c r="F16" s="14">
        <f t="shared" si="0"/>
        <v>29280000</v>
      </c>
      <c r="G16" s="14"/>
      <c r="I16" s="1" t="s">
        <v>36</v>
      </c>
      <c r="J16" s="14">
        <f>SUBTOTAL(9,Table2[Total Sales (INR)])</f>
        <v>29280000</v>
      </c>
      <c r="K16" s="14">
        <f>SUBTOTAL(9,Table2[90% Current (INR)])</f>
        <v>26352000</v>
      </c>
      <c r="L16" s="14">
        <f>SUBTOTAL(9,Table2[10% Next Month (INR)])</f>
        <v>2640000</v>
      </c>
      <c r="M16" s="14">
        <f>SUBTOTAL(9,Table2[Total Inflow (INR)])</f>
        <v>28992000</v>
      </c>
    </row>
    <row r="17" spans="2:15" x14ac:dyDescent="0.25">
      <c r="B17" s="9" t="s">
        <v>27</v>
      </c>
      <c r="C17" s="9" t="s">
        <v>28</v>
      </c>
      <c r="D17" s="9" t="s">
        <v>29</v>
      </c>
      <c r="E17" s="9" t="s">
        <v>30</v>
      </c>
      <c r="F17" s="9" t="s">
        <v>31</v>
      </c>
      <c r="G17" s="9" t="s">
        <v>32</v>
      </c>
      <c r="I17" t="s">
        <v>27</v>
      </c>
      <c r="J17" t="s">
        <v>31</v>
      </c>
      <c r="K17" t="s">
        <v>33</v>
      </c>
      <c r="L17" t="s">
        <v>34</v>
      </c>
      <c r="M17" t="s">
        <v>35</v>
      </c>
    </row>
    <row r="18" spans="2:15" x14ac:dyDescent="0.25">
      <c r="B18" s="10">
        <v>45383</v>
      </c>
      <c r="C18" s="11">
        <v>1200000</v>
      </c>
      <c r="D18" s="11">
        <v>300000</v>
      </c>
      <c r="E18" s="11">
        <v>500000</v>
      </c>
      <c r="F18" s="11">
        <f>SUM(Table1[[#This Row],[Food Delivery (INR)]:[Hyperpure B2B (INR)]])</f>
        <v>2000000</v>
      </c>
      <c r="G18" s="15" t="str">
        <f>IFERROR((Table1[[#This Row],[Total Sales (INR)]]-F17)/F17,"-")</f>
        <v>-</v>
      </c>
      <c r="I18" s="12">
        <v>45383</v>
      </c>
      <c r="J18" s="8">
        <f>Table1[[#This Row],[Total Sales (INR)]]</f>
        <v>2000000</v>
      </c>
      <c r="K18" s="8">
        <f>J18*90%</f>
        <v>1800000</v>
      </c>
      <c r="L18" s="8">
        <v>0</v>
      </c>
      <c r="M18" s="8">
        <f>K18+L18</f>
        <v>1800000</v>
      </c>
      <c r="O18" s="20"/>
    </row>
    <row r="19" spans="2:15" x14ac:dyDescent="0.25">
      <c r="B19" s="10">
        <v>45413</v>
      </c>
      <c r="C19" s="11">
        <v>1250000</v>
      </c>
      <c r="D19" s="11">
        <v>320000</v>
      </c>
      <c r="E19" s="11">
        <v>510000</v>
      </c>
      <c r="F19" s="11">
        <f>SUM(Table1[[#This Row],[Food Delivery (INR)]:[Hyperpure B2B (INR)]])</f>
        <v>2080000</v>
      </c>
      <c r="G19" s="15">
        <f>IFERROR((Table1[[#This Row],[Total Sales (INR)]]-F18)/F18,"-")</f>
        <v>0.04</v>
      </c>
      <c r="I19" s="13">
        <v>45413</v>
      </c>
      <c r="J19" s="8">
        <f>Table1[[#This Row],[Total Sales (INR)]]</f>
        <v>2080000</v>
      </c>
      <c r="K19" s="8">
        <f t="shared" ref="K19:K29" si="1">J19*90%</f>
        <v>1872000</v>
      </c>
      <c r="L19" s="8">
        <f>J18*10%</f>
        <v>200000</v>
      </c>
      <c r="M19" s="8">
        <f t="shared" ref="M19:M29" si="2">K19+L19</f>
        <v>2072000</v>
      </c>
    </row>
    <row r="20" spans="2:15" x14ac:dyDescent="0.25">
      <c r="B20" s="10">
        <v>45444</v>
      </c>
      <c r="C20" s="11">
        <v>1300000</v>
      </c>
      <c r="D20" s="11">
        <v>340000</v>
      </c>
      <c r="E20" s="11">
        <v>520000</v>
      </c>
      <c r="F20" s="11">
        <f>SUM(Table1[[#This Row],[Food Delivery (INR)]:[Hyperpure B2B (INR)]])</f>
        <v>2160000</v>
      </c>
      <c r="G20" s="15">
        <f>IFERROR((Table1[[#This Row],[Total Sales (INR)]]-F19)/F19,"-")</f>
        <v>3.8461538461538464E-2</v>
      </c>
      <c r="I20" s="12">
        <v>45444</v>
      </c>
      <c r="J20" s="8">
        <f>Table1[[#This Row],[Total Sales (INR)]]</f>
        <v>2160000</v>
      </c>
      <c r="K20" s="8">
        <f t="shared" si="1"/>
        <v>1944000</v>
      </c>
      <c r="L20" s="8">
        <f t="shared" ref="L20:L29" si="3">J19*10%</f>
        <v>208000</v>
      </c>
      <c r="M20" s="8">
        <f t="shared" si="2"/>
        <v>2152000</v>
      </c>
    </row>
    <row r="21" spans="2:15" x14ac:dyDescent="0.25">
      <c r="B21" s="10">
        <v>45474</v>
      </c>
      <c r="C21" s="11">
        <v>1350000</v>
      </c>
      <c r="D21" s="11">
        <v>360000</v>
      </c>
      <c r="E21" s="11">
        <v>530000</v>
      </c>
      <c r="F21" s="11">
        <f>SUM(Table1[[#This Row],[Food Delivery (INR)]:[Hyperpure B2B (INR)]])</f>
        <v>2240000</v>
      </c>
      <c r="G21" s="15">
        <f>IFERROR((Table1[[#This Row],[Total Sales (INR)]]-F20)/F20,"-")</f>
        <v>3.7037037037037035E-2</v>
      </c>
      <c r="I21" s="13">
        <v>45474</v>
      </c>
      <c r="J21" s="8">
        <f>Table1[[#This Row],[Total Sales (INR)]]</f>
        <v>2240000</v>
      </c>
      <c r="K21" s="8">
        <f t="shared" si="1"/>
        <v>2016000</v>
      </c>
      <c r="L21" s="8">
        <f t="shared" si="3"/>
        <v>216000</v>
      </c>
      <c r="M21" s="8">
        <f t="shared" si="2"/>
        <v>2232000</v>
      </c>
    </row>
    <row r="22" spans="2:15" x14ac:dyDescent="0.25">
      <c r="B22" s="10">
        <v>45505</v>
      </c>
      <c r="C22" s="11">
        <v>1400000</v>
      </c>
      <c r="D22" s="11">
        <v>380000</v>
      </c>
      <c r="E22" s="11">
        <v>540000</v>
      </c>
      <c r="F22" s="11">
        <f>SUM(Table1[[#This Row],[Food Delivery (INR)]:[Hyperpure B2B (INR)]])</f>
        <v>2320000</v>
      </c>
      <c r="G22" s="15">
        <f>IFERROR((Table1[[#This Row],[Total Sales (INR)]]-F21)/F21,"-")</f>
        <v>3.5714285714285712E-2</v>
      </c>
      <c r="I22" s="12">
        <v>45505</v>
      </c>
      <c r="J22" s="8">
        <f>Table1[[#This Row],[Total Sales (INR)]]</f>
        <v>2320000</v>
      </c>
      <c r="K22" s="8">
        <f t="shared" si="1"/>
        <v>2088000</v>
      </c>
      <c r="L22" s="8">
        <f t="shared" si="3"/>
        <v>224000</v>
      </c>
      <c r="M22" s="8">
        <f t="shared" si="2"/>
        <v>2312000</v>
      </c>
    </row>
    <row r="23" spans="2:15" x14ac:dyDescent="0.25">
      <c r="B23" s="10">
        <v>45536</v>
      </c>
      <c r="C23" s="11">
        <v>1450000</v>
      </c>
      <c r="D23" s="11">
        <v>400000</v>
      </c>
      <c r="E23" s="11">
        <v>550000</v>
      </c>
      <c r="F23" s="11">
        <f>SUM(Table1[[#This Row],[Food Delivery (INR)]:[Hyperpure B2B (INR)]])</f>
        <v>2400000</v>
      </c>
      <c r="G23" s="15">
        <f>IFERROR((Table1[[#This Row],[Total Sales (INR)]]-F22)/F22,"-")</f>
        <v>3.4482758620689655E-2</v>
      </c>
      <c r="I23" s="13">
        <v>45536</v>
      </c>
      <c r="J23" s="8">
        <f>Table1[[#This Row],[Total Sales (INR)]]</f>
        <v>2400000</v>
      </c>
      <c r="K23" s="8">
        <f t="shared" si="1"/>
        <v>2160000</v>
      </c>
      <c r="L23" s="8">
        <f t="shared" si="3"/>
        <v>232000</v>
      </c>
      <c r="M23" s="8">
        <f t="shared" si="2"/>
        <v>2392000</v>
      </c>
    </row>
    <row r="24" spans="2:15" x14ac:dyDescent="0.25">
      <c r="B24" s="10">
        <v>45566</v>
      </c>
      <c r="C24" s="11">
        <v>1500000</v>
      </c>
      <c r="D24" s="11">
        <v>420000</v>
      </c>
      <c r="E24" s="11">
        <v>560000</v>
      </c>
      <c r="F24" s="11">
        <f>SUM(Table1[[#This Row],[Food Delivery (INR)]:[Hyperpure B2B (INR)]])</f>
        <v>2480000</v>
      </c>
      <c r="G24" s="15">
        <f>IFERROR((Table1[[#This Row],[Total Sales (INR)]]-F23)/F23,"-")</f>
        <v>3.3333333333333333E-2</v>
      </c>
      <c r="I24" s="12">
        <v>45566</v>
      </c>
      <c r="J24" s="8">
        <f>Table1[[#This Row],[Total Sales (INR)]]</f>
        <v>2480000</v>
      </c>
      <c r="K24" s="8">
        <f t="shared" si="1"/>
        <v>2232000</v>
      </c>
      <c r="L24" s="8">
        <f t="shared" si="3"/>
        <v>240000</v>
      </c>
      <c r="M24" s="8">
        <f t="shared" si="2"/>
        <v>2472000</v>
      </c>
    </row>
    <row r="25" spans="2:15" x14ac:dyDescent="0.25">
      <c r="B25" s="10">
        <v>45597</v>
      </c>
      <c r="C25" s="11">
        <v>1550000</v>
      </c>
      <c r="D25" s="11">
        <v>440000</v>
      </c>
      <c r="E25" s="11">
        <v>570000</v>
      </c>
      <c r="F25" s="11">
        <f>SUM(Table1[[#This Row],[Food Delivery (INR)]:[Hyperpure B2B (INR)]])</f>
        <v>2560000</v>
      </c>
      <c r="G25" s="15">
        <f>IFERROR((Table1[[#This Row],[Total Sales (INR)]]-F24)/F24,"-")</f>
        <v>3.2258064516129031E-2</v>
      </c>
      <c r="I25" s="13">
        <v>45597</v>
      </c>
      <c r="J25" s="8">
        <f>Table1[[#This Row],[Total Sales (INR)]]</f>
        <v>2560000</v>
      </c>
      <c r="K25" s="8">
        <f t="shared" si="1"/>
        <v>2304000</v>
      </c>
      <c r="L25" s="8">
        <f t="shared" si="3"/>
        <v>248000</v>
      </c>
      <c r="M25" s="8">
        <f t="shared" si="2"/>
        <v>2552000</v>
      </c>
    </row>
    <row r="26" spans="2:15" x14ac:dyDescent="0.25">
      <c r="B26" s="10">
        <v>45627</v>
      </c>
      <c r="C26" s="11">
        <v>1600000</v>
      </c>
      <c r="D26" s="11">
        <v>460000</v>
      </c>
      <c r="E26" s="11">
        <v>580000</v>
      </c>
      <c r="F26" s="11">
        <f>SUM(Table1[[#This Row],[Food Delivery (INR)]:[Hyperpure B2B (INR)]])</f>
        <v>2640000</v>
      </c>
      <c r="G26" s="15">
        <f>IFERROR((Table1[[#This Row],[Total Sales (INR)]]-F25)/F25,"-")</f>
        <v>3.125E-2</v>
      </c>
      <c r="I26" s="12">
        <v>45627</v>
      </c>
      <c r="J26" s="8">
        <f>Table1[[#This Row],[Total Sales (INR)]]</f>
        <v>2640000</v>
      </c>
      <c r="K26" s="8">
        <f t="shared" si="1"/>
        <v>2376000</v>
      </c>
      <c r="L26" s="8">
        <f t="shared" si="3"/>
        <v>256000</v>
      </c>
      <c r="M26" s="8">
        <f t="shared" si="2"/>
        <v>2632000</v>
      </c>
    </row>
    <row r="27" spans="2:15" x14ac:dyDescent="0.25">
      <c r="B27" s="10">
        <v>45658</v>
      </c>
      <c r="C27" s="11">
        <v>1650000</v>
      </c>
      <c r="D27" s="11">
        <v>480000</v>
      </c>
      <c r="E27" s="11">
        <v>590000</v>
      </c>
      <c r="F27" s="11">
        <f>SUM(Table1[[#This Row],[Food Delivery (INR)]:[Hyperpure B2B (INR)]])</f>
        <v>2720000</v>
      </c>
      <c r="G27" s="15">
        <f>IFERROR((Table1[[#This Row],[Total Sales (INR)]]-F26)/F26,"-")</f>
        <v>3.0303030303030304E-2</v>
      </c>
      <c r="I27" s="13">
        <v>45658</v>
      </c>
      <c r="J27" s="8">
        <f>Table1[[#This Row],[Total Sales (INR)]]</f>
        <v>2720000</v>
      </c>
      <c r="K27" s="8">
        <f t="shared" si="1"/>
        <v>2448000</v>
      </c>
      <c r="L27" s="8">
        <f t="shared" si="3"/>
        <v>264000</v>
      </c>
      <c r="M27" s="8">
        <f t="shared" si="2"/>
        <v>2712000</v>
      </c>
    </row>
    <row r="28" spans="2:15" x14ac:dyDescent="0.25">
      <c r="B28" s="10">
        <v>45689</v>
      </c>
      <c r="C28" s="11">
        <v>1700000</v>
      </c>
      <c r="D28" s="11">
        <v>500000</v>
      </c>
      <c r="E28" s="11">
        <v>600000</v>
      </c>
      <c r="F28" s="11">
        <f>SUM(Table1[[#This Row],[Food Delivery (INR)]:[Hyperpure B2B (INR)]])</f>
        <v>2800000</v>
      </c>
      <c r="G28" s="15">
        <f>IFERROR((Table1[[#This Row],[Total Sales (INR)]]-F27)/F27,"-")</f>
        <v>2.9411764705882353E-2</v>
      </c>
      <c r="I28" s="12">
        <v>45689</v>
      </c>
      <c r="J28" s="8">
        <f>Table1[[#This Row],[Total Sales (INR)]]</f>
        <v>2800000</v>
      </c>
      <c r="K28" s="8">
        <f t="shared" si="1"/>
        <v>2520000</v>
      </c>
      <c r="L28" s="8">
        <f t="shared" si="3"/>
        <v>272000</v>
      </c>
      <c r="M28" s="8">
        <f t="shared" si="2"/>
        <v>2792000</v>
      </c>
    </row>
    <row r="29" spans="2:15" x14ac:dyDescent="0.25">
      <c r="B29" s="10">
        <v>45717</v>
      </c>
      <c r="C29" s="11">
        <v>1750000</v>
      </c>
      <c r="D29" s="11">
        <v>520000</v>
      </c>
      <c r="E29" s="11">
        <v>610000</v>
      </c>
      <c r="F29" s="11">
        <f>SUM(Table1[[#This Row],[Food Delivery (INR)]:[Hyperpure B2B (INR)]])</f>
        <v>2880000</v>
      </c>
      <c r="G29" s="15">
        <f>IFERROR((Table1[[#This Row],[Total Sales (INR)]]-F28)/F28,"-")</f>
        <v>2.8571428571428571E-2</v>
      </c>
      <c r="I29" s="13">
        <v>45717</v>
      </c>
      <c r="J29" s="8">
        <f>Table1[[#This Row],[Total Sales (INR)]]</f>
        <v>2880000</v>
      </c>
      <c r="K29" s="8">
        <f t="shared" si="1"/>
        <v>2592000</v>
      </c>
      <c r="L29" s="8">
        <f t="shared" si="3"/>
        <v>280000</v>
      </c>
      <c r="M29" s="8">
        <f t="shared" si="2"/>
        <v>2872000</v>
      </c>
    </row>
    <row r="31" spans="2:15" x14ac:dyDescent="0.25">
      <c r="B31" t="s">
        <v>39</v>
      </c>
      <c r="I31" t="s">
        <v>40</v>
      </c>
    </row>
    <row r="32" spans="2:15" x14ac:dyDescent="0.25">
      <c r="I32" t="s">
        <v>41</v>
      </c>
    </row>
    <row r="33" spans="9:9" x14ac:dyDescent="0.25">
      <c r="I33" t="s">
        <v>42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workbookViewId="0">
      <selection activeCell="I1" sqref="I1"/>
    </sheetView>
  </sheetViews>
  <sheetFormatPr defaultRowHeight="15" x14ac:dyDescent="0.25"/>
  <cols>
    <col min="1" max="1" width="3.28515625" customWidth="1"/>
    <col min="3" max="3" width="15" customWidth="1"/>
    <col min="4" max="4" width="12.28515625" customWidth="1"/>
    <col min="5" max="5" width="15.5703125" customWidth="1"/>
    <col min="6" max="6" width="19.85546875" customWidth="1"/>
    <col min="7" max="7" width="17.28515625" customWidth="1"/>
    <col min="8" max="8" width="29" customWidth="1"/>
    <col min="9" max="9" width="15.5703125" customWidth="1"/>
    <col min="10" max="10" width="20.28515625" customWidth="1"/>
  </cols>
  <sheetData>
    <row r="1" spans="2:10" ht="12.95" customHeight="1" x14ac:dyDescent="0.3">
      <c r="E1" s="6"/>
      <c r="F1" s="6"/>
      <c r="G1" s="6"/>
      <c r="H1" s="6"/>
      <c r="I1" s="6"/>
      <c r="J1" s="6"/>
    </row>
    <row r="2" spans="2:10" ht="18.75" x14ac:dyDescent="0.3">
      <c r="B2" t="s">
        <v>44</v>
      </c>
      <c r="C2" s="6"/>
      <c r="D2" s="6"/>
      <c r="E2" s="6"/>
      <c r="F2" s="6"/>
      <c r="G2" s="6"/>
      <c r="H2" s="16" t="s">
        <v>55</v>
      </c>
      <c r="I2" s="6"/>
    </row>
    <row r="3" spans="2:10" x14ac:dyDescent="0.25">
      <c r="B3" t="s">
        <v>45</v>
      </c>
      <c r="H3" s="2"/>
    </row>
    <row r="4" spans="2:10" x14ac:dyDescent="0.25">
      <c r="B4" t="s">
        <v>46</v>
      </c>
      <c r="H4" s="2" t="s">
        <v>56</v>
      </c>
    </row>
    <row r="5" spans="2:10" x14ac:dyDescent="0.25">
      <c r="B5" t="s">
        <v>47</v>
      </c>
      <c r="H5" s="2"/>
    </row>
    <row r="6" spans="2:10" x14ac:dyDescent="0.25">
      <c r="B6" t="s">
        <v>48</v>
      </c>
      <c r="H6" s="2" t="s">
        <v>57</v>
      </c>
    </row>
    <row r="7" spans="2:10" x14ac:dyDescent="0.25">
      <c r="B7" t="s">
        <v>49</v>
      </c>
      <c r="H7" s="2"/>
    </row>
    <row r="8" spans="2:10" x14ac:dyDescent="0.25">
      <c r="B8" t="s">
        <v>50</v>
      </c>
      <c r="H8" s="2" t="s">
        <v>58</v>
      </c>
    </row>
    <row r="9" spans="2:10" x14ac:dyDescent="0.25">
      <c r="B9" t="s">
        <v>51</v>
      </c>
      <c r="H9" s="2"/>
    </row>
    <row r="10" spans="2:10" x14ac:dyDescent="0.25">
      <c r="B10" t="s">
        <v>52</v>
      </c>
      <c r="H10" s="2" t="s">
        <v>59</v>
      </c>
    </row>
    <row r="11" spans="2:10" x14ac:dyDescent="0.25">
      <c r="B11" t="s">
        <v>53</v>
      </c>
      <c r="H11" s="2"/>
    </row>
    <row r="12" spans="2:10" x14ac:dyDescent="0.25">
      <c r="H12" s="2" t="s">
        <v>60</v>
      </c>
    </row>
    <row r="14" spans="2:10" ht="18.75" x14ac:dyDescent="0.3">
      <c r="B14" s="6" t="s">
        <v>43</v>
      </c>
    </row>
    <row r="16" spans="2:10" ht="18.75" x14ac:dyDescent="0.3">
      <c r="B16" s="7" t="s">
        <v>54</v>
      </c>
    </row>
    <row r="17" spans="2:10" ht="12.95" customHeight="1" x14ac:dyDescent="0.3">
      <c r="B17" s="7"/>
    </row>
    <row r="18" spans="2:10" x14ac:dyDescent="0.25">
      <c r="B18" s="1" t="s">
        <v>36</v>
      </c>
      <c r="C18" s="14">
        <f>SUBTOTAL(9,Table4[Salaries (INR)])</f>
        <v>3600000</v>
      </c>
      <c r="D18" s="14">
        <f>SUBTOTAL(9,Table4[Rent (INR)])</f>
        <v>1200000</v>
      </c>
      <c r="E18" s="14">
        <f>SUBTOTAL(9,Table4[Licences (INR)])</f>
        <v>600000</v>
      </c>
      <c r="F18" s="14">
        <f>SUBTOTAL(9,Table4[Delivery Cost (INR)])</f>
        <v>7080000</v>
      </c>
      <c r="G18" s="14">
        <f>SUBTOTAL(9,Table4[Marketing (INR)])</f>
        <v>2928000</v>
      </c>
      <c r="H18" s="14">
        <f>SUBTOTAL(9,Table4[Restaurant Commission (INR)])</f>
        <v>984000</v>
      </c>
      <c r="I18" s="14">
        <f>SUBTOTAL(9,Table4[Logistics (INR)])</f>
        <v>999000</v>
      </c>
      <c r="J18" s="14">
        <f>SUBTOTAL(9,Table4[Total Outflow (INR)])</f>
        <v>17391000</v>
      </c>
    </row>
    <row r="19" spans="2:10" x14ac:dyDescent="0.25">
      <c r="B19" s="9" t="s">
        <v>27</v>
      </c>
      <c r="C19" s="9" t="s">
        <v>61</v>
      </c>
      <c r="D19" s="9" t="s">
        <v>62</v>
      </c>
      <c r="E19" s="9" t="s">
        <v>63</v>
      </c>
      <c r="F19" s="9" t="s">
        <v>64</v>
      </c>
      <c r="G19" s="9" t="s">
        <v>65</v>
      </c>
      <c r="H19" s="9" t="s">
        <v>66</v>
      </c>
      <c r="I19" s="9" t="s">
        <v>67</v>
      </c>
      <c r="J19" s="9" t="s">
        <v>68</v>
      </c>
    </row>
    <row r="20" spans="2:10" x14ac:dyDescent="0.25">
      <c r="B20" s="12">
        <v>45383</v>
      </c>
      <c r="C20" s="11">
        <v>300000</v>
      </c>
      <c r="D20" s="11">
        <v>100000</v>
      </c>
      <c r="E20" s="11">
        <v>50000</v>
      </c>
      <c r="F20" s="11">
        <f>'Sales Forecast &amp; Cash Inflow'!C18*40%</f>
        <v>480000</v>
      </c>
      <c r="G20" s="11">
        <f>'Sales Forecast &amp; Cash Inflow'!F18*10%</f>
        <v>200000</v>
      </c>
      <c r="H20" s="11">
        <f>'Sales Forecast &amp; Cash Inflow'!D18*20%</f>
        <v>60000</v>
      </c>
      <c r="I20" s="11">
        <f>'Sales Forecast &amp; Cash Inflow'!E18*15%</f>
        <v>75000</v>
      </c>
      <c r="J20" s="11">
        <f>SUM(Table4[[#This Row],[Salaries (INR)]:[Logistics (INR)]])</f>
        <v>1265000</v>
      </c>
    </row>
    <row r="21" spans="2:10" x14ac:dyDescent="0.25">
      <c r="B21" s="13">
        <v>45413</v>
      </c>
      <c r="C21" s="11">
        <v>300000</v>
      </c>
      <c r="D21" s="11">
        <v>100000</v>
      </c>
      <c r="E21" s="11">
        <v>50000</v>
      </c>
      <c r="F21" s="11">
        <f>'Sales Forecast &amp; Cash Inflow'!C19*40%</f>
        <v>500000</v>
      </c>
      <c r="G21" s="11">
        <f>'Sales Forecast &amp; Cash Inflow'!F19*10%</f>
        <v>208000</v>
      </c>
      <c r="H21" s="11">
        <f>'Sales Forecast &amp; Cash Inflow'!D19*20%</f>
        <v>64000</v>
      </c>
      <c r="I21" s="11">
        <f>'Sales Forecast &amp; Cash Inflow'!E19*15%</f>
        <v>76500</v>
      </c>
      <c r="J21" s="11">
        <f>SUM(Table4[[#This Row],[Salaries (INR)]:[Logistics (INR)]])</f>
        <v>1298500</v>
      </c>
    </row>
    <row r="22" spans="2:10" x14ac:dyDescent="0.25">
      <c r="B22" s="12">
        <v>45444</v>
      </c>
      <c r="C22" s="11">
        <v>300000</v>
      </c>
      <c r="D22" s="11">
        <v>100000</v>
      </c>
      <c r="E22" s="11">
        <v>50000</v>
      </c>
      <c r="F22" s="11">
        <f>'Sales Forecast &amp; Cash Inflow'!C20*40%</f>
        <v>520000</v>
      </c>
      <c r="G22" s="11">
        <f>'Sales Forecast &amp; Cash Inflow'!F20*10%</f>
        <v>216000</v>
      </c>
      <c r="H22" s="11">
        <f>'Sales Forecast &amp; Cash Inflow'!D20*20%</f>
        <v>68000</v>
      </c>
      <c r="I22" s="11">
        <f>'Sales Forecast &amp; Cash Inflow'!E20*15%</f>
        <v>78000</v>
      </c>
      <c r="J22" s="11">
        <f>SUM(Table4[[#This Row],[Salaries (INR)]:[Logistics (INR)]])</f>
        <v>1332000</v>
      </c>
    </row>
    <row r="23" spans="2:10" x14ac:dyDescent="0.25">
      <c r="B23" s="13">
        <v>45474</v>
      </c>
      <c r="C23" s="11">
        <v>300000</v>
      </c>
      <c r="D23" s="11">
        <v>100000</v>
      </c>
      <c r="E23" s="11">
        <v>50000</v>
      </c>
      <c r="F23" s="11">
        <f>'Sales Forecast &amp; Cash Inflow'!C21*40%</f>
        <v>540000</v>
      </c>
      <c r="G23" s="11">
        <f>'Sales Forecast &amp; Cash Inflow'!F21*10%</f>
        <v>224000</v>
      </c>
      <c r="H23" s="11">
        <f>'Sales Forecast &amp; Cash Inflow'!D21*20%</f>
        <v>72000</v>
      </c>
      <c r="I23" s="11">
        <f>'Sales Forecast &amp; Cash Inflow'!E21*15%</f>
        <v>79500</v>
      </c>
      <c r="J23" s="11">
        <f>SUM(Table4[[#This Row],[Salaries (INR)]:[Logistics (INR)]])</f>
        <v>1365500</v>
      </c>
    </row>
    <row r="24" spans="2:10" x14ac:dyDescent="0.25">
      <c r="B24" s="12">
        <v>45505</v>
      </c>
      <c r="C24" s="11">
        <v>300000</v>
      </c>
      <c r="D24" s="11">
        <v>100000</v>
      </c>
      <c r="E24" s="11">
        <v>50000</v>
      </c>
      <c r="F24" s="11">
        <f>'Sales Forecast &amp; Cash Inflow'!C22*40%</f>
        <v>560000</v>
      </c>
      <c r="G24" s="11">
        <f>'Sales Forecast &amp; Cash Inflow'!F22*10%</f>
        <v>232000</v>
      </c>
      <c r="H24" s="11">
        <f>'Sales Forecast &amp; Cash Inflow'!D22*20%</f>
        <v>76000</v>
      </c>
      <c r="I24" s="11">
        <f>'Sales Forecast &amp; Cash Inflow'!E22*15%</f>
        <v>81000</v>
      </c>
      <c r="J24" s="11">
        <f>SUM(Table4[[#This Row],[Salaries (INR)]:[Logistics (INR)]])</f>
        <v>1399000</v>
      </c>
    </row>
    <row r="25" spans="2:10" x14ac:dyDescent="0.25">
      <c r="B25" s="13">
        <v>45536</v>
      </c>
      <c r="C25" s="11">
        <v>300000</v>
      </c>
      <c r="D25" s="11">
        <v>100000</v>
      </c>
      <c r="E25" s="11">
        <v>50000</v>
      </c>
      <c r="F25" s="11">
        <f>'Sales Forecast &amp; Cash Inflow'!C23*40%</f>
        <v>580000</v>
      </c>
      <c r="G25" s="11">
        <f>'Sales Forecast &amp; Cash Inflow'!F23*10%</f>
        <v>240000</v>
      </c>
      <c r="H25" s="11">
        <f>'Sales Forecast &amp; Cash Inflow'!D23*20%</f>
        <v>80000</v>
      </c>
      <c r="I25" s="11">
        <f>'Sales Forecast &amp; Cash Inflow'!E23*15%</f>
        <v>82500</v>
      </c>
      <c r="J25" s="11">
        <f>SUM(Table4[[#This Row],[Salaries (INR)]:[Logistics (INR)]])</f>
        <v>1432500</v>
      </c>
    </row>
    <row r="26" spans="2:10" x14ac:dyDescent="0.25">
      <c r="B26" s="12">
        <v>45566</v>
      </c>
      <c r="C26" s="11">
        <v>300000</v>
      </c>
      <c r="D26" s="11">
        <v>100000</v>
      </c>
      <c r="E26" s="11">
        <v>50000</v>
      </c>
      <c r="F26" s="11">
        <f>'Sales Forecast &amp; Cash Inflow'!C24*40%</f>
        <v>600000</v>
      </c>
      <c r="G26" s="11">
        <f>'Sales Forecast &amp; Cash Inflow'!F24*10%</f>
        <v>248000</v>
      </c>
      <c r="H26" s="11">
        <f>'Sales Forecast &amp; Cash Inflow'!D24*20%</f>
        <v>84000</v>
      </c>
      <c r="I26" s="11">
        <f>'Sales Forecast &amp; Cash Inflow'!E24*15%</f>
        <v>84000</v>
      </c>
      <c r="J26" s="11">
        <f>SUM(Table4[[#This Row],[Salaries (INR)]:[Logistics (INR)]])</f>
        <v>1466000</v>
      </c>
    </row>
    <row r="27" spans="2:10" x14ac:dyDescent="0.25">
      <c r="B27" s="13">
        <v>45597</v>
      </c>
      <c r="C27" s="11">
        <v>300000</v>
      </c>
      <c r="D27" s="11">
        <v>100000</v>
      </c>
      <c r="E27" s="11">
        <v>50000</v>
      </c>
      <c r="F27" s="11">
        <f>'Sales Forecast &amp; Cash Inflow'!C25*40%</f>
        <v>620000</v>
      </c>
      <c r="G27" s="11">
        <f>'Sales Forecast &amp; Cash Inflow'!F25*10%</f>
        <v>256000</v>
      </c>
      <c r="H27" s="11">
        <f>'Sales Forecast &amp; Cash Inflow'!D25*20%</f>
        <v>88000</v>
      </c>
      <c r="I27" s="11">
        <f>'Sales Forecast &amp; Cash Inflow'!E25*15%</f>
        <v>85500</v>
      </c>
      <c r="J27" s="11">
        <f>SUM(Table4[[#This Row],[Salaries (INR)]:[Logistics (INR)]])</f>
        <v>1499500</v>
      </c>
    </row>
    <row r="28" spans="2:10" x14ac:dyDescent="0.25">
      <c r="B28" s="12">
        <v>45627</v>
      </c>
      <c r="C28" s="11">
        <v>300000</v>
      </c>
      <c r="D28" s="11">
        <v>100000</v>
      </c>
      <c r="E28" s="11">
        <v>50000</v>
      </c>
      <c r="F28" s="11">
        <f>'Sales Forecast &amp; Cash Inflow'!C26*40%</f>
        <v>640000</v>
      </c>
      <c r="G28" s="11">
        <f>'Sales Forecast &amp; Cash Inflow'!F26*10%</f>
        <v>264000</v>
      </c>
      <c r="H28" s="11">
        <f>'Sales Forecast &amp; Cash Inflow'!D26*20%</f>
        <v>92000</v>
      </c>
      <c r="I28" s="11">
        <f>'Sales Forecast &amp; Cash Inflow'!E26*15%</f>
        <v>87000</v>
      </c>
      <c r="J28" s="11">
        <f>SUM(Table4[[#This Row],[Salaries (INR)]:[Logistics (INR)]])</f>
        <v>1533000</v>
      </c>
    </row>
    <row r="29" spans="2:10" x14ac:dyDescent="0.25">
      <c r="B29" s="13">
        <v>45658</v>
      </c>
      <c r="C29" s="11">
        <v>300000</v>
      </c>
      <c r="D29" s="11">
        <v>100000</v>
      </c>
      <c r="E29" s="11">
        <v>50000</v>
      </c>
      <c r="F29" s="11">
        <f>'Sales Forecast &amp; Cash Inflow'!C27*40%</f>
        <v>660000</v>
      </c>
      <c r="G29" s="11">
        <f>'Sales Forecast &amp; Cash Inflow'!F27*10%</f>
        <v>272000</v>
      </c>
      <c r="H29" s="11">
        <f>'Sales Forecast &amp; Cash Inflow'!D27*20%</f>
        <v>96000</v>
      </c>
      <c r="I29" s="11">
        <f>'Sales Forecast &amp; Cash Inflow'!E27*15%</f>
        <v>88500</v>
      </c>
      <c r="J29" s="11">
        <f>SUM(Table4[[#This Row],[Salaries (INR)]:[Logistics (INR)]])</f>
        <v>1566500</v>
      </c>
    </row>
    <row r="30" spans="2:10" x14ac:dyDescent="0.25">
      <c r="B30" s="12">
        <v>45689</v>
      </c>
      <c r="C30" s="11">
        <v>300000</v>
      </c>
      <c r="D30" s="11">
        <v>100000</v>
      </c>
      <c r="E30" s="11">
        <v>50000</v>
      </c>
      <c r="F30" s="11">
        <f>'Sales Forecast &amp; Cash Inflow'!C28*40%</f>
        <v>680000</v>
      </c>
      <c r="G30" s="11">
        <f>'Sales Forecast &amp; Cash Inflow'!F28*10%</f>
        <v>280000</v>
      </c>
      <c r="H30" s="11">
        <f>'Sales Forecast &amp; Cash Inflow'!D28*20%</f>
        <v>100000</v>
      </c>
      <c r="I30" s="11">
        <f>'Sales Forecast &amp; Cash Inflow'!E28*15%</f>
        <v>90000</v>
      </c>
      <c r="J30" s="11">
        <f>SUM(Table4[[#This Row],[Salaries (INR)]:[Logistics (INR)]])</f>
        <v>1600000</v>
      </c>
    </row>
    <row r="31" spans="2:10" x14ac:dyDescent="0.25">
      <c r="B31" s="13">
        <v>45717</v>
      </c>
      <c r="C31" s="11">
        <v>300000</v>
      </c>
      <c r="D31" s="11">
        <v>100000</v>
      </c>
      <c r="E31" s="11">
        <v>50000</v>
      </c>
      <c r="F31" s="11">
        <f>'Sales Forecast &amp; Cash Inflow'!C29*40%</f>
        <v>700000</v>
      </c>
      <c r="G31" s="11">
        <f>'Sales Forecast &amp; Cash Inflow'!F29*10%</f>
        <v>288000</v>
      </c>
      <c r="H31" s="11">
        <f>'Sales Forecast &amp; Cash Inflow'!D29*20%</f>
        <v>104000</v>
      </c>
      <c r="I31" s="11">
        <f>'Sales Forecast &amp; Cash Inflow'!E29*15%</f>
        <v>91500</v>
      </c>
      <c r="J31" s="11">
        <f>SUM(Table4[[#This Row],[Salaries (INR)]:[Logistics (INR)]])</f>
        <v>1633500</v>
      </c>
    </row>
    <row r="33" spans="2:2" x14ac:dyDescent="0.25">
      <c r="B33" t="s">
        <v>69</v>
      </c>
    </row>
    <row r="34" spans="2:2" x14ac:dyDescent="0.25">
      <c r="B34" t="s">
        <v>70</v>
      </c>
    </row>
    <row r="35" spans="2:2" x14ac:dyDescent="0.25">
      <c r="B35" t="s">
        <v>71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workbookViewId="0">
      <selection activeCell="E1" sqref="E1"/>
    </sheetView>
  </sheetViews>
  <sheetFormatPr defaultRowHeight="15" x14ac:dyDescent="0.25"/>
  <cols>
    <col min="1" max="1" width="3.7109375" customWidth="1"/>
    <col min="3" max="3" width="21.7109375" bestFit="1" customWidth="1"/>
    <col min="4" max="4" width="28.85546875" customWidth="1"/>
    <col min="5" max="5" width="23.140625" bestFit="1" customWidth="1"/>
    <col min="6" max="6" width="22" bestFit="1" customWidth="1"/>
    <col min="7" max="7" width="24.5703125" bestFit="1" customWidth="1"/>
    <col min="8" max="8" width="5.7109375" customWidth="1"/>
    <col min="10" max="10" width="19.85546875" customWidth="1"/>
    <col min="11" max="11" width="19.85546875" bestFit="1" customWidth="1"/>
    <col min="12" max="12" width="19.85546875" customWidth="1"/>
    <col min="13" max="13" width="15.5703125" customWidth="1"/>
    <col min="14" max="14" width="21.5703125" customWidth="1"/>
    <col min="15" max="15" width="24" customWidth="1"/>
    <col min="16" max="16" width="31.28515625" bestFit="1" customWidth="1"/>
  </cols>
  <sheetData>
    <row r="1" spans="2:16" ht="12.95" customHeight="1" x14ac:dyDescent="0.25"/>
    <row r="2" spans="2:16" s="6" customFormat="1" ht="18.75" x14ac:dyDescent="0.3">
      <c r="B2" t="s">
        <v>73</v>
      </c>
      <c r="I2" s="5" t="s">
        <v>88</v>
      </c>
    </row>
    <row r="3" spans="2:16" x14ac:dyDescent="0.25">
      <c r="B3" t="s">
        <v>74</v>
      </c>
      <c r="I3" s="1" t="s">
        <v>86</v>
      </c>
    </row>
    <row r="4" spans="2:16" x14ac:dyDescent="0.25">
      <c r="I4" t="s">
        <v>87</v>
      </c>
    </row>
    <row r="6" spans="2:16" ht="18.75" x14ac:dyDescent="0.3">
      <c r="B6" s="6" t="s">
        <v>72</v>
      </c>
    </row>
    <row r="8" spans="2:16" ht="18.75" x14ac:dyDescent="0.3">
      <c r="B8" s="7" t="s">
        <v>82</v>
      </c>
      <c r="I8" s="7" t="s">
        <v>83</v>
      </c>
    </row>
    <row r="9" spans="2:16" ht="12" customHeight="1" x14ac:dyDescent="0.25"/>
    <row r="10" spans="2:16" x14ac:dyDescent="0.25">
      <c r="B10" s="1" t="s">
        <v>36</v>
      </c>
      <c r="C10" s="14">
        <f>SUBTOTAL(9,Table6[Total Sales])</f>
        <v>29280000</v>
      </c>
      <c r="D10" s="14">
        <f>SUBTOTAL(9,Table6[Credit Sales 10% on (TS)])</f>
        <v>2928000</v>
      </c>
      <c r="E10" s="14"/>
      <c r="F10" s="1">
        <f>SUBTOTAL(9,Table6[AR (from last month)])</f>
        <v>2640000</v>
      </c>
      <c r="I10" s="1" t="s">
        <v>36</v>
      </c>
      <c r="J10" s="14">
        <f>SUBTOTAL(9,Table7[Delivery Cost (INR)])</f>
        <v>7080000</v>
      </c>
      <c r="K10" s="14">
        <f>SUBTOTAL(9,Table7[Marketing (INR)])</f>
        <v>2928000</v>
      </c>
      <c r="L10" s="14">
        <f>SUBTOTAL(9,Table7[Restaurant Commission (INR)])</f>
        <v>984000</v>
      </c>
      <c r="M10" s="14">
        <f>SUBTOTAL(9,Table7[Logistics (INR)])</f>
        <v>999000</v>
      </c>
      <c r="N10" s="14">
        <f>SUBTOTAL(9,Table7[Credit Purchases (INR)])</f>
        <v>11991000</v>
      </c>
      <c r="O10" s="14">
        <f>SUBTOTAL(9,Table7[AP (Previous Month)])</f>
        <v>10807500</v>
      </c>
      <c r="P10" s="14"/>
    </row>
    <row r="11" spans="2:16" x14ac:dyDescent="0.25">
      <c r="B11" t="s">
        <v>27</v>
      </c>
      <c r="C11" t="s">
        <v>75</v>
      </c>
      <c r="D11" t="s">
        <v>76</v>
      </c>
      <c r="E11" t="s">
        <v>78</v>
      </c>
      <c r="F11" t="s">
        <v>80</v>
      </c>
      <c r="G11" t="s">
        <v>77</v>
      </c>
      <c r="I11" s="23" t="s">
        <v>27</v>
      </c>
      <c r="J11" s="24" t="s">
        <v>64</v>
      </c>
      <c r="K11" s="9" t="s">
        <v>65</v>
      </c>
      <c r="L11" s="9" t="s">
        <v>66</v>
      </c>
      <c r="M11" s="24" t="s">
        <v>67</v>
      </c>
      <c r="N11" s="23" t="s">
        <v>92</v>
      </c>
      <c r="O11" s="25" t="s">
        <v>84</v>
      </c>
      <c r="P11" s="24" t="s">
        <v>85</v>
      </c>
    </row>
    <row r="12" spans="2:16" x14ac:dyDescent="0.25">
      <c r="B12" s="12">
        <v>45383</v>
      </c>
      <c r="C12" s="8">
        <f>'Sales Forecast &amp; Cash Inflow'!J18</f>
        <v>2000000</v>
      </c>
      <c r="D12" s="8">
        <f>ROUND(Table6[[#This Row],[Total Sales]]*10%,0)</f>
        <v>200000</v>
      </c>
      <c r="E12" s="19">
        <v>45413</v>
      </c>
      <c r="F12" s="8">
        <v>0</v>
      </c>
      <c r="G12" s="18">
        <f>IF(Table6[[#This Row],[Credit Sales 10% on (TS)]]=0, 0, ROUND((Table6[[#This Row],[AR (from last month)]]/Table6[[#This Row],[Credit Sales 10% on (TS)]])*30, 2))</f>
        <v>0</v>
      </c>
      <c r="I12" s="21">
        <v>45383</v>
      </c>
      <c r="J12" s="8">
        <f>'Expenses Forecast &amp; Cash Outflo'!F20</f>
        <v>480000</v>
      </c>
      <c r="K12" s="8">
        <f>'Expenses Forecast &amp; Cash Outflo'!G20</f>
        <v>200000</v>
      </c>
      <c r="L12" s="8">
        <f>'Expenses Forecast &amp; Cash Outflo'!H20</f>
        <v>60000</v>
      </c>
      <c r="M12" s="8">
        <f>'Expenses Forecast &amp; Cash Outflo'!I20</f>
        <v>75000</v>
      </c>
      <c r="N12" s="8">
        <f>SUM(Table7[[#This Row],[Delivery Cost (INR)]:[Logistics (INR)]])</f>
        <v>815000</v>
      </c>
      <c r="O12" s="8">
        <v>0</v>
      </c>
      <c r="P12" s="18">
        <f>IF(Table7[[#This Row],[Credit Purchases (INR)]]=0,0,ROUND((Table7[[#This Row],[AP (Previous Month)]]/Table7[[#This Row],[Credit Purchases (INR)]])*30,2))</f>
        <v>0</v>
      </c>
    </row>
    <row r="13" spans="2:16" x14ac:dyDescent="0.25">
      <c r="B13" s="13">
        <v>45413</v>
      </c>
      <c r="C13" s="8">
        <f>'Sales Forecast &amp; Cash Inflow'!J19</f>
        <v>2080000</v>
      </c>
      <c r="D13" s="8">
        <f>ROUND(Table6[[#This Row],[Total Sales]]*10%,0)</f>
        <v>208000</v>
      </c>
      <c r="E13" s="19">
        <v>45444</v>
      </c>
      <c r="F13" s="8">
        <f>D12</f>
        <v>200000</v>
      </c>
      <c r="G13" s="18">
        <f>IF(Table6[[#This Row],[Credit Sales 10% on (TS)]]=0, 0, ROUND((Table6[[#This Row],[AR (from last month)]]/Table6[[#This Row],[Credit Sales 10% on (TS)]])*30, 2))</f>
        <v>28.85</v>
      </c>
      <c r="I13" s="22">
        <v>45413</v>
      </c>
      <c r="J13" s="8">
        <f>'Expenses Forecast &amp; Cash Outflo'!F21</f>
        <v>500000</v>
      </c>
      <c r="K13" s="8">
        <f>'Expenses Forecast &amp; Cash Outflo'!G21</f>
        <v>208000</v>
      </c>
      <c r="L13" s="8">
        <f>'Expenses Forecast &amp; Cash Outflo'!H21</f>
        <v>64000</v>
      </c>
      <c r="M13" s="8">
        <f>'Expenses Forecast &amp; Cash Outflo'!I21</f>
        <v>76500</v>
      </c>
      <c r="N13" s="8">
        <f>SUM(Table7[[#This Row],[Delivery Cost (INR)]:[Logistics (INR)]])</f>
        <v>848500</v>
      </c>
      <c r="O13" s="8">
        <f>N12</f>
        <v>815000</v>
      </c>
      <c r="P13" s="18">
        <f>IF(Table7[[#This Row],[Credit Purchases (INR)]]=0,0,ROUND((Table7[[#This Row],[AP (Previous Month)]]/Table7[[#This Row],[Credit Purchases (INR)]])*30,2))</f>
        <v>28.82</v>
      </c>
    </row>
    <row r="14" spans="2:16" x14ac:dyDescent="0.25">
      <c r="B14" s="12">
        <v>45444</v>
      </c>
      <c r="C14" s="8">
        <f>'Sales Forecast &amp; Cash Inflow'!J20</f>
        <v>2160000</v>
      </c>
      <c r="D14" s="8">
        <f>ROUND(Table6[[#This Row],[Total Sales]]*10%,0)</f>
        <v>216000</v>
      </c>
      <c r="E14" s="19">
        <v>45474</v>
      </c>
      <c r="F14" s="8">
        <f t="shared" ref="F14:F23" si="0">D13</f>
        <v>208000</v>
      </c>
      <c r="G14" s="18">
        <f>IF(Table6[[#This Row],[Credit Sales 10% on (TS)]]=0, 0, ROUND((Table6[[#This Row],[AR (from last month)]]/Table6[[#This Row],[Credit Sales 10% on (TS)]])*30, 2))</f>
        <v>28.89</v>
      </c>
      <c r="I14" s="21">
        <v>45444</v>
      </c>
      <c r="J14" s="8">
        <f>'Expenses Forecast &amp; Cash Outflo'!F22</f>
        <v>520000</v>
      </c>
      <c r="K14" s="8">
        <f>'Expenses Forecast &amp; Cash Outflo'!G22</f>
        <v>216000</v>
      </c>
      <c r="L14" s="8">
        <f>'Expenses Forecast &amp; Cash Outflo'!H22</f>
        <v>68000</v>
      </c>
      <c r="M14" s="8">
        <f>'Expenses Forecast &amp; Cash Outflo'!I22</f>
        <v>78000</v>
      </c>
      <c r="N14" s="8">
        <f>SUM(Table7[[#This Row],[Delivery Cost (INR)]:[Logistics (INR)]])</f>
        <v>882000</v>
      </c>
      <c r="O14" s="8">
        <f t="shared" ref="O14:O23" si="1">N13</f>
        <v>848500</v>
      </c>
      <c r="P14" s="18">
        <f>IF(Table7[[#This Row],[Credit Purchases (INR)]]=0,0,ROUND((Table7[[#This Row],[AP (Previous Month)]]/Table7[[#This Row],[Credit Purchases (INR)]])*30,2))</f>
        <v>28.86</v>
      </c>
    </row>
    <row r="15" spans="2:16" x14ac:dyDescent="0.25">
      <c r="B15" s="13">
        <v>45474</v>
      </c>
      <c r="C15" s="8">
        <f>'Sales Forecast &amp; Cash Inflow'!J21</f>
        <v>2240000</v>
      </c>
      <c r="D15" s="8">
        <f>ROUND(Table6[[#This Row],[Total Sales]]*10%,0)</f>
        <v>224000</v>
      </c>
      <c r="E15" s="19">
        <v>45505</v>
      </c>
      <c r="F15" s="8">
        <f t="shared" si="0"/>
        <v>216000</v>
      </c>
      <c r="G15" s="18">
        <f>IF(Table6[[#This Row],[Credit Sales 10% on (TS)]]=0, 0, ROUND((Table6[[#This Row],[AR (from last month)]]/Table6[[#This Row],[Credit Sales 10% on (TS)]])*30, 2))</f>
        <v>28.93</v>
      </c>
      <c r="I15" s="22">
        <v>45474</v>
      </c>
      <c r="J15" s="8">
        <f>'Expenses Forecast &amp; Cash Outflo'!F23</f>
        <v>540000</v>
      </c>
      <c r="K15" s="8">
        <f>'Expenses Forecast &amp; Cash Outflo'!G23</f>
        <v>224000</v>
      </c>
      <c r="L15" s="8">
        <f>'Expenses Forecast &amp; Cash Outflo'!H23</f>
        <v>72000</v>
      </c>
      <c r="M15" s="8">
        <f>'Expenses Forecast &amp; Cash Outflo'!I23</f>
        <v>79500</v>
      </c>
      <c r="N15" s="8">
        <f>SUM(Table7[[#This Row],[Delivery Cost (INR)]:[Logistics (INR)]])</f>
        <v>915500</v>
      </c>
      <c r="O15" s="8">
        <f t="shared" si="1"/>
        <v>882000</v>
      </c>
      <c r="P15" s="18">
        <f>IF(Table7[[#This Row],[Credit Purchases (INR)]]=0,0,ROUND((Table7[[#This Row],[AP (Previous Month)]]/Table7[[#This Row],[Credit Purchases (INR)]])*30,2))</f>
        <v>28.9</v>
      </c>
    </row>
    <row r="16" spans="2:16" x14ac:dyDescent="0.25">
      <c r="B16" s="12">
        <v>45505</v>
      </c>
      <c r="C16" s="8">
        <f>'Sales Forecast &amp; Cash Inflow'!J22</f>
        <v>2320000</v>
      </c>
      <c r="D16" s="8">
        <f>ROUND(Table6[[#This Row],[Total Sales]]*10%,0)</f>
        <v>232000</v>
      </c>
      <c r="E16" s="19">
        <v>45536</v>
      </c>
      <c r="F16" s="8">
        <f t="shared" si="0"/>
        <v>224000</v>
      </c>
      <c r="G16" s="18">
        <f>IF(Table6[[#This Row],[Credit Sales 10% on (TS)]]=0, 0, ROUND((Table6[[#This Row],[AR (from last month)]]/Table6[[#This Row],[Credit Sales 10% on (TS)]])*30, 2))</f>
        <v>28.97</v>
      </c>
      <c r="I16" s="21">
        <v>45505</v>
      </c>
      <c r="J16" s="8">
        <f>'Expenses Forecast &amp; Cash Outflo'!F24</f>
        <v>560000</v>
      </c>
      <c r="K16" s="8">
        <f>'Expenses Forecast &amp; Cash Outflo'!G24</f>
        <v>232000</v>
      </c>
      <c r="L16" s="8">
        <f>'Expenses Forecast &amp; Cash Outflo'!H24</f>
        <v>76000</v>
      </c>
      <c r="M16" s="8">
        <f>'Expenses Forecast &amp; Cash Outflo'!I24</f>
        <v>81000</v>
      </c>
      <c r="N16" s="8">
        <f>SUM(Table7[[#This Row],[Delivery Cost (INR)]:[Logistics (INR)]])</f>
        <v>949000</v>
      </c>
      <c r="O16" s="8">
        <f t="shared" si="1"/>
        <v>915500</v>
      </c>
      <c r="P16" s="18">
        <f>IF(Table7[[#This Row],[Credit Purchases (INR)]]=0,0,ROUND((Table7[[#This Row],[AP (Previous Month)]]/Table7[[#This Row],[Credit Purchases (INR)]])*30,2))</f>
        <v>28.94</v>
      </c>
    </row>
    <row r="17" spans="2:16" x14ac:dyDescent="0.25">
      <c r="B17" s="13">
        <v>45536</v>
      </c>
      <c r="C17" s="8">
        <f>'Sales Forecast &amp; Cash Inflow'!J23</f>
        <v>2400000</v>
      </c>
      <c r="D17" s="8">
        <f>ROUND(Table6[[#This Row],[Total Sales]]*10%,0)</f>
        <v>240000</v>
      </c>
      <c r="E17" s="19">
        <v>45566</v>
      </c>
      <c r="F17" s="8">
        <f t="shared" si="0"/>
        <v>232000</v>
      </c>
      <c r="G17" s="18">
        <f>IF(Table6[[#This Row],[Credit Sales 10% on (TS)]]=0, 0, ROUND((Table6[[#This Row],[AR (from last month)]]/Table6[[#This Row],[Credit Sales 10% on (TS)]])*30, 2))</f>
        <v>29</v>
      </c>
      <c r="I17" s="22">
        <v>45536</v>
      </c>
      <c r="J17" s="8">
        <f>'Expenses Forecast &amp; Cash Outflo'!F25</f>
        <v>580000</v>
      </c>
      <c r="K17" s="8">
        <f>'Expenses Forecast &amp; Cash Outflo'!G25</f>
        <v>240000</v>
      </c>
      <c r="L17" s="8">
        <f>'Expenses Forecast &amp; Cash Outflo'!H25</f>
        <v>80000</v>
      </c>
      <c r="M17" s="8">
        <f>'Expenses Forecast &amp; Cash Outflo'!I25</f>
        <v>82500</v>
      </c>
      <c r="N17" s="8">
        <f>SUM(Table7[[#This Row],[Delivery Cost (INR)]:[Logistics (INR)]])</f>
        <v>982500</v>
      </c>
      <c r="O17" s="8">
        <f t="shared" si="1"/>
        <v>949000</v>
      </c>
      <c r="P17" s="18">
        <f>IF(Table7[[#This Row],[Credit Purchases (INR)]]=0,0,ROUND((Table7[[#This Row],[AP (Previous Month)]]/Table7[[#This Row],[Credit Purchases (INR)]])*30,2))</f>
        <v>28.98</v>
      </c>
    </row>
    <row r="18" spans="2:16" x14ac:dyDescent="0.25">
      <c r="B18" s="12">
        <v>45566</v>
      </c>
      <c r="C18" s="8">
        <f>'Sales Forecast &amp; Cash Inflow'!J24</f>
        <v>2480000</v>
      </c>
      <c r="D18" s="8">
        <f>ROUND(Table6[[#This Row],[Total Sales]]*10%,0)</f>
        <v>248000</v>
      </c>
      <c r="E18" s="19">
        <v>45597</v>
      </c>
      <c r="F18" s="8">
        <f t="shared" si="0"/>
        <v>240000</v>
      </c>
      <c r="G18" s="18">
        <f>IF(Table6[[#This Row],[Credit Sales 10% on (TS)]]=0, 0, ROUND((Table6[[#This Row],[AR (from last month)]]/Table6[[#This Row],[Credit Sales 10% on (TS)]])*30, 2))</f>
        <v>29.03</v>
      </c>
      <c r="I18" s="21">
        <v>45566</v>
      </c>
      <c r="J18" s="8">
        <f>'Expenses Forecast &amp; Cash Outflo'!F26</f>
        <v>600000</v>
      </c>
      <c r="K18" s="8">
        <f>'Expenses Forecast &amp; Cash Outflo'!G26</f>
        <v>248000</v>
      </c>
      <c r="L18" s="8">
        <f>'Expenses Forecast &amp; Cash Outflo'!H26</f>
        <v>84000</v>
      </c>
      <c r="M18" s="8">
        <f>'Expenses Forecast &amp; Cash Outflo'!I26</f>
        <v>84000</v>
      </c>
      <c r="N18" s="8">
        <f>SUM(Table7[[#This Row],[Delivery Cost (INR)]:[Logistics (INR)]])</f>
        <v>1016000</v>
      </c>
      <c r="O18" s="8">
        <f t="shared" si="1"/>
        <v>982500</v>
      </c>
      <c r="P18" s="18">
        <f>IF(Table7[[#This Row],[Credit Purchases (INR)]]=0,0,ROUND((Table7[[#This Row],[AP (Previous Month)]]/Table7[[#This Row],[Credit Purchases (INR)]])*30,2))</f>
        <v>29.01</v>
      </c>
    </row>
    <row r="19" spans="2:16" x14ac:dyDescent="0.25">
      <c r="B19" s="13">
        <v>45597</v>
      </c>
      <c r="C19" s="8">
        <f>'Sales Forecast &amp; Cash Inflow'!J25</f>
        <v>2560000</v>
      </c>
      <c r="D19" s="8">
        <f>ROUND(Table6[[#This Row],[Total Sales]]*10%,0)</f>
        <v>256000</v>
      </c>
      <c r="E19" s="19">
        <v>45627</v>
      </c>
      <c r="F19" s="8">
        <f t="shared" si="0"/>
        <v>248000</v>
      </c>
      <c r="G19" s="18">
        <f>IF(Table6[[#This Row],[Credit Sales 10% on (TS)]]=0, 0, ROUND((Table6[[#This Row],[AR (from last month)]]/Table6[[#This Row],[Credit Sales 10% on (TS)]])*30, 2))</f>
        <v>29.06</v>
      </c>
      <c r="I19" s="22">
        <v>45597</v>
      </c>
      <c r="J19" s="8">
        <f>'Expenses Forecast &amp; Cash Outflo'!F27</f>
        <v>620000</v>
      </c>
      <c r="K19" s="8">
        <f>'Expenses Forecast &amp; Cash Outflo'!G27</f>
        <v>256000</v>
      </c>
      <c r="L19" s="8">
        <f>'Expenses Forecast &amp; Cash Outflo'!H27</f>
        <v>88000</v>
      </c>
      <c r="M19" s="8">
        <f>'Expenses Forecast &amp; Cash Outflo'!I27</f>
        <v>85500</v>
      </c>
      <c r="N19" s="8">
        <f>SUM(Table7[[#This Row],[Delivery Cost (INR)]:[Logistics (INR)]])</f>
        <v>1049500</v>
      </c>
      <c r="O19" s="8">
        <f t="shared" si="1"/>
        <v>1016000</v>
      </c>
      <c r="P19" s="18">
        <f>IF(Table7[[#This Row],[Credit Purchases (INR)]]=0,0,ROUND((Table7[[#This Row],[AP (Previous Month)]]/Table7[[#This Row],[Credit Purchases (INR)]])*30,2))</f>
        <v>29.04</v>
      </c>
    </row>
    <row r="20" spans="2:16" x14ac:dyDescent="0.25">
      <c r="B20" s="12">
        <v>45627</v>
      </c>
      <c r="C20" s="8">
        <f>'Sales Forecast &amp; Cash Inflow'!J26</f>
        <v>2640000</v>
      </c>
      <c r="D20" s="8">
        <f>ROUND(Table6[[#This Row],[Total Sales]]*10%,0)</f>
        <v>264000</v>
      </c>
      <c r="E20" s="19">
        <v>45658</v>
      </c>
      <c r="F20" s="8">
        <f t="shared" si="0"/>
        <v>256000</v>
      </c>
      <c r="G20" s="18">
        <f>IF(Table6[[#This Row],[Credit Sales 10% on (TS)]]=0, 0, ROUND((Table6[[#This Row],[AR (from last month)]]/Table6[[#This Row],[Credit Sales 10% on (TS)]])*30, 2))</f>
        <v>29.09</v>
      </c>
      <c r="I20" s="21">
        <v>45627</v>
      </c>
      <c r="J20" s="8">
        <f>'Expenses Forecast &amp; Cash Outflo'!F28</f>
        <v>640000</v>
      </c>
      <c r="K20" s="8">
        <f>'Expenses Forecast &amp; Cash Outflo'!G28</f>
        <v>264000</v>
      </c>
      <c r="L20" s="8">
        <f>'Expenses Forecast &amp; Cash Outflo'!H28</f>
        <v>92000</v>
      </c>
      <c r="M20" s="8">
        <f>'Expenses Forecast &amp; Cash Outflo'!I28</f>
        <v>87000</v>
      </c>
      <c r="N20" s="8">
        <f>SUM(Table7[[#This Row],[Delivery Cost (INR)]:[Logistics (INR)]])</f>
        <v>1083000</v>
      </c>
      <c r="O20" s="8">
        <f t="shared" si="1"/>
        <v>1049500</v>
      </c>
      <c r="P20" s="18">
        <f>IF(Table7[[#This Row],[Credit Purchases (INR)]]=0,0,ROUND((Table7[[#This Row],[AP (Previous Month)]]/Table7[[#This Row],[Credit Purchases (INR)]])*30,2))</f>
        <v>29.07</v>
      </c>
    </row>
    <row r="21" spans="2:16" x14ac:dyDescent="0.25">
      <c r="B21" s="13">
        <v>45658</v>
      </c>
      <c r="C21" s="8">
        <f>'Sales Forecast &amp; Cash Inflow'!J27</f>
        <v>2720000</v>
      </c>
      <c r="D21" s="8">
        <f>ROUND(Table6[[#This Row],[Total Sales]]*10%,0)</f>
        <v>272000</v>
      </c>
      <c r="E21" s="19">
        <v>45689</v>
      </c>
      <c r="F21" s="8">
        <f t="shared" si="0"/>
        <v>264000</v>
      </c>
      <c r="G21" s="18">
        <f>IF(Table6[[#This Row],[Credit Sales 10% on (TS)]]=0, 0, ROUND((Table6[[#This Row],[AR (from last month)]]/Table6[[#This Row],[Credit Sales 10% on (TS)]])*30, 2))</f>
        <v>29.12</v>
      </c>
      <c r="I21" s="22">
        <v>45658</v>
      </c>
      <c r="J21" s="8">
        <f>'Expenses Forecast &amp; Cash Outflo'!F29</f>
        <v>660000</v>
      </c>
      <c r="K21" s="8">
        <f>'Expenses Forecast &amp; Cash Outflo'!G29</f>
        <v>272000</v>
      </c>
      <c r="L21" s="8">
        <f>'Expenses Forecast &amp; Cash Outflo'!H29</f>
        <v>96000</v>
      </c>
      <c r="M21" s="8">
        <f>'Expenses Forecast &amp; Cash Outflo'!I29</f>
        <v>88500</v>
      </c>
      <c r="N21" s="8">
        <f>SUM(Table7[[#This Row],[Delivery Cost (INR)]:[Logistics (INR)]])</f>
        <v>1116500</v>
      </c>
      <c r="O21" s="8">
        <f t="shared" si="1"/>
        <v>1083000</v>
      </c>
      <c r="P21" s="18">
        <f>IF(Table7[[#This Row],[Credit Purchases (INR)]]=0,0,ROUND((Table7[[#This Row],[AP (Previous Month)]]/Table7[[#This Row],[Credit Purchases (INR)]])*30,2))</f>
        <v>29.1</v>
      </c>
    </row>
    <row r="22" spans="2:16" x14ac:dyDescent="0.25">
      <c r="B22" s="12">
        <v>45689</v>
      </c>
      <c r="C22" s="8">
        <f>'Sales Forecast &amp; Cash Inflow'!J28</f>
        <v>2800000</v>
      </c>
      <c r="D22" s="8">
        <f>ROUND(Table6[[#This Row],[Total Sales]]*10%,0)</f>
        <v>280000</v>
      </c>
      <c r="E22" s="19">
        <v>45717</v>
      </c>
      <c r="F22" s="8">
        <f t="shared" si="0"/>
        <v>272000</v>
      </c>
      <c r="G22" s="18">
        <f>IF(Table6[[#This Row],[Credit Sales 10% on (TS)]]=0, 0, ROUND((Table6[[#This Row],[AR (from last month)]]/Table6[[#This Row],[Credit Sales 10% on (TS)]])*30, 2))</f>
        <v>29.14</v>
      </c>
      <c r="I22" s="21">
        <v>45689</v>
      </c>
      <c r="J22" s="8">
        <f>'Expenses Forecast &amp; Cash Outflo'!F30</f>
        <v>680000</v>
      </c>
      <c r="K22" s="8">
        <f>'Expenses Forecast &amp; Cash Outflo'!G30</f>
        <v>280000</v>
      </c>
      <c r="L22" s="8">
        <f>'Expenses Forecast &amp; Cash Outflo'!H30</f>
        <v>100000</v>
      </c>
      <c r="M22" s="8">
        <f>'Expenses Forecast &amp; Cash Outflo'!I30</f>
        <v>90000</v>
      </c>
      <c r="N22" s="8">
        <f>SUM(Table7[[#This Row],[Delivery Cost (INR)]:[Logistics (INR)]])</f>
        <v>1150000</v>
      </c>
      <c r="O22" s="8">
        <f t="shared" si="1"/>
        <v>1116500</v>
      </c>
      <c r="P22" s="18">
        <f>IF(Table7[[#This Row],[Credit Purchases (INR)]]=0,0,ROUND((Table7[[#This Row],[AP (Previous Month)]]/Table7[[#This Row],[Credit Purchases (INR)]])*30,2))</f>
        <v>29.13</v>
      </c>
    </row>
    <row r="23" spans="2:16" x14ac:dyDescent="0.25">
      <c r="B23" s="13">
        <v>45717</v>
      </c>
      <c r="C23" s="8">
        <f>'Sales Forecast &amp; Cash Inflow'!J29</f>
        <v>2880000</v>
      </c>
      <c r="D23" s="8">
        <f>ROUND(Table6[[#This Row],[Total Sales]]*10%,0)</f>
        <v>288000</v>
      </c>
      <c r="E23" s="19">
        <v>45748</v>
      </c>
      <c r="F23" s="8">
        <f t="shared" si="0"/>
        <v>280000</v>
      </c>
      <c r="G23" s="18">
        <f>IF(Table6[[#This Row],[Credit Sales 10% on (TS)]]=0, 0, ROUND((Table6[[#This Row],[AR (from last month)]]/Table6[[#This Row],[Credit Sales 10% on (TS)]])*30, 2))</f>
        <v>29.17</v>
      </c>
      <c r="I23" s="22">
        <v>45717</v>
      </c>
      <c r="J23" s="8">
        <f>'Expenses Forecast &amp; Cash Outflo'!F31</f>
        <v>700000</v>
      </c>
      <c r="K23" s="8">
        <f>'Expenses Forecast &amp; Cash Outflo'!G31</f>
        <v>288000</v>
      </c>
      <c r="L23" s="8">
        <f>'Expenses Forecast &amp; Cash Outflo'!H31</f>
        <v>104000</v>
      </c>
      <c r="M23" s="8">
        <f>'Expenses Forecast &amp; Cash Outflo'!I31</f>
        <v>91500</v>
      </c>
      <c r="N23" s="8">
        <f>SUM(Table7[[#This Row],[Delivery Cost (INR)]:[Logistics (INR)]])</f>
        <v>1183500</v>
      </c>
      <c r="O23" s="8">
        <f t="shared" si="1"/>
        <v>1150000</v>
      </c>
      <c r="P23" s="18">
        <f>IF(Table7[[#This Row],[Credit Purchases (INR)]]=0,0,ROUND((Table7[[#This Row],[AP (Previous Month)]]/Table7[[#This Row],[Credit Purchases (INR)]])*30,2))</f>
        <v>29.15</v>
      </c>
    </row>
    <row r="25" spans="2:16" x14ac:dyDescent="0.25">
      <c r="B25" t="s">
        <v>79</v>
      </c>
      <c r="I25" t="s">
        <v>81</v>
      </c>
    </row>
    <row r="27" spans="2:16" x14ac:dyDescent="0.25">
      <c r="B27" s="1" t="s">
        <v>89</v>
      </c>
    </row>
    <row r="28" spans="2:16" x14ac:dyDescent="0.25">
      <c r="B28" s="1"/>
    </row>
    <row r="29" spans="2:16" x14ac:dyDescent="0.25">
      <c r="B29" s="2" t="s">
        <v>90</v>
      </c>
    </row>
    <row r="30" spans="2:16" x14ac:dyDescent="0.25">
      <c r="B30" s="2"/>
    </row>
    <row r="31" spans="2:16" x14ac:dyDescent="0.25">
      <c r="B31" s="2" t="s">
        <v>91</v>
      </c>
    </row>
    <row r="32" spans="2:16" x14ac:dyDescent="0.25">
      <c r="B32" s="2"/>
    </row>
    <row r="34" spans="2:14" ht="18.75" x14ac:dyDescent="0.3">
      <c r="B34" s="7" t="s">
        <v>98</v>
      </c>
      <c r="G34" s="7" t="s">
        <v>99</v>
      </c>
    </row>
    <row r="35" spans="2:14" ht="12" customHeight="1" x14ac:dyDescent="0.25"/>
    <row r="36" spans="2:14" x14ac:dyDescent="0.25">
      <c r="B36" s="1" t="s">
        <v>36</v>
      </c>
      <c r="C36" s="14">
        <f>SUBTOTAL(9,Table8[Account Receivables])</f>
        <v>2928000</v>
      </c>
      <c r="D36" s="14">
        <f>SUBTOTAL(9,Table8[Account Payables])</f>
        <v>11991000</v>
      </c>
      <c r="E36" s="14">
        <f>SUBTOTAL(9,Table8[NWC])</f>
        <v>-9063000</v>
      </c>
    </row>
    <row r="37" spans="2:14" x14ac:dyDescent="0.25">
      <c r="B37" t="s">
        <v>27</v>
      </c>
      <c r="C37" t="s">
        <v>94</v>
      </c>
      <c r="D37" t="s">
        <v>95</v>
      </c>
      <c r="E37" t="s">
        <v>93</v>
      </c>
      <c r="G37" t="s">
        <v>100</v>
      </c>
      <c r="K37" t="s">
        <v>27</v>
      </c>
      <c r="L37" t="s">
        <v>106</v>
      </c>
      <c r="M37" t="s">
        <v>107</v>
      </c>
      <c r="N37" t="s">
        <v>108</v>
      </c>
    </row>
    <row r="38" spans="2:14" x14ac:dyDescent="0.25">
      <c r="B38" s="12">
        <v>45383</v>
      </c>
      <c r="C38" s="8">
        <f t="shared" ref="C38:C49" si="2">D12</f>
        <v>200000</v>
      </c>
      <c r="D38" s="8">
        <f t="shared" ref="D38:D49" si="3">N12</f>
        <v>815000</v>
      </c>
      <c r="E38" s="8">
        <f>Table8[[#This Row],[Account Receivables]]-Table8[[#This Row],[Account Payables]]</f>
        <v>-615000</v>
      </c>
      <c r="K38" s="12">
        <v>45383</v>
      </c>
      <c r="L38" s="26">
        <f t="shared" ref="L38:L49" si="4">G12</f>
        <v>0</v>
      </c>
      <c r="M38" s="26">
        <f t="shared" ref="M38:M49" si="5">P12</f>
        <v>0</v>
      </c>
      <c r="N38" s="26">
        <f>Table9[[#This Row],[DSO (Days)]]-Table9[[#This Row],[DPO (Days)]]</f>
        <v>0</v>
      </c>
    </row>
    <row r="39" spans="2:14" x14ac:dyDescent="0.25">
      <c r="B39" s="13">
        <v>45413</v>
      </c>
      <c r="C39" s="8">
        <f t="shared" si="2"/>
        <v>208000</v>
      </c>
      <c r="D39" s="8">
        <f t="shared" si="3"/>
        <v>848500</v>
      </c>
      <c r="E39" s="8">
        <f>Table8[[#This Row],[Account Receivables]]-Table8[[#This Row],[Account Payables]]</f>
        <v>-640500</v>
      </c>
      <c r="G39" t="s">
        <v>101</v>
      </c>
      <c r="K39" s="13">
        <v>45413</v>
      </c>
      <c r="L39" s="26">
        <f t="shared" si="4"/>
        <v>28.85</v>
      </c>
      <c r="M39" s="26">
        <f t="shared" si="5"/>
        <v>28.82</v>
      </c>
      <c r="N39" s="26">
        <f>Table9[[#This Row],[DSO (Days)]]-Table9[[#This Row],[DPO (Days)]]</f>
        <v>3.0000000000001137E-2</v>
      </c>
    </row>
    <row r="40" spans="2:14" x14ac:dyDescent="0.25">
      <c r="B40" s="12">
        <v>45444</v>
      </c>
      <c r="C40" s="8">
        <f t="shared" si="2"/>
        <v>216000</v>
      </c>
      <c r="D40" s="8">
        <f t="shared" si="3"/>
        <v>882000</v>
      </c>
      <c r="E40" s="8">
        <f>Table8[[#This Row],[Account Receivables]]-Table8[[#This Row],[Account Payables]]</f>
        <v>-666000</v>
      </c>
      <c r="G40" s="2"/>
      <c r="K40" s="12">
        <v>45444</v>
      </c>
      <c r="L40" s="26">
        <f t="shared" si="4"/>
        <v>28.89</v>
      </c>
      <c r="M40" s="26">
        <f t="shared" si="5"/>
        <v>28.86</v>
      </c>
      <c r="N40" s="26">
        <f>Table9[[#This Row],[DSO (Days)]]-Table9[[#This Row],[DPO (Days)]]</f>
        <v>3.0000000000001137E-2</v>
      </c>
    </row>
    <row r="41" spans="2:14" x14ac:dyDescent="0.25">
      <c r="B41" s="13">
        <v>45474</v>
      </c>
      <c r="C41" s="8">
        <f t="shared" si="2"/>
        <v>224000</v>
      </c>
      <c r="D41" s="8">
        <f t="shared" si="3"/>
        <v>915500</v>
      </c>
      <c r="E41" s="8">
        <f>Table8[[#This Row],[Account Receivables]]-Table8[[#This Row],[Account Payables]]</f>
        <v>-691500</v>
      </c>
      <c r="G41" s="2" t="s">
        <v>102</v>
      </c>
      <c r="K41" s="13">
        <v>45474</v>
      </c>
      <c r="L41" s="26">
        <f t="shared" si="4"/>
        <v>28.93</v>
      </c>
      <c r="M41" s="26">
        <f t="shared" si="5"/>
        <v>28.9</v>
      </c>
      <c r="N41" s="26">
        <f>Table9[[#This Row],[DSO (Days)]]-Table9[[#This Row],[DPO (Days)]]</f>
        <v>3.0000000000001137E-2</v>
      </c>
    </row>
    <row r="42" spans="2:14" x14ac:dyDescent="0.25">
      <c r="B42" s="12">
        <v>45505</v>
      </c>
      <c r="C42" s="8">
        <f t="shared" si="2"/>
        <v>232000</v>
      </c>
      <c r="D42" s="8">
        <f t="shared" si="3"/>
        <v>949000</v>
      </c>
      <c r="E42" s="8">
        <f>Table8[[#This Row],[Account Receivables]]-Table8[[#This Row],[Account Payables]]</f>
        <v>-717000</v>
      </c>
      <c r="G42" s="2"/>
      <c r="K42" s="12">
        <v>45505</v>
      </c>
      <c r="L42" s="26">
        <f t="shared" si="4"/>
        <v>28.97</v>
      </c>
      <c r="M42" s="26">
        <f t="shared" si="5"/>
        <v>28.94</v>
      </c>
      <c r="N42" s="26">
        <f>Table9[[#This Row],[DSO (Days)]]-Table9[[#This Row],[DPO (Days)]]</f>
        <v>2.9999999999997584E-2</v>
      </c>
    </row>
    <row r="43" spans="2:14" x14ac:dyDescent="0.25">
      <c r="B43" s="13">
        <v>45536</v>
      </c>
      <c r="C43" s="8">
        <f t="shared" si="2"/>
        <v>240000</v>
      </c>
      <c r="D43" s="8">
        <f t="shared" si="3"/>
        <v>982500</v>
      </c>
      <c r="E43" s="8">
        <f>Table8[[#This Row],[Account Receivables]]-Table8[[#This Row],[Account Payables]]</f>
        <v>-742500</v>
      </c>
      <c r="G43" s="2" t="s">
        <v>103</v>
      </c>
      <c r="K43" s="13">
        <v>45536</v>
      </c>
      <c r="L43" s="26">
        <f t="shared" si="4"/>
        <v>29</v>
      </c>
      <c r="M43" s="26">
        <f t="shared" si="5"/>
        <v>28.98</v>
      </c>
      <c r="N43" s="26">
        <f>Table9[[#This Row],[DSO (Days)]]-Table9[[#This Row],[DPO (Days)]]</f>
        <v>1.9999999999999574E-2</v>
      </c>
    </row>
    <row r="44" spans="2:14" x14ac:dyDescent="0.25">
      <c r="B44" s="12">
        <v>45566</v>
      </c>
      <c r="C44" s="8">
        <f t="shared" si="2"/>
        <v>248000</v>
      </c>
      <c r="D44" s="8">
        <f t="shared" si="3"/>
        <v>1016000</v>
      </c>
      <c r="E44" s="8">
        <f>Table8[[#This Row],[Account Receivables]]-Table8[[#This Row],[Account Payables]]</f>
        <v>-768000</v>
      </c>
      <c r="K44" s="12">
        <v>45566</v>
      </c>
      <c r="L44" s="26">
        <f t="shared" si="4"/>
        <v>29.03</v>
      </c>
      <c r="M44" s="26">
        <f t="shared" si="5"/>
        <v>29.01</v>
      </c>
      <c r="N44" s="26">
        <f>Table9[[#This Row],[DSO (Days)]]-Table9[[#This Row],[DPO (Days)]]</f>
        <v>1.9999999999999574E-2</v>
      </c>
    </row>
    <row r="45" spans="2:14" x14ac:dyDescent="0.25">
      <c r="B45" s="13">
        <v>45597</v>
      </c>
      <c r="C45" s="8">
        <f t="shared" si="2"/>
        <v>256000</v>
      </c>
      <c r="D45" s="8">
        <f t="shared" si="3"/>
        <v>1049500</v>
      </c>
      <c r="E45" s="8">
        <f>Table8[[#This Row],[Account Receivables]]-Table8[[#This Row],[Account Payables]]</f>
        <v>-793500</v>
      </c>
      <c r="G45" t="s">
        <v>104</v>
      </c>
      <c r="K45" s="13">
        <v>45597</v>
      </c>
      <c r="L45" s="26">
        <f t="shared" si="4"/>
        <v>29.06</v>
      </c>
      <c r="M45" s="26">
        <f t="shared" si="5"/>
        <v>29.04</v>
      </c>
      <c r="N45" s="26">
        <f>Table9[[#This Row],[DSO (Days)]]-Table9[[#This Row],[DPO (Days)]]</f>
        <v>1.9999999999999574E-2</v>
      </c>
    </row>
    <row r="46" spans="2:14" x14ac:dyDescent="0.25">
      <c r="B46" s="12">
        <v>45627</v>
      </c>
      <c r="C46" s="8">
        <f t="shared" si="2"/>
        <v>264000</v>
      </c>
      <c r="D46" s="8">
        <f t="shared" si="3"/>
        <v>1083000</v>
      </c>
      <c r="E46" s="8">
        <f>Table8[[#This Row],[Account Receivables]]-Table8[[#This Row],[Account Payables]]</f>
        <v>-819000</v>
      </c>
      <c r="K46" s="12">
        <v>45627</v>
      </c>
      <c r="L46" s="26">
        <f t="shared" si="4"/>
        <v>29.09</v>
      </c>
      <c r="M46" s="26">
        <f t="shared" si="5"/>
        <v>29.07</v>
      </c>
      <c r="N46" s="26">
        <f>Table9[[#This Row],[DSO (Days)]]-Table9[[#This Row],[DPO (Days)]]</f>
        <v>1.9999999999999574E-2</v>
      </c>
    </row>
    <row r="47" spans="2:14" x14ac:dyDescent="0.25">
      <c r="B47" s="13">
        <v>45658</v>
      </c>
      <c r="C47" s="8">
        <f t="shared" si="2"/>
        <v>272000</v>
      </c>
      <c r="D47" s="8">
        <f t="shared" si="3"/>
        <v>1116500</v>
      </c>
      <c r="E47" s="8">
        <f>Table8[[#This Row],[Account Receivables]]-Table8[[#This Row],[Account Payables]]</f>
        <v>-844500</v>
      </c>
      <c r="G47" t="s">
        <v>105</v>
      </c>
      <c r="K47" s="13">
        <v>45658</v>
      </c>
      <c r="L47" s="26">
        <f t="shared" si="4"/>
        <v>29.12</v>
      </c>
      <c r="M47" s="26">
        <f t="shared" si="5"/>
        <v>29.1</v>
      </c>
      <c r="N47" s="26">
        <f>Table9[[#This Row],[DSO (Days)]]-Table9[[#This Row],[DPO (Days)]]</f>
        <v>1.9999999999999574E-2</v>
      </c>
    </row>
    <row r="48" spans="2:14" x14ac:dyDescent="0.25">
      <c r="B48" s="12">
        <v>45689</v>
      </c>
      <c r="C48" s="8">
        <f t="shared" si="2"/>
        <v>280000</v>
      </c>
      <c r="D48" s="8">
        <f t="shared" si="3"/>
        <v>1150000</v>
      </c>
      <c r="E48" s="8">
        <f>Table8[[#This Row],[Account Receivables]]-Table8[[#This Row],[Account Payables]]</f>
        <v>-870000</v>
      </c>
      <c r="K48" s="12">
        <v>45689</v>
      </c>
      <c r="L48" s="26">
        <f t="shared" si="4"/>
        <v>29.14</v>
      </c>
      <c r="M48" s="26">
        <f t="shared" si="5"/>
        <v>29.13</v>
      </c>
      <c r="N48" s="26">
        <f>Table9[[#This Row],[DSO (Days)]]-Table9[[#This Row],[DPO (Days)]]</f>
        <v>1.0000000000001563E-2</v>
      </c>
    </row>
    <row r="49" spans="2:14" x14ac:dyDescent="0.25">
      <c r="B49" s="13">
        <v>45717</v>
      </c>
      <c r="C49" s="8">
        <f t="shared" si="2"/>
        <v>288000</v>
      </c>
      <c r="D49" s="8">
        <f t="shared" si="3"/>
        <v>1183500</v>
      </c>
      <c r="E49" s="8">
        <f>Table8[[#This Row],[Account Receivables]]-Table8[[#This Row],[Account Payables]]</f>
        <v>-895500</v>
      </c>
      <c r="K49" s="13">
        <v>45717</v>
      </c>
      <c r="L49" s="26">
        <f t="shared" si="4"/>
        <v>29.17</v>
      </c>
      <c r="M49" s="26">
        <f t="shared" si="5"/>
        <v>29.15</v>
      </c>
      <c r="N49" s="26">
        <f>Table9[[#This Row],[DSO (Days)]]-Table9[[#This Row],[DPO (Days)]]</f>
        <v>2.0000000000003126E-2</v>
      </c>
    </row>
    <row r="51" spans="2:14" x14ac:dyDescent="0.25">
      <c r="B51" t="s">
        <v>96</v>
      </c>
      <c r="K51" s="4" t="s">
        <v>109</v>
      </c>
    </row>
    <row r="52" spans="2:14" x14ac:dyDescent="0.25">
      <c r="K52" s="2"/>
    </row>
    <row r="53" spans="2:14" x14ac:dyDescent="0.25">
      <c r="B53" t="s">
        <v>97</v>
      </c>
      <c r="K53" s="4" t="s">
        <v>110</v>
      </c>
    </row>
    <row r="55" spans="2:14" x14ac:dyDescent="0.25">
      <c r="B55" s="1" t="s">
        <v>109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D1" sqref="D1"/>
    </sheetView>
  </sheetViews>
  <sheetFormatPr defaultRowHeight="15" x14ac:dyDescent="0.25"/>
  <cols>
    <col min="1" max="1" width="3.7109375" customWidth="1"/>
    <col min="3" max="3" width="15.5703125" bestFit="1" customWidth="1"/>
    <col min="4" max="4" width="12.5703125" bestFit="1" customWidth="1"/>
    <col min="5" max="5" width="13.28515625" bestFit="1" customWidth="1"/>
    <col min="6" max="6" width="15.7109375" customWidth="1"/>
    <col min="7" max="7" width="14.140625" customWidth="1"/>
    <col min="8" max="8" width="12.28515625" bestFit="1" customWidth="1"/>
    <col min="10" max="10" width="10" bestFit="1" customWidth="1"/>
  </cols>
  <sheetData>
    <row r="1" spans="2:10" ht="12" customHeight="1" x14ac:dyDescent="0.25"/>
    <row r="2" spans="2:10" x14ac:dyDescent="0.25">
      <c r="B2" t="s">
        <v>111</v>
      </c>
    </row>
    <row r="3" spans="2:10" ht="8.1" customHeight="1" x14ac:dyDescent="0.25">
      <c r="B3" s="2"/>
    </row>
    <row r="4" spans="2:10" x14ac:dyDescent="0.25">
      <c r="B4" s="2" t="s">
        <v>112</v>
      </c>
    </row>
    <row r="5" spans="2:10" x14ac:dyDescent="0.25">
      <c r="B5" s="2" t="s">
        <v>113</v>
      </c>
    </row>
    <row r="6" spans="2:10" x14ac:dyDescent="0.25">
      <c r="B6" s="2" t="s">
        <v>114</v>
      </c>
    </row>
    <row r="7" spans="2:10" x14ac:dyDescent="0.25">
      <c r="B7" s="2" t="s">
        <v>115</v>
      </c>
    </row>
    <row r="8" spans="2:10" ht="8.1" customHeight="1" x14ac:dyDescent="0.25"/>
    <row r="9" spans="2:10" ht="18.75" x14ac:dyDescent="0.3">
      <c r="B9" s="7" t="s">
        <v>116</v>
      </c>
    </row>
    <row r="10" spans="2:10" ht="12" customHeight="1" x14ac:dyDescent="0.3">
      <c r="B10" s="7"/>
    </row>
    <row r="11" spans="2:10" x14ac:dyDescent="0.25">
      <c r="B11" s="1" t="s">
        <v>36</v>
      </c>
      <c r="C11" s="14">
        <f>SUBTOTAL(9,Table10[Opening Cash])</f>
        <v>56100000</v>
      </c>
      <c r="D11" s="14">
        <f>SUBTOTAL(9,Table10[💰 Inflow])</f>
        <v>28992000</v>
      </c>
      <c r="E11" s="14">
        <f>SUBTOTAL(9,Table10[💸 Outflow])</f>
        <v>17391000</v>
      </c>
      <c r="F11" s="14">
        <f>SUBTOTAL(9,Table10[Net Cash Flow])</f>
        <v>11601000</v>
      </c>
      <c r="G11" s="14">
        <f>SUBTOTAL(9,Table10[Closing Cash])</f>
        <v>67701000</v>
      </c>
      <c r="H11" s="14">
        <f>AVERAGE(Table10[Burn Rate])</f>
        <v>1449250</v>
      </c>
    </row>
    <row r="12" spans="2:10" x14ac:dyDescent="0.25">
      <c r="B12" t="s">
        <v>27</v>
      </c>
      <c r="C12" t="s">
        <v>117</v>
      </c>
      <c r="D12" t="s">
        <v>120</v>
      </c>
      <c r="E12" t="s">
        <v>121</v>
      </c>
      <c r="F12" t="s">
        <v>8</v>
      </c>
      <c r="G12" t="s">
        <v>118</v>
      </c>
      <c r="H12" t="s">
        <v>119</v>
      </c>
    </row>
    <row r="13" spans="2:10" x14ac:dyDescent="0.25">
      <c r="B13" s="12">
        <v>45383</v>
      </c>
      <c r="C13" s="8">
        <v>0</v>
      </c>
      <c r="D13" s="8">
        <f>'Sales Forecast &amp; Cash Inflow'!M18</f>
        <v>1800000</v>
      </c>
      <c r="E13" s="8">
        <f>'Expenses Forecast &amp; Cash Outflo'!J20</f>
        <v>1265000</v>
      </c>
      <c r="F13" s="8">
        <f>Table10[[#This Row],[💰 Inflow]]-Table10[[#This Row],[💸 Outflow]]</f>
        <v>535000</v>
      </c>
      <c r="G13" s="8">
        <f>Table10[[#This Row],[Opening Cash]]+Table10[[#This Row],[Net Cash Flow]]</f>
        <v>535000</v>
      </c>
      <c r="H13" s="8">
        <f>Table10[[#This Row],[💸 Outflow]]</f>
        <v>1265000</v>
      </c>
      <c r="J13" s="17"/>
    </row>
    <row r="14" spans="2:10" x14ac:dyDescent="0.25">
      <c r="B14" s="13">
        <v>45413</v>
      </c>
      <c r="C14" s="8">
        <f>G13</f>
        <v>535000</v>
      </c>
      <c r="D14" s="8">
        <f>'Sales Forecast &amp; Cash Inflow'!M19</f>
        <v>2072000</v>
      </c>
      <c r="E14" s="8">
        <f>'Expenses Forecast &amp; Cash Outflo'!J21</f>
        <v>1298500</v>
      </c>
      <c r="F14" s="8">
        <f>Table10[[#This Row],[💰 Inflow]]-Table10[[#This Row],[💸 Outflow]]</f>
        <v>773500</v>
      </c>
      <c r="G14" s="8">
        <f>Table10[[#This Row],[Opening Cash]]+Table10[[#This Row],[Net Cash Flow]]</f>
        <v>1308500</v>
      </c>
      <c r="H14" s="8">
        <f>Table10[[#This Row],[💸 Outflow]]</f>
        <v>1298500</v>
      </c>
    </row>
    <row r="15" spans="2:10" x14ac:dyDescent="0.25">
      <c r="B15" s="12">
        <v>45444</v>
      </c>
      <c r="C15" s="8">
        <f t="shared" ref="C15:C24" si="0">G14</f>
        <v>1308500</v>
      </c>
      <c r="D15" s="8">
        <f>'Sales Forecast &amp; Cash Inflow'!M20</f>
        <v>2152000</v>
      </c>
      <c r="E15" s="8">
        <f>'Expenses Forecast &amp; Cash Outflo'!J22</f>
        <v>1332000</v>
      </c>
      <c r="F15" s="8">
        <f>Table10[[#This Row],[💰 Inflow]]-Table10[[#This Row],[💸 Outflow]]</f>
        <v>820000</v>
      </c>
      <c r="G15" s="8">
        <f>Table10[[#This Row],[Opening Cash]]+Table10[[#This Row],[Net Cash Flow]]</f>
        <v>2128500</v>
      </c>
      <c r="H15" s="8">
        <f>Table10[[#This Row],[💸 Outflow]]</f>
        <v>1332000</v>
      </c>
    </row>
    <row r="16" spans="2:10" x14ac:dyDescent="0.25">
      <c r="B16" s="13">
        <v>45474</v>
      </c>
      <c r="C16" s="8">
        <f t="shared" si="0"/>
        <v>2128500</v>
      </c>
      <c r="D16" s="8">
        <f>'Sales Forecast &amp; Cash Inflow'!M21</f>
        <v>2232000</v>
      </c>
      <c r="E16" s="8">
        <f>'Expenses Forecast &amp; Cash Outflo'!J23</f>
        <v>1365500</v>
      </c>
      <c r="F16" s="8">
        <f>Table10[[#This Row],[💰 Inflow]]-Table10[[#This Row],[💸 Outflow]]</f>
        <v>866500</v>
      </c>
      <c r="G16" s="8">
        <f>Table10[[#This Row],[Opening Cash]]+Table10[[#This Row],[Net Cash Flow]]</f>
        <v>2995000</v>
      </c>
      <c r="H16" s="8">
        <f>Table10[[#This Row],[💸 Outflow]]</f>
        <v>1365500</v>
      </c>
    </row>
    <row r="17" spans="2:8" x14ac:dyDescent="0.25">
      <c r="B17" s="12">
        <v>45505</v>
      </c>
      <c r="C17" s="8">
        <f t="shared" si="0"/>
        <v>2995000</v>
      </c>
      <c r="D17" s="8">
        <f>'Sales Forecast &amp; Cash Inflow'!M22</f>
        <v>2312000</v>
      </c>
      <c r="E17" s="8">
        <f>'Expenses Forecast &amp; Cash Outflo'!J24</f>
        <v>1399000</v>
      </c>
      <c r="F17" s="8">
        <f>Table10[[#This Row],[💰 Inflow]]-Table10[[#This Row],[💸 Outflow]]</f>
        <v>913000</v>
      </c>
      <c r="G17" s="8">
        <f>Table10[[#This Row],[Opening Cash]]+Table10[[#This Row],[Net Cash Flow]]</f>
        <v>3908000</v>
      </c>
      <c r="H17" s="8">
        <f>Table10[[#This Row],[💸 Outflow]]</f>
        <v>1399000</v>
      </c>
    </row>
    <row r="18" spans="2:8" x14ac:dyDescent="0.25">
      <c r="B18" s="13">
        <v>45536</v>
      </c>
      <c r="C18" s="8">
        <f t="shared" si="0"/>
        <v>3908000</v>
      </c>
      <c r="D18" s="8">
        <f>'Sales Forecast &amp; Cash Inflow'!M23</f>
        <v>2392000</v>
      </c>
      <c r="E18" s="8">
        <f>'Expenses Forecast &amp; Cash Outflo'!J25</f>
        <v>1432500</v>
      </c>
      <c r="F18" s="8">
        <f>Table10[[#This Row],[💰 Inflow]]-Table10[[#This Row],[💸 Outflow]]</f>
        <v>959500</v>
      </c>
      <c r="G18" s="8">
        <f>Table10[[#This Row],[Opening Cash]]+Table10[[#This Row],[Net Cash Flow]]</f>
        <v>4867500</v>
      </c>
      <c r="H18" s="8">
        <f>Table10[[#This Row],[💸 Outflow]]</f>
        <v>1432500</v>
      </c>
    </row>
    <row r="19" spans="2:8" x14ac:dyDescent="0.25">
      <c r="B19" s="12">
        <v>45566</v>
      </c>
      <c r="C19" s="8">
        <f t="shared" si="0"/>
        <v>4867500</v>
      </c>
      <c r="D19" s="8">
        <f>'Sales Forecast &amp; Cash Inflow'!M24</f>
        <v>2472000</v>
      </c>
      <c r="E19" s="8">
        <f>'Expenses Forecast &amp; Cash Outflo'!J26</f>
        <v>1466000</v>
      </c>
      <c r="F19" s="8">
        <f>Table10[[#This Row],[💰 Inflow]]-Table10[[#This Row],[💸 Outflow]]</f>
        <v>1006000</v>
      </c>
      <c r="G19" s="8">
        <f>Table10[[#This Row],[Opening Cash]]+Table10[[#This Row],[Net Cash Flow]]</f>
        <v>5873500</v>
      </c>
      <c r="H19" s="8">
        <f>Table10[[#This Row],[💸 Outflow]]</f>
        <v>1466000</v>
      </c>
    </row>
    <row r="20" spans="2:8" x14ac:dyDescent="0.25">
      <c r="B20" s="13">
        <v>45597</v>
      </c>
      <c r="C20" s="8">
        <f t="shared" si="0"/>
        <v>5873500</v>
      </c>
      <c r="D20" s="8">
        <f>'Sales Forecast &amp; Cash Inflow'!M25</f>
        <v>2552000</v>
      </c>
      <c r="E20" s="8">
        <f>'Expenses Forecast &amp; Cash Outflo'!J27</f>
        <v>1499500</v>
      </c>
      <c r="F20" s="8">
        <f>Table10[[#This Row],[💰 Inflow]]-Table10[[#This Row],[💸 Outflow]]</f>
        <v>1052500</v>
      </c>
      <c r="G20" s="8">
        <f>Table10[[#This Row],[Opening Cash]]+Table10[[#This Row],[Net Cash Flow]]</f>
        <v>6926000</v>
      </c>
      <c r="H20" s="8">
        <f>Table10[[#This Row],[💸 Outflow]]</f>
        <v>1499500</v>
      </c>
    </row>
    <row r="21" spans="2:8" x14ac:dyDescent="0.25">
      <c r="B21" s="12">
        <v>45627</v>
      </c>
      <c r="C21" s="8">
        <f t="shared" si="0"/>
        <v>6926000</v>
      </c>
      <c r="D21" s="8">
        <f>'Sales Forecast &amp; Cash Inflow'!M26</f>
        <v>2632000</v>
      </c>
      <c r="E21" s="8">
        <f>'Expenses Forecast &amp; Cash Outflo'!J28</f>
        <v>1533000</v>
      </c>
      <c r="F21" s="8">
        <f>Table10[[#This Row],[💰 Inflow]]-Table10[[#This Row],[💸 Outflow]]</f>
        <v>1099000</v>
      </c>
      <c r="G21" s="8">
        <f>Table10[[#This Row],[Opening Cash]]+Table10[[#This Row],[Net Cash Flow]]</f>
        <v>8025000</v>
      </c>
      <c r="H21" s="8">
        <f>Table10[[#This Row],[💸 Outflow]]</f>
        <v>1533000</v>
      </c>
    </row>
    <row r="22" spans="2:8" x14ac:dyDescent="0.25">
      <c r="B22" s="13">
        <v>45658</v>
      </c>
      <c r="C22" s="8">
        <f t="shared" si="0"/>
        <v>8025000</v>
      </c>
      <c r="D22" s="8">
        <f>'Sales Forecast &amp; Cash Inflow'!M27</f>
        <v>2712000</v>
      </c>
      <c r="E22" s="8">
        <f>'Expenses Forecast &amp; Cash Outflo'!J29</f>
        <v>1566500</v>
      </c>
      <c r="F22" s="8">
        <f>Table10[[#This Row],[💰 Inflow]]-Table10[[#This Row],[💸 Outflow]]</f>
        <v>1145500</v>
      </c>
      <c r="G22" s="8">
        <f>Table10[[#This Row],[Opening Cash]]+Table10[[#This Row],[Net Cash Flow]]</f>
        <v>9170500</v>
      </c>
      <c r="H22" s="8">
        <f>Table10[[#This Row],[💸 Outflow]]</f>
        <v>1566500</v>
      </c>
    </row>
    <row r="23" spans="2:8" x14ac:dyDescent="0.25">
      <c r="B23" s="12">
        <v>45689</v>
      </c>
      <c r="C23" s="8">
        <f t="shared" si="0"/>
        <v>9170500</v>
      </c>
      <c r="D23" s="8">
        <f>'Sales Forecast &amp; Cash Inflow'!M28</f>
        <v>2792000</v>
      </c>
      <c r="E23" s="8">
        <f>'Expenses Forecast &amp; Cash Outflo'!J30</f>
        <v>1600000</v>
      </c>
      <c r="F23" s="8">
        <f>Table10[[#This Row],[💰 Inflow]]-Table10[[#This Row],[💸 Outflow]]</f>
        <v>1192000</v>
      </c>
      <c r="G23" s="8">
        <f>Table10[[#This Row],[Opening Cash]]+Table10[[#This Row],[Net Cash Flow]]</f>
        <v>10362500</v>
      </c>
      <c r="H23" s="8">
        <f>Table10[[#This Row],[💸 Outflow]]</f>
        <v>1600000</v>
      </c>
    </row>
    <row r="24" spans="2:8" x14ac:dyDescent="0.25">
      <c r="B24" s="13">
        <v>45717</v>
      </c>
      <c r="C24" s="8">
        <f t="shared" si="0"/>
        <v>10362500</v>
      </c>
      <c r="D24" s="8">
        <f>'Sales Forecast &amp; Cash Inflow'!M29</f>
        <v>2872000</v>
      </c>
      <c r="E24" s="8">
        <f>'Expenses Forecast &amp; Cash Outflo'!J31</f>
        <v>1633500</v>
      </c>
      <c r="F24" s="8">
        <f>Table10[[#This Row],[💰 Inflow]]-Table10[[#This Row],[💸 Outflow]]</f>
        <v>1238500</v>
      </c>
      <c r="G24" s="8">
        <f>Table10[[#This Row],[Opening Cash]]+Table10[[#This Row],[Net Cash Flow]]</f>
        <v>11601000</v>
      </c>
      <c r="H24" s="8">
        <f>Table10[[#This Row],[💸 Outflow]]</f>
        <v>1633500</v>
      </c>
    </row>
  </sheetData>
  <conditionalFormatting sqref="C12">
    <cfRule type="iconSet" priority="2">
      <iconSet>
        <cfvo type="percent" val="0"/>
        <cfvo type="percent" val="33"/>
        <cfvo type="percent" val="67"/>
      </iconSet>
    </cfRule>
    <cfRule type="iconSet" priority="3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H13:H24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Lookup_List</vt:lpstr>
      <vt:lpstr>Sales Forecast &amp; Cash Inflow</vt:lpstr>
      <vt:lpstr>Expenses Forecast &amp; Cash Outflo</vt:lpstr>
      <vt:lpstr>Working Capital Management</vt:lpstr>
      <vt:lpstr>Cash Flow Forecasting 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2025-07-09T13:35:53Z</dcterms:modified>
</cp:coreProperties>
</file>