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mc:AlternateContent xmlns:mc="http://schemas.openxmlformats.org/markup-compatibility/2006">
    <mc:Choice Requires="x15">
      <x15ac:absPath xmlns:x15ac="http://schemas.microsoft.com/office/spreadsheetml/2010/11/ac" url="https://ficorp-my.sharepoint.com/personal/chetankandpal_fico_com/Documents/"/>
    </mc:Choice>
  </mc:AlternateContent>
  <xr:revisionPtr revIDLastSave="410" documentId="8_{654D8455-5493-415F-9489-9FD92D590FB5}" xr6:coauthVersionLast="47" xr6:coauthVersionMax="47" xr10:uidLastSave="{2486BA87-D430-4CB6-8316-F2FFD9739BCF}"/>
  <bookViews>
    <workbookView xWindow="-110" yWindow="-110" windowWidth="19420" windowHeight="11500" xr2:uid="{00000000-000D-0000-FFFF-FFFF00000000}"/>
  </bookViews>
  <sheets>
    <sheet name="Model" sheetId="8" r:id="rId1"/>
    <sheet name="Profit &amp; Loss" sheetId="1" state="hidden" r:id="rId2"/>
    <sheet name="Main" sheetId="7" r:id="rId3"/>
    <sheet name="Quarters" sheetId="3" state="hidden" r:id="rId4"/>
    <sheet name="Balance Sheet" sheetId="2" state="hidden" r:id="rId5"/>
    <sheet name="Cash Flow" sheetId="4" state="hidden" r:id="rId6"/>
    <sheet name="Customization" sheetId="5" state="hidden" r:id="rId7"/>
    <sheet name="Data Sheet" sheetId="6" state="hidden" r:id="rId8"/>
  </sheets>
  <definedNames>
    <definedName name="UPDATE">'Data Sheet'!$E$1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J73" i="8" l="1"/>
  <c r="AJ72" i="8"/>
  <c r="AL64" i="8"/>
  <c r="AM64" i="8"/>
  <c r="AN64" i="8"/>
  <c r="AO64" i="8"/>
  <c r="AP64" i="8"/>
  <c r="AQ64" i="8"/>
  <c r="AR64" i="8"/>
  <c r="AS64" i="8"/>
  <c r="AT64" i="8"/>
  <c r="AU64" i="8"/>
  <c r="AV64" i="8" s="1"/>
  <c r="AW64" i="8" s="1"/>
  <c r="AX64" i="8" s="1"/>
  <c r="AY64" i="8" s="1"/>
  <c r="AZ64" i="8" s="1"/>
  <c r="BA64" i="8" s="1"/>
  <c r="BB64" i="8" s="1"/>
  <c r="BC64" i="8" s="1"/>
  <c r="BD64" i="8" s="1"/>
  <c r="BE64" i="8" s="1"/>
  <c r="BF64" i="8" s="1"/>
  <c r="BG64" i="8" s="1"/>
  <c r="BH64" i="8" s="1"/>
  <c r="BI64" i="8" s="1"/>
  <c r="BJ64" i="8" s="1"/>
  <c r="BK64" i="8" s="1"/>
  <c r="BL64" i="8" s="1"/>
  <c r="BM64" i="8" s="1"/>
  <c r="BN64" i="8" s="1"/>
  <c r="BO64" i="8" s="1"/>
  <c r="BP64" i="8" s="1"/>
  <c r="BQ64" i="8" s="1"/>
  <c r="BR64" i="8" s="1"/>
  <c r="BS64" i="8" s="1"/>
  <c r="BT64" i="8" s="1"/>
  <c r="BU64" i="8" s="1"/>
  <c r="BV64" i="8" s="1"/>
  <c r="BW64" i="8" s="1"/>
  <c r="BX64" i="8" s="1"/>
  <c r="BY64" i="8" s="1"/>
  <c r="BZ64" i="8" s="1"/>
  <c r="CA64" i="8" s="1"/>
  <c r="CB64" i="8" s="1"/>
  <c r="CC64" i="8" s="1"/>
  <c r="CD64" i="8" s="1"/>
  <c r="CE64" i="8" s="1"/>
  <c r="CF64" i="8" s="1"/>
  <c r="CG64" i="8" s="1"/>
  <c r="CH64" i="8" s="1"/>
  <c r="CI64" i="8" s="1"/>
  <c r="CJ64" i="8" s="1"/>
  <c r="CK64" i="8" s="1"/>
  <c r="CL64" i="8" s="1"/>
  <c r="CM64" i="8" s="1"/>
  <c r="CN64" i="8" s="1"/>
  <c r="CO64" i="8" s="1"/>
  <c r="CP64" i="8" s="1"/>
  <c r="CQ64" i="8" s="1"/>
  <c r="CR64" i="8" s="1"/>
  <c r="CS64" i="8" s="1"/>
  <c r="AD64" i="8"/>
  <c r="AE64" i="8"/>
  <c r="AF64" i="8"/>
  <c r="AG64" i="8" s="1"/>
  <c r="AH64" i="8" s="1"/>
  <c r="AI64" i="8" s="1"/>
  <c r="AJ64" i="8" s="1"/>
  <c r="AK64" i="8" s="1"/>
  <c r="AC64" i="8"/>
  <c r="AC47" i="8"/>
  <c r="AD47" i="8" s="1"/>
  <c r="AE20" i="8"/>
  <c r="AE21" i="8" s="1"/>
  <c r="AF20" i="8"/>
  <c r="AG20" i="8" s="1"/>
  <c r="AD20" i="8"/>
  <c r="AD21" i="8" s="1"/>
  <c r="AC27" i="8"/>
  <c r="V31" i="8"/>
  <c r="V34" i="8"/>
  <c r="W34" i="8" s="1"/>
  <c r="U34" i="8"/>
  <c r="T34" i="8"/>
  <c r="U31" i="8"/>
  <c r="T31" i="8"/>
  <c r="W31" i="8" s="1"/>
  <c r="AA27" i="8"/>
  <c r="AB27" i="8"/>
  <c r="Z27" i="8"/>
  <c r="L27" i="8"/>
  <c r="M27" i="8"/>
  <c r="N27" i="8"/>
  <c r="O27" i="8"/>
  <c r="P27" i="8"/>
  <c r="Q27" i="8"/>
  <c r="R27" i="8"/>
  <c r="S27" i="8"/>
  <c r="K27" i="8"/>
  <c r="P26" i="8"/>
  <c r="K24" i="8"/>
  <c r="J15" i="8"/>
  <c r="J11" i="8"/>
  <c r="G15" i="8"/>
  <c r="G14" i="8"/>
  <c r="G16" i="8" s="1"/>
  <c r="G26" i="8" s="1"/>
  <c r="G11" i="8"/>
  <c r="H15" i="8"/>
  <c r="H14" i="8"/>
  <c r="H11" i="8"/>
  <c r="L24" i="8" s="1"/>
  <c r="G21" i="8"/>
  <c r="H21" i="8"/>
  <c r="I21" i="8"/>
  <c r="I15" i="8"/>
  <c r="I11" i="8"/>
  <c r="I16" i="8" s="1"/>
  <c r="AB24" i="8"/>
  <c r="P24" i="8"/>
  <c r="Q24" i="8"/>
  <c r="R24" i="8"/>
  <c r="S24" i="8"/>
  <c r="O24" i="8"/>
  <c r="M15" i="8"/>
  <c r="M11" i="8"/>
  <c r="M24" i="8" s="1"/>
  <c r="L15" i="8"/>
  <c r="I14" i="8"/>
  <c r="J14" i="8"/>
  <c r="K14" i="8"/>
  <c r="L14" i="8"/>
  <c r="M14" i="8"/>
  <c r="L11" i="8"/>
  <c r="P15" i="8"/>
  <c r="P14" i="8"/>
  <c r="P16" i="8" s="1"/>
  <c r="P11" i="8"/>
  <c r="Q15" i="8"/>
  <c r="Q14" i="8"/>
  <c r="Q11" i="8"/>
  <c r="Q16" i="8" s="1"/>
  <c r="Q26" i="8" s="1"/>
  <c r="K15" i="8"/>
  <c r="Z15" i="8"/>
  <c r="S14" i="8"/>
  <c r="T14" i="8"/>
  <c r="U14" i="8"/>
  <c r="V14" i="8"/>
  <c r="W14" i="8"/>
  <c r="X14" i="8"/>
  <c r="Y14" i="8"/>
  <c r="Z14" i="8"/>
  <c r="AA14" i="8"/>
  <c r="AB14" i="8"/>
  <c r="AC14" i="8"/>
  <c r="S11" i="8"/>
  <c r="S16" i="8" s="1"/>
  <c r="T11" i="8"/>
  <c r="U11" i="8"/>
  <c r="V11" i="8"/>
  <c r="W11" i="8"/>
  <c r="X11" i="8"/>
  <c r="Y11" i="8"/>
  <c r="Y16" i="8" s="1"/>
  <c r="Z11" i="8"/>
  <c r="Z24" i="8" s="1"/>
  <c r="AA11" i="8"/>
  <c r="AB11" i="8"/>
  <c r="AC11" i="8"/>
  <c r="Y21" i="8"/>
  <c r="Y15" i="8"/>
  <c r="K11" i="8"/>
  <c r="J21" i="8"/>
  <c r="K21" i="8"/>
  <c r="L21" i="8"/>
  <c r="M21" i="8"/>
  <c r="N21" i="8"/>
  <c r="N15" i="8"/>
  <c r="N14" i="8"/>
  <c r="N16" i="8" s="1"/>
  <c r="N17" i="8" s="1"/>
  <c r="N11" i="8"/>
  <c r="N24" i="8" s="1"/>
  <c r="AA15" i="8"/>
  <c r="P21" i="8"/>
  <c r="Q21" i="8"/>
  <c r="R21" i="8"/>
  <c r="S21" i="8"/>
  <c r="T21" i="8"/>
  <c r="U21" i="8"/>
  <c r="V21" i="8"/>
  <c r="W21" i="8"/>
  <c r="X21" i="8"/>
  <c r="Z21" i="8"/>
  <c r="AA21" i="8"/>
  <c r="AB21" i="8"/>
  <c r="AC21" i="8"/>
  <c r="O21" i="8"/>
  <c r="T17" i="8"/>
  <c r="U17" i="8"/>
  <c r="V17" i="8"/>
  <c r="W17" i="8"/>
  <c r="X17" i="8"/>
  <c r="AJ17" i="8"/>
  <c r="C16" i="8"/>
  <c r="D16" i="8"/>
  <c r="E16" i="8"/>
  <c r="E17" i="8" s="1"/>
  <c r="F16" i="8"/>
  <c r="F17" i="8" s="1"/>
  <c r="AD16" i="8"/>
  <c r="AD17" i="8" s="1"/>
  <c r="AE16" i="8"/>
  <c r="AE17" i="8" s="1"/>
  <c r="AF16" i="8"/>
  <c r="AF17" i="8" s="1"/>
  <c r="AG16" i="8"/>
  <c r="AG17" i="8" s="1"/>
  <c r="AH16" i="8"/>
  <c r="AH17" i="8" s="1"/>
  <c r="AI16" i="8"/>
  <c r="AI17" i="8" s="1"/>
  <c r="AJ16" i="8"/>
  <c r="AK16" i="8"/>
  <c r="AL16" i="8"/>
  <c r="AB15" i="8"/>
  <c r="O15" i="8"/>
  <c r="R15" i="8"/>
  <c r="S15" i="8"/>
  <c r="O14" i="8"/>
  <c r="R14" i="8"/>
  <c r="Z2" i="8"/>
  <c r="AA2" i="8" s="1"/>
  <c r="AB2" i="8" s="1"/>
  <c r="AC2" i="8" s="1"/>
  <c r="AD2" i="8" s="1"/>
  <c r="AE2" i="8" s="1"/>
  <c r="AF2" i="8" s="1"/>
  <c r="AG2" i="8" s="1"/>
  <c r="AH2" i="8" s="1"/>
  <c r="AI2" i="8" s="1"/>
  <c r="AJ2" i="8" s="1"/>
  <c r="AK2" i="8" s="1"/>
  <c r="AL2" i="8" s="1"/>
  <c r="O11" i="8"/>
  <c r="R11" i="8"/>
  <c r="S17" i="8" l="1"/>
  <c r="S26" i="8"/>
  <c r="AE47" i="8"/>
  <c r="AF47" i="8" s="1"/>
  <c r="AG47" i="8" s="1"/>
  <c r="AH47" i="8" s="1"/>
  <c r="AI47" i="8" s="1"/>
  <c r="AJ47" i="8" s="1"/>
  <c r="AK47" i="8" s="1"/>
  <c r="AL47" i="8" s="1"/>
  <c r="AM47" i="8" s="1"/>
  <c r="AN47" i="8" s="1"/>
  <c r="AO47" i="8" s="1"/>
  <c r="AP47" i="8" s="1"/>
  <c r="AQ47" i="8" s="1"/>
  <c r="AR47" i="8" s="1"/>
  <c r="AS47" i="8" s="1"/>
  <c r="AT47" i="8" s="1"/>
  <c r="AU47" i="8" s="1"/>
  <c r="AV47" i="8" s="1"/>
  <c r="AW47" i="8" s="1"/>
  <c r="AX47" i="8" s="1"/>
  <c r="AY47" i="8" s="1"/>
  <c r="AZ47" i="8" s="1"/>
  <c r="BA47" i="8" s="1"/>
  <c r="BB47" i="8" s="1"/>
  <c r="BC47" i="8" s="1"/>
  <c r="BD47" i="8" s="1"/>
  <c r="BE47" i="8" s="1"/>
  <c r="BF47" i="8" s="1"/>
  <c r="BG47" i="8" s="1"/>
  <c r="BH47" i="8" s="1"/>
  <c r="BI47" i="8" s="1"/>
  <c r="BJ47" i="8" s="1"/>
  <c r="BK47" i="8" s="1"/>
  <c r="BL47" i="8" s="1"/>
  <c r="BM47" i="8" s="1"/>
  <c r="BN47" i="8" s="1"/>
  <c r="BO47" i="8" s="1"/>
  <c r="BP47" i="8" s="1"/>
  <c r="BQ47" i="8" s="1"/>
  <c r="BR47" i="8" s="1"/>
  <c r="BS47" i="8" s="1"/>
  <c r="BT47" i="8" s="1"/>
  <c r="BU47" i="8" s="1"/>
  <c r="BV47" i="8" s="1"/>
  <c r="BW47" i="8" s="1"/>
  <c r="BX47" i="8" s="1"/>
  <c r="BY47" i="8" s="1"/>
  <c r="BZ47" i="8" s="1"/>
  <c r="CA47" i="8" s="1"/>
  <c r="CB47" i="8" s="1"/>
  <c r="CC47" i="8" s="1"/>
  <c r="CD47" i="8" s="1"/>
  <c r="CE47" i="8" s="1"/>
  <c r="CF47" i="8" s="1"/>
  <c r="CG47" i="8" s="1"/>
  <c r="CH47" i="8" s="1"/>
  <c r="CI47" i="8" s="1"/>
  <c r="CJ47" i="8" s="1"/>
  <c r="CK47" i="8" s="1"/>
  <c r="CL47" i="8" s="1"/>
  <c r="CM47" i="8" s="1"/>
  <c r="CN47" i="8" s="1"/>
  <c r="CO47" i="8" s="1"/>
  <c r="CP47" i="8" s="1"/>
  <c r="CQ47" i="8" s="1"/>
  <c r="CR47" i="8" s="1"/>
  <c r="CS47" i="8" s="1"/>
  <c r="AJ55" i="8"/>
  <c r="AJ56" i="8" s="1"/>
  <c r="U37" i="8"/>
  <c r="I17" i="8"/>
  <c r="I26" i="8"/>
  <c r="Y17" i="8"/>
  <c r="Y26" i="8"/>
  <c r="R16" i="8"/>
  <c r="AA24" i="8"/>
  <c r="J16" i="8"/>
  <c r="K16" i="8"/>
  <c r="O16" i="8"/>
  <c r="N26" i="8"/>
  <c r="P17" i="8"/>
  <c r="L16" i="8"/>
  <c r="AG21" i="8"/>
  <c r="AH20" i="8"/>
  <c r="AF21" i="8"/>
  <c r="G17" i="8"/>
  <c r="H16" i="8"/>
  <c r="M16" i="8"/>
  <c r="Q17" i="8"/>
  <c r="AC16" i="8"/>
  <c r="Z16" i="8"/>
  <c r="AB16" i="8"/>
  <c r="AA16" i="8"/>
  <c r="L32" i="1"/>
  <c r="I33" i="1"/>
  <c r="J33" i="1"/>
  <c r="K33" i="1"/>
  <c r="H33" i="1"/>
  <c r="H30" i="1"/>
  <c r="I30" i="1" s="1"/>
  <c r="J30" i="1" s="1"/>
  <c r="K30" i="1" s="1"/>
  <c r="L30" i="1" s="1"/>
  <c r="M30" i="1" s="1"/>
  <c r="N30" i="1" s="1"/>
  <c r="O30" i="1" s="1"/>
  <c r="P30" i="1" s="1"/>
  <c r="Q30" i="1" s="1"/>
  <c r="R30" i="1" s="1"/>
  <c r="S30" i="1" s="1"/>
  <c r="T30" i="1" s="1"/>
  <c r="U30" i="1" s="1"/>
  <c r="V30" i="1" s="1"/>
  <c r="W30" i="1" s="1"/>
  <c r="X30" i="1" s="1"/>
  <c r="Y30" i="1" s="1"/>
  <c r="Z30" i="1" s="1"/>
  <c r="AA30" i="1" s="1"/>
  <c r="AB30" i="1" s="1"/>
  <c r="AC30" i="1" s="1"/>
  <c r="AD30" i="1" s="1"/>
  <c r="AE30" i="1" s="1"/>
  <c r="AF30" i="1" s="1"/>
  <c r="AG30" i="1" s="1"/>
  <c r="AH30" i="1" s="1"/>
  <c r="AI30" i="1" s="1"/>
  <c r="AJ30" i="1" s="1"/>
  <c r="AK30" i="1" s="1"/>
  <c r="AL30" i="1" s="1"/>
  <c r="AM30" i="1" s="1"/>
  <c r="AN30" i="1" s="1"/>
  <c r="AO30" i="1" s="1"/>
  <c r="AP30" i="1" s="1"/>
  <c r="AQ30" i="1" s="1"/>
  <c r="AR30" i="1" s="1"/>
  <c r="AS30" i="1" s="1"/>
  <c r="AT30" i="1" s="1"/>
  <c r="AU30" i="1" s="1"/>
  <c r="AV30" i="1" s="1"/>
  <c r="AW30" i="1" s="1"/>
  <c r="AX30" i="1" s="1"/>
  <c r="AY30" i="1" s="1"/>
  <c r="AZ30" i="1" s="1"/>
  <c r="BA30" i="1" s="1"/>
  <c r="BB30" i="1" s="1"/>
  <c r="BC30" i="1" s="1"/>
  <c r="BD30" i="1" s="1"/>
  <c r="BE30" i="1" s="1"/>
  <c r="BF30" i="1" s="1"/>
  <c r="BG30" i="1" s="1"/>
  <c r="BH30" i="1" s="1"/>
  <c r="K32" i="1"/>
  <c r="J32" i="1"/>
  <c r="I32" i="1"/>
  <c r="H32" i="1"/>
  <c r="P7" i="7"/>
  <c r="H17" i="8" l="1"/>
  <c r="H26" i="8"/>
  <c r="L17" i="8"/>
  <c r="L26" i="8"/>
  <c r="AA17" i="8"/>
  <c r="AA26" i="8"/>
  <c r="O17" i="8"/>
  <c r="O26" i="8"/>
  <c r="AB17" i="8"/>
  <c r="AB26" i="8"/>
  <c r="K17" i="8"/>
  <c r="K26" i="8"/>
  <c r="Z17" i="8"/>
  <c r="Z26" i="8"/>
  <c r="J17" i="8"/>
  <c r="J26" i="8"/>
  <c r="AC17" i="8"/>
  <c r="AC26" i="8"/>
  <c r="M17" i="8"/>
  <c r="M26" i="8"/>
  <c r="R17" i="8"/>
  <c r="R26" i="8"/>
  <c r="AH21" i="8"/>
  <c r="AI20" i="8"/>
  <c r="M32" i="1"/>
  <c r="N32" i="1" s="1"/>
  <c r="O32" i="1" s="1"/>
  <c r="P32" i="1" s="1"/>
  <c r="Q32" i="1" s="1"/>
  <c r="R32" i="1" s="1"/>
  <c r="S32" i="1" s="1"/>
  <c r="T32" i="1" s="1"/>
  <c r="U32" i="1" s="1"/>
  <c r="V32" i="1" s="1"/>
  <c r="W32" i="1" s="1"/>
  <c r="X32" i="1" s="1"/>
  <c r="Y32" i="1" s="1"/>
  <c r="Z32" i="1" s="1"/>
  <c r="AA32" i="1" s="1"/>
  <c r="AB32" i="1" s="1"/>
  <c r="AC32" i="1" s="1"/>
  <c r="AD32" i="1" s="1"/>
  <c r="AE32" i="1" s="1"/>
  <c r="AF32" i="1" s="1"/>
  <c r="AG32" i="1" s="1"/>
  <c r="AH32" i="1" s="1"/>
  <c r="AI32" i="1" s="1"/>
  <c r="AJ32" i="1" s="1"/>
  <c r="AK32" i="1" s="1"/>
  <c r="AL32" i="1" s="1"/>
  <c r="C6" i="3"/>
  <c r="D6" i="3"/>
  <c r="E6" i="3"/>
  <c r="F6" i="3"/>
  <c r="G6" i="3"/>
  <c r="H6" i="3"/>
  <c r="I6" i="3"/>
  <c r="J6" i="3"/>
  <c r="K6" i="3"/>
  <c r="B6" i="3"/>
  <c r="C5" i="1"/>
  <c r="D5" i="1"/>
  <c r="D6" i="1" s="1"/>
  <c r="D19" i="1" s="1"/>
  <c r="E5" i="1"/>
  <c r="F5" i="1"/>
  <c r="G5" i="1"/>
  <c r="H5" i="1"/>
  <c r="I5" i="1"/>
  <c r="J5" i="1"/>
  <c r="K5" i="1"/>
  <c r="B5" i="1"/>
  <c r="K93" i="6"/>
  <c r="K13" i="1" s="1"/>
  <c r="C93" i="6"/>
  <c r="C13" i="1" s="1"/>
  <c r="D93" i="6"/>
  <c r="D13" i="1" s="1"/>
  <c r="E93" i="6"/>
  <c r="E13" i="1" s="1"/>
  <c r="F93" i="6"/>
  <c r="F13" i="1" s="1"/>
  <c r="G93" i="6"/>
  <c r="G13" i="1" s="1"/>
  <c r="H93" i="6"/>
  <c r="I93" i="6"/>
  <c r="J93" i="6"/>
  <c r="J13" i="1" s="1"/>
  <c r="B93" i="6"/>
  <c r="B13" i="1" s="1"/>
  <c r="B6" i="6"/>
  <c r="C17" i="2"/>
  <c r="D17" i="2"/>
  <c r="E17" i="2"/>
  <c r="F17" i="2"/>
  <c r="G17" i="2"/>
  <c r="G20" i="2" s="1"/>
  <c r="H17" i="2"/>
  <c r="I17" i="2"/>
  <c r="J17" i="2"/>
  <c r="K17" i="2"/>
  <c r="C18" i="2"/>
  <c r="C21" i="2" s="1"/>
  <c r="D18" i="2"/>
  <c r="E18" i="2"/>
  <c r="F18" i="2"/>
  <c r="G18" i="2"/>
  <c r="H18" i="2"/>
  <c r="H21" i="2" s="1"/>
  <c r="I18" i="2"/>
  <c r="I21" i="2" s="1"/>
  <c r="J18" i="2"/>
  <c r="J21" i="2" s="1"/>
  <c r="K18" i="2"/>
  <c r="K21" i="2" s="1"/>
  <c r="B17" i="2"/>
  <c r="C4" i="2"/>
  <c r="C23" i="2" s="1"/>
  <c r="D4" i="2"/>
  <c r="D23" i="2" s="1"/>
  <c r="E4" i="2"/>
  <c r="E5" i="2"/>
  <c r="E23" i="2"/>
  <c r="F4" i="2"/>
  <c r="G4" i="2"/>
  <c r="H4" i="2"/>
  <c r="I4" i="2"/>
  <c r="I5" i="2"/>
  <c r="I23" i="2"/>
  <c r="J4" i="2"/>
  <c r="J5" i="2"/>
  <c r="J23" i="2" s="1"/>
  <c r="K4" i="2"/>
  <c r="K23" i="2" s="1"/>
  <c r="C5" i="2"/>
  <c r="D5" i="2"/>
  <c r="F5" i="2"/>
  <c r="G5" i="2"/>
  <c r="H5" i="2"/>
  <c r="K5" i="2"/>
  <c r="C6" i="2"/>
  <c r="D6" i="2"/>
  <c r="E6" i="2"/>
  <c r="F6" i="2"/>
  <c r="G6" i="2"/>
  <c r="H6" i="2"/>
  <c r="I6" i="2"/>
  <c r="J6" i="2"/>
  <c r="K6" i="2"/>
  <c r="C7" i="2"/>
  <c r="C16" i="2" s="1"/>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H16" i="2" s="1"/>
  <c r="I13" i="2"/>
  <c r="J13" i="2"/>
  <c r="J16" i="2" s="1"/>
  <c r="K13" i="2"/>
  <c r="K16" i="2" s="1"/>
  <c r="C14" i="2"/>
  <c r="D14" i="2"/>
  <c r="E14" i="2"/>
  <c r="F14" i="2"/>
  <c r="G14" i="2"/>
  <c r="H14" i="2"/>
  <c r="I14" i="2"/>
  <c r="J14" i="2"/>
  <c r="K14" i="2"/>
  <c r="B14" i="2"/>
  <c r="B5" i="2"/>
  <c r="B4" i="2"/>
  <c r="C4" i="4"/>
  <c r="D4" i="4"/>
  <c r="E4" i="4"/>
  <c r="F4" i="4"/>
  <c r="G4" i="4"/>
  <c r="H4" i="4"/>
  <c r="I4" i="4"/>
  <c r="J4" i="4"/>
  <c r="K4" i="4"/>
  <c r="C5" i="4"/>
  <c r="D5" i="4"/>
  <c r="E5" i="4"/>
  <c r="F5" i="4"/>
  <c r="G5" i="4"/>
  <c r="H5" i="4"/>
  <c r="I5" i="4"/>
  <c r="J5" i="4"/>
  <c r="K5" i="4"/>
  <c r="C6" i="4"/>
  <c r="D6" i="4"/>
  <c r="E6" i="4"/>
  <c r="F6" i="4"/>
  <c r="G6" i="4"/>
  <c r="H6" i="4"/>
  <c r="I6" i="4"/>
  <c r="J6" i="4"/>
  <c r="K6" i="4"/>
  <c r="C7" i="4"/>
  <c r="D7" i="4"/>
  <c r="E7" i="4"/>
  <c r="F7" i="4"/>
  <c r="G7" i="4"/>
  <c r="H7" i="4"/>
  <c r="I7" i="4"/>
  <c r="J7" i="4"/>
  <c r="K7" i="4"/>
  <c r="C4" i="3"/>
  <c r="C14" i="3" s="1"/>
  <c r="D4" i="3"/>
  <c r="D14" i="3" s="1"/>
  <c r="E4" i="3"/>
  <c r="F4" i="3"/>
  <c r="G4" i="3"/>
  <c r="G14" i="3" s="1"/>
  <c r="H4" i="3"/>
  <c r="I4" i="3"/>
  <c r="I14" i="3" s="1"/>
  <c r="J4" i="3"/>
  <c r="J14" i="3" s="1"/>
  <c r="K4" i="3"/>
  <c r="K14" i="3" s="1"/>
  <c r="C5" i="3"/>
  <c r="D5" i="3"/>
  <c r="E5" i="3"/>
  <c r="F5" i="3"/>
  <c r="G5" i="3"/>
  <c r="H5" i="3"/>
  <c r="I5" i="3"/>
  <c r="J5" i="3"/>
  <c r="K5" i="3"/>
  <c r="L5" i="1" s="1"/>
  <c r="C7" i="3"/>
  <c r="D7" i="3"/>
  <c r="E7" i="3"/>
  <c r="F7" i="3"/>
  <c r="G7" i="3"/>
  <c r="H7" i="3"/>
  <c r="I7" i="3"/>
  <c r="J7" i="3"/>
  <c r="K7" i="3"/>
  <c r="C8" i="3"/>
  <c r="D8" i="3"/>
  <c r="E8" i="3"/>
  <c r="F8" i="3"/>
  <c r="G8" i="3"/>
  <c r="H8" i="3"/>
  <c r="I8" i="3"/>
  <c r="J8" i="3"/>
  <c r="K8" i="3"/>
  <c r="C9" i="3"/>
  <c r="D9" i="3"/>
  <c r="E9" i="3"/>
  <c r="F9" i="3"/>
  <c r="G9" i="3"/>
  <c r="H9" i="3"/>
  <c r="I9" i="3"/>
  <c r="J9" i="3"/>
  <c r="K9" i="3"/>
  <c r="C10" i="3"/>
  <c r="D10" i="3"/>
  <c r="E10" i="3"/>
  <c r="F10" i="3"/>
  <c r="G10" i="3"/>
  <c r="H10" i="3"/>
  <c r="I10" i="3"/>
  <c r="J10" i="3"/>
  <c r="K10" i="3"/>
  <c r="C11" i="3"/>
  <c r="D11" i="3"/>
  <c r="E11" i="3"/>
  <c r="F11" i="3"/>
  <c r="G11" i="3"/>
  <c r="H11" i="3"/>
  <c r="I11" i="3"/>
  <c r="J11" i="3"/>
  <c r="K11" i="3"/>
  <c r="C12" i="3"/>
  <c r="D12" i="3"/>
  <c r="E12" i="3"/>
  <c r="F12" i="3"/>
  <c r="G12" i="3"/>
  <c r="H12" i="3"/>
  <c r="I12" i="3"/>
  <c r="J12" i="3"/>
  <c r="K12" i="3"/>
  <c r="B5" i="3"/>
  <c r="C18" i="1"/>
  <c r="D18" i="1"/>
  <c r="E18" i="1"/>
  <c r="F18" i="1"/>
  <c r="G18" i="1"/>
  <c r="H18" i="1"/>
  <c r="I18" i="1"/>
  <c r="J18" i="1"/>
  <c r="K18" i="1"/>
  <c r="B18" i="1"/>
  <c r="C4" i="1"/>
  <c r="D4" i="1"/>
  <c r="E4" i="1"/>
  <c r="F4" i="1"/>
  <c r="F20" i="2" s="1"/>
  <c r="G4" i="1"/>
  <c r="H4" i="1"/>
  <c r="I4" i="1"/>
  <c r="I6" i="1" s="1"/>
  <c r="I19" i="1" s="1"/>
  <c r="J4" i="1"/>
  <c r="J20" i="2" s="1"/>
  <c r="K4" i="1"/>
  <c r="K20" i="2" s="1"/>
  <c r="C7" i="1"/>
  <c r="D7" i="1"/>
  <c r="E7" i="1"/>
  <c r="F7" i="1"/>
  <c r="G7" i="1"/>
  <c r="H7" i="1"/>
  <c r="I7" i="1"/>
  <c r="J7" i="1"/>
  <c r="K7" i="1"/>
  <c r="C8" i="1"/>
  <c r="D8" i="1"/>
  <c r="E8" i="1"/>
  <c r="F8" i="1"/>
  <c r="G8" i="1"/>
  <c r="H8" i="1"/>
  <c r="I8" i="1"/>
  <c r="J8" i="1"/>
  <c r="K8" i="1"/>
  <c r="C9" i="1"/>
  <c r="D9" i="1"/>
  <c r="E9" i="1"/>
  <c r="F9" i="1"/>
  <c r="G9" i="1"/>
  <c r="H9" i="1"/>
  <c r="I9" i="1"/>
  <c r="J9" i="1"/>
  <c r="K9" i="1"/>
  <c r="C10" i="1"/>
  <c r="D10" i="1"/>
  <c r="E10" i="1"/>
  <c r="F10" i="1"/>
  <c r="G10" i="1"/>
  <c r="H10" i="1"/>
  <c r="I10" i="1"/>
  <c r="J10" i="1"/>
  <c r="K10" i="1"/>
  <c r="C11" i="1"/>
  <c r="D11" i="1"/>
  <c r="E11" i="1"/>
  <c r="F11" i="1"/>
  <c r="G11" i="1"/>
  <c r="H11" i="1"/>
  <c r="I11" i="1"/>
  <c r="J11" i="1"/>
  <c r="K11" i="1"/>
  <c r="C12" i="1"/>
  <c r="D12" i="1"/>
  <c r="E12" i="1"/>
  <c r="F12" i="1"/>
  <c r="G12" i="1"/>
  <c r="H12" i="1"/>
  <c r="I12" i="1"/>
  <c r="J12" i="1"/>
  <c r="K12" i="1"/>
  <c r="C15" i="1"/>
  <c r="C14" i="1"/>
  <c r="D15" i="1"/>
  <c r="D14" i="1" s="1"/>
  <c r="E15" i="1"/>
  <c r="E14" i="1" s="1"/>
  <c r="F15" i="1"/>
  <c r="F14" i="1" s="1"/>
  <c r="G15" i="1"/>
  <c r="G14" i="1"/>
  <c r="H15" i="1"/>
  <c r="H14" i="1" s="1"/>
  <c r="I15" i="1"/>
  <c r="I14" i="1" s="1"/>
  <c r="J15" i="1"/>
  <c r="J14" i="1" s="1"/>
  <c r="K15" i="1"/>
  <c r="K14" i="1"/>
  <c r="B15" i="1"/>
  <c r="B14" i="1" s="1"/>
  <c r="H13" i="1"/>
  <c r="I13" i="1"/>
  <c r="B7" i="1"/>
  <c r="B4" i="1"/>
  <c r="B20" i="2" s="1"/>
  <c r="A1" i="1"/>
  <c r="A1" i="2" s="1"/>
  <c r="A1" i="4" s="1"/>
  <c r="E1" i="6"/>
  <c r="H1" i="1" s="1"/>
  <c r="E1" i="3"/>
  <c r="D16" i="2"/>
  <c r="F23" i="2"/>
  <c r="G23" i="2"/>
  <c r="F16" i="2"/>
  <c r="G6" i="1"/>
  <c r="G19" i="1" s="1"/>
  <c r="C6" i="1"/>
  <c r="C19" i="1"/>
  <c r="C3" i="4"/>
  <c r="D3" i="4"/>
  <c r="E3" i="4"/>
  <c r="F3" i="4"/>
  <c r="G3" i="4"/>
  <c r="H3" i="4"/>
  <c r="I3" i="4"/>
  <c r="J3" i="4"/>
  <c r="K3" i="4"/>
  <c r="C3" i="2"/>
  <c r="D3" i="2"/>
  <c r="E3" i="2"/>
  <c r="F3" i="2"/>
  <c r="G3" i="2"/>
  <c r="H3" i="2"/>
  <c r="I3" i="2"/>
  <c r="J3" i="2"/>
  <c r="K3" i="2"/>
  <c r="C3" i="3"/>
  <c r="D3" i="3"/>
  <c r="E3" i="3"/>
  <c r="F3" i="3"/>
  <c r="G3" i="3"/>
  <c r="H3" i="3"/>
  <c r="I3" i="3"/>
  <c r="J3" i="3"/>
  <c r="K3" i="3"/>
  <c r="C3" i="1"/>
  <c r="D3" i="1"/>
  <c r="E3" i="1"/>
  <c r="F3" i="1"/>
  <c r="G3" i="1"/>
  <c r="H3" i="1"/>
  <c r="I3" i="1"/>
  <c r="J3" i="1"/>
  <c r="K3" i="1"/>
  <c r="B7" i="4"/>
  <c r="B6" i="4"/>
  <c r="B5" i="4"/>
  <c r="B4" i="4"/>
  <c r="B3" i="4"/>
  <c r="G21" i="2"/>
  <c r="F21" i="2"/>
  <c r="E21" i="2"/>
  <c r="D21" i="2"/>
  <c r="B18" i="2"/>
  <c r="B21" i="2"/>
  <c r="B13" i="2"/>
  <c r="B12" i="2"/>
  <c r="B11" i="2"/>
  <c r="B10" i="2"/>
  <c r="B8" i="2"/>
  <c r="B7" i="2"/>
  <c r="B6" i="2"/>
  <c r="B3" i="2"/>
  <c r="F14" i="3"/>
  <c r="B12" i="3"/>
  <c r="B11" i="3"/>
  <c r="B10" i="3"/>
  <c r="B9" i="3"/>
  <c r="B8" i="3"/>
  <c r="B7" i="3"/>
  <c r="B4" i="3"/>
  <c r="B14" i="3" s="1"/>
  <c r="B3" i="3"/>
  <c r="N13" i="1"/>
  <c r="M13" i="1"/>
  <c r="L13" i="1"/>
  <c r="L14" i="1" s="1"/>
  <c r="L25" i="1" s="1"/>
  <c r="L15" i="1"/>
  <c r="B12" i="1"/>
  <c r="B11" i="1"/>
  <c r="B10" i="1"/>
  <c r="B9" i="1"/>
  <c r="B8" i="1"/>
  <c r="B3" i="1"/>
  <c r="E14" i="3"/>
  <c r="D20" i="2"/>
  <c r="C20" i="2"/>
  <c r="E20" i="2"/>
  <c r="L12" i="1"/>
  <c r="L11" i="1"/>
  <c r="I23" i="1"/>
  <c r="J23" i="1"/>
  <c r="AI21" i="8" l="1"/>
  <c r="AJ20" i="8"/>
  <c r="A1" i="3"/>
  <c r="L6" i="1"/>
  <c r="C24" i="2"/>
  <c r="L4" i="1"/>
  <c r="B16" i="2"/>
  <c r="E16" i="2"/>
  <c r="L10" i="1"/>
  <c r="N11" i="1" s="1"/>
  <c r="G16" i="2"/>
  <c r="E1" i="2"/>
  <c r="J25" i="1"/>
  <c r="H23" i="1"/>
  <c r="B6" i="1"/>
  <c r="B19" i="1" s="1"/>
  <c r="E6" i="1"/>
  <c r="E19" i="1" s="1"/>
  <c r="X41" i="1"/>
  <c r="X42" i="1" s="1"/>
  <c r="K6" i="1"/>
  <c r="K19" i="1" s="1"/>
  <c r="L23" i="1"/>
  <c r="H14" i="3"/>
  <c r="J24" i="2"/>
  <c r="K25" i="1"/>
  <c r="M25" i="1" s="1"/>
  <c r="M14" i="1" s="1"/>
  <c r="M15" i="1" s="1"/>
  <c r="H24" i="2"/>
  <c r="I16" i="2"/>
  <c r="G24" i="2"/>
  <c r="J6" i="1"/>
  <c r="J19" i="1" s="1"/>
  <c r="K24" i="1" s="1"/>
  <c r="I24" i="2"/>
  <c r="H24" i="1"/>
  <c r="H23" i="2"/>
  <c r="L9" i="1"/>
  <c r="M9" i="1" s="1"/>
  <c r="K24" i="2"/>
  <c r="L8" i="1"/>
  <c r="L7" i="1"/>
  <c r="F24" i="2"/>
  <c r="B23" i="2"/>
  <c r="E24" i="2"/>
  <c r="D24" i="2"/>
  <c r="N9" i="1"/>
  <c r="N8" i="1"/>
  <c r="M8" i="1"/>
  <c r="H25" i="1"/>
  <c r="I25" i="1"/>
  <c r="I20" i="2"/>
  <c r="H20" i="2"/>
  <c r="K23" i="1"/>
  <c r="H6" i="1"/>
  <c r="H19" i="1" s="1"/>
  <c r="F6" i="1"/>
  <c r="F19" i="1" s="1"/>
  <c r="E1" i="4"/>
  <c r="AK20" i="8" l="1"/>
  <c r="AJ21" i="8"/>
  <c r="M24" i="1"/>
  <c r="I24" i="1"/>
  <c r="N24" i="1" s="1"/>
  <c r="J24" i="1"/>
  <c r="M11" i="1"/>
  <c r="L19" i="1"/>
  <c r="L24" i="1" s="1"/>
  <c r="M23" i="1"/>
  <c r="M4" i="1" s="1"/>
  <c r="N25" i="1"/>
  <c r="N14" i="1" s="1"/>
  <c r="N15" i="1" s="1"/>
  <c r="N23" i="1"/>
  <c r="N4" i="1" s="1"/>
  <c r="AK21" i="8" l="1"/>
  <c r="AL20" i="8"/>
  <c r="M6" i="1"/>
  <c r="M10" i="1" s="1"/>
  <c r="M12" i="1" s="1"/>
  <c r="N6" i="1"/>
  <c r="N10" i="1" s="1"/>
  <c r="N12" i="1" s="1"/>
  <c r="AL21" i="8" l="1"/>
  <c r="AM20" i="8"/>
  <c r="AN20" i="8" s="1"/>
  <c r="AO20" i="8" s="1"/>
  <c r="AP20" i="8" s="1"/>
  <c r="AQ20" i="8" s="1"/>
  <c r="AR20" i="8" s="1"/>
  <c r="AS20" i="8" s="1"/>
  <c r="AT20" i="8" s="1"/>
  <c r="AU20" i="8" s="1"/>
  <c r="AV20" i="8" s="1"/>
  <c r="AW20" i="8" s="1"/>
  <c r="AX20" i="8" s="1"/>
  <c r="AY20" i="8" s="1"/>
  <c r="AZ20" i="8" s="1"/>
  <c r="BA20" i="8" s="1"/>
  <c r="BB20" i="8" s="1"/>
  <c r="BC20" i="8" s="1"/>
  <c r="BD20" i="8" s="1"/>
  <c r="BE20" i="8" s="1"/>
  <c r="BF20" i="8" s="1"/>
  <c r="BG20" i="8" s="1"/>
  <c r="BH20" i="8" s="1"/>
  <c r="BI20" i="8" s="1"/>
  <c r="BJ20" i="8" s="1"/>
  <c r="BK20" i="8" s="1"/>
  <c r="BL20" i="8" s="1"/>
  <c r="BM20" i="8" s="1"/>
  <c r="BN20" i="8" s="1"/>
  <c r="BO20" i="8" s="1"/>
  <c r="BP20" i="8" s="1"/>
  <c r="BQ20" i="8" s="1"/>
  <c r="BR20" i="8" s="1"/>
  <c r="BS20" i="8" s="1"/>
  <c r="BT20" i="8" s="1"/>
  <c r="BU20" i="8" s="1"/>
  <c r="BV20" i="8" s="1"/>
  <c r="BW20" i="8" s="1"/>
  <c r="BX20" i="8" s="1"/>
  <c r="BY20" i="8" s="1"/>
  <c r="BZ20" i="8" s="1"/>
  <c r="CA20" i="8" s="1"/>
  <c r="CB20" i="8" s="1"/>
  <c r="CC20" i="8" s="1"/>
  <c r="CD20" i="8" s="1"/>
  <c r="CE20" i="8" s="1"/>
  <c r="CF20" i="8" s="1"/>
  <c r="CG20" i="8" s="1"/>
  <c r="CH20" i="8" s="1"/>
  <c r="CI20" i="8" s="1"/>
  <c r="CJ20" i="8" s="1"/>
  <c r="CK20" i="8" s="1"/>
  <c r="CL20" i="8" s="1"/>
  <c r="CM20" i="8" s="1"/>
  <c r="CN20" i="8" s="1"/>
  <c r="CO20" i="8" s="1"/>
  <c r="CP20" i="8" s="1"/>
  <c r="CQ20" i="8" s="1"/>
  <c r="CR20" i="8" s="1"/>
  <c r="CS20" i="8" s="1"/>
  <c r="AJ40" i="8" s="1"/>
  <c r="AJ41" i="8" s="1"/>
  <c r="N5" i="1"/>
  <c r="M5" i="1"/>
</calcChain>
</file>

<file path=xl/sharedStrings.xml><?xml version="1.0" encoding="utf-8"?>
<sst xmlns="http://schemas.openxmlformats.org/spreadsheetml/2006/main" count="275" uniqueCount="192">
  <si>
    <t>COMPANY NAME</t>
  </si>
  <si>
    <t>SCREENER.IN</t>
  </si>
  <si>
    <t>Narration</t>
  </si>
  <si>
    <t>Trailing</t>
  </si>
  <si>
    <t>Best Case</t>
  </si>
  <si>
    <t>Worst Case</t>
  </si>
  <si>
    <t>Sales</t>
  </si>
  <si>
    <t>Expenses</t>
  </si>
  <si>
    <t>Operating Profit</t>
  </si>
  <si>
    <t>Other Income</t>
  </si>
  <si>
    <t>Depreciation</t>
  </si>
  <si>
    <t>Interest</t>
  </si>
  <si>
    <t>Profit before tax</t>
  </si>
  <si>
    <t>Tax</t>
  </si>
  <si>
    <t>Net profit</t>
  </si>
  <si>
    <t>RATIOS:</t>
  </si>
  <si>
    <t>Price to earning</t>
  </si>
  <si>
    <t>Dividend Payout</t>
  </si>
  <si>
    <t>OPM</t>
  </si>
  <si>
    <t>TRENDS:</t>
  </si>
  <si>
    <t>BEST</t>
  </si>
  <si>
    <t>WORST</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</si>
  <si>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</si>
  <si>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</si>
  <si>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</si>
  <si>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</si>
  <si>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</si>
  <si>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</si>
  <si>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</si>
  <si>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</si>
  <si>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</si>
  <si>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</si>
  <si>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</si>
  <si>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</si>
  <si>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</si>
  <si>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</si>
  <si>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</si>
  <si>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</si>
  <si>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</si>
  <si>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</si>
  <si>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</si>
  <si>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</si>
  <si>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</si>
  <si>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</si>
  <si>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</si>
  <si>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</si>
  <si>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</si>
  <si>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</si>
  <si>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</si>
  <si>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</si>
  <si>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</si>
  <si>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</si>
  <si>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</si>
  <si>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</si>
  <si>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</si>
  <si>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</si>
  <si>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How to use it?</t>
  </si>
  <si>
    <t>EPS</t>
  </si>
  <si>
    <t>Price</t>
  </si>
  <si>
    <t>Return on Equity</t>
  </si>
  <si>
    <t>Return on Capital Emp</t>
  </si>
  <si>
    <t>LATEST VERSION</t>
  </si>
  <si>
    <t>CURRENT VERSION</t>
  </si>
  <si>
    <t>BAJAJ HOUSING FINANCE LTD</t>
  </si>
  <si>
    <t>META</t>
  </si>
  <si>
    <t>10 YEARS</t>
  </si>
  <si>
    <t>7 YEARS</t>
  </si>
  <si>
    <t>5 YEARS</t>
  </si>
  <si>
    <t>3 YEARS</t>
  </si>
  <si>
    <t>RECENT</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</si>
  <si>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</si>
  <si>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</si>
  <si>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</si>
  <si>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</si>
  <si>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</si>
  <si>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</si>
  <si>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</si>
  <si>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</si>
  <si>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</si>
  <si>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</si>
  <si>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</si>
  <si>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</si>
  <si>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</si>
  <si>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</si>
  <si>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</si>
  <si>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</si>
  <si>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</si>
  <si>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</si>
  <si>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</si>
  <si>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</si>
  <si>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</si>
  <si>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</si>
  <si>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r>
      <t xml:space="preserve">You can report any formula errors on the worksheet at: </t>
    </r>
    <r>
      <rPr>
        <b/>
        <sz val="11"/>
        <color theme="1"/>
        <rFont val="Calibri"/>
        <family val="2"/>
        <scheme val="minor"/>
      </rPr>
      <t>support@screener.in</t>
    </r>
  </si>
  <si>
    <t>Non-Banking Financial Company</t>
  </si>
  <si>
    <t>Cash</t>
  </si>
  <si>
    <t>Shares</t>
  </si>
  <si>
    <t>MC</t>
  </si>
  <si>
    <t>Debt</t>
  </si>
  <si>
    <t>EV</t>
  </si>
  <si>
    <t>100% subsidiary of Bajaj Finance Limited</t>
  </si>
  <si>
    <t>88.11 million customers </t>
  </si>
  <si>
    <t>finance to individuals as well as corporate entities for the purchase and renovation of homes, or commercial spaces. It also provides loans against property for business or personal needs as well as working capital for business expansion purposes. BHFL also offers finance to developers engaged in the construction of residential and commercial properties as well as lease rental discounting to developers and high-net-worth individuals</t>
  </si>
  <si>
    <t>Convenient application and processing with a quick turnaround time DIY Home Loan application, WhatsApp application, ‘Call to Apply’, etc. Doorstep documentation Disbursal in 72 hours*</t>
  </si>
  <si>
    <t>()</t>
  </si>
  <si>
    <t>Housing Loan company</t>
  </si>
  <si>
    <t>A Good  CAR of 21.28 as per March 2024.  !5-20% is considered a good CAR --&gt; Less risky investments.</t>
  </si>
  <si>
    <t>Gross NON performing assets - 0.27% . Below 1% is seen as excellent.</t>
  </si>
  <si>
    <t>Everything depends on Performance of Housing Markets in india</t>
  </si>
  <si>
    <t>~not very good signs housing market will be on a boom for a few years</t>
  </si>
  <si>
    <t>Claims</t>
  </si>
  <si>
    <t>Outstanding individual housing loans as % to GDP stood at 10.52% as of 31 March 2023</t>
  </si>
  <si>
    <t>Products</t>
  </si>
  <si>
    <t>home loans</t>
  </si>
  <si>
    <t>loans against property</t>
  </si>
  <si>
    <t>developer financing.</t>
  </si>
  <si>
    <t>focused on building low-risk medium-return portfolio where HL contribute 58% of portfolio. Of which, 92% pertains to lower risk segments of salaried ppl.</t>
  </si>
  <si>
    <t>YOY growth</t>
  </si>
  <si>
    <t>Value(cr)</t>
  </si>
  <si>
    <t xml:space="preserve"> lease rental discounting</t>
  </si>
  <si>
    <t>clients</t>
  </si>
  <si>
    <t>Salaries/self emp</t>
  </si>
  <si>
    <t>sme/msme+salaried+self</t>
  </si>
  <si>
    <t>HNI/Corporates/Builders</t>
  </si>
  <si>
    <t>Big developer groups</t>
  </si>
  <si>
    <t>cr</t>
  </si>
  <si>
    <t xml:space="preserve"> Assets </t>
  </si>
  <si>
    <t>ipo range avg</t>
  </si>
  <si>
    <t>Profitincrease</t>
  </si>
  <si>
    <t>Profit Increase</t>
  </si>
  <si>
    <t>Maturity</t>
  </si>
  <si>
    <t>ROIC</t>
  </si>
  <si>
    <t>Discount</t>
  </si>
  <si>
    <t>NPV</t>
  </si>
  <si>
    <t>Share</t>
  </si>
  <si>
    <t>Return %</t>
  </si>
  <si>
    <t>targeting</t>
  </si>
  <si>
    <t>Main</t>
  </si>
  <si>
    <t>Q120</t>
  </si>
  <si>
    <t>Q220</t>
  </si>
  <si>
    <t>Q320</t>
  </si>
  <si>
    <t>Q420</t>
  </si>
  <si>
    <t>Q121</t>
  </si>
  <si>
    <t>Q221</t>
  </si>
  <si>
    <t>Q321</t>
  </si>
  <si>
    <t>Q421</t>
  </si>
  <si>
    <t>Q122</t>
  </si>
  <si>
    <t>Q222</t>
  </si>
  <si>
    <t>Q322</t>
  </si>
  <si>
    <t>Q422</t>
  </si>
  <si>
    <t>Q123</t>
  </si>
  <si>
    <t>Q223</t>
  </si>
  <si>
    <t>Q323</t>
  </si>
  <si>
    <t>Q423</t>
  </si>
  <si>
    <t>Q124</t>
  </si>
  <si>
    <t>Q224</t>
  </si>
  <si>
    <t>Q324</t>
  </si>
  <si>
    <t>Q424</t>
  </si>
  <si>
    <t>Interest Inc</t>
  </si>
  <si>
    <t>Fees and Comm</t>
  </si>
  <si>
    <t>Net gain</t>
  </si>
  <si>
    <t>Sales of services</t>
  </si>
  <si>
    <t>Inc on loans</t>
  </si>
  <si>
    <t>Other inc</t>
  </si>
  <si>
    <t>Total Revenue</t>
  </si>
  <si>
    <t>Financia Costs</t>
  </si>
  <si>
    <t>Impairement of Instruments</t>
  </si>
  <si>
    <t>COGS</t>
  </si>
  <si>
    <t>Operational expenses</t>
  </si>
  <si>
    <t>Gross Margins</t>
  </si>
  <si>
    <t>Operational Income</t>
  </si>
  <si>
    <t>pretax income</t>
  </si>
  <si>
    <t>Taxes</t>
  </si>
  <si>
    <t>Net Income</t>
  </si>
  <si>
    <t>629.88</t>
  </si>
  <si>
    <t>Revenue y/y</t>
  </si>
  <si>
    <t>Profit y/y</t>
  </si>
  <si>
    <t>Conservative</t>
  </si>
  <si>
    <t>Net income</t>
  </si>
  <si>
    <t>Optimistic</t>
  </si>
  <si>
    <t>Avg</t>
  </si>
  <si>
    <t>1- 2%</t>
  </si>
  <si>
    <t>Best case</t>
  </si>
  <si>
    <t>Discount Rate</t>
  </si>
  <si>
    <t>Return</t>
  </si>
  <si>
    <t>Offered Price</t>
  </si>
  <si>
    <t>2024 Profit</t>
  </si>
  <si>
    <t>Worst case</t>
  </si>
  <si>
    <t>Super optimistic case</t>
  </si>
  <si>
    <t>Super Optimistic Case</t>
  </si>
  <si>
    <t>DISCOUNT RATE</t>
  </si>
  <si>
    <t>SHARE</t>
  </si>
  <si>
    <t>Offered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</si>
</sst>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 #,##0.00;[Red]&quot;₹&quot;\ \-#,##0.00"/>
    <numFmt numFmtId="43" formatCode="_ * #,##0.00_ ;_ * \-#,##0.00_ ;_ * &quot;-&quot;??_ ;_ @_ "/>
    <numFmt numFmtId="164" formatCode="_(* #,##0.00_);_(* \(#,##0.00\);_(* &quot;-&quot;??_);_(@_)"/>
    <numFmt numFmtId="165" formatCode="[$-409]mmm\-yy;@"/>
    <numFmt numFmtId="166" formatCode="0.0%"/>
    <numFmt numFmtId="167" formatCode="&quot;₹&quot;\ #,##0.00"/>
  </numFmts>
  <fonts count="13"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1"/>
      <color rgb="FFFF0000"/>
      <name val="Calibri"/>
      <family val="2"/>
      <scheme val="minor"/>
    </font>
    <font>
      <sz val="11"/>
      <name val="Calibri"/>
      <family val="2"/>
      <scheme val="minor"/>
    </font>
    <font>
      <sz val="20"/>
      <color rgb="FF111111"/>
      <name val="Roboto"/>
    </font>
    <font>
      <sz val="7"/>
      <color rgb="FF1A1A1A"/>
      <name val="Arial"/>
      <family val="2"/>
    </font>
    <font>
      <sz val="11"/>
      <color theme="1"/>
      <name val="Calibri"/>
      <family val="2"/>
      <scheme val="minor"/>
    </font>
  </fonts>
  <fills count="7">
    <fill>
      <patternFill patternType="none"/>
    </fill>
    <fill>
      <patternFill patternType="gray125"/>
    </fill>
    <fill>
      <patternFill patternType="solid">
        <fgColor theme="4" tint="0.39997558519241921"/>
        <bgColor indexed="65"/>
      </patternFill>
    </fill>
    <fill>
      <patternFill patternType="solid">
        <fgColor theme="6" tint="0.39997558519241921"/>
        <bgColor indexed="65"/>
      </patternFill>
    </fill>
    <fill>
      <patternFill patternType="solid">
        <fgColor theme="9"/>
      </patternFill>
    </fill>
    <fill>
      <patternFill patternType="solid">
        <fgColor rgb="FF0275D8"/>
        <bgColor indexed="64"/>
      </patternFill>
    </fill>
    <fill>
      <patternFill patternType="solid">
        <fgColor theme="4" tint="0.39997558519241921"/>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9" fontId="3" fillId="0" borderId="0" applyFont="0" applyFill="0" applyBorder="0" applyAlignment="0" applyProtection="0"/>
  </cellStyleXfs>
  <cellXfs count="45">
    <xf numFmtId="0" fontId="0" fillId="0" borderId="0" xfId="0"/>
    <xf numFmtId="43" fontId="1" fillId="0" borderId="0" xfId="1" applyFont="1" applyBorder="1"/>
    <xf numFmtId="0" fontId="1" fillId="0" borderId="0" xfId="0" applyFont="1"/>
    <xf numFmtId="0" fontId="8" fillId="0" borderId="0" xfId="0" applyFont="1"/>
    <xf numFmtId="43" fontId="0" fillId="0" borderId="0" xfId="1" applyFont="1" applyBorder="1"/>
    <xf numFmtId="10" fontId="0" fillId="0" borderId="0" xfId="0" applyNumberFormat="1"/>
    <xf numFmtId="43" fontId="3" fillId="0" borderId="0" xfId="1" applyFont="1" applyBorder="1"/>
    <xf numFmtId="9" fontId="3" fillId="0" borderId="0" xfId="1" applyNumberFormat="1" applyFont="1" applyBorder="1"/>
    <xf numFmtId="43" fontId="2" fillId="2" borderId="0" xfId="3" applyNumberFormat="1" applyFont="1" applyBorder="1"/>
    <xf numFmtId="43" fontId="2" fillId="3" borderId="0" xfId="4" applyNumberFormat="1" applyFont="1" applyBorder="1"/>
    <xf numFmtId="9" fontId="1" fillId="0" borderId="0" xfId="6" applyFont="1" applyBorder="1"/>
    <xf numFmtId="0" fontId="2" fillId="5" borderId="0" xfId="0" applyFont="1" applyFill="1"/>
    <xf numFmtId="165" fontId="2" fillId="5" borderId="0" xfId="0" applyNumberFormat="1" applyFont="1" applyFill="1" applyAlignment="1">
      <alignment horizontal="center"/>
    </xf>
    <xf numFmtId="0" fontId="2" fillId="5" borderId="0" xfId="0" applyFont="1" applyFill="1" applyAlignment="1">
      <alignment horizontal="center"/>
    </xf>
    <xf numFmtId="43" fontId="0" fillId="0" borderId="0" xfId="1" applyFont="1" applyBorder="1" applyAlignment="1">
      <alignment horizontal="center"/>
    </xf>
    <xf numFmtId="43" fontId="1" fillId="0" borderId="0" xfId="1" applyFont="1" applyBorder="1" applyAlignment="1">
      <alignment horizontal="center"/>
    </xf>
    <xf numFmtId="10" fontId="1" fillId="0" borderId="0" xfId="0" applyNumberFormat="1" applyFont="1"/>
    <xf numFmtId="165" fontId="2" fillId="5" borderId="0" xfId="1" applyNumberFormat="1" applyFont="1" applyFill="1" applyBorder="1"/>
    <xf numFmtId="165" fontId="9" fillId="0" borderId="0" xfId="1" applyNumberFormat="1" applyFont="1" applyFill="1" applyBorder="1"/>
    <xf numFmtId="0" fontId="7" fillId="0" borderId="0" xfId="0" applyFont="1"/>
    <xf numFmtId="0" fontId="0" fillId="0" borderId="0" xfId="0" applyAlignment="1">
      <alignment horizontal="left"/>
    </xf>
    <xf numFmtId="0" fontId="6" fillId="0" borderId="0" xfId="2" applyFont="1" applyBorder="1" applyAlignment="1" applyProtection="1">
      <alignment horizontal="left"/>
    </xf>
    <xf numFmtId="0" fontId="6" fillId="0" borderId="0" xfId="2" applyFont="1" applyBorder="1" applyAlignment="1" applyProtection="1"/>
    <xf numFmtId="0" fontId="9" fillId="0" borderId="0" xfId="0" applyFont="1"/>
    <xf numFmtId="164" fontId="0" fillId="0" borderId="0" xfId="1" applyNumberFormat="1" applyFont="1" applyBorder="1"/>
    <xf numFmtId="0" fontId="10" fillId="0" borderId="0" xfId="0" applyFont="1"/>
    <xf numFmtId="0" fontId="11" fillId="0" borderId="0" xfId="0" applyFont="1"/>
    <xf numFmtId="3"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9" fontId="0" fillId="0" borderId="0" xfId="0" applyNumberFormat="1"/>
    <xf numFmtId="17" fontId="0" fillId="6" borderId="0" xfId="0" applyNumberFormat="1" applyFill="1"/>
    <xf numFmtId="4" fontId="0" fillId="0" borderId="4" xfId="0" applyNumberFormat="1" applyBorder="1"/>
    <xf numFmtId="0" fontId="12" fillId="0" borderId="0" xfId="0" applyFont="1"/>
    <xf numFmtId="166" fontId="0" fillId="0" borderId="0" xfId="0" applyNumberFormat="1"/>
    <xf numFmtId="43" fontId="0" fillId="0" borderId="0" xfId="0" applyNumberFormat="1"/>
    <xf numFmtId="8" fontId="0" fillId="0" borderId="0" xfId="0" applyNumberFormat="1"/>
    <xf numFmtId="0" fontId="0" fillId="0" borderId="0" xfId="0" quotePrefix="1"/>
    <xf numFmtId="43" fontId="4" fillId="0" borderId="0" xfId="2" applyNumberFormat="1" applyBorder="1" applyAlignment="1" applyProtection="1">
      <alignment horizontal="center"/>
    </xf>
    <xf numFmtId="43" fontId="2" fillId="4" borderId="0" xfId="5" applyNumberFormat="1" applyFont="1" applyBorder="1" applyAlignment="1">
      <alignment horizontal="center"/>
    </xf>
    <xf numFmtId="167" fontId="0" fillId="0" borderId="0" xfId="0" applyNumberFormat="1"/>
  </cellXfs>
  <cellStyles count="7">
    <cellStyle name="60% - Accent1" xfId="3" builtinId="32"/>
    <cellStyle name="60% - Accent3" xfId="4" builtinId="40"/>
    <cellStyle name="Accent6" xfId="5" builtinId="49"/>
    <cellStyle name="Comma" xfId="1" builtinId="3"/>
    <cellStyle name="Hyperlink" xfId="2" builtinId="8"/>
    <cellStyle name="Normal" xfId="0" builtinId="0"/>
    <cellStyle name="Percent" xfId="6" builtinId="5"/>
  </cellStyles>
  <dxfs count="31">
    <dxf>
      <font>
        <b/>
        <i val="0"/>
        <color theme="0"/>
      </font>
      <fill>
        <patternFill>
          <bgColor theme="5"/>
        </patternFill>
      </fill>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22</xdr:col>
      <xdr:colOff>596900</xdr:colOff>
      <xdr:row>0</xdr:row>
      <xdr:rowOff>19050</xdr:rowOff>
    </xdr:from>
    <xdr:to>
      <xdr:col>23</xdr:col>
      <xdr:colOff>6350</xdr:colOff>
      <xdr:row>50</xdr:row>
      <xdr:rowOff>120650</xdr:rowOff>
    </xdr:to>
    <xdr:cxnSp macro="">
      <xdr:nvCxnSpPr>
        <xdr:cNvPr id="3" name="Straight Connector 2">
          <a:extLst>
            <a:ext uri="{FF2B5EF4-FFF2-40B4-BE49-F238E27FC236}">
              <a16:creationId xmlns:a16="http://schemas.microsoft.com/office/drawing/2014/main" id="{152632A9-42D9-6DC6-84C6-FF8BC13051D8}"/>
            </a:ext>
          </a:extLst>
        </xdr:cNvPr>
        <xdr:cNvCxnSpPr/>
      </xdr:nvCxnSpPr>
      <xdr:spPr>
        <a:xfrm>
          <a:off x="14668500" y="19050"/>
          <a:ext cx="19050" cy="930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595923</xdr:colOff>
      <xdr:row>0</xdr:row>
      <xdr:rowOff>39077</xdr:rowOff>
    </xdr:from>
    <xdr:to>
      <xdr:col>19</xdr:col>
      <xdr:colOff>9769</xdr:colOff>
      <xdr:row>37</xdr:row>
      <xdr:rowOff>29308</xdr:rowOff>
    </xdr:to>
    <xdr:cxnSp macro="">
      <xdr:nvCxnSpPr>
        <xdr:cNvPr id="4" name="Straight Connector 3">
          <a:extLst>
            <a:ext uri="{FF2B5EF4-FFF2-40B4-BE49-F238E27FC236}">
              <a16:creationId xmlns:a16="http://schemas.microsoft.com/office/drawing/2014/main" id="{42AEDC5A-6465-C2F2-937B-F5A1547F263A}"/>
            </a:ext>
          </a:extLst>
        </xdr:cNvPr>
        <xdr:cNvCxnSpPr/>
      </xdr:nvCxnSpPr>
      <xdr:spPr>
        <a:xfrm>
          <a:off x="12416692" y="39077"/>
          <a:ext cx="19539" cy="685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337766</xdr:colOff>
      <xdr:row>0</xdr:row>
      <xdr:rowOff>40532</xdr:rowOff>
    </xdr:from>
    <xdr:to>
      <xdr:col>8</xdr:col>
      <xdr:colOff>371543</xdr:colOff>
      <xdr:row>34</xdr:row>
      <xdr:rowOff>6755</xdr:rowOff>
    </xdr:to>
    <xdr:cxnSp macro="">
      <xdr:nvCxnSpPr>
        <xdr:cNvPr id="3" name="Straight Connector 2">
          <a:extLst>
            <a:ext uri="{FF2B5EF4-FFF2-40B4-BE49-F238E27FC236}">
              <a16:creationId xmlns:a16="http://schemas.microsoft.com/office/drawing/2014/main" id="{5A9DD7E1-3AFB-6D26-30EC-9DD8A692FACB}"/>
            </a:ext>
          </a:extLst>
        </xdr:cNvPr>
        <xdr:cNvCxnSpPr/>
      </xdr:nvCxnSpPr>
      <xdr:spPr>
        <a:xfrm>
          <a:off x="7282234" y="40532"/>
          <a:ext cx="33777" cy="61270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xdr:colOff>
      <xdr:row>6</xdr:row>
      <xdr:rowOff>1</xdr:rowOff>
    </xdr:from>
    <xdr:to>
      <xdr:col>5</xdr:col>
      <xdr:colOff>453572</xdr:colOff>
      <xdr:row>18</xdr:row>
      <xdr:rowOff>22679</xdr:rowOff>
    </xdr:to>
    <xdr:pic>
      <xdr:nvPicPr>
        <xdr:cNvPr id="4" name="Picture 3">
          <a:extLst>
            <a:ext uri="{FF2B5EF4-FFF2-40B4-BE49-F238E27FC236}">
              <a16:creationId xmlns:a16="http://schemas.microsoft.com/office/drawing/2014/main" id="{B1F46E2B-D6FE-BF2E-7A87-2BB99B46B272}"/>
            </a:ext>
          </a:extLst>
        </xdr:cNvPr>
        <xdr:cNvPicPr>
          <a:picLocks noChangeAspect="1"/>
        </xdr:cNvPicPr>
      </xdr:nvPicPr>
      <xdr:blipFill>
        <a:blip xmlns:r="http://schemas.openxmlformats.org/officeDocument/2006/relationships" r:embed="rId1"/>
        <a:stretch>
          <a:fillRect/>
        </a:stretch>
      </xdr:blipFill>
      <xdr:spPr>
        <a:xfrm>
          <a:off x="1" y="1235983"/>
          <a:ext cx="6304642" cy="219982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N20" headerRowCount="0" totalsRowShown="0" headerRowDxfId="30">
  <tableColumns count="14">
    <tableColumn id="1" xr3:uid="{00000000-0010-0000-0000-000001000000}" name="Column1" headerRowDxfId="29" dataDxfId="28"/>
    <tableColumn id="2" xr3:uid="{00000000-0010-0000-0000-000002000000}" name="Column2" headerRowDxfId="27"/>
    <tableColumn id="3" xr3:uid="{00000000-0010-0000-0000-000003000000}" name="Column3" headerRowDxfId="26"/>
    <tableColumn id="4" xr3:uid="{00000000-0010-0000-0000-000004000000}" name="Column4" headerRowDxfId="25"/>
    <tableColumn id="5" xr3:uid="{00000000-0010-0000-0000-000005000000}" name="Column5" headerRowDxfId="24"/>
    <tableColumn id="6" xr3:uid="{00000000-0010-0000-0000-000006000000}" name="Column6" headerRowDxfId="23"/>
    <tableColumn id="7" xr3:uid="{00000000-0010-0000-0000-000007000000}" name="Column7" headerRowDxfId="22"/>
    <tableColumn id="8" xr3:uid="{00000000-0010-0000-0000-000008000000}" name="Column8" headerRowDxfId="21"/>
    <tableColumn id="9" xr3:uid="{00000000-0010-0000-0000-000009000000}" name="Column9" headerRowDxfId="20"/>
    <tableColumn id="10" xr3:uid="{00000000-0010-0000-0000-00000A000000}" name="Column10" headerRowDxfId="19"/>
    <tableColumn id="11" xr3:uid="{00000000-0010-0000-0000-00000B000000}" name="Column11" headerRowDxfId="18"/>
    <tableColumn id="12" xr3:uid="{00000000-0010-0000-0000-00000C000000}" name="Column12" headerRowDxfId="17"/>
    <tableColumn id="13" xr3:uid="{00000000-0010-0000-0000-00000D000000}" name="Column13" headerRowDxfId="16" dataDxfId="15"/>
    <tableColumn id="14" xr3:uid="{00000000-0010-0000-0000-00000E000000}" name="Column14" headerRowDxfId="14" dataDxfId="1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4" headerRowCount="0" totalsRowShown="0" headerRowDxfId="12">
  <tableColumns count="11">
    <tableColumn id="1" xr3:uid="{00000000-0010-0000-0100-000001000000}" name="Column1" headerRowDxfId="11"/>
    <tableColumn id="2" xr3:uid="{00000000-0010-0000-0100-000002000000}" name="Column2" headerRowDxfId="10"/>
    <tableColumn id="3" xr3:uid="{00000000-0010-0000-0100-000003000000}" name="Column3" headerRowDxfId="9"/>
    <tableColumn id="4" xr3:uid="{00000000-0010-0000-0100-000004000000}" name="Column4" headerRowDxfId="8"/>
    <tableColumn id="5" xr3:uid="{00000000-0010-0000-0100-000005000000}" name="Column5" headerRowDxfId="7"/>
    <tableColumn id="6" xr3:uid="{00000000-0010-0000-0100-000006000000}" name="Column6" headerRowDxfId="6"/>
    <tableColumn id="7" xr3:uid="{00000000-0010-0000-0100-000007000000}" name="Column7" headerRowDxfId="5"/>
    <tableColumn id="8" xr3:uid="{00000000-0010-0000-0100-000008000000}" name="Column8" headerRowDxfId="4"/>
    <tableColumn id="9" xr3:uid="{00000000-0010-0000-0100-000009000000}" name="Column9" headerRowDxfId="3"/>
    <tableColumn id="10" xr3:uid="{00000000-0010-0000-0100-00000A000000}" name="Column10" headerRowDxfId="2"/>
    <tableColumn id="11" xr3:uid="{00000000-0010-0000-0100-00000B000000}" name="Column11" headerRow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screener.i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www.screener.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screener.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creener.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screener.in/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DC062-4910-4A89-9D4D-AD5D62323320}">
  <dimension ref="A1:CS74"/>
  <sheetViews>
    <sheetView tabSelected="1" zoomScale="53" zoomScaleNormal="39" workbookViewId="0">
      <pane xSplit="2" ySplit="4" topLeftCell="C5" activePane="bottomRight" state="frozen"/>
      <selection pane="topRight" activeCell="C1" sqref="C1"/>
      <selection pane="bottomLeft" activeCell="A5" sqref="A5"/>
      <selection pane="bottomRight" activeCell="AE9" sqref="AE9"/>
    </sheetView>
  </sheetViews>
  <sheetFormatPr defaultRowHeight="14.5" x14ac:dyDescent="0.35"/>
  <cols>
    <col min="1" max="1" width="6.453125" customWidth="1"/>
    <col min="2" max="2" width="24.08984375" customWidth="1"/>
    <col min="19" max="19" width="10.36328125" customWidth="1"/>
    <col min="35" max="35" width="14.6328125" customWidth="1"/>
    <col min="36" max="36" width="14.7265625" customWidth="1"/>
  </cols>
  <sheetData>
    <row r="1" spans="1:38" x14ac:dyDescent="0.35">
      <c r="A1" t="s">
        <v>136</v>
      </c>
    </row>
    <row r="2" spans="1:38" x14ac:dyDescent="0.35">
      <c r="C2" t="s">
        <v>137</v>
      </c>
      <c r="D2" t="s">
        <v>138</v>
      </c>
      <c r="E2" t="s">
        <v>139</v>
      </c>
      <c r="F2" t="s">
        <v>140</v>
      </c>
      <c r="G2" t="s">
        <v>141</v>
      </c>
      <c r="H2" t="s">
        <v>142</v>
      </c>
      <c r="I2" t="s">
        <v>143</v>
      </c>
      <c r="J2" t="s">
        <v>144</v>
      </c>
      <c r="K2" t="s">
        <v>145</v>
      </c>
      <c r="L2" t="s">
        <v>146</v>
      </c>
      <c r="M2" t="s">
        <v>147</v>
      </c>
      <c r="N2" t="s">
        <v>148</v>
      </c>
      <c r="O2" t="s">
        <v>149</v>
      </c>
      <c r="P2" t="s">
        <v>150</v>
      </c>
      <c r="Q2" t="s">
        <v>151</v>
      </c>
      <c r="R2" t="s">
        <v>152</v>
      </c>
      <c r="S2" t="s">
        <v>153</v>
      </c>
      <c r="T2" t="s">
        <v>154</v>
      </c>
      <c r="U2" t="s">
        <v>155</v>
      </c>
      <c r="V2" t="s">
        <v>156</v>
      </c>
      <c r="Y2">
        <v>2020</v>
      </c>
      <c r="Z2">
        <f>Y2+1</f>
        <v>2021</v>
      </c>
      <c r="AA2">
        <f t="shared" ref="AA2:AL2" si="0">Z2+1</f>
        <v>2022</v>
      </c>
      <c r="AB2">
        <f t="shared" si="0"/>
        <v>2023</v>
      </c>
      <c r="AC2">
        <f t="shared" si="0"/>
        <v>2024</v>
      </c>
      <c r="AD2">
        <f t="shared" si="0"/>
        <v>2025</v>
      </c>
      <c r="AE2">
        <f t="shared" si="0"/>
        <v>2026</v>
      </c>
      <c r="AF2">
        <f t="shared" si="0"/>
        <v>2027</v>
      </c>
      <c r="AG2">
        <f t="shared" si="0"/>
        <v>2028</v>
      </c>
      <c r="AH2">
        <f t="shared" si="0"/>
        <v>2029</v>
      </c>
      <c r="AI2">
        <f t="shared" si="0"/>
        <v>2030</v>
      </c>
      <c r="AJ2">
        <f t="shared" si="0"/>
        <v>2031</v>
      </c>
      <c r="AK2">
        <f t="shared" si="0"/>
        <v>2032</v>
      </c>
      <c r="AL2">
        <f t="shared" si="0"/>
        <v>2033</v>
      </c>
    </row>
    <row r="5" spans="1:38" x14ac:dyDescent="0.35">
      <c r="B5" t="s">
        <v>157</v>
      </c>
      <c r="G5">
        <v>777.36</v>
      </c>
      <c r="H5">
        <v>836.41</v>
      </c>
      <c r="I5">
        <v>906.51</v>
      </c>
      <c r="J5">
        <v>961.47</v>
      </c>
      <c r="K5">
        <v>1072.46</v>
      </c>
      <c r="L5">
        <v>1248.4000000000001</v>
      </c>
      <c r="M5">
        <v>1427.81</v>
      </c>
      <c r="N5">
        <v>1520.57</v>
      </c>
      <c r="O5">
        <v>1666.95</v>
      </c>
      <c r="P5">
        <v>1782.31</v>
      </c>
      <c r="Q5">
        <v>1845.47</v>
      </c>
      <c r="R5">
        <v>1907.64</v>
      </c>
      <c r="S5">
        <v>2063.54</v>
      </c>
      <c r="Y5">
        <v>2877.43</v>
      </c>
      <c r="Z5">
        <v>3481.75</v>
      </c>
      <c r="AA5">
        <v>5269.24</v>
      </c>
      <c r="AB5">
        <v>7202.36</v>
      </c>
    </row>
    <row r="6" spans="1:38" x14ac:dyDescent="0.35">
      <c r="B6" s="41" t="s">
        <v>158</v>
      </c>
      <c r="G6">
        <v>14.84</v>
      </c>
      <c r="H6">
        <v>18.97</v>
      </c>
      <c r="I6">
        <v>20.85</v>
      </c>
      <c r="J6">
        <v>27.19</v>
      </c>
      <c r="K6">
        <v>23.91</v>
      </c>
      <c r="L6">
        <v>19.489999999999998</v>
      </c>
      <c r="M6">
        <v>22.07</v>
      </c>
      <c r="N6">
        <v>20.75</v>
      </c>
      <c r="O6">
        <v>33.08</v>
      </c>
      <c r="P6">
        <v>30.35</v>
      </c>
      <c r="Q6">
        <v>31.82</v>
      </c>
      <c r="R6">
        <v>42.98</v>
      </c>
      <c r="S6">
        <v>56.79</v>
      </c>
      <c r="Y6">
        <v>74.62</v>
      </c>
      <c r="Z6">
        <v>81.849999999999994</v>
      </c>
      <c r="AA6">
        <v>86.22</v>
      </c>
      <c r="AB6">
        <v>138.22999999999999</v>
      </c>
    </row>
    <row r="7" spans="1:38" x14ac:dyDescent="0.35">
      <c r="B7" t="s">
        <v>159</v>
      </c>
      <c r="G7">
        <v>16.45</v>
      </c>
      <c r="H7">
        <v>13.08</v>
      </c>
      <c r="I7">
        <v>13.68</v>
      </c>
      <c r="J7">
        <v>15.76</v>
      </c>
      <c r="K7">
        <v>15.19</v>
      </c>
      <c r="L7">
        <v>24.1</v>
      </c>
      <c r="M7">
        <v>38.76</v>
      </c>
      <c r="N7">
        <v>33.99</v>
      </c>
      <c r="O7">
        <v>35.619999999999997</v>
      </c>
      <c r="P7">
        <v>35.22</v>
      </c>
      <c r="Q7">
        <v>27.16</v>
      </c>
      <c r="R7">
        <v>35.200000000000003</v>
      </c>
      <c r="S7">
        <v>50.7</v>
      </c>
      <c r="Y7">
        <v>59.85</v>
      </c>
      <c r="Z7">
        <v>58.97</v>
      </c>
      <c r="AA7">
        <v>112.04</v>
      </c>
      <c r="AB7">
        <v>133.19999999999999</v>
      </c>
    </row>
    <row r="8" spans="1:38" x14ac:dyDescent="0.35">
      <c r="B8" t="s">
        <v>160</v>
      </c>
      <c r="G8">
        <v>11.73</v>
      </c>
      <c r="H8">
        <v>32.549999999999997</v>
      </c>
      <c r="I8">
        <v>44.96</v>
      </c>
      <c r="J8">
        <v>52.78</v>
      </c>
      <c r="K8">
        <v>0.48</v>
      </c>
      <c r="L8">
        <v>16.850000000000001</v>
      </c>
      <c r="M8">
        <v>18.149999999999999</v>
      </c>
      <c r="N8">
        <v>14.81</v>
      </c>
      <c r="O8">
        <v>16.47</v>
      </c>
      <c r="P8">
        <v>27.14</v>
      </c>
      <c r="Q8">
        <v>16.62</v>
      </c>
      <c r="R8">
        <v>0.38</v>
      </c>
      <c r="S8">
        <v>22.95</v>
      </c>
      <c r="Y8">
        <v>142.15</v>
      </c>
      <c r="Z8">
        <v>142.02000000000001</v>
      </c>
      <c r="AA8">
        <v>50.29</v>
      </c>
      <c r="AB8">
        <v>52.48</v>
      </c>
    </row>
    <row r="9" spans="1:38" x14ac:dyDescent="0.35">
      <c r="B9" t="s">
        <v>161</v>
      </c>
      <c r="G9">
        <v>1.04</v>
      </c>
      <c r="H9">
        <v>0</v>
      </c>
      <c r="I9">
        <v>0</v>
      </c>
      <c r="J9">
        <v>0</v>
      </c>
      <c r="K9">
        <v>109.79</v>
      </c>
      <c r="L9">
        <v>28.06</v>
      </c>
      <c r="M9">
        <v>6.61</v>
      </c>
      <c r="N9">
        <v>-9.66</v>
      </c>
      <c r="O9">
        <v>7.44</v>
      </c>
      <c r="P9">
        <v>32.35</v>
      </c>
      <c r="Q9">
        <v>12.93</v>
      </c>
      <c r="R9">
        <v>0.36</v>
      </c>
      <c r="S9">
        <v>2.71</v>
      </c>
      <c r="Y9">
        <v>0.65</v>
      </c>
      <c r="Z9">
        <v>0</v>
      </c>
      <c r="AA9">
        <v>134.80000000000001</v>
      </c>
      <c r="AB9">
        <v>53.08</v>
      </c>
    </row>
    <row r="10" spans="1:38" x14ac:dyDescent="0.35">
      <c r="B10" t="s">
        <v>162</v>
      </c>
      <c r="G10">
        <v>0</v>
      </c>
      <c r="H10">
        <v>0.44</v>
      </c>
      <c r="I10">
        <v>7.0000000000000007E-2</v>
      </c>
      <c r="J10">
        <v>0.52</v>
      </c>
      <c r="K10">
        <v>0.87</v>
      </c>
      <c r="L10">
        <v>2.86</v>
      </c>
      <c r="M10">
        <v>3.64</v>
      </c>
      <c r="N10">
        <v>4.7699999999999996</v>
      </c>
      <c r="O10">
        <v>3.69</v>
      </c>
      <c r="P10">
        <v>4.12</v>
      </c>
      <c r="Q10">
        <v>12.18</v>
      </c>
      <c r="R10">
        <v>9.84</v>
      </c>
      <c r="S10">
        <v>11.96</v>
      </c>
      <c r="Y10">
        <v>0</v>
      </c>
      <c r="Z10">
        <v>2.0699999999999998</v>
      </c>
      <c r="AA10">
        <v>12.14</v>
      </c>
      <c r="AB10">
        <v>37.96</v>
      </c>
    </row>
    <row r="11" spans="1:38" s="2" customFormat="1" x14ac:dyDescent="0.35">
      <c r="B11" s="2" t="s">
        <v>163</v>
      </c>
      <c r="G11" s="2">
        <f>SUM(G5:G10)</f>
        <v>821.42000000000007</v>
      </c>
      <c r="H11" s="2">
        <f>SUM(H5:H10)</f>
        <v>901.45</v>
      </c>
      <c r="I11" s="2">
        <f>SUM(I5:I10)</f>
        <v>986.07</v>
      </c>
      <c r="J11" s="2">
        <f>SUM(J5:J10)</f>
        <v>1057.72</v>
      </c>
      <c r="K11" s="2">
        <f>SUM(K5:K10)</f>
        <v>1222.7</v>
      </c>
      <c r="L11" s="2">
        <f>SUM(L5:L10)</f>
        <v>1339.7599999999998</v>
      </c>
      <c r="M11" s="2">
        <f>SUM(M5:M10)</f>
        <v>1517.04</v>
      </c>
      <c r="N11" s="2">
        <f>SUM(N5:N10)</f>
        <v>1585.2299999999998</v>
      </c>
      <c r="O11" s="2">
        <f>SUM(O5:O10)</f>
        <v>1763.25</v>
      </c>
      <c r="P11" s="2">
        <f>SUM(P5:P10)</f>
        <v>1911.4899999999998</v>
      </c>
      <c r="Q11" s="2">
        <f>SUM(Q5:Q10)</f>
        <v>1946.18</v>
      </c>
      <c r="R11" s="2">
        <f>SUM(R5:R10)</f>
        <v>1996.4</v>
      </c>
      <c r="S11" s="2">
        <f t="shared" ref="S11:AC11" si="1">SUM(S5:S10)</f>
        <v>2208.6499999999996</v>
      </c>
      <c r="T11" s="2">
        <f t="shared" si="1"/>
        <v>0</v>
      </c>
      <c r="U11" s="2">
        <f t="shared" si="1"/>
        <v>0</v>
      </c>
      <c r="V11" s="2">
        <f t="shared" si="1"/>
        <v>0</v>
      </c>
      <c r="W11" s="2">
        <f t="shared" si="1"/>
        <v>0</v>
      </c>
      <c r="X11" s="2">
        <f t="shared" si="1"/>
        <v>0</v>
      </c>
      <c r="Y11" s="2">
        <f t="shared" si="1"/>
        <v>3154.7</v>
      </c>
      <c r="Z11" s="2">
        <f t="shared" si="1"/>
        <v>3766.66</v>
      </c>
      <c r="AA11" s="2">
        <f t="shared" si="1"/>
        <v>5664.7300000000005</v>
      </c>
      <c r="AB11" s="2">
        <f t="shared" si="1"/>
        <v>7617.3099999999986</v>
      </c>
      <c r="AC11" s="2">
        <f t="shared" si="1"/>
        <v>0</v>
      </c>
    </row>
    <row r="12" spans="1:38" x14ac:dyDescent="0.35">
      <c r="B12" t="s">
        <v>164</v>
      </c>
      <c r="G12">
        <v>486.7</v>
      </c>
      <c r="H12">
        <v>505.31</v>
      </c>
      <c r="I12">
        <v>557.09</v>
      </c>
      <c r="J12">
        <v>606.21</v>
      </c>
      <c r="K12">
        <v>628.62</v>
      </c>
      <c r="L12">
        <v>749.86</v>
      </c>
      <c r="M12">
        <v>878.81</v>
      </c>
      <c r="N12">
        <v>954.03</v>
      </c>
      <c r="O12">
        <v>1062.1500000000001</v>
      </c>
      <c r="P12">
        <v>1150.81</v>
      </c>
      <c r="Q12">
        <v>1279.3</v>
      </c>
      <c r="R12">
        <v>1279.3</v>
      </c>
      <c r="S12">
        <v>1398.76</v>
      </c>
      <c r="Y12">
        <v>1965.87</v>
      </c>
      <c r="Z12">
        <v>2155.31</v>
      </c>
      <c r="AA12">
        <v>3211.32</v>
      </c>
      <c r="AB12">
        <v>4092.61</v>
      </c>
    </row>
    <row r="13" spans="1:38" x14ac:dyDescent="0.35">
      <c r="B13" t="s">
        <v>165</v>
      </c>
      <c r="G13">
        <v>25.91</v>
      </c>
      <c r="H13">
        <v>60.87</v>
      </c>
      <c r="I13">
        <v>56.43</v>
      </c>
      <c r="J13">
        <v>37.86</v>
      </c>
      <c r="K13">
        <v>6.67</v>
      </c>
      <c r="L13">
        <v>29.78</v>
      </c>
      <c r="M13">
        <v>30.14</v>
      </c>
      <c r="N13">
        <v>56.91</v>
      </c>
      <c r="O13">
        <v>6.74</v>
      </c>
      <c r="P13">
        <v>18.329999999999998</v>
      </c>
      <c r="Q13">
        <v>35.25</v>
      </c>
      <c r="R13">
        <v>35.25</v>
      </c>
      <c r="S13">
        <v>10.039999999999999</v>
      </c>
      <c r="Y13">
        <v>247.21</v>
      </c>
      <c r="Z13">
        <v>181.07</v>
      </c>
      <c r="AA13">
        <v>123.5</v>
      </c>
      <c r="AB13">
        <v>60.88</v>
      </c>
    </row>
    <row r="14" spans="1:38" s="2" customFormat="1" x14ac:dyDescent="0.35">
      <c r="B14" s="2" t="s">
        <v>166</v>
      </c>
      <c r="G14" s="2">
        <f>SUM(G12:G13)</f>
        <v>512.61</v>
      </c>
      <c r="H14" s="2">
        <f>SUM(H12:H13)</f>
        <v>566.17999999999995</v>
      </c>
      <c r="I14" s="2">
        <f t="shared" ref="I14:M14" si="2">SUM(I12:I13)</f>
        <v>613.52</v>
      </c>
      <c r="J14" s="2">
        <f t="shared" si="2"/>
        <v>644.07000000000005</v>
      </c>
      <c r="K14" s="2">
        <f t="shared" si="2"/>
        <v>635.29</v>
      </c>
      <c r="L14" s="2">
        <f t="shared" si="2"/>
        <v>779.64</v>
      </c>
      <c r="M14" s="2">
        <f t="shared" si="2"/>
        <v>908.94999999999993</v>
      </c>
      <c r="N14" s="2">
        <f>SUM(N12:N13)</f>
        <v>1010.9399999999999</v>
      </c>
      <c r="O14" s="2">
        <f>SUM(O12:O13)</f>
        <v>1068.8900000000001</v>
      </c>
      <c r="P14" s="2">
        <f>SUM(P12:P13)</f>
        <v>1169.1399999999999</v>
      </c>
      <c r="Q14" s="2">
        <f>SUM(Q12:Q13)</f>
        <v>1314.55</v>
      </c>
      <c r="R14" s="2">
        <f>SUM(R12:R13)</f>
        <v>1314.55</v>
      </c>
      <c r="S14" s="2">
        <f t="shared" ref="S14:AC14" si="3">SUM(S12:S13)</f>
        <v>1408.8</v>
      </c>
      <c r="T14" s="2">
        <f t="shared" si="3"/>
        <v>0</v>
      </c>
      <c r="U14" s="2">
        <f t="shared" si="3"/>
        <v>0</v>
      </c>
      <c r="V14" s="2">
        <f t="shared" si="3"/>
        <v>0</v>
      </c>
      <c r="W14" s="2">
        <f t="shared" si="3"/>
        <v>0</v>
      </c>
      <c r="X14" s="2">
        <f t="shared" si="3"/>
        <v>0</v>
      </c>
      <c r="Y14" s="2">
        <f t="shared" si="3"/>
        <v>2213.08</v>
      </c>
      <c r="Z14" s="2">
        <f t="shared" si="3"/>
        <v>2336.38</v>
      </c>
      <c r="AA14" s="2">
        <f t="shared" si="3"/>
        <v>3334.82</v>
      </c>
      <c r="AB14" s="2">
        <f t="shared" si="3"/>
        <v>4153.49</v>
      </c>
      <c r="AC14" s="2">
        <f t="shared" si="3"/>
        <v>0</v>
      </c>
    </row>
    <row r="15" spans="1:38" x14ac:dyDescent="0.35">
      <c r="B15" t="s">
        <v>167</v>
      </c>
      <c r="G15">
        <f>0.71+64.39+5.78+20.22</f>
        <v>91.1</v>
      </c>
      <c r="H15">
        <f>0.66+84.29+5.93+19.68</f>
        <v>110.56</v>
      </c>
      <c r="I15">
        <f>0.75+90.65+6.71+24.73</f>
        <v>122.84</v>
      </c>
      <c r="J15">
        <f>2.55+109.47+7.34+27.02</f>
        <v>146.38</v>
      </c>
      <c r="K15">
        <f>3.83+114.04+7.83+34.16</f>
        <v>159.86000000000001</v>
      </c>
      <c r="L15">
        <f>3.57+102.91+8.11+31.8</f>
        <v>146.38999999999999</v>
      </c>
      <c r="M15">
        <f>3.46+107.16+8.4+37.29</f>
        <v>156.31</v>
      </c>
      <c r="N15">
        <f>3.17+110.82+9.06+44.79</f>
        <v>167.84</v>
      </c>
      <c r="O15">
        <f>2.91+114.24+9.69+41.41</f>
        <v>168.25</v>
      </c>
      <c r="P15">
        <f>2.98+115.19+9.72+39.46</f>
        <v>167.35</v>
      </c>
      <c r="Q15">
        <f>2.92+123.28+10.2+57.33</f>
        <v>193.73000000000002</v>
      </c>
      <c r="R15">
        <f>2.92+123.28+10.2+57.33</f>
        <v>193.73000000000002</v>
      </c>
      <c r="S15">
        <f>2.97+113.42+9.91+43.75</f>
        <v>170.05</v>
      </c>
      <c r="Y15">
        <f>1.33+245.76+21.77+60.16</f>
        <v>329.02</v>
      </c>
      <c r="Z15">
        <f>4.68+348.8+25.76+91.65</f>
        <v>470.89</v>
      </c>
      <c r="AA15">
        <f>14.03+434.93+33.4+147.99</f>
        <v>630.34999999999991</v>
      </c>
      <c r="AB15">
        <f>11.71+465.63+40+185</f>
        <v>702.33999999999992</v>
      </c>
    </row>
    <row r="16" spans="1:38" x14ac:dyDescent="0.35">
      <c r="B16" t="s">
        <v>168</v>
      </c>
      <c r="C16">
        <f t="shared" ref="C16:N16" si="4">C11-C14</f>
        <v>0</v>
      </c>
      <c r="D16">
        <f t="shared" si="4"/>
        <v>0</v>
      </c>
      <c r="E16">
        <f t="shared" si="4"/>
        <v>0</v>
      </c>
      <c r="F16">
        <f t="shared" si="4"/>
        <v>0</v>
      </c>
      <c r="G16">
        <f t="shared" si="4"/>
        <v>308.81000000000006</v>
      </c>
      <c r="H16">
        <f t="shared" si="4"/>
        <v>335.2700000000001</v>
      </c>
      <c r="I16">
        <f t="shared" si="4"/>
        <v>372.55000000000007</v>
      </c>
      <c r="J16">
        <f t="shared" si="4"/>
        <v>413.65</v>
      </c>
      <c r="K16">
        <f t="shared" si="4"/>
        <v>587.41000000000008</v>
      </c>
      <c r="L16">
        <f t="shared" si="4"/>
        <v>560.11999999999978</v>
      </c>
      <c r="M16">
        <f t="shared" si="4"/>
        <v>608.09</v>
      </c>
      <c r="N16">
        <f t="shared" si="4"/>
        <v>574.28999999999985</v>
      </c>
      <c r="O16">
        <f>O11-O14</f>
        <v>694.3599999999999</v>
      </c>
      <c r="P16">
        <f t="shared" ref="P16:AL16" si="5">P11-P14</f>
        <v>742.34999999999991</v>
      </c>
      <c r="Q16">
        <f t="shared" si="5"/>
        <v>631.63000000000011</v>
      </c>
      <c r="R16">
        <f t="shared" si="5"/>
        <v>681.85000000000014</v>
      </c>
      <c r="S16">
        <f t="shared" si="5"/>
        <v>799.84999999999968</v>
      </c>
      <c r="Y16">
        <f t="shared" si="5"/>
        <v>941.61999999999989</v>
      </c>
      <c r="Z16">
        <f t="shared" si="5"/>
        <v>1430.2799999999997</v>
      </c>
      <c r="AA16">
        <f t="shared" si="5"/>
        <v>2329.9100000000003</v>
      </c>
      <c r="AB16">
        <f t="shared" si="5"/>
        <v>3463.8199999999988</v>
      </c>
      <c r="AC16">
        <f t="shared" si="5"/>
        <v>0</v>
      </c>
      <c r="AD16">
        <f t="shared" si="5"/>
        <v>0</v>
      </c>
      <c r="AE16">
        <f t="shared" si="5"/>
        <v>0</v>
      </c>
      <c r="AF16">
        <f t="shared" si="5"/>
        <v>0</v>
      </c>
      <c r="AG16">
        <f t="shared" si="5"/>
        <v>0</v>
      </c>
      <c r="AH16">
        <f t="shared" si="5"/>
        <v>0</v>
      </c>
      <c r="AI16">
        <f t="shared" si="5"/>
        <v>0</v>
      </c>
      <c r="AJ16">
        <f t="shared" si="5"/>
        <v>0</v>
      </c>
      <c r="AK16">
        <f t="shared" si="5"/>
        <v>0</v>
      </c>
      <c r="AL16">
        <f t="shared" si="5"/>
        <v>0</v>
      </c>
    </row>
    <row r="17" spans="2:97" x14ac:dyDescent="0.35">
      <c r="B17" t="s">
        <v>169</v>
      </c>
      <c r="E17">
        <f t="shared" ref="E17:H17" si="6">E16-E15</f>
        <v>0</v>
      </c>
      <c r="F17">
        <f t="shared" si="6"/>
        <v>0</v>
      </c>
      <c r="G17">
        <f t="shared" si="6"/>
        <v>217.71000000000006</v>
      </c>
      <c r="H17">
        <f t="shared" si="6"/>
        <v>224.71000000000009</v>
      </c>
      <c r="I17">
        <f t="shared" ref="I17:N17" si="7">I16-I15</f>
        <v>249.71000000000006</v>
      </c>
      <c r="J17">
        <f t="shared" si="7"/>
        <v>267.27</v>
      </c>
      <c r="K17">
        <f t="shared" si="7"/>
        <v>427.55000000000007</v>
      </c>
      <c r="L17">
        <f t="shared" si="7"/>
        <v>413.72999999999979</v>
      </c>
      <c r="M17">
        <f t="shared" si="7"/>
        <v>451.78000000000003</v>
      </c>
      <c r="N17">
        <f t="shared" si="7"/>
        <v>406.44999999999982</v>
      </c>
      <c r="O17">
        <f>O16-O15</f>
        <v>526.1099999999999</v>
      </c>
      <c r="P17">
        <f t="shared" ref="P17:AJ17" si="8">P16-P15</f>
        <v>574.99999999999989</v>
      </c>
      <c r="Q17">
        <f t="shared" si="8"/>
        <v>437.90000000000009</v>
      </c>
      <c r="R17">
        <f t="shared" si="8"/>
        <v>488.12000000000012</v>
      </c>
      <c r="S17">
        <f t="shared" si="8"/>
        <v>629.79999999999973</v>
      </c>
      <c r="T17">
        <f t="shared" si="8"/>
        <v>0</v>
      </c>
      <c r="U17">
        <f t="shared" si="8"/>
        <v>0</v>
      </c>
      <c r="V17">
        <f t="shared" si="8"/>
        <v>0</v>
      </c>
      <c r="W17">
        <f t="shared" si="8"/>
        <v>0</v>
      </c>
      <c r="X17">
        <f t="shared" si="8"/>
        <v>0</v>
      </c>
      <c r="Y17">
        <f t="shared" si="8"/>
        <v>612.59999999999991</v>
      </c>
      <c r="Z17">
        <f t="shared" si="8"/>
        <v>959.38999999999976</v>
      </c>
      <c r="AA17">
        <f t="shared" si="8"/>
        <v>1699.5600000000004</v>
      </c>
      <c r="AB17">
        <f t="shared" si="8"/>
        <v>2761.4799999999987</v>
      </c>
      <c r="AC17">
        <f t="shared" si="8"/>
        <v>0</v>
      </c>
      <c r="AD17">
        <f t="shared" si="8"/>
        <v>0</v>
      </c>
      <c r="AE17">
        <f t="shared" si="8"/>
        <v>0</v>
      </c>
      <c r="AF17">
        <f t="shared" si="8"/>
        <v>0</v>
      </c>
      <c r="AG17">
        <f t="shared" si="8"/>
        <v>0</v>
      </c>
      <c r="AH17">
        <f t="shared" si="8"/>
        <v>0</v>
      </c>
      <c r="AI17">
        <f t="shared" si="8"/>
        <v>0</v>
      </c>
      <c r="AJ17">
        <f t="shared" si="8"/>
        <v>0</v>
      </c>
    </row>
    <row r="18" spans="2:97" x14ac:dyDescent="0.35">
      <c r="B18" t="s">
        <v>170</v>
      </c>
      <c r="G18">
        <v>217.8</v>
      </c>
      <c r="H18">
        <v>224.91</v>
      </c>
      <c r="I18">
        <v>249.74</v>
      </c>
      <c r="J18">
        <v>267.41000000000003</v>
      </c>
      <c r="K18">
        <v>427.65</v>
      </c>
      <c r="L18">
        <v>413.78</v>
      </c>
      <c r="M18">
        <v>451.83</v>
      </c>
      <c r="N18">
        <v>406.8</v>
      </c>
      <c r="O18">
        <v>526.24</v>
      </c>
      <c r="P18">
        <v>575</v>
      </c>
      <c r="Q18">
        <v>488.22</v>
      </c>
      <c r="R18">
        <v>488.22</v>
      </c>
      <c r="S18" s="41" t="s">
        <v>173</v>
      </c>
      <c r="Y18">
        <v>613.17999999999995</v>
      </c>
      <c r="Z18">
        <v>959.56</v>
      </c>
      <c r="AA18">
        <v>1700.06</v>
      </c>
      <c r="AB18">
        <v>2161.3200000000002</v>
      </c>
    </row>
    <row r="19" spans="2:97" x14ac:dyDescent="0.35">
      <c r="B19" t="s">
        <v>171</v>
      </c>
      <c r="G19">
        <v>57.27</v>
      </c>
      <c r="H19">
        <v>58.61</v>
      </c>
      <c r="I19">
        <v>64.59</v>
      </c>
      <c r="J19">
        <v>69.77</v>
      </c>
      <c r="K19">
        <v>91.54</v>
      </c>
      <c r="L19">
        <v>106.25</v>
      </c>
      <c r="M19">
        <v>117.56</v>
      </c>
      <c r="N19">
        <v>82.75</v>
      </c>
      <c r="O19">
        <v>140.09</v>
      </c>
      <c r="P19">
        <v>119</v>
      </c>
      <c r="Q19">
        <v>113.01</v>
      </c>
      <c r="R19">
        <v>113.01</v>
      </c>
      <c r="S19">
        <v>148.69</v>
      </c>
      <c r="Y19">
        <v>187</v>
      </c>
      <c r="Z19">
        <v>250.4</v>
      </c>
      <c r="AA19">
        <v>399.8</v>
      </c>
      <c r="AB19">
        <v>509</v>
      </c>
    </row>
    <row r="20" spans="2:97" s="2" customFormat="1" x14ac:dyDescent="0.35">
      <c r="B20" s="2" t="s">
        <v>172</v>
      </c>
      <c r="G20" s="2">
        <v>160.53</v>
      </c>
      <c r="H20" s="2">
        <v>166.3</v>
      </c>
      <c r="I20" s="2">
        <v>185.15</v>
      </c>
      <c r="J20" s="2">
        <v>197.16</v>
      </c>
      <c r="K20" s="2">
        <v>316.06</v>
      </c>
      <c r="L20" s="2">
        <v>305.98</v>
      </c>
      <c r="M20" s="2">
        <v>334.27</v>
      </c>
      <c r="N20" s="2">
        <v>305</v>
      </c>
      <c r="O20" s="2">
        <v>461.8</v>
      </c>
      <c r="P20" s="2">
        <v>451.11</v>
      </c>
      <c r="Q20" s="2">
        <v>381.34</v>
      </c>
      <c r="R20" s="2">
        <v>380.05</v>
      </c>
      <c r="S20" s="2">
        <v>483.24</v>
      </c>
      <c r="Y20" s="2">
        <v>454.14</v>
      </c>
      <c r="Z20" s="2">
        <v>709.62</v>
      </c>
      <c r="AA20" s="2">
        <v>1261.95</v>
      </c>
      <c r="AB20" s="2">
        <v>1730.31</v>
      </c>
      <c r="AC20" s="2">
        <v>1820</v>
      </c>
      <c r="AD20" s="2">
        <f>AC20+AC20*AD27</f>
        <v>1947.4</v>
      </c>
      <c r="AE20" s="2">
        <f t="shared" ref="AE20:CP20" si="9">AD20+AD20*AE27</f>
        <v>2103.192</v>
      </c>
      <c r="AF20" s="2">
        <f t="shared" si="9"/>
        <v>2313.5111999999999</v>
      </c>
      <c r="AG20" s="2">
        <f t="shared" si="9"/>
        <v>2498.5920959999999</v>
      </c>
      <c r="AH20" s="2">
        <f t="shared" si="9"/>
        <v>2698.4794636799998</v>
      </c>
      <c r="AI20" s="2">
        <f t="shared" si="9"/>
        <v>2914.3578207743999</v>
      </c>
      <c r="AJ20" s="2">
        <f t="shared" si="9"/>
        <v>3147.5064464363518</v>
      </c>
      <c r="AK20" s="2">
        <f t="shared" si="9"/>
        <v>3399.30696215126</v>
      </c>
      <c r="AL20" s="2">
        <f t="shared" si="9"/>
        <v>3671.2515191233606</v>
      </c>
      <c r="AM20" s="2">
        <f t="shared" si="9"/>
        <v>3964.9516406532293</v>
      </c>
      <c r="AN20" s="2">
        <f t="shared" si="9"/>
        <v>4282.1477719054874</v>
      </c>
      <c r="AO20" s="2">
        <f t="shared" si="9"/>
        <v>4624.7195936579265</v>
      </c>
      <c r="AP20" s="2">
        <f t="shared" si="9"/>
        <v>4994.6971611505605</v>
      </c>
      <c r="AQ20" s="2">
        <f t="shared" si="9"/>
        <v>5394.2729340426049</v>
      </c>
      <c r="AR20" s="2">
        <f t="shared" si="9"/>
        <v>5825.814768766013</v>
      </c>
      <c r="AS20" s="2">
        <f t="shared" si="9"/>
        <v>6291.8799502672937</v>
      </c>
      <c r="AT20" s="2">
        <f t="shared" si="9"/>
        <v>6795.2303462886775</v>
      </c>
      <c r="AU20" s="2">
        <f t="shared" si="9"/>
        <v>7338.8487739917718</v>
      </c>
      <c r="AV20" s="2">
        <f t="shared" si="9"/>
        <v>7705.7912126913607</v>
      </c>
      <c r="AW20" s="2">
        <f t="shared" si="9"/>
        <v>7936.9649490721013</v>
      </c>
      <c r="AX20" s="2">
        <f t="shared" si="9"/>
        <v>8095.7042480535429</v>
      </c>
      <c r="AY20" s="2">
        <f t="shared" si="9"/>
        <v>8257.6183330146141</v>
      </c>
      <c r="AZ20" s="2">
        <f t="shared" si="9"/>
        <v>8422.7706996749057</v>
      </c>
      <c r="BA20" s="2">
        <f t="shared" si="9"/>
        <v>8591.2261136684047</v>
      </c>
      <c r="BB20" s="2">
        <f t="shared" si="9"/>
        <v>8763.0506359417723</v>
      </c>
      <c r="BC20" s="2">
        <f t="shared" si="9"/>
        <v>8938.3116486606086</v>
      </c>
      <c r="BD20" s="2">
        <f t="shared" si="9"/>
        <v>9117.0778816338207</v>
      </c>
      <c r="BE20" s="2">
        <f t="shared" si="9"/>
        <v>9208.2486604501592</v>
      </c>
      <c r="BF20" s="2">
        <f t="shared" si="9"/>
        <v>9300.3311470546614</v>
      </c>
      <c r="BG20" s="2">
        <f t="shared" si="9"/>
        <v>9393.3344585252089</v>
      </c>
      <c r="BH20" s="2">
        <f t="shared" si="9"/>
        <v>9487.2678031104606</v>
      </c>
      <c r="BI20" s="2">
        <f t="shared" si="9"/>
        <v>9677.0131591726695</v>
      </c>
      <c r="BJ20" s="2">
        <f t="shared" si="9"/>
        <v>9870.5534223561226</v>
      </c>
      <c r="BK20" s="2">
        <f t="shared" si="9"/>
        <v>10067.964490803244</v>
      </c>
      <c r="BL20" s="2">
        <f t="shared" si="9"/>
        <v>10269.323780619308</v>
      </c>
      <c r="BM20" s="2">
        <f t="shared" si="9"/>
        <v>10474.710256231694</v>
      </c>
      <c r="BN20" s="2">
        <f t="shared" si="9"/>
        <v>10684.204461356328</v>
      </c>
      <c r="BO20" s="2">
        <f t="shared" si="9"/>
        <v>10897.888550583455</v>
      </c>
      <c r="BP20" s="2">
        <f t="shared" si="9"/>
        <v>11115.846321595123</v>
      </c>
      <c r="BQ20" s="2">
        <f t="shared" si="9"/>
        <v>11338.163248027025</v>
      </c>
      <c r="BR20" s="2">
        <f t="shared" si="9"/>
        <v>11791.689777948106</v>
      </c>
      <c r="BS20" s="2">
        <f t="shared" si="9"/>
        <v>12263.357369066031</v>
      </c>
      <c r="BT20" s="2">
        <f t="shared" si="9"/>
        <v>12753.891663828672</v>
      </c>
      <c r="BU20" s="2">
        <f t="shared" si="9"/>
        <v>13264.047330381818</v>
      </c>
      <c r="BV20" s="2">
        <f t="shared" si="9"/>
        <v>13396.687803685636</v>
      </c>
      <c r="BW20" s="2">
        <f t="shared" si="9"/>
        <v>13530.654681722492</v>
      </c>
      <c r="BX20" s="2">
        <f t="shared" si="9"/>
        <v>13665.961228539716</v>
      </c>
      <c r="BY20" s="2">
        <f t="shared" si="9"/>
        <v>13802.620840825113</v>
      </c>
      <c r="BZ20" s="2">
        <f t="shared" si="9"/>
        <v>13940.647049233365</v>
      </c>
      <c r="CA20" s="2">
        <f t="shared" si="9"/>
        <v>14080.053519725698</v>
      </c>
      <c r="CB20" s="2">
        <f t="shared" si="9"/>
        <v>14220.854054922955</v>
      </c>
      <c r="CC20" s="2">
        <f t="shared" si="9"/>
        <v>14363.062595472184</v>
      </c>
      <c r="CD20" s="2">
        <f t="shared" si="9"/>
        <v>14506.693221426905</v>
      </c>
      <c r="CE20" s="2">
        <f t="shared" si="9"/>
        <v>14651.760153641175</v>
      </c>
      <c r="CF20" s="2">
        <f t="shared" si="9"/>
        <v>14798.277755177587</v>
      </c>
      <c r="CG20" s="2">
        <f t="shared" si="9"/>
        <v>14946.260532729362</v>
      </c>
      <c r="CH20" s="2">
        <f t="shared" si="9"/>
        <v>15095.723138056655</v>
      </c>
      <c r="CI20" s="2">
        <f t="shared" si="9"/>
        <v>15246.680369437221</v>
      </c>
      <c r="CJ20" s="2">
        <f t="shared" si="9"/>
        <v>15399.147173131594</v>
      </c>
      <c r="CK20" s="2">
        <f t="shared" si="9"/>
        <v>15553.138644862911</v>
      </c>
      <c r="CL20" s="2">
        <f t="shared" si="9"/>
        <v>15708.67003131154</v>
      </c>
      <c r="CM20" s="2">
        <f t="shared" si="9"/>
        <v>15865.756731624655</v>
      </c>
      <c r="CN20" s="2">
        <f t="shared" si="9"/>
        <v>16024.414298940901</v>
      </c>
      <c r="CO20" s="2">
        <f t="shared" si="9"/>
        <v>16184.658441930311</v>
      </c>
      <c r="CP20" s="2">
        <f t="shared" si="9"/>
        <v>16346.505026349614</v>
      </c>
      <c r="CQ20" s="2">
        <f t="shared" ref="CQ20:CS20" si="10">CP20+CP20*CQ27</f>
        <v>16509.97007661311</v>
      </c>
      <c r="CR20" s="2">
        <f t="shared" si="10"/>
        <v>16675.069777379242</v>
      </c>
      <c r="CS20" s="2">
        <f t="shared" si="10"/>
        <v>16841.820475153036</v>
      </c>
    </row>
    <row r="21" spans="2:97" s="44" customFormat="1" x14ac:dyDescent="0.35">
      <c r="B21" s="44" t="s">
        <v>57</v>
      </c>
      <c r="G21" s="44">
        <f t="shared" ref="G21:I21" si="11">G20/G22</f>
        <v>0.23916152677214622</v>
      </c>
      <c r="H21" s="44">
        <f t="shared" si="11"/>
        <v>0.24775781412949555</v>
      </c>
      <c r="I21" s="44">
        <f t="shared" si="11"/>
        <v>0.2758410059295015</v>
      </c>
      <c r="J21" s="44" t="e">
        <f t="shared" ref="J21:N21" si="12">J20/J22</f>
        <v>#DIV/0!</v>
      </c>
      <c r="K21" s="44">
        <f t="shared" si="12"/>
        <v>0.47087393105092218</v>
      </c>
      <c r="L21" s="44">
        <f t="shared" si="12"/>
        <v>0.45585650010428774</v>
      </c>
      <c r="M21" s="44">
        <f t="shared" si="12"/>
        <v>0.4980036351717767</v>
      </c>
      <c r="N21" s="44">
        <f t="shared" si="12"/>
        <v>0.45439647209558715</v>
      </c>
      <c r="O21" s="44">
        <f>O20/O22</f>
        <v>0.68800095348767909</v>
      </c>
      <c r="P21" s="44">
        <f t="shared" ref="P21:BD21" si="13">P20/P22</f>
        <v>0.67207472959685344</v>
      </c>
      <c r="Q21" s="44">
        <f t="shared" si="13"/>
        <v>0.56812967432436456</v>
      </c>
      <c r="R21" s="44">
        <f t="shared" si="13"/>
        <v>0.56620780072107502</v>
      </c>
      <c r="S21" s="44">
        <f t="shared" si="13"/>
        <v>0.71994279073925094</v>
      </c>
      <c r="T21" s="44" t="e">
        <f t="shared" si="13"/>
        <v>#DIV/0!</v>
      </c>
      <c r="U21" s="44" t="e">
        <f t="shared" si="13"/>
        <v>#DIV/0!</v>
      </c>
      <c r="V21" s="44" t="e">
        <f t="shared" si="13"/>
        <v>#DIV/0!</v>
      </c>
      <c r="W21" s="44" t="e">
        <f t="shared" si="13"/>
        <v>#DIV/0!</v>
      </c>
      <c r="X21" s="44" t="e">
        <f t="shared" si="13"/>
        <v>#DIV/0!</v>
      </c>
      <c r="Y21" s="44">
        <f t="shared" si="13"/>
        <v>0.67658889782783582</v>
      </c>
      <c r="Z21" s="44">
        <f t="shared" si="13"/>
        <v>1.0572092607490837</v>
      </c>
      <c r="AA21" s="44">
        <f t="shared" si="13"/>
        <v>1.8800840261017253</v>
      </c>
      <c r="AB21" s="44">
        <f t="shared" si="13"/>
        <v>2.5778582283007059</v>
      </c>
      <c r="AC21" s="44">
        <f t="shared" si="13"/>
        <v>2.7114805875867822</v>
      </c>
      <c r="AD21" s="44">
        <f t="shared" si="13"/>
        <v>2.9012842287178571</v>
      </c>
      <c r="AE21" s="44">
        <f t="shared" si="13"/>
        <v>3.1333869670152854</v>
      </c>
      <c r="AF21" s="44">
        <f t="shared" si="13"/>
        <v>3.4467256637168138</v>
      </c>
      <c r="AG21" s="44">
        <f t="shared" si="13"/>
        <v>3.722463716814159</v>
      </c>
      <c r="AH21" s="44">
        <f t="shared" si="13"/>
        <v>4.0202608141592915</v>
      </c>
      <c r="AI21" s="44">
        <f t="shared" si="13"/>
        <v>4.3418816792920349</v>
      </c>
      <c r="AJ21" s="44">
        <f t="shared" si="13"/>
        <v>4.6892322136353979</v>
      </c>
      <c r="AK21" s="44">
        <f t="shared" si="13"/>
        <v>5.0643707907262296</v>
      </c>
      <c r="AL21" s="44">
        <f t="shared" si="13"/>
        <v>5.4695204539843276</v>
      </c>
    </row>
    <row r="22" spans="2:97" x14ac:dyDescent="0.35">
      <c r="B22" t="s">
        <v>95</v>
      </c>
      <c r="G22">
        <v>671.22</v>
      </c>
      <c r="H22">
        <v>671.22</v>
      </c>
      <c r="I22">
        <v>671.22</v>
      </c>
      <c r="K22">
        <v>671.22</v>
      </c>
      <c r="L22">
        <v>671.22</v>
      </c>
      <c r="M22">
        <v>671.22</v>
      </c>
      <c r="N22">
        <v>671.22</v>
      </c>
      <c r="O22">
        <v>671.22</v>
      </c>
      <c r="P22">
        <v>671.22</v>
      </c>
      <c r="Q22">
        <v>671.22</v>
      </c>
      <c r="R22">
        <v>671.22</v>
      </c>
      <c r="S22">
        <v>671.22</v>
      </c>
      <c r="Y22">
        <v>671.22</v>
      </c>
      <c r="Z22">
        <v>671.22</v>
      </c>
      <c r="AA22">
        <v>671.22</v>
      </c>
      <c r="AB22">
        <v>671.22</v>
      </c>
      <c r="AC22">
        <v>671.22</v>
      </c>
      <c r="AD22">
        <v>671.22</v>
      </c>
      <c r="AE22">
        <v>671.22</v>
      </c>
      <c r="AF22">
        <v>671.22</v>
      </c>
      <c r="AG22">
        <v>671.22</v>
      </c>
      <c r="AH22">
        <v>671.22</v>
      </c>
      <c r="AI22">
        <v>671.22</v>
      </c>
      <c r="AJ22">
        <v>671.22</v>
      </c>
      <c r="AK22">
        <v>671.22</v>
      </c>
      <c r="AL22">
        <v>671.22</v>
      </c>
      <c r="AM22">
        <v>671.22</v>
      </c>
      <c r="AN22">
        <v>671.22</v>
      </c>
      <c r="AO22">
        <v>671.22</v>
      </c>
      <c r="AP22">
        <v>671.22</v>
      </c>
    </row>
    <row r="24" spans="2:97" s="38" customFormat="1" x14ac:dyDescent="0.35">
      <c r="B24" s="38" t="s">
        <v>174</v>
      </c>
      <c r="K24" s="38">
        <f>K11/G11-1</f>
        <v>0.48851988020744552</v>
      </c>
      <c r="L24" s="38">
        <f t="shared" ref="L24:N24" si="14">L11/H11-1</f>
        <v>0.48622774418991588</v>
      </c>
      <c r="M24" s="38">
        <f t="shared" si="14"/>
        <v>0.53847089963187189</v>
      </c>
      <c r="N24" s="38">
        <f t="shared" si="14"/>
        <v>0.49872366978028193</v>
      </c>
      <c r="O24" s="38">
        <f>O5/K5-1</f>
        <v>0.55432370438058287</v>
      </c>
      <c r="P24" s="38">
        <f t="shared" ref="P24:T24" si="15">P5/L5-1</f>
        <v>0.42767542454341534</v>
      </c>
      <c r="Q24" s="38">
        <f t="shared" si="15"/>
        <v>0.29251791204712108</v>
      </c>
      <c r="R24" s="38">
        <f t="shared" si="15"/>
        <v>0.25455585734297026</v>
      </c>
      <c r="S24" s="38">
        <f t="shared" si="15"/>
        <v>0.23791355469570163</v>
      </c>
      <c r="Z24" s="38">
        <f>Z11/Y11-1</f>
        <v>0.19398358005515592</v>
      </c>
      <c r="AA24" s="38">
        <f t="shared" ref="AA24:AB24" si="16">AA11/Z11-1</f>
        <v>0.50391328126244495</v>
      </c>
      <c r="AB24" s="38">
        <f t="shared" si="16"/>
        <v>0.34469074430731883</v>
      </c>
    </row>
    <row r="26" spans="2:97" s="34" customFormat="1" x14ac:dyDescent="0.35">
      <c r="B26" s="34" t="s">
        <v>168</v>
      </c>
      <c r="G26" s="34">
        <f>G16/G11</f>
        <v>0.37594653161598213</v>
      </c>
      <c r="H26" s="34">
        <f t="shared" ref="H26:AA26" si="17">H16/H11</f>
        <v>0.37192301292362312</v>
      </c>
      <c r="I26" s="34">
        <f t="shared" si="17"/>
        <v>0.37781293417303036</v>
      </c>
      <c r="J26" s="34">
        <f t="shared" si="17"/>
        <v>0.39107703361948337</v>
      </c>
      <c r="K26" s="34">
        <f t="shared" si="17"/>
        <v>0.48042038112374258</v>
      </c>
      <c r="L26" s="34">
        <f t="shared" si="17"/>
        <v>0.41807487908282071</v>
      </c>
      <c r="M26" s="34">
        <f t="shared" si="17"/>
        <v>0.40083979328165376</v>
      </c>
      <c r="N26" s="34">
        <f t="shared" si="17"/>
        <v>0.36227550576257067</v>
      </c>
      <c r="O26" s="34">
        <f t="shared" si="17"/>
        <v>0.39379554799376149</v>
      </c>
      <c r="P26" s="34">
        <f t="shared" si="17"/>
        <v>0.38836195847218663</v>
      </c>
      <c r="Q26" s="34">
        <f t="shared" si="17"/>
        <v>0.32454860290415072</v>
      </c>
      <c r="R26" s="34">
        <f t="shared" si="17"/>
        <v>0.34153977158886001</v>
      </c>
      <c r="S26" s="34">
        <f t="shared" si="17"/>
        <v>0.36214429628958855</v>
      </c>
      <c r="Y26" s="34">
        <f t="shared" si="17"/>
        <v>0.29848163058293975</v>
      </c>
      <c r="Z26" s="34">
        <f t="shared" si="17"/>
        <v>0.37972102605491331</v>
      </c>
      <c r="AA26" s="34">
        <f t="shared" si="17"/>
        <v>0.41130115645405874</v>
      </c>
      <c r="AB26" s="34">
        <f>AB16/AB11</f>
        <v>0.45473008187929853</v>
      </c>
      <c r="AC26" s="34" t="e">
        <f>AC16/AC11</f>
        <v>#DIV/0!</v>
      </c>
    </row>
    <row r="27" spans="2:97" s="34" customFormat="1" x14ac:dyDescent="0.35">
      <c r="B27" s="34" t="s">
        <v>175</v>
      </c>
      <c r="K27" s="34">
        <f>K20/G20-1</f>
        <v>0.96885317386158354</v>
      </c>
      <c r="L27" s="34">
        <f t="shared" ref="L27:S27" si="18">L20/H20-1</f>
        <v>0.83992784125075159</v>
      </c>
      <c r="M27" s="34">
        <f t="shared" si="18"/>
        <v>0.80540102619497689</v>
      </c>
      <c r="N27" s="34">
        <f t="shared" si="18"/>
        <v>0.5469669304118483</v>
      </c>
      <c r="O27" s="34">
        <f t="shared" si="18"/>
        <v>0.46111497816870206</v>
      </c>
      <c r="P27" s="34">
        <f t="shared" si="18"/>
        <v>0.4743120465389894</v>
      </c>
      <c r="Q27" s="34">
        <f t="shared" si="18"/>
        <v>0.14081431178388737</v>
      </c>
      <c r="R27" s="34">
        <f t="shared" si="18"/>
        <v>0.24606557377049176</v>
      </c>
      <c r="S27" s="34">
        <f t="shared" si="18"/>
        <v>4.6427024686011231E-2</v>
      </c>
      <c r="Z27" s="34">
        <f>Z20/Y20-1</f>
        <v>0.56255780155899071</v>
      </c>
      <c r="AA27" s="34">
        <f t="shared" ref="AA27:AC27" si="19">AA20/Z20-1</f>
        <v>0.77834615709816535</v>
      </c>
      <c r="AB27" s="34">
        <f t="shared" si="19"/>
        <v>0.37113990253179585</v>
      </c>
      <c r="AC27" s="34">
        <f t="shared" si="19"/>
        <v>5.1834642347325044E-2</v>
      </c>
      <c r="AD27" s="34">
        <v>7.0000000000000007E-2</v>
      </c>
      <c r="AE27" s="34">
        <v>0.08</v>
      </c>
      <c r="AF27" s="34">
        <v>0.1</v>
      </c>
      <c r="AG27" s="34">
        <v>0.08</v>
      </c>
      <c r="AH27" s="34">
        <v>0.08</v>
      </c>
      <c r="AI27" s="34">
        <v>0.08</v>
      </c>
      <c r="AJ27" s="34">
        <v>0.08</v>
      </c>
      <c r="AK27" s="34">
        <v>0.08</v>
      </c>
      <c r="AL27" s="34">
        <v>0.08</v>
      </c>
      <c r="AM27" s="34">
        <v>0.08</v>
      </c>
      <c r="AN27" s="34">
        <v>0.08</v>
      </c>
      <c r="AO27" s="34">
        <v>0.08</v>
      </c>
      <c r="AP27" s="34">
        <v>0.08</v>
      </c>
      <c r="AQ27" s="34">
        <v>0.08</v>
      </c>
      <c r="AR27" s="34">
        <v>0.08</v>
      </c>
      <c r="AS27" s="34">
        <v>0.08</v>
      </c>
      <c r="AT27" s="34">
        <v>0.08</v>
      </c>
      <c r="AU27" s="34">
        <v>0.08</v>
      </c>
      <c r="AV27" s="34">
        <v>0.05</v>
      </c>
      <c r="AW27" s="34">
        <v>0.03</v>
      </c>
      <c r="AX27" s="34">
        <v>0.02</v>
      </c>
      <c r="AY27" s="34">
        <v>0.02</v>
      </c>
      <c r="AZ27" s="34">
        <v>0.02</v>
      </c>
      <c r="BA27" s="34">
        <v>0.02</v>
      </c>
      <c r="BB27" s="34">
        <v>0.02</v>
      </c>
      <c r="BC27" s="34">
        <v>0.02</v>
      </c>
      <c r="BD27" s="34">
        <v>0.02</v>
      </c>
      <c r="BE27" s="34">
        <v>0.01</v>
      </c>
      <c r="BF27" s="34">
        <v>0.01</v>
      </c>
      <c r="BG27" s="34">
        <v>0.01</v>
      </c>
      <c r="BH27" s="34">
        <v>0.01</v>
      </c>
      <c r="BI27" s="34">
        <v>0.02</v>
      </c>
      <c r="BJ27" s="34">
        <v>0.02</v>
      </c>
      <c r="BK27" s="34">
        <v>0.02</v>
      </c>
      <c r="BL27" s="34">
        <v>0.02</v>
      </c>
      <c r="BM27" s="34">
        <v>0.02</v>
      </c>
      <c r="BN27" s="34">
        <v>0.02</v>
      </c>
      <c r="BO27" s="34">
        <v>0.02</v>
      </c>
      <c r="BP27" s="34">
        <v>0.02</v>
      </c>
      <c r="BQ27" s="34">
        <v>0.02</v>
      </c>
      <c r="BR27" s="34">
        <v>0.04</v>
      </c>
      <c r="BS27" s="34">
        <v>0.04</v>
      </c>
      <c r="BT27" s="34">
        <v>0.04</v>
      </c>
      <c r="BU27" s="34">
        <v>0.04</v>
      </c>
      <c r="BV27" s="34">
        <v>0.01</v>
      </c>
      <c r="BW27" s="34">
        <v>0.01</v>
      </c>
      <c r="BX27" s="34">
        <v>0.01</v>
      </c>
      <c r="BY27" s="34">
        <v>0.01</v>
      </c>
      <c r="BZ27" s="34">
        <v>0.01</v>
      </c>
      <c r="CA27" s="34">
        <v>0.01</v>
      </c>
      <c r="CB27" s="34">
        <v>0.01</v>
      </c>
      <c r="CC27" s="34">
        <v>0.01</v>
      </c>
      <c r="CD27" s="34">
        <v>0.01</v>
      </c>
      <c r="CE27" s="34">
        <v>0.01</v>
      </c>
      <c r="CF27" s="34">
        <v>0.01</v>
      </c>
      <c r="CG27" s="34">
        <v>0.01</v>
      </c>
      <c r="CH27" s="34">
        <v>0.01</v>
      </c>
      <c r="CI27" s="34">
        <v>0.01</v>
      </c>
      <c r="CJ27" s="34">
        <v>0.01</v>
      </c>
      <c r="CK27" s="34">
        <v>0.01</v>
      </c>
      <c r="CL27" s="34">
        <v>0.01</v>
      </c>
      <c r="CM27" s="34">
        <v>0.01</v>
      </c>
      <c r="CN27" s="34">
        <v>0.01</v>
      </c>
      <c r="CO27" s="34">
        <v>0.01</v>
      </c>
      <c r="CP27" s="34">
        <v>0.01</v>
      </c>
      <c r="CQ27" s="34">
        <v>0.01</v>
      </c>
      <c r="CR27" s="34">
        <v>0.01</v>
      </c>
      <c r="CS27" s="34">
        <v>0.01</v>
      </c>
    </row>
    <row r="30" spans="2:97" x14ac:dyDescent="0.35">
      <c r="S30" t="s">
        <v>176</v>
      </c>
      <c r="W30" s="2" t="s">
        <v>185</v>
      </c>
    </row>
    <row r="31" spans="2:97" x14ac:dyDescent="0.35">
      <c r="S31" t="s">
        <v>177</v>
      </c>
      <c r="T31">
        <f>P20+P20*0.05</f>
        <v>473.66550000000001</v>
      </c>
      <c r="U31">
        <f>Q20+Q20*0.04</f>
        <v>396.59359999999998</v>
      </c>
      <c r="V31">
        <f>R20+R20*0.05</f>
        <v>399.05250000000001</v>
      </c>
      <c r="W31">
        <f>483+24+T31+U31+V31</f>
        <v>1776.3116</v>
      </c>
    </row>
    <row r="33" spans="19:97" x14ac:dyDescent="0.35">
      <c r="S33" t="s">
        <v>178</v>
      </c>
    </row>
    <row r="34" spans="19:97" x14ac:dyDescent="0.35">
      <c r="S34" t="s">
        <v>172</v>
      </c>
      <c r="T34">
        <f>P20+P20*0.1</f>
        <v>496.221</v>
      </c>
      <c r="U34">
        <f>Q20+Q20*0.1</f>
        <v>419.47399999999999</v>
      </c>
      <c r="V34">
        <f>R20+R20*0.1</f>
        <v>418.05500000000001</v>
      </c>
      <c r="W34">
        <f>S20+T34+U34+V34</f>
        <v>1816.99</v>
      </c>
    </row>
    <row r="35" spans="19:97" x14ac:dyDescent="0.35">
      <c r="AI35" t="s">
        <v>181</v>
      </c>
    </row>
    <row r="36" spans="19:97" x14ac:dyDescent="0.35">
      <c r="U36" t="s">
        <v>179</v>
      </c>
      <c r="AC36" s="28" t="s">
        <v>58</v>
      </c>
      <c r="AD36" s="29">
        <v>70</v>
      </c>
      <c r="AE36" t="s">
        <v>126</v>
      </c>
    </row>
    <row r="37" spans="19:97" x14ac:dyDescent="0.35">
      <c r="U37">
        <f>(W31+W34)/2</f>
        <v>1796.6507999999999</v>
      </c>
      <c r="AC37" s="30" t="s">
        <v>95</v>
      </c>
      <c r="AD37" s="36">
        <v>671.22</v>
      </c>
      <c r="AE37" t="s">
        <v>124</v>
      </c>
      <c r="AI37" t="s">
        <v>129</v>
      </c>
      <c r="AJ37" s="34" t="s">
        <v>180</v>
      </c>
    </row>
    <row r="38" spans="19:97" x14ac:dyDescent="0.35">
      <c r="AC38" s="30" t="s">
        <v>96</v>
      </c>
      <c r="AD38" s="31">
        <v>56000</v>
      </c>
      <c r="AE38" t="s">
        <v>135</v>
      </c>
      <c r="AI38" t="s">
        <v>130</v>
      </c>
    </row>
    <row r="39" spans="19:97" x14ac:dyDescent="0.35">
      <c r="AC39" s="30" t="s">
        <v>125</v>
      </c>
      <c r="AD39" s="31"/>
      <c r="AI39" t="s">
        <v>131</v>
      </c>
      <c r="AJ39" s="34">
        <v>0.1</v>
      </c>
    </row>
    <row r="40" spans="19:97" x14ac:dyDescent="0.35">
      <c r="AC40" s="30" t="s">
        <v>94</v>
      </c>
      <c r="AD40" s="31">
        <v>64</v>
      </c>
      <c r="AI40" t="s">
        <v>132</v>
      </c>
      <c r="AJ40" s="40">
        <f>NPV(AJ39,AC20:CS20)</f>
        <v>42236.809920912463</v>
      </c>
    </row>
    <row r="41" spans="19:97" x14ac:dyDescent="0.35">
      <c r="AC41" s="30" t="s">
        <v>97</v>
      </c>
      <c r="AD41" s="31"/>
      <c r="AI41" t="s">
        <v>133</v>
      </c>
      <c r="AJ41" s="40">
        <f>AJ40/AJ22</f>
        <v>62.92543416601481</v>
      </c>
    </row>
    <row r="42" spans="19:97" x14ac:dyDescent="0.35">
      <c r="AC42" s="32" t="s">
        <v>98</v>
      </c>
      <c r="AD42" s="33"/>
      <c r="AI42" t="s">
        <v>184</v>
      </c>
      <c r="AJ42">
        <v>68</v>
      </c>
    </row>
    <row r="43" spans="19:97" x14ac:dyDescent="0.35">
      <c r="AI43" t="s">
        <v>134</v>
      </c>
    </row>
    <row r="45" spans="19:97" x14ac:dyDescent="0.35">
      <c r="AB45" t="s">
        <v>5</v>
      </c>
    </row>
    <row r="47" spans="19:97" x14ac:dyDescent="0.35">
      <c r="AB47" s="2">
        <v>1730.31</v>
      </c>
      <c r="AC47">
        <f>AB47+AB47*AC48</f>
        <v>1816.8254999999999</v>
      </c>
      <c r="AD47">
        <f t="shared" ref="AD47:CO47" si="20">AC47+AC47*AD48</f>
        <v>1907.6667749999999</v>
      </c>
      <c r="AE47">
        <f t="shared" si="20"/>
        <v>2003.05011375</v>
      </c>
      <c r="AF47">
        <f t="shared" si="20"/>
        <v>2103.2026194374998</v>
      </c>
      <c r="AG47">
        <f t="shared" si="20"/>
        <v>2208.3627504093747</v>
      </c>
      <c r="AH47">
        <f t="shared" si="20"/>
        <v>2318.7808879298436</v>
      </c>
      <c r="AI47">
        <f t="shared" si="20"/>
        <v>2434.7199323263358</v>
      </c>
      <c r="AJ47">
        <f t="shared" si="20"/>
        <v>2556.4559289426525</v>
      </c>
      <c r="AK47">
        <f t="shared" si="20"/>
        <v>2684.278725389785</v>
      </c>
      <c r="AL47">
        <f t="shared" si="20"/>
        <v>2818.4926616592743</v>
      </c>
      <c r="AM47">
        <f t="shared" si="20"/>
        <v>2959.417294742238</v>
      </c>
      <c r="AN47">
        <f t="shared" si="20"/>
        <v>3107.3881594793497</v>
      </c>
      <c r="AO47">
        <f t="shared" si="20"/>
        <v>3262.7575674533173</v>
      </c>
      <c r="AP47">
        <f t="shared" si="20"/>
        <v>3425.8954458259832</v>
      </c>
      <c r="AQ47">
        <f t="shared" si="20"/>
        <v>3597.1902181172823</v>
      </c>
      <c r="AR47">
        <f t="shared" si="20"/>
        <v>3777.0497290231465</v>
      </c>
      <c r="AS47">
        <f t="shared" si="20"/>
        <v>3965.9022154743038</v>
      </c>
      <c r="AT47">
        <f t="shared" si="20"/>
        <v>4164.1973262480187</v>
      </c>
      <c r="AU47">
        <f t="shared" si="20"/>
        <v>4372.4071925604194</v>
      </c>
      <c r="AV47">
        <f t="shared" si="20"/>
        <v>4591.0275521884405</v>
      </c>
      <c r="AW47">
        <f t="shared" si="20"/>
        <v>4820.5789297978627</v>
      </c>
      <c r="AX47">
        <f t="shared" si="20"/>
        <v>5061.607876287756</v>
      </c>
      <c r="AY47">
        <f t="shared" si="20"/>
        <v>5112.2239550506338</v>
      </c>
      <c r="AZ47">
        <f t="shared" si="20"/>
        <v>5163.3461946011403</v>
      </c>
      <c r="BA47">
        <f t="shared" si="20"/>
        <v>5214.9796565471515</v>
      </c>
      <c r="BB47">
        <f t="shared" si="20"/>
        <v>5267.1294531126232</v>
      </c>
      <c r="BC47">
        <f t="shared" si="20"/>
        <v>5319.8007476437497</v>
      </c>
      <c r="BD47">
        <f t="shared" si="20"/>
        <v>5372.9987551201875</v>
      </c>
      <c r="BE47">
        <f t="shared" si="20"/>
        <v>5426.7287426713892</v>
      </c>
      <c r="BF47">
        <f t="shared" si="20"/>
        <v>5480.9960300981029</v>
      </c>
      <c r="BG47">
        <f t="shared" si="20"/>
        <v>5535.8059903990843</v>
      </c>
      <c r="BH47">
        <f t="shared" si="20"/>
        <v>5591.1640503030749</v>
      </c>
      <c r="BI47">
        <f t="shared" si="20"/>
        <v>5647.0756908061057</v>
      </c>
      <c r="BJ47">
        <f t="shared" si="20"/>
        <v>5703.5464477141668</v>
      </c>
      <c r="BK47">
        <f t="shared" si="20"/>
        <v>5760.5819121913082</v>
      </c>
      <c r="BL47">
        <f t="shared" si="20"/>
        <v>5818.1877313132209</v>
      </c>
      <c r="BM47">
        <f t="shared" si="20"/>
        <v>5876.3696086263535</v>
      </c>
      <c r="BN47">
        <f t="shared" si="20"/>
        <v>5935.1333047126172</v>
      </c>
      <c r="BO47">
        <f t="shared" si="20"/>
        <v>5994.4846377597432</v>
      </c>
      <c r="BP47">
        <f t="shared" si="20"/>
        <v>6054.4294841373403</v>
      </c>
      <c r="BQ47">
        <f t="shared" si="20"/>
        <v>6114.9737789787141</v>
      </c>
      <c r="BR47">
        <f t="shared" si="20"/>
        <v>6176.1235167685008</v>
      </c>
      <c r="BS47">
        <f t="shared" si="20"/>
        <v>6237.8847519361861</v>
      </c>
      <c r="BT47">
        <f t="shared" si="20"/>
        <v>6300.2635994555476</v>
      </c>
      <c r="BU47">
        <f t="shared" si="20"/>
        <v>6363.2662354501026</v>
      </c>
      <c r="BV47">
        <f t="shared" si="20"/>
        <v>6426.8988978046036</v>
      </c>
      <c r="BW47">
        <f t="shared" si="20"/>
        <v>6491.1678867826495</v>
      </c>
      <c r="BX47">
        <f t="shared" si="20"/>
        <v>6556.0795656504761</v>
      </c>
      <c r="BY47">
        <f t="shared" si="20"/>
        <v>6621.6403613069806</v>
      </c>
      <c r="BZ47">
        <f t="shared" si="20"/>
        <v>6687.8567649200504</v>
      </c>
      <c r="CA47">
        <f t="shared" si="20"/>
        <v>6754.7353325692511</v>
      </c>
      <c r="CB47">
        <f t="shared" si="20"/>
        <v>6822.2826858949438</v>
      </c>
      <c r="CC47">
        <f t="shared" si="20"/>
        <v>6890.5055127538935</v>
      </c>
      <c r="CD47">
        <f t="shared" si="20"/>
        <v>6959.4105678814321</v>
      </c>
      <c r="CE47">
        <f t="shared" si="20"/>
        <v>7029.0046735602464</v>
      </c>
      <c r="CF47">
        <f t="shared" si="20"/>
        <v>7099.2947202958485</v>
      </c>
      <c r="CG47">
        <f t="shared" si="20"/>
        <v>7170.2876674988074</v>
      </c>
      <c r="CH47">
        <f t="shared" si="20"/>
        <v>7241.9905441737956</v>
      </c>
      <c r="CI47">
        <f t="shared" si="20"/>
        <v>7314.4104496155333</v>
      </c>
      <c r="CJ47">
        <f t="shared" si="20"/>
        <v>7387.554554111689</v>
      </c>
      <c r="CK47">
        <f t="shared" si="20"/>
        <v>7461.4300996528054</v>
      </c>
      <c r="CL47">
        <f t="shared" si="20"/>
        <v>7536.0444006493335</v>
      </c>
      <c r="CM47">
        <f t="shared" si="20"/>
        <v>7611.4048446558272</v>
      </c>
      <c r="CN47">
        <f t="shared" si="20"/>
        <v>7687.5188931023858</v>
      </c>
      <c r="CO47">
        <f t="shared" si="20"/>
        <v>7764.3940820334101</v>
      </c>
      <c r="CP47">
        <f t="shared" ref="CP47:CS47" si="21">CO47+CO47*CP48</f>
        <v>7842.0380228537442</v>
      </c>
      <c r="CQ47">
        <f t="shared" si="21"/>
        <v>7920.4584030822816</v>
      </c>
      <c r="CR47">
        <f t="shared" si="21"/>
        <v>7999.6629871131045</v>
      </c>
      <c r="CS47">
        <f t="shared" si="21"/>
        <v>8079.6596169842351</v>
      </c>
    </row>
    <row r="48" spans="19:97" x14ac:dyDescent="0.35">
      <c r="AC48" s="34">
        <v>0.05</v>
      </c>
      <c r="AD48" s="34">
        <v>0.05</v>
      </c>
      <c r="AE48" s="34">
        <v>0.05</v>
      </c>
      <c r="AF48" s="34">
        <v>0.05</v>
      </c>
      <c r="AG48" s="34">
        <v>0.05</v>
      </c>
      <c r="AH48" s="34">
        <v>0.05</v>
      </c>
      <c r="AI48" s="34">
        <v>0.05</v>
      </c>
      <c r="AJ48" s="34">
        <v>0.05</v>
      </c>
      <c r="AK48" s="34">
        <v>0.05</v>
      </c>
      <c r="AL48" s="34">
        <v>0.05</v>
      </c>
      <c r="AM48" s="34">
        <v>0.05</v>
      </c>
      <c r="AN48" s="34">
        <v>0.05</v>
      </c>
      <c r="AO48" s="34">
        <v>0.05</v>
      </c>
      <c r="AP48" s="34">
        <v>0.05</v>
      </c>
      <c r="AQ48" s="34">
        <v>0.05</v>
      </c>
      <c r="AR48" s="34">
        <v>0.05</v>
      </c>
      <c r="AS48" s="34">
        <v>0.05</v>
      </c>
      <c r="AT48" s="34">
        <v>0.05</v>
      </c>
      <c r="AU48" s="34">
        <v>0.05</v>
      </c>
      <c r="AV48" s="34">
        <v>0.05</v>
      </c>
      <c r="AW48" s="34">
        <v>0.05</v>
      </c>
      <c r="AX48" s="34">
        <v>0.05</v>
      </c>
      <c r="AY48" s="34">
        <v>0.01</v>
      </c>
      <c r="AZ48" s="34">
        <v>0.01</v>
      </c>
      <c r="BA48" s="34">
        <v>0.01</v>
      </c>
      <c r="BB48" s="34">
        <v>0.01</v>
      </c>
      <c r="BC48" s="34">
        <v>0.01</v>
      </c>
      <c r="BD48" s="34">
        <v>0.01</v>
      </c>
      <c r="BE48" s="34">
        <v>0.01</v>
      </c>
      <c r="BF48" s="34">
        <v>0.01</v>
      </c>
      <c r="BG48" s="34">
        <v>0.01</v>
      </c>
      <c r="BH48" s="34">
        <v>0.01</v>
      </c>
      <c r="BI48" s="34">
        <v>0.01</v>
      </c>
      <c r="BJ48" s="34">
        <v>0.01</v>
      </c>
      <c r="BK48" s="34">
        <v>0.01</v>
      </c>
      <c r="BL48" s="34">
        <v>0.01</v>
      </c>
      <c r="BM48" s="34">
        <v>0.01</v>
      </c>
      <c r="BN48" s="34">
        <v>0.01</v>
      </c>
      <c r="BO48" s="34">
        <v>0.01</v>
      </c>
      <c r="BP48" s="34">
        <v>0.01</v>
      </c>
      <c r="BQ48" s="34">
        <v>0.01</v>
      </c>
      <c r="BR48" s="34">
        <v>0.01</v>
      </c>
      <c r="BS48" s="34">
        <v>0.01</v>
      </c>
      <c r="BT48" s="34">
        <v>0.01</v>
      </c>
      <c r="BU48" s="34">
        <v>0.01</v>
      </c>
      <c r="BV48" s="34">
        <v>0.01</v>
      </c>
      <c r="BW48" s="34">
        <v>0.01</v>
      </c>
      <c r="BX48" s="34">
        <v>0.01</v>
      </c>
      <c r="BY48" s="34">
        <v>0.01</v>
      </c>
      <c r="BZ48" s="34">
        <v>0.01</v>
      </c>
      <c r="CA48" s="34">
        <v>0.01</v>
      </c>
      <c r="CB48" s="34">
        <v>0.01</v>
      </c>
      <c r="CC48" s="34">
        <v>0.01</v>
      </c>
      <c r="CD48" s="34">
        <v>0.01</v>
      </c>
      <c r="CE48" s="34">
        <v>0.01</v>
      </c>
      <c r="CF48" s="34">
        <v>0.01</v>
      </c>
      <c r="CG48" s="34">
        <v>0.01</v>
      </c>
      <c r="CH48" s="34">
        <v>0.01</v>
      </c>
      <c r="CI48" s="34">
        <v>0.01</v>
      </c>
      <c r="CJ48" s="34">
        <v>0.01</v>
      </c>
      <c r="CK48" s="34">
        <v>0.01</v>
      </c>
      <c r="CL48" s="34">
        <v>0.01</v>
      </c>
      <c r="CM48" s="34">
        <v>0.01</v>
      </c>
      <c r="CN48" s="34">
        <v>0.01</v>
      </c>
      <c r="CO48" s="34">
        <v>0.01</v>
      </c>
      <c r="CP48" s="34">
        <v>0.01</v>
      </c>
      <c r="CQ48" s="34">
        <v>0.01</v>
      </c>
      <c r="CR48" s="34">
        <v>0.01</v>
      </c>
      <c r="CS48" s="34">
        <v>0.01</v>
      </c>
    </row>
    <row r="51" spans="28:97" x14ac:dyDescent="0.35">
      <c r="AI51" t="s">
        <v>186</v>
      </c>
    </row>
    <row r="52" spans="28:97" x14ac:dyDescent="0.35">
      <c r="AI52" t="s">
        <v>129</v>
      </c>
      <c r="AJ52" s="34">
        <v>0.01</v>
      </c>
    </row>
    <row r="53" spans="28:97" x14ac:dyDescent="0.35">
      <c r="AI53" t="s">
        <v>130</v>
      </c>
    </row>
    <row r="54" spans="28:97" x14ac:dyDescent="0.35">
      <c r="AI54" t="s">
        <v>182</v>
      </c>
      <c r="AJ54" s="34">
        <v>0.1</v>
      </c>
    </row>
    <row r="55" spans="28:97" x14ac:dyDescent="0.35">
      <c r="AI55" t="s">
        <v>132</v>
      </c>
      <c r="AJ55" s="40">
        <f>NPV(AJ54,AC47:CS47)</f>
        <v>30130.413655700861</v>
      </c>
    </row>
    <row r="56" spans="28:97" x14ac:dyDescent="0.35">
      <c r="AI56" t="s">
        <v>133</v>
      </c>
      <c r="AJ56" s="40">
        <f>AJ55/AJ22</f>
        <v>44.889028419446468</v>
      </c>
    </row>
    <row r="57" spans="28:97" x14ac:dyDescent="0.35">
      <c r="AI57" t="s">
        <v>184</v>
      </c>
      <c r="AJ57">
        <v>68</v>
      </c>
    </row>
    <row r="58" spans="28:97" x14ac:dyDescent="0.35">
      <c r="AI58" t="s">
        <v>183</v>
      </c>
    </row>
    <row r="62" spans="28:97" x14ac:dyDescent="0.35">
      <c r="AB62" t="s">
        <v>187</v>
      </c>
    </row>
    <row r="64" spans="28:97" x14ac:dyDescent="0.35">
      <c r="AB64">
        <v>1730.31</v>
      </c>
      <c r="AC64">
        <f>AB64+AB64*AC65</f>
        <v>1989.8564999999999</v>
      </c>
      <c r="AD64">
        <f t="shared" ref="AD64:AL64" si="22">AC64+AC64*AD65</f>
        <v>2268.4364099999998</v>
      </c>
      <c r="AE64">
        <f t="shared" si="22"/>
        <v>2540.6487791999998</v>
      </c>
      <c r="AF64">
        <f t="shared" si="22"/>
        <v>2794.7136571199999</v>
      </c>
      <c r="AG64">
        <f t="shared" si="22"/>
        <v>3018.2907496896</v>
      </c>
      <c r="AH64">
        <f t="shared" si="22"/>
        <v>3259.7540096647681</v>
      </c>
      <c r="AI64">
        <f t="shared" si="22"/>
        <v>3520.5343304379494</v>
      </c>
      <c r="AJ64">
        <f t="shared" si="22"/>
        <v>3802.1770768729853</v>
      </c>
      <c r="AK64">
        <f t="shared" si="22"/>
        <v>4106.3512430228238</v>
      </c>
      <c r="AL64">
        <f t="shared" si="22"/>
        <v>4434.8593424646497</v>
      </c>
      <c r="AM64">
        <f t="shared" ref="AM64" si="23">AL64+AL64*AM65</f>
        <v>4789.648089861822</v>
      </c>
      <c r="AN64">
        <f t="shared" ref="AN64" si="24">AM64+AM64*AN65</f>
        <v>5172.8199370507682</v>
      </c>
      <c r="AO64">
        <f t="shared" ref="AO64" si="25">AN64+AN64*AO65</f>
        <v>5586.6455320148298</v>
      </c>
      <c r="AP64">
        <f t="shared" ref="AP64" si="26">AO64+AO64*AP65</f>
        <v>6033.5771745760158</v>
      </c>
      <c r="AQ64">
        <f t="shared" ref="AQ64" si="27">AP64+AP64*AQ65</f>
        <v>6516.2633485420974</v>
      </c>
      <c r="AR64">
        <f t="shared" ref="AR64" si="28">AQ64+AQ64*AR65</f>
        <v>6842.0765159692019</v>
      </c>
      <c r="AS64">
        <f t="shared" ref="AS64" si="29">AR64+AR64*AS65</f>
        <v>7184.180341767662</v>
      </c>
      <c r="AT64">
        <f t="shared" ref="AT64:AU64" si="30">AS64+AS64*AT65</f>
        <v>7543.389358856045</v>
      </c>
      <c r="AU64">
        <f t="shared" si="30"/>
        <v>7920.5588267988469</v>
      </c>
      <c r="AV64">
        <f t="shared" ref="AV64" si="31">AU64+AU64*AV65</f>
        <v>8316.5867681387899</v>
      </c>
      <c r="AW64">
        <f t="shared" ref="AW64" si="32">AV64+AV64*AW65</f>
        <v>8732.4161065457301</v>
      </c>
      <c r="AX64">
        <f t="shared" ref="AX64" si="33">AW64+AW64*AX65</f>
        <v>9169.0369118730159</v>
      </c>
      <c r="AY64">
        <f t="shared" ref="AY64" si="34">AX64+AX64*AY65</f>
        <v>9627.4887574666664</v>
      </c>
      <c r="AZ64">
        <f t="shared" ref="AZ64" si="35">AY64+AY64*AZ65</f>
        <v>9820.0385326159994</v>
      </c>
      <c r="BA64">
        <f t="shared" ref="BA64" si="36">AZ64+AZ64*BA65</f>
        <v>10016.43930326832</v>
      </c>
      <c r="BB64">
        <f t="shared" ref="BB64" si="37">BA64+BA64*BB65</f>
        <v>10216.768089333687</v>
      </c>
      <c r="BC64">
        <f t="shared" ref="BC64:BD64" si="38">BB64+BB64*BC65</f>
        <v>10421.103451120362</v>
      </c>
      <c r="BD64">
        <f t="shared" si="38"/>
        <v>10629.525520142768</v>
      </c>
      <c r="BE64">
        <f t="shared" ref="BE64" si="39">BD64+BD64*BE65</f>
        <v>10842.116030545623</v>
      </c>
      <c r="BF64">
        <f t="shared" ref="BF64" si="40">BE64+BE64*BF65</f>
        <v>10950.537190851079</v>
      </c>
      <c r="BG64">
        <f t="shared" ref="BG64" si="41">BF64+BF64*BG65</f>
        <v>11060.042562759589</v>
      </c>
      <c r="BH64">
        <f t="shared" ref="BH64" si="42">BG64+BG64*BH65</f>
        <v>11170.642988387184</v>
      </c>
      <c r="BI64">
        <f t="shared" ref="BI64" si="43">BH64+BH64*BI65</f>
        <v>11282.349418271056</v>
      </c>
      <c r="BJ64">
        <f t="shared" ref="BJ64" si="44">BI64+BI64*BJ65</f>
        <v>11395.172912453767</v>
      </c>
      <c r="BK64">
        <f t="shared" ref="BK64" si="45">BJ64+BJ64*BK65</f>
        <v>11509.124641578304</v>
      </c>
      <c r="BL64">
        <f t="shared" ref="BL64:BM64" si="46">BK64+BK64*BL65</f>
        <v>11624.215887994087</v>
      </c>
      <c r="BM64">
        <f t="shared" si="46"/>
        <v>11740.458046874028</v>
      </c>
      <c r="BN64">
        <f t="shared" ref="BN64" si="47">BM64+BM64*BN65</f>
        <v>11857.862627342769</v>
      </c>
      <c r="BO64">
        <f t="shared" ref="BO64" si="48">BN64+BN64*BO65</f>
        <v>11976.441253616196</v>
      </c>
      <c r="BP64">
        <f t="shared" ref="BP64" si="49">BO64+BO64*BP65</f>
        <v>12096.205666152358</v>
      </c>
      <c r="BQ64">
        <f t="shared" ref="BQ64" si="50">BP64+BP64*BQ65</f>
        <v>12217.167722813881</v>
      </c>
      <c r="BR64">
        <f t="shared" ref="BR64" si="51">BQ64+BQ64*BR65</f>
        <v>12339.339400042019</v>
      </c>
      <c r="BS64">
        <f t="shared" ref="BS64" si="52">BR64+BR64*BS65</f>
        <v>12462.73279404244</v>
      </c>
      <c r="BT64">
        <f t="shared" ref="BT64" si="53">BS64+BS64*BT65</f>
        <v>12587.360121982865</v>
      </c>
      <c r="BU64">
        <f t="shared" ref="BU64:BV64" si="54">BT64+BT64*BU65</f>
        <v>12713.233723202693</v>
      </c>
      <c r="BV64">
        <f t="shared" si="54"/>
        <v>12840.366060434721</v>
      </c>
      <c r="BW64">
        <f t="shared" ref="BW64" si="55">BV64+BV64*BW65</f>
        <v>12968.769721039067</v>
      </c>
      <c r="BX64">
        <f t="shared" ref="BX64" si="56">BW64+BW64*BX65</f>
        <v>13098.457418249458</v>
      </c>
      <c r="BY64">
        <f t="shared" ref="BY64" si="57">BX64+BX64*BY65</f>
        <v>13229.441992431952</v>
      </c>
      <c r="BZ64">
        <f t="shared" ref="BZ64" si="58">BY64+BY64*BZ65</f>
        <v>13361.736412356271</v>
      </c>
      <c r="CA64">
        <f t="shared" ref="CA64" si="59">BZ64+BZ64*CA65</f>
        <v>13495.353776479833</v>
      </c>
      <c r="CB64">
        <f t="shared" ref="CB64" si="60">CA64+CA64*CB65</f>
        <v>13630.307314244632</v>
      </c>
      <c r="CC64">
        <f t="shared" ref="CC64" si="61">CB64+CB64*CC65</f>
        <v>13766.610387387078</v>
      </c>
      <c r="CD64">
        <f t="shared" ref="CD64:CE64" si="62">CC64+CC64*CD65</f>
        <v>13904.276491260949</v>
      </c>
      <c r="CE64">
        <f t="shared" si="62"/>
        <v>14043.319256173558</v>
      </c>
      <c r="CF64">
        <f t="shared" ref="CF64" si="63">CE64+CE64*CF65</f>
        <v>14183.752448735293</v>
      </c>
      <c r="CG64">
        <f t="shared" ref="CG64" si="64">CF64+CF64*CG65</f>
        <v>14325.589973222646</v>
      </c>
      <c r="CH64">
        <f t="shared" ref="CH64" si="65">CG64+CG64*CH65</f>
        <v>14468.845872954873</v>
      </c>
      <c r="CI64">
        <f t="shared" ref="CI64" si="66">CH64+CH64*CI65</f>
        <v>14613.534331684421</v>
      </c>
      <c r="CJ64">
        <f t="shared" ref="CJ64" si="67">CI64+CI64*CJ65</f>
        <v>14759.669675001265</v>
      </c>
      <c r="CK64">
        <f t="shared" ref="CK64" si="68">CJ64+CJ64*CK65</f>
        <v>14907.266371751279</v>
      </c>
      <c r="CL64">
        <f t="shared" ref="CL64" si="69">CK64+CK64*CL65</f>
        <v>15056.339035468791</v>
      </c>
      <c r="CM64">
        <f t="shared" ref="CM64:CN64" si="70">CL64+CL64*CM65</f>
        <v>15206.902425823479</v>
      </c>
      <c r="CN64">
        <f t="shared" si="70"/>
        <v>15358.971450081714</v>
      </c>
      <c r="CO64">
        <f t="shared" ref="CO64" si="71">CN64+CN64*CO65</f>
        <v>15512.56116458253</v>
      </c>
      <c r="CP64">
        <f t="shared" ref="CP64" si="72">CO64+CO64*CP65</f>
        <v>15667.686776228355</v>
      </c>
      <c r="CQ64">
        <f t="shared" ref="CQ64" si="73">CP64+CP64*CQ65</f>
        <v>15824.363643990639</v>
      </c>
      <c r="CR64">
        <f t="shared" ref="CR64" si="74">CQ64+CQ64*CR65</f>
        <v>15982.607280430546</v>
      </c>
      <c r="CS64">
        <f t="shared" ref="CS64" si="75">CR64+CR64*CS65</f>
        <v>16142.433353234852</v>
      </c>
    </row>
    <row r="65" spans="29:97" x14ac:dyDescent="0.35">
      <c r="AC65" s="34">
        <v>0.15</v>
      </c>
      <c r="AD65" s="34">
        <v>0.14000000000000001</v>
      </c>
      <c r="AE65" s="34">
        <v>0.12</v>
      </c>
      <c r="AF65" s="34">
        <v>0.1</v>
      </c>
      <c r="AG65" s="34">
        <v>0.08</v>
      </c>
      <c r="AH65" s="34">
        <v>0.08</v>
      </c>
      <c r="AI65" s="34">
        <v>0.08</v>
      </c>
      <c r="AJ65" s="34">
        <v>0.08</v>
      </c>
      <c r="AK65" s="34">
        <v>0.08</v>
      </c>
      <c r="AL65" s="34">
        <v>0.08</v>
      </c>
      <c r="AM65" s="34">
        <v>0.08</v>
      </c>
      <c r="AN65" s="34">
        <v>0.08</v>
      </c>
      <c r="AO65" s="34">
        <v>0.08</v>
      </c>
      <c r="AP65" s="34">
        <v>0.08</v>
      </c>
      <c r="AQ65" s="34">
        <v>0.08</v>
      </c>
      <c r="AR65" s="34">
        <v>0.05</v>
      </c>
      <c r="AS65" s="34">
        <v>0.05</v>
      </c>
      <c r="AT65" s="34">
        <v>0.05</v>
      </c>
      <c r="AU65" s="34">
        <v>0.05</v>
      </c>
      <c r="AV65" s="34">
        <v>0.05</v>
      </c>
      <c r="AW65" s="34">
        <v>0.05</v>
      </c>
      <c r="AX65" s="34">
        <v>0.05</v>
      </c>
      <c r="AY65" s="34">
        <v>0.05</v>
      </c>
      <c r="AZ65" s="34">
        <v>0.02</v>
      </c>
      <c r="BA65" s="34">
        <v>0.02</v>
      </c>
      <c r="BB65" s="34">
        <v>0.02</v>
      </c>
      <c r="BC65" s="34">
        <v>0.02</v>
      </c>
      <c r="BD65" s="34">
        <v>0.02</v>
      </c>
      <c r="BE65" s="34">
        <v>0.02</v>
      </c>
      <c r="BF65" s="34">
        <v>0.01</v>
      </c>
      <c r="BG65" s="34">
        <v>0.01</v>
      </c>
      <c r="BH65" s="34">
        <v>0.01</v>
      </c>
      <c r="BI65" s="34">
        <v>0.01</v>
      </c>
      <c r="BJ65" s="34">
        <v>0.01</v>
      </c>
      <c r="BK65" s="34">
        <v>0.01</v>
      </c>
      <c r="BL65" s="34">
        <v>0.01</v>
      </c>
      <c r="BM65" s="34">
        <v>0.01</v>
      </c>
      <c r="BN65" s="34">
        <v>0.01</v>
      </c>
      <c r="BO65" s="34">
        <v>0.01</v>
      </c>
      <c r="BP65" s="34">
        <v>0.01</v>
      </c>
      <c r="BQ65" s="34">
        <v>0.01</v>
      </c>
      <c r="BR65" s="34">
        <v>0.01</v>
      </c>
      <c r="BS65" s="34">
        <v>0.01</v>
      </c>
      <c r="BT65" s="34">
        <v>0.01</v>
      </c>
      <c r="BU65" s="34">
        <v>0.01</v>
      </c>
      <c r="BV65" s="34">
        <v>0.01</v>
      </c>
      <c r="BW65" s="34">
        <v>0.01</v>
      </c>
      <c r="BX65" s="34">
        <v>0.01</v>
      </c>
      <c r="BY65" s="34">
        <v>0.01</v>
      </c>
      <c r="BZ65" s="34">
        <v>0.01</v>
      </c>
      <c r="CA65" s="34">
        <v>0.01</v>
      </c>
      <c r="CB65" s="34">
        <v>0.01</v>
      </c>
      <c r="CC65" s="34">
        <v>0.01</v>
      </c>
      <c r="CD65" s="34">
        <v>0.01</v>
      </c>
      <c r="CE65" s="34">
        <v>0.01</v>
      </c>
      <c r="CF65" s="34">
        <v>0.01</v>
      </c>
      <c r="CG65" s="34">
        <v>0.01</v>
      </c>
      <c r="CH65" s="34">
        <v>0.01</v>
      </c>
      <c r="CI65" s="34">
        <v>0.01</v>
      </c>
      <c r="CJ65" s="34">
        <v>0.01</v>
      </c>
      <c r="CK65" s="34">
        <v>0.01</v>
      </c>
      <c r="CL65" s="34">
        <v>0.01</v>
      </c>
      <c r="CM65" s="34">
        <v>0.01</v>
      </c>
      <c r="CN65" s="34">
        <v>0.01</v>
      </c>
      <c r="CO65" s="34">
        <v>0.01</v>
      </c>
      <c r="CP65" s="34">
        <v>0.01</v>
      </c>
      <c r="CQ65" s="34">
        <v>0.01</v>
      </c>
      <c r="CR65" s="34">
        <v>0.01</v>
      </c>
      <c r="CS65" s="34">
        <v>0.01</v>
      </c>
    </row>
    <row r="68" spans="29:97" x14ac:dyDescent="0.35">
      <c r="AI68" t="s">
        <v>188</v>
      </c>
    </row>
    <row r="69" spans="29:97" x14ac:dyDescent="0.35">
      <c r="AI69" t="s">
        <v>129</v>
      </c>
      <c r="AJ69" s="34">
        <v>0.01</v>
      </c>
    </row>
    <row r="70" spans="29:97" x14ac:dyDescent="0.35">
      <c r="AI70" t="s">
        <v>130</v>
      </c>
    </row>
    <row r="71" spans="29:97" x14ac:dyDescent="0.35">
      <c r="AI71" t="s">
        <v>189</v>
      </c>
      <c r="AJ71" s="34">
        <v>0.1</v>
      </c>
    </row>
    <row r="72" spans="29:97" x14ac:dyDescent="0.35">
      <c r="AI72" t="s">
        <v>132</v>
      </c>
      <c r="AJ72" s="40">
        <f>NPV(AJ71,AC64:CS64)</f>
        <v>48933.177337492853</v>
      </c>
    </row>
    <row r="73" spans="29:97" x14ac:dyDescent="0.35">
      <c r="AI73" t="s">
        <v>190</v>
      </c>
      <c r="AJ73" s="40">
        <f>AJ72/AJ22</f>
        <v>72.901846395358973</v>
      </c>
    </row>
    <row r="74" spans="29:97" x14ac:dyDescent="0.35">
      <c r="AI74" t="s">
        <v>191</v>
      </c>
      <c r="AJ74">
        <v>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H44"/>
  <sheetViews>
    <sheetView zoomScale="57" zoomScaleNormal="115" zoomScaleSheetLayoutView="100" zoomScalePageLayoutView="120" workbookViewId="0">
      <pane xSplit="1" ySplit="4" topLeftCell="B5" activePane="bottomRight" state="frozen"/>
      <selection activeCell="I2" sqref="I2"/>
      <selection pane="topRight" activeCell="I2" sqref="I2"/>
      <selection pane="bottomLeft" activeCell="I2" sqref="I2"/>
      <selection pane="bottomRight" activeCell="X42" sqref="X42"/>
    </sheetView>
  </sheetViews>
  <sheetFormatPr defaultColWidth="8.81640625" defaultRowHeight="14.5" x14ac:dyDescent="0.35"/>
  <cols>
    <col min="1" max="1" width="20.6328125" customWidth="1"/>
    <col min="2" max="6" width="13.453125" customWidth="1"/>
    <col min="7" max="7" width="14.81640625" bestFit="1" customWidth="1"/>
    <col min="8" max="11" width="13.453125" customWidth="1"/>
    <col min="12" max="12" width="13.36328125" customWidth="1"/>
    <col min="13" max="13" width="11.6328125" bestFit="1" customWidth="1"/>
    <col min="14" max="14" width="10.36328125" bestFit="1" customWidth="1"/>
    <col min="15" max="15" width="9.1796875" bestFit="1" customWidth="1"/>
    <col min="16" max="21" width="9.26953125" bestFit="1" customWidth="1"/>
    <col min="24" max="24" width="10.81640625" bestFit="1" customWidth="1"/>
    <col min="33" max="35" width="9.7265625" bestFit="1" customWidth="1"/>
    <col min="36" max="36" width="10" bestFit="1" customWidth="1"/>
    <col min="37" max="38" width="9.7265625" bestFit="1" customWidth="1"/>
  </cols>
  <sheetData>
    <row r="1" spans="1:14" s="2" customFormat="1" x14ac:dyDescent="0.35">
      <c r="A1" s="2" t="str">
        <f>'Data Sheet'!B1</f>
        <v>BAJAJ HOUSING FINANCE LTD</v>
      </c>
      <c r="H1" t="str">
        <f>UPDATE</f>
        <v/>
      </c>
      <c r="J1" s="3"/>
      <c r="K1" s="3"/>
      <c r="M1" s="2" t="s">
        <v>1</v>
      </c>
    </row>
    <row r="3" spans="1:14" s="2" customFormat="1" x14ac:dyDescent="0.35">
      <c r="A3" s="11" t="s">
        <v>2</v>
      </c>
      <c r="B3" s="12">
        <f>'Data Sheet'!B16</f>
        <v>0</v>
      </c>
      <c r="C3" s="12">
        <f>'Data Sheet'!C16</f>
        <v>0</v>
      </c>
      <c r="D3" s="12">
        <f>'Data Sheet'!D16</f>
        <v>0</v>
      </c>
      <c r="E3" s="12">
        <f>'Data Sheet'!E16</f>
        <v>0</v>
      </c>
      <c r="F3" s="12">
        <f>'Data Sheet'!F16</f>
        <v>0</v>
      </c>
      <c r="G3" s="12">
        <f>'Data Sheet'!G16</f>
        <v>43921</v>
      </c>
      <c r="H3" s="12">
        <f>'Data Sheet'!H16</f>
        <v>44286</v>
      </c>
      <c r="I3" s="12">
        <f>'Data Sheet'!I16</f>
        <v>44651</v>
      </c>
      <c r="J3" s="12">
        <f>'Data Sheet'!J16</f>
        <v>45016</v>
      </c>
      <c r="K3" s="12">
        <f>'Data Sheet'!K16</f>
        <v>45382</v>
      </c>
      <c r="L3" s="13" t="s">
        <v>3</v>
      </c>
      <c r="M3" s="13" t="s">
        <v>4</v>
      </c>
      <c r="N3" s="13" t="s">
        <v>5</v>
      </c>
    </row>
    <row r="4" spans="1:14" s="2" customFormat="1" x14ac:dyDescent="0.35">
      <c r="A4" s="2" t="s">
        <v>6</v>
      </c>
      <c r="B4" s="1">
        <f>'Data Sheet'!B17</f>
        <v>0</v>
      </c>
      <c r="C4" s="1">
        <f>'Data Sheet'!C17</f>
        <v>0</v>
      </c>
      <c r="D4" s="1">
        <f>'Data Sheet'!D17</f>
        <v>0</v>
      </c>
      <c r="E4" s="1">
        <f>'Data Sheet'!E17</f>
        <v>0</v>
      </c>
      <c r="F4" s="1">
        <f>'Data Sheet'!F17</f>
        <v>0</v>
      </c>
      <c r="G4" s="1">
        <f>'Data Sheet'!G17</f>
        <v>2646.02</v>
      </c>
      <c r="H4" s="1">
        <f>'Data Sheet'!H17</f>
        <v>3154.7</v>
      </c>
      <c r="I4" s="1">
        <f>'Data Sheet'!I17</f>
        <v>3766.71</v>
      </c>
      <c r="J4" s="1">
        <f>'Data Sheet'!J17</f>
        <v>5665.03</v>
      </c>
      <c r="K4" s="1">
        <f>'Data Sheet'!K17</f>
        <v>7617.31</v>
      </c>
      <c r="L4" s="1">
        <f>SUM(Quarters!H4:K4)</f>
        <v>7553.5300000000007</v>
      </c>
      <c r="M4" s="1">
        <f>$K4+M23*K4</f>
        <v>10242.383824286899</v>
      </c>
      <c r="N4" s="1">
        <f>$K4+N23*L4</f>
        <v>10197.396855963972</v>
      </c>
    </row>
    <row r="5" spans="1:14" x14ac:dyDescent="0.35">
      <c r="A5" t="s">
        <v>7</v>
      </c>
      <c r="B5" s="6">
        <f>SUM('Data Sheet'!B18,'Data Sheet'!B20:B24, -1*'Data Sheet'!B19)</f>
        <v>0</v>
      </c>
      <c r="C5" s="6">
        <f>SUM('Data Sheet'!C18,'Data Sheet'!C20:C24, -1*'Data Sheet'!C19)</f>
        <v>0</v>
      </c>
      <c r="D5" s="6">
        <f>SUM('Data Sheet'!D18,'Data Sheet'!D20:D24, -1*'Data Sheet'!D19)</f>
        <v>0</v>
      </c>
      <c r="E5" s="6">
        <f>SUM('Data Sheet'!E18,'Data Sheet'!E20:E24, -1*'Data Sheet'!E19)</f>
        <v>0</v>
      </c>
      <c r="F5" s="6">
        <f>SUM('Data Sheet'!F18,'Data Sheet'!F20:F24, -1*'Data Sheet'!F19)</f>
        <v>0</v>
      </c>
      <c r="G5" s="6">
        <f>SUM('Data Sheet'!G18,'Data Sheet'!G20:G24, -1*'Data Sheet'!G19)</f>
        <v>437.6</v>
      </c>
      <c r="H5" s="6">
        <f>SUM('Data Sheet'!H18,'Data Sheet'!H20:H24, -1*'Data Sheet'!H19)</f>
        <v>552.38</v>
      </c>
      <c r="I5" s="6">
        <f>SUM('Data Sheet'!I18,'Data Sheet'!I20:I24, -1*'Data Sheet'!I19)</f>
        <v>623.79</v>
      </c>
      <c r="J5" s="6">
        <f>SUM('Data Sheet'!J18,'Data Sheet'!J20:J24, -1*'Data Sheet'!J19)</f>
        <v>717.98</v>
      </c>
      <c r="K5" s="6">
        <f>SUM('Data Sheet'!K18,'Data Sheet'!K20:K24, -1*'Data Sheet'!K19)</f>
        <v>721.31000000000006</v>
      </c>
      <c r="L5" s="6">
        <f>SUM(Quarters!H5:K5)</f>
        <v>769.95</v>
      </c>
      <c r="M5" s="6">
        <f t="shared" ref="M5:N5" si="0">M4-M6</f>
        <v>1044.0315224153073</v>
      </c>
      <c r="N5" s="6">
        <f t="shared" si="0"/>
        <v>1362.5198172703422</v>
      </c>
    </row>
    <row r="6" spans="1:14" s="2" customFormat="1" x14ac:dyDescent="0.35">
      <c r="A6" s="2" t="s">
        <v>8</v>
      </c>
      <c r="B6" s="1">
        <f>B4-B5</f>
        <v>0</v>
      </c>
      <c r="C6" s="1">
        <f t="shared" ref="C6:K6" si="1">C4-C5</f>
        <v>0</v>
      </c>
      <c r="D6" s="1">
        <f t="shared" si="1"/>
        <v>0</v>
      </c>
      <c r="E6" s="1">
        <f t="shared" si="1"/>
        <v>0</v>
      </c>
      <c r="F6" s="1">
        <f t="shared" si="1"/>
        <v>0</v>
      </c>
      <c r="G6" s="1">
        <f t="shared" si="1"/>
        <v>2208.42</v>
      </c>
      <c r="H6" s="1">
        <f t="shared" si="1"/>
        <v>2602.3199999999997</v>
      </c>
      <c r="I6" s="1">
        <f t="shared" si="1"/>
        <v>3142.92</v>
      </c>
      <c r="J6" s="1">
        <f t="shared" si="1"/>
        <v>4947.0499999999993</v>
      </c>
      <c r="K6" s="1">
        <f t="shared" si="1"/>
        <v>6896</v>
      </c>
      <c r="L6" s="1">
        <f>SUM(Quarters!H6:K6)</f>
        <v>6783.58</v>
      </c>
      <c r="M6" s="1">
        <f>M4*M24</f>
        <v>9198.3523018715914</v>
      </c>
      <c r="N6" s="1">
        <f>N4*N24</f>
        <v>8834.8770386936303</v>
      </c>
    </row>
    <row r="7" spans="1:14" x14ac:dyDescent="0.35">
      <c r="A7" t="s">
        <v>9</v>
      </c>
      <c r="B7" s="6">
        <f>'Data Sheet'!B25</f>
        <v>0</v>
      </c>
      <c r="C7" s="6">
        <f>'Data Sheet'!C25</f>
        <v>0</v>
      </c>
      <c r="D7" s="6">
        <f>'Data Sheet'!D25</f>
        <v>0</v>
      </c>
      <c r="E7" s="6">
        <f>'Data Sheet'!E25</f>
        <v>0</v>
      </c>
      <c r="F7" s="6">
        <f>'Data Sheet'!F25</f>
        <v>0</v>
      </c>
      <c r="G7" s="6">
        <f>'Data Sheet'!G25</f>
        <v>-0.28000000000000003</v>
      </c>
      <c r="H7" s="6">
        <f>'Data Sheet'!H25</f>
        <v>0.14000000000000001</v>
      </c>
      <c r="I7" s="6">
        <f>'Data Sheet'!I25</f>
        <v>-0.06</v>
      </c>
      <c r="J7" s="6">
        <f>'Data Sheet'!J25</f>
        <v>-0.28999999999999998</v>
      </c>
      <c r="K7" s="6">
        <f>'Data Sheet'!K25</f>
        <v>-0.37</v>
      </c>
      <c r="L7" s="6">
        <f>SUM(Quarters!H7:K7)</f>
        <v>0.65999999999999992</v>
      </c>
      <c r="M7" s="6">
        <v>0</v>
      </c>
      <c r="N7" s="6">
        <v>0</v>
      </c>
    </row>
    <row r="8" spans="1:14" x14ac:dyDescent="0.35">
      <c r="A8" t="s">
        <v>10</v>
      </c>
      <c r="B8" s="6">
        <f>'Data Sheet'!B26</f>
        <v>0</v>
      </c>
      <c r="C8" s="6">
        <f>'Data Sheet'!C26</f>
        <v>0</v>
      </c>
      <c r="D8" s="6">
        <f>'Data Sheet'!D26</f>
        <v>0</v>
      </c>
      <c r="E8" s="6">
        <f>'Data Sheet'!E26</f>
        <v>0</v>
      </c>
      <c r="F8" s="6">
        <f>'Data Sheet'!F26</f>
        <v>0</v>
      </c>
      <c r="G8" s="6">
        <f>'Data Sheet'!G26</f>
        <v>23.14</v>
      </c>
      <c r="H8" s="6">
        <f>'Data Sheet'!H26</f>
        <v>21.77</v>
      </c>
      <c r="I8" s="6">
        <f>'Data Sheet'!I26</f>
        <v>25.76</v>
      </c>
      <c r="J8" s="6">
        <f>'Data Sheet'!J26</f>
        <v>33.4</v>
      </c>
      <c r="K8" s="6">
        <f>'Data Sheet'!K26</f>
        <v>39.6</v>
      </c>
      <c r="L8" s="6">
        <f>SUM(Quarters!H8:K8)</f>
        <v>38.86</v>
      </c>
      <c r="M8" s="6">
        <f>+$L8</f>
        <v>38.86</v>
      </c>
      <c r="N8" s="6">
        <f>+$L8</f>
        <v>38.86</v>
      </c>
    </row>
    <row r="9" spans="1:14" x14ac:dyDescent="0.35">
      <c r="A9" t="s">
        <v>11</v>
      </c>
      <c r="B9" s="6">
        <f>'Data Sheet'!B27</f>
        <v>0</v>
      </c>
      <c r="C9" s="6">
        <f>'Data Sheet'!C27</f>
        <v>0</v>
      </c>
      <c r="D9" s="6">
        <f>'Data Sheet'!D27</f>
        <v>0</v>
      </c>
      <c r="E9" s="6">
        <f>'Data Sheet'!E27</f>
        <v>0</v>
      </c>
      <c r="F9" s="6">
        <f>'Data Sheet'!F27</f>
        <v>0</v>
      </c>
      <c r="G9" s="6">
        <f>'Data Sheet'!G27</f>
        <v>1617.55</v>
      </c>
      <c r="H9" s="6">
        <f>'Data Sheet'!H27</f>
        <v>1967.51</v>
      </c>
      <c r="I9" s="6">
        <f>'Data Sheet'!I27</f>
        <v>2157.2399999999998</v>
      </c>
      <c r="J9" s="6">
        <f>'Data Sheet'!J27</f>
        <v>3213.3</v>
      </c>
      <c r="K9" s="6">
        <f>'Data Sheet'!K27</f>
        <v>4694.71</v>
      </c>
      <c r="L9" s="6">
        <f>SUM(Quarters!H9:K9)</f>
        <v>4694.24</v>
      </c>
      <c r="M9" s="6">
        <f>+$L9</f>
        <v>4694.24</v>
      </c>
      <c r="N9" s="6">
        <f>+$L9</f>
        <v>4694.24</v>
      </c>
    </row>
    <row r="10" spans="1:14" x14ac:dyDescent="0.35">
      <c r="A10" t="s">
        <v>12</v>
      </c>
      <c r="B10" s="6">
        <f>'Data Sheet'!B28</f>
        <v>0</v>
      </c>
      <c r="C10" s="6">
        <f>'Data Sheet'!C28</f>
        <v>0</v>
      </c>
      <c r="D10" s="6">
        <f>'Data Sheet'!D28</f>
        <v>0</v>
      </c>
      <c r="E10" s="6">
        <f>'Data Sheet'!E28</f>
        <v>0</v>
      </c>
      <c r="F10" s="6">
        <f>'Data Sheet'!F28</f>
        <v>0</v>
      </c>
      <c r="G10" s="6">
        <f>'Data Sheet'!G28</f>
        <v>567.45000000000005</v>
      </c>
      <c r="H10" s="6">
        <f>'Data Sheet'!H28</f>
        <v>613.17999999999995</v>
      </c>
      <c r="I10" s="6">
        <f>'Data Sheet'!I28</f>
        <v>959.86</v>
      </c>
      <c r="J10" s="6">
        <f>'Data Sheet'!J28</f>
        <v>1700.06</v>
      </c>
      <c r="K10" s="6">
        <f>'Data Sheet'!K28</f>
        <v>2161.3200000000002</v>
      </c>
      <c r="L10" s="6">
        <f>SUM(Quarters!H10:K10)</f>
        <v>2051.14</v>
      </c>
      <c r="M10" s="6">
        <f>M6+M7-SUM(M8:M9)</f>
        <v>4465.252301871592</v>
      </c>
      <c r="N10" s="6">
        <f>N6+N7-SUM(N8:N9)</f>
        <v>4101.7770386936309</v>
      </c>
    </row>
    <row r="11" spans="1:14" x14ac:dyDescent="0.35">
      <c r="A11" t="s">
        <v>13</v>
      </c>
      <c r="B11" s="6">
        <f>'Data Sheet'!B29</f>
        <v>0</v>
      </c>
      <c r="C11" s="6">
        <f>'Data Sheet'!C29</f>
        <v>0</v>
      </c>
      <c r="D11" s="6">
        <f>'Data Sheet'!D29</f>
        <v>0</v>
      </c>
      <c r="E11" s="6">
        <f>'Data Sheet'!E29</f>
        <v>0</v>
      </c>
      <c r="F11" s="6">
        <f>'Data Sheet'!F29</f>
        <v>0</v>
      </c>
      <c r="G11" s="6">
        <f>'Data Sheet'!G29</f>
        <v>146.12</v>
      </c>
      <c r="H11" s="6">
        <f>'Data Sheet'!H29</f>
        <v>159.99</v>
      </c>
      <c r="I11" s="6">
        <f>'Data Sheet'!I29</f>
        <v>250.24</v>
      </c>
      <c r="J11" s="6">
        <f>'Data Sheet'!J29</f>
        <v>442.26</v>
      </c>
      <c r="K11" s="6">
        <f>'Data Sheet'!K29</f>
        <v>430.1</v>
      </c>
      <c r="L11" s="6">
        <f>SUM(Quarters!H11:K11)</f>
        <v>423.91999999999996</v>
      </c>
      <c r="M11" s="7">
        <f>IF($L10&gt;0,$L11/$L10,0)</f>
        <v>0.20667531226537436</v>
      </c>
      <c r="N11" s="7">
        <f>IF($L10&gt;0,$L11/$L10,0)</f>
        <v>0.20667531226537436</v>
      </c>
    </row>
    <row r="12" spans="1:14" s="2" customFormat="1" x14ac:dyDescent="0.35">
      <c r="A12" s="2" t="s">
        <v>14</v>
      </c>
      <c r="B12" s="1">
        <f>'Data Sheet'!B30</f>
        <v>0</v>
      </c>
      <c r="C12" s="1">
        <f>'Data Sheet'!C30</f>
        <v>0</v>
      </c>
      <c r="D12" s="1">
        <f>'Data Sheet'!D30</f>
        <v>0</v>
      </c>
      <c r="E12" s="1">
        <f>'Data Sheet'!E30</f>
        <v>0</v>
      </c>
      <c r="F12" s="1">
        <f>'Data Sheet'!F30</f>
        <v>0</v>
      </c>
      <c r="G12" s="1">
        <f>'Data Sheet'!G30</f>
        <v>421.33</v>
      </c>
      <c r="H12" s="1">
        <f>'Data Sheet'!H30</f>
        <v>453.19</v>
      </c>
      <c r="I12" s="1">
        <f>'Data Sheet'!I30</f>
        <v>709.62</v>
      </c>
      <c r="J12" s="1">
        <f>'Data Sheet'!J30</f>
        <v>1257.8</v>
      </c>
      <c r="K12" s="1">
        <f>'Data Sheet'!K30</f>
        <v>1731.22</v>
      </c>
      <c r="L12" s="1">
        <f>SUM(Quarters!H12:K12)</f>
        <v>1627.2199999999998</v>
      </c>
      <c r="M12" s="1">
        <f>M10-M11*M10</f>
        <v>3542.3948880385988</v>
      </c>
      <c r="N12" s="1">
        <f>N10-N11*N10</f>
        <v>3254.0409883786824</v>
      </c>
    </row>
    <row r="13" spans="1:14" x14ac:dyDescent="0.35">
      <c r="A13" t="s">
        <v>57</v>
      </c>
      <c r="B13" s="6">
        <f>IF('Data Sheet'!B93&gt;0,B12/'Data Sheet'!B93,0)</f>
        <v>0</v>
      </c>
      <c r="C13" s="6">
        <f>IF('Data Sheet'!C93&gt;0,C12/'Data Sheet'!C93,0)</f>
        <v>0</v>
      </c>
      <c r="D13" s="6">
        <f>IF('Data Sheet'!D93&gt;0,D12/'Data Sheet'!D93,0)</f>
        <v>0</v>
      </c>
      <c r="E13" s="6">
        <f>IF('Data Sheet'!E93&gt;0,E12/'Data Sheet'!E93,0)</f>
        <v>0</v>
      </c>
      <c r="F13" s="6">
        <f>IF('Data Sheet'!F93&gt;0,F12/'Data Sheet'!F93,0)</f>
        <v>0</v>
      </c>
      <c r="G13" s="6">
        <f>IF('Data Sheet'!G93&gt;0,G12/'Data Sheet'!G93,0)</f>
        <v>0</v>
      </c>
      <c r="H13" s="6">
        <f>IF('Data Sheet'!H93&gt;0,H12/'Data Sheet'!H93,0)</f>
        <v>0</v>
      </c>
      <c r="I13" s="6">
        <f>IF('Data Sheet'!I93&gt;0,I12/'Data Sheet'!I93,0)</f>
        <v>0</v>
      </c>
      <c r="J13" s="6">
        <f>IF('Data Sheet'!J93&gt;0,J12/'Data Sheet'!J93,0)</f>
        <v>0</v>
      </c>
      <c r="K13" s="6">
        <f>IF('Data Sheet'!K93&gt;0,K12/'Data Sheet'!K93,0)</f>
        <v>0</v>
      </c>
      <c r="L13" s="6" t="e">
        <f>IF('Data Sheet'!$B6&gt;0,'Profit &amp; Loss'!L12/'Data Sheet'!$B6,0)</f>
        <v>#DIV/0!</v>
      </c>
      <c r="M13" s="6" t="e">
        <f>IF('Data Sheet'!$B6&gt;0,'Profit &amp; Loss'!M12/'Data Sheet'!$B6,0)</f>
        <v>#DIV/0!</v>
      </c>
      <c r="N13" s="6" t="e">
        <f>IF('Data Sheet'!$B6&gt;0,'Profit &amp; Loss'!N12/'Data Sheet'!$B6,0)</f>
        <v>#DIV/0!</v>
      </c>
    </row>
    <row r="14" spans="1:14" x14ac:dyDescent="0.35">
      <c r="A14" t="s">
        <v>16</v>
      </c>
      <c r="B14" s="6" t="str">
        <f>IF(B15&gt;0,B15/B13,"")</f>
        <v/>
      </c>
      <c r="C14" s="6" t="str">
        <f t="shared" ref="C14:K14" si="2">IF(C15&gt;0,C15/C13,"")</f>
        <v/>
      </c>
      <c r="D14" s="6" t="str">
        <f t="shared" si="2"/>
        <v/>
      </c>
      <c r="E14" s="6" t="str">
        <f t="shared" si="2"/>
        <v/>
      </c>
      <c r="F14" s="6" t="str">
        <f t="shared" si="2"/>
        <v/>
      </c>
      <c r="G14" s="6" t="str">
        <f t="shared" si="2"/>
        <v/>
      </c>
      <c r="H14" s="6" t="str">
        <f t="shared" si="2"/>
        <v/>
      </c>
      <c r="I14" s="6" t="str">
        <f t="shared" si="2"/>
        <v/>
      </c>
      <c r="J14" s="6" t="str">
        <f t="shared" si="2"/>
        <v/>
      </c>
      <c r="K14" s="6" t="str">
        <f t="shared" si="2"/>
        <v/>
      </c>
      <c r="L14" s="6" t="e">
        <f t="shared" ref="L14" si="3">IF(L13&gt;0,L15/L13,0)</f>
        <v>#DIV/0!</v>
      </c>
      <c r="M14" s="6" t="e">
        <f>M25</f>
        <v>#DIV/0!</v>
      </c>
      <c r="N14" s="6" t="e">
        <f>N25</f>
        <v>#DIV/0!</v>
      </c>
    </row>
    <row r="15" spans="1:14" s="2" customFormat="1" x14ac:dyDescent="0.35">
      <c r="A15" s="2" t="s">
        <v>58</v>
      </c>
      <c r="B15" s="1">
        <f>'Data Sheet'!B90</f>
        <v>0</v>
      </c>
      <c r="C15" s="1">
        <f>'Data Sheet'!C90</f>
        <v>0</v>
      </c>
      <c r="D15" s="1">
        <f>'Data Sheet'!D90</f>
        <v>0</v>
      </c>
      <c r="E15" s="1">
        <f>'Data Sheet'!E90</f>
        <v>0</v>
      </c>
      <c r="F15" s="1">
        <f>'Data Sheet'!F90</f>
        <v>0</v>
      </c>
      <c r="G15" s="1">
        <f>'Data Sheet'!G90</f>
        <v>0</v>
      </c>
      <c r="H15" s="1">
        <f>'Data Sheet'!H90</f>
        <v>0</v>
      </c>
      <c r="I15" s="1">
        <f>'Data Sheet'!I90</f>
        <v>0</v>
      </c>
      <c r="J15" s="1">
        <f>'Data Sheet'!J90</f>
        <v>0</v>
      </c>
      <c r="K15" s="1">
        <f>'Data Sheet'!K90</f>
        <v>0</v>
      </c>
      <c r="L15" s="1">
        <f>'Data Sheet'!B8</f>
        <v>0</v>
      </c>
      <c r="M15" s="8" t="e">
        <f>M13*M14</f>
        <v>#DIV/0!</v>
      </c>
      <c r="N15" s="9" t="e">
        <f>N13*N14</f>
        <v>#DIV/0!</v>
      </c>
    </row>
    <row r="17" spans="1:60" s="2" customFormat="1" x14ac:dyDescent="0.35">
      <c r="A17" s="2" t="s">
        <v>15</v>
      </c>
    </row>
    <row r="18" spans="1:60" x14ac:dyDescent="0.35">
      <c r="A18" t="s">
        <v>17</v>
      </c>
      <c r="B18" s="5">
        <f>IF('Data Sheet'!B30&gt;0, 'Data Sheet'!B31/'Data Sheet'!B30, 0)</f>
        <v>0</v>
      </c>
      <c r="C18" s="5">
        <f>IF('Data Sheet'!C30&gt;0, 'Data Sheet'!C31/'Data Sheet'!C30, 0)</f>
        <v>0</v>
      </c>
      <c r="D18" s="5">
        <f>IF('Data Sheet'!D30&gt;0, 'Data Sheet'!D31/'Data Sheet'!D30, 0)</f>
        <v>0</v>
      </c>
      <c r="E18" s="5">
        <f>IF('Data Sheet'!E30&gt;0, 'Data Sheet'!E31/'Data Sheet'!E30, 0)</f>
        <v>0</v>
      </c>
      <c r="F18" s="5">
        <f>IF('Data Sheet'!F30&gt;0, 'Data Sheet'!F31/'Data Sheet'!F30, 0)</f>
        <v>0</v>
      </c>
      <c r="G18" s="5">
        <f>IF('Data Sheet'!G30&gt;0, 'Data Sheet'!G31/'Data Sheet'!G30, 0)</f>
        <v>0</v>
      </c>
      <c r="H18" s="5">
        <f>IF('Data Sheet'!H30&gt;0, 'Data Sheet'!H31/'Data Sheet'!H30, 0)</f>
        <v>0</v>
      </c>
      <c r="I18" s="5">
        <f>IF('Data Sheet'!I30&gt;0, 'Data Sheet'!I31/'Data Sheet'!I30, 0)</f>
        <v>0</v>
      </c>
      <c r="J18" s="5">
        <f>IF('Data Sheet'!J30&gt;0, 'Data Sheet'!J31/'Data Sheet'!J30, 0)</f>
        <v>0</v>
      </c>
      <c r="K18" s="5">
        <f>IF('Data Sheet'!K30&gt;0, 'Data Sheet'!K31/'Data Sheet'!K30, 0)</f>
        <v>0</v>
      </c>
    </row>
    <row r="19" spans="1:60" x14ac:dyDescent="0.35">
      <c r="A19" t="s">
        <v>18</v>
      </c>
      <c r="B19" s="5">
        <f t="shared" ref="B19:L19" si="4">IF(B6&gt;0,B6/B4,0)</f>
        <v>0</v>
      </c>
      <c r="C19" s="5">
        <f t="shared" ref="C19:K19" si="5">IF(C6&gt;0,C6/C4,0)</f>
        <v>0</v>
      </c>
      <c r="D19" s="5">
        <f t="shared" si="5"/>
        <v>0</v>
      </c>
      <c r="E19" s="5">
        <f t="shared" si="5"/>
        <v>0</v>
      </c>
      <c r="F19" s="5">
        <f t="shared" si="5"/>
        <v>0</v>
      </c>
      <c r="G19" s="5">
        <f t="shared" si="5"/>
        <v>0.83461954180240516</v>
      </c>
      <c r="H19" s="5">
        <f t="shared" si="5"/>
        <v>0.82490252638919703</v>
      </c>
      <c r="I19" s="5">
        <f t="shared" si="5"/>
        <v>0.83439394060068339</v>
      </c>
      <c r="J19" s="5">
        <f t="shared" si="5"/>
        <v>0.87326104186562115</v>
      </c>
      <c r="K19" s="5">
        <f t="shared" si="5"/>
        <v>0.9053064664560061</v>
      </c>
      <c r="L19" s="5">
        <f t="shared" si="4"/>
        <v>0.89806752604411444</v>
      </c>
    </row>
    <row r="20" spans="1:60" x14ac:dyDescent="0.35">
      <c r="A20" s="37" t="s">
        <v>127</v>
      </c>
      <c r="B20" s="5"/>
      <c r="C20" s="5"/>
      <c r="D20" s="5"/>
      <c r="E20" s="5"/>
      <c r="F20" s="5"/>
      <c r="G20" s="5"/>
      <c r="H20" s="5"/>
      <c r="I20" s="5"/>
      <c r="J20" s="5"/>
      <c r="K20" s="5"/>
      <c r="L20" s="5"/>
      <c r="M20" s="37"/>
      <c r="N20" s="37"/>
    </row>
    <row r="21" spans="1:60" x14ac:dyDescent="0.35">
      <c r="B21" s="5"/>
      <c r="C21" s="5"/>
      <c r="D21" s="5"/>
      <c r="E21" s="5"/>
      <c r="F21" s="5"/>
      <c r="G21" s="5"/>
      <c r="H21" s="5"/>
      <c r="I21" s="5"/>
      <c r="J21" s="5"/>
      <c r="K21" s="5"/>
      <c r="L21" s="5"/>
    </row>
    <row r="22" spans="1:60" s="2" customFormat="1" x14ac:dyDescent="0.35">
      <c r="A22" s="11"/>
      <c r="B22" s="12"/>
      <c r="C22" s="12"/>
      <c r="D22" s="12"/>
      <c r="E22" s="12"/>
      <c r="F22" s="12"/>
      <c r="G22" s="12" t="s">
        <v>19</v>
      </c>
      <c r="H22" s="12" t="s">
        <v>65</v>
      </c>
      <c r="I22" s="12" t="s">
        <v>66</v>
      </c>
      <c r="J22" s="12" t="s">
        <v>67</v>
      </c>
      <c r="K22" s="12" t="s">
        <v>68</v>
      </c>
      <c r="L22" s="13" t="s">
        <v>69</v>
      </c>
      <c r="M22" s="13" t="s">
        <v>20</v>
      </c>
      <c r="N22" s="13" t="s">
        <v>21</v>
      </c>
    </row>
    <row r="23" spans="1:60" s="2" customFormat="1" x14ac:dyDescent="0.35">
      <c r="A23"/>
      <c r="B23"/>
      <c r="C23"/>
      <c r="D23"/>
      <c r="E23"/>
      <c r="F23"/>
      <c r="G23" t="s">
        <v>22</v>
      </c>
      <c r="H23" s="5" t="str">
        <f>IF(B4=0,"",POWER($K4/B4,1/9)-1)</f>
        <v/>
      </c>
      <c r="I23" s="5" t="str">
        <f>IF(D4=0,"",POWER($K4/D4,1/7)-1)</f>
        <v/>
      </c>
      <c r="J23" s="5" t="str">
        <f>IF(F4=0,"",POWER($K4/F4,1/5)-1)</f>
        <v/>
      </c>
      <c r="K23" s="5">
        <f>IF(H4=0,"",POWER($K4/H4, 1/3)-1)</f>
        <v>0.34157365575617926</v>
      </c>
      <c r="L23" s="5">
        <f>IF(ISERROR(MAX(IF(J4=0,"",(K4-J4)/J4),IF(K4=0,"",(L4-K4)/K4))),"",MAX(IF(J4=0,"",(K4-J4)/J4),IF(K4=0,"",(L4-K4)/K4)))</f>
        <v>0.34461953423018071</v>
      </c>
      <c r="M23" s="16">
        <f>MAX(K23:L23)</f>
        <v>0.34461953423018071</v>
      </c>
      <c r="N23" s="16">
        <f>MIN(H23:L23)</f>
        <v>0.34157365575617926</v>
      </c>
    </row>
    <row r="24" spans="1:60" x14ac:dyDescent="0.35">
      <c r="G24" t="s">
        <v>18</v>
      </c>
      <c r="H24" s="5">
        <f>IF(SUM(B4:$K$4)=0,"",SUMPRODUCT(B19:$K$19,B4:$K$4)/SUM(B4:$K$4))</f>
        <v>0.86638552598122431</v>
      </c>
      <c r="I24" s="5">
        <f>IF(SUM(E4:$K$4)=0,"",SUMPRODUCT(E19:$K$19,E4:$K$4)/SUM(E4:$K$4))</f>
        <v>0.86638552598122431</v>
      </c>
      <c r="J24" s="5">
        <f>IF(SUM(G4:$K$4)=0,"",SUMPRODUCT(G19:$K$19,G4:$K$4)/SUM(G4:$K$4))</f>
        <v>0.86638552598122431</v>
      </c>
      <c r="K24" s="5">
        <f>IF(SUM(I4:$K$4)=0, "", SUMPRODUCT(I19:$K$19,I4:$K$4)/SUM(I4:$K$4))</f>
        <v>0.8789914980600092</v>
      </c>
      <c r="L24" s="5">
        <f>L19</f>
        <v>0.89806752604411444</v>
      </c>
      <c r="M24" s="16">
        <f>MAX(K24:L24)</f>
        <v>0.89806752604411444</v>
      </c>
      <c r="N24" s="16">
        <f>MIN(H24:L24)</f>
        <v>0.86638552598122431</v>
      </c>
    </row>
    <row r="25" spans="1:60" x14ac:dyDescent="0.35">
      <c r="G25" t="s">
        <v>23</v>
      </c>
      <c r="H25" s="6" t="str">
        <f>IF(ISERROR(AVERAGEIF(B14:$L14,"&gt;0")),"",AVERAGEIF(B14:$L14,"&gt;0"))</f>
        <v/>
      </c>
      <c r="I25" s="6" t="str">
        <f>IF(ISERROR(AVERAGEIF(E14:$L14,"&gt;0")),"",AVERAGEIF(E14:$L14,"&gt;0"))</f>
        <v/>
      </c>
      <c r="J25" s="6" t="str">
        <f>IF(ISERROR(AVERAGEIF(G14:$L14,"&gt;0")),"",AVERAGEIF(G14:$L14,"&gt;0"))</f>
        <v/>
      </c>
      <c r="K25" s="6" t="str">
        <f>IF(ISERROR(AVERAGEIF(I14:$L14,"&gt;0")),"",AVERAGEIF(I14:$L14,"&gt;0"))</f>
        <v/>
      </c>
      <c r="L25" s="6" t="e">
        <f>L14</f>
        <v>#DIV/0!</v>
      </c>
      <c r="M25" s="1" t="e">
        <f>MAX(K25:L25)</f>
        <v>#DIV/0!</v>
      </c>
      <c r="N25" s="1" t="e">
        <f>MIN(H25:L25)</f>
        <v>#DIV/0!</v>
      </c>
    </row>
    <row r="30" spans="1:60" x14ac:dyDescent="0.35">
      <c r="G30">
        <v>2020</v>
      </c>
      <c r="H30">
        <f>G30+1</f>
        <v>2021</v>
      </c>
      <c r="I30">
        <f t="shared" ref="I30:BH30" si="6">H30+1</f>
        <v>2022</v>
      </c>
      <c r="J30">
        <f t="shared" si="6"/>
        <v>2023</v>
      </c>
      <c r="K30">
        <f t="shared" si="6"/>
        <v>2024</v>
      </c>
      <c r="L30">
        <f t="shared" si="6"/>
        <v>2025</v>
      </c>
      <c r="M30">
        <f t="shared" si="6"/>
        <v>2026</v>
      </c>
      <c r="N30">
        <f t="shared" si="6"/>
        <v>2027</v>
      </c>
      <c r="O30">
        <f t="shared" si="6"/>
        <v>2028</v>
      </c>
      <c r="P30">
        <f t="shared" si="6"/>
        <v>2029</v>
      </c>
      <c r="Q30">
        <f t="shared" si="6"/>
        <v>2030</v>
      </c>
      <c r="R30">
        <f t="shared" si="6"/>
        <v>2031</v>
      </c>
      <c r="S30">
        <f t="shared" si="6"/>
        <v>2032</v>
      </c>
      <c r="T30">
        <f t="shared" si="6"/>
        <v>2033</v>
      </c>
      <c r="U30">
        <f t="shared" si="6"/>
        <v>2034</v>
      </c>
      <c r="V30">
        <f t="shared" si="6"/>
        <v>2035</v>
      </c>
      <c r="W30">
        <f t="shared" si="6"/>
        <v>2036</v>
      </c>
      <c r="X30">
        <f t="shared" si="6"/>
        <v>2037</v>
      </c>
      <c r="Y30">
        <f t="shared" si="6"/>
        <v>2038</v>
      </c>
      <c r="Z30">
        <f t="shared" si="6"/>
        <v>2039</v>
      </c>
      <c r="AA30">
        <f t="shared" si="6"/>
        <v>2040</v>
      </c>
      <c r="AB30">
        <f t="shared" si="6"/>
        <v>2041</v>
      </c>
      <c r="AC30">
        <f t="shared" si="6"/>
        <v>2042</v>
      </c>
      <c r="AD30">
        <f t="shared" si="6"/>
        <v>2043</v>
      </c>
      <c r="AE30">
        <f t="shared" si="6"/>
        <v>2044</v>
      </c>
      <c r="AF30">
        <f t="shared" si="6"/>
        <v>2045</v>
      </c>
      <c r="AG30">
        <f t="shared" si="6"/>
        <v>2046</v>
      </c>
      <c r="AH30">
        <f t="shared" si="6"/>
        <v>2047</v>
      </c>
      <c r="AI30">
        <f t="shared" si="6"/>
        <v>2048</v>
      </c>
      <c r="AJ30">
        <f t="shared" si="6"/>
        <v>2049</v>
      </c>
      <c r="AK30">
        <f t="shared" si="6"/>
        <v>2050</v>
      </c>
      <c r="AL30">
        <f t="shared" si="6"/>
        <v>2051</v>
      </c>
      <c r="AM30">
        <f t="shared" si="6"/>
        <v>2052</v>
      </c>
      <c r="AN30">
        <f t="shared" si="6"/>
        <v>2053</v>
      </c>
      <c r="AO30">
        <f t="shared" si="6"/>
        <v>2054</v>
      </c>
      <c r="AP30">
        <f t="shared" si="6"/>
        <v>2055</v>
      </c>
      <c r="AQ30">
        <f t="shared" si="6"/>
        <v>2056</v>
      </c>
      <c r="AR30">
        <f t="shared" si="6"/>
        <v>2057</v>
      </c>
      <c r="AS30">
        <f t="shared" si="6"/>
        <v>2058</v>
      </c>
      <c r="AT30">
        <f t="shared" si="6"/>
        <v>2059</v>
      </c>
      <c r="AU30">
        <f t="shared" si="6"/>
        <v>2060</v>
      </c>
      <c r="AV30">
        <f t="shared" si="6"/>
        <v>2061</v>
      </c>
      <c r="AW30">
        <f t="shared" si="6"/>
        <v>2062</v>
      </c>
      <c r="AX30">
        <f t="shared" si="6"/>
        <v>2063</v>
      </c>
      <c r="AY30">
        <f t="shared" si="6"/>
        <v>2064</v>
      </c>
      <c r="AZ30">
        <f t="shared" si="6"/>
        <v>2065</v>
      </c>
      <c r="BA30">
        <f t="shared" si="6"/>
        <v>2066</v>
      </c>
      <c r="BB30">
        <f t="shared" si="6"/>
        <v>2067</v>
      </c>
      <c r="BC30">
        <f t="shared" si="6"/>
        <v>2068</v>
      </c>
      <c r="BD30">
        <f t="shared" si="6"/>
        <v>2069</v>
      </c>
      <c r="BE30">
        <f t="shared" si="6"/>
        <v>2070</v>
      </c>
      <c r="BF30">
        <f t="shared" si="6"/>
        <v>2071</v>
      </c>
      <c r="BG30">
        <f t="shared" si="6"/>
        <v>2072</v>
      </c>
      <c r="BH30">
        <f t="shared" si="6"/>
        <v>2073</v>
      </c>
    </row>
    <row r="32" spans="1:60" x14ac:dyDescent="0.35">
      <c r="G32" s="1">
        <v>421.33</v>
      </c>
      <c r="H32" s="1">
        <f>'Data Sheet'!H50</f>
        <v>1369.54</v>
      </c>
      <c r="I32" s="1">
        <f>'Data Sheet'!I50</f>
        <v>1597.95</v>
      </c>
      <c r="J32" s="1">
        <f>'Data Sheet'!J50</f>
        <v>1777.62</v>
      </c>
      <c r="K32" s="1">
        <f>'Data Sheet'!K50</f>
        <v>2038.47</v>
      </c>
      <c r="L32" s="39">
        <f>K32+K32*L33</f>
        <v>2344.2404999999999</v>
      </c>
      <c r="M32" s="39">
        <f t="shared" ref="M32:P32" si="7">L32+L32*M33</f>
        <v>2695.8765749999998</v>
      </c>
      <c r="N32" s="39">
        <f t="shared" si="7"/>
        <v>3100.2580612499996</v>
      </c>
      <c r="O32" s="39">
        <f t="shared" si="7"/>
        <v>3565.2967704374996</v>
      </c>
      <c r="P32" s="39">
        <f t="shared" si="7"/>
        <v>3921.8264474812495</v>
      </c>
      <c r="Q32" s="39">
        <f t="shared" ref="Q32" si="8">P32+P32*Q33</f>
        <v>4314.0090922293748</v>
      </c>
      <c r="R32" s="39">
        <f t="shared" ref="R32" si="9">Q32+Q32*R33</f>
        <v>4745.4100014523119</v>
      </c>
      <c r="S32" s="39">
        <f t="shared" ref="S32" si="10">R32+R32*S33</f>
        <v>5219.9510015975429</v>
      </c>
      <c r="T32" s="39">
        <f t="shared" ref="T32" si="11">S32+S32*T33</f>
        <v>5741.9461017572976</v>
      </c>
      <c r="U32" s="39">
        <f t="shared" ref="U32" si="12">T32+T32*U33</f>
        <v>6316.140711933027</v>
      </c>
      <c r="V32" s="39">
        <f t="shared" ref="V32" si="13">U32+U32*V33</f>
        <v>6947.75478312633</v>
      </c>
      <c r="W32" s="39">
        <f t="shared" ref="W32" si="14">V32+V32*W33</f>
        <v>7642.530261438963</v>
      </c>
      <c r="X32" s="39">
        <f t="shared" ref="X32" si="15">W32+W32*X33</f>
        <v>8406.783287582859</v>
      </c>
      <c r="Y32" s="39">
        <f>X32+X32*Y33</f>
        <v>8574.9189533345161</v>
      </c>
      <c r="Z32" s="39">
        <f t="shared" ref="Z32:AJ32" si="16">Y32+Y32*Z33</f>
        <v>8746.4173324012063</v>
      </c>
      <c r="AA32" s="39">
        <f t="shared" si="16"/>
        <v>8921.345679049231</v>
      </c>
      <c r="AB32" s="39">
        <f t="shared" si="16"/>
        <v>9099.7725926302155</v>
      </c>
      <c r="AC32" s="39">
        <f t="shared" si="16"/>
        <v>9281.7680444828202</v>
      </c>
      <c r="AD32" s="39">
        <f t="shared" si="16"/>
        <v>9467.4034053724772</v>
      </c>
      <c r="AE32" s="39">
        <f t="shared" si="16"/>
        <v>9656.7514734799261</v>
      </c>
      <c r="AF32" s="39">
        <f t="shared" si="16"/>
        <v>9849.8865029495246</v>
      </c>
      <c r="AG32" s="39">
        <f t="shared" si="16"/>
        <v>10046.884233008515</v>
      </c>
      <c r="AH32" s="39">
        <f t="shared" si="16"/>
        <v>10247.821917668685</v>
      </c>
      <c r="AI32" s="39">
        <f t="shared" si="16"/>
        <v>10452.77835602206</v>
      </c>
      <c r="AJ32" s="39">
        <f t="shared" si="16"/>
        <v>10661.833923142502</v>
      </c>
      <c r="AK32" s="39">
        <f>AJ32+AJ32*AK33</f>
        <v>10661.833923142502</v>
      </c>
      <c r="AL32" s="39">
        <f t="shared" ref="AL32" si="17">AK32+AK32*AL33</f>
        <v>10661.833923142502</v>
      </c>
    </row>
    <row r="33" spans="6:36" x14ac:dyDescent="0.35">
      <c r="F33" t="s">
        <v>128</v>
      </c>
      <c r="H33" s="38">
        <f>(H32-G32)/G32</f>
        <v>2.2505162224384687</v>
      </c>
      <c r="I33" s="38">
        <f t="shared" ref="I33:K33" si="18">(I32-H32)/H32</f>
        <v>0.16677862640010521</v>
      </c>
      <c r="J33" s="38">
        <f t="shared" si="18"/>
        <v>0.11243781094527353</v>
      </c>
      <c r="K33" s="38">
        <f t="shared" si="18"/>
        <v>0.14674114827690965</v>
      </c>
      <c r="L33" s="34">
        <v>0.15</v>
      </c>
      <c r="M33" s="34">
        <v>0.15</v>
      </c>
      <c r="N33" s="34">
        <v>0.15</v>
      </c>
      <c r="O33" s="34">
        <v>0.15</v>
      </c>
      <c r="P33" s="34">
        <v>0.1</v>
      </c>
      <c r="Q33" s="34">
        <v>0.1</v>
      </c>
      <c r="R33" s="34">
        <v>0.1</v>
      </c>
      <c r="S33" s="34">
        <v>0.1</v>
      </c>
      <c r="T33" s="34">
        <v>0.1</v>
      </c>
      <c r="U33" s="34">
        <v>0.1</v>
      </c>
      <c r="V33" s="34">
        <v>0.1</v>
      </c>
      <c r="W33" s="34">
        <v>0.1</v>
      </c>
      <c r="X33" s="34">
        <v>0.1</v>
      </c>
      <c r="Y33" s="34">
        <v>0.02</v>
      </c>
      <c r="Z33" s="34">
        <v>0.02</v>
      </c>
      <c r="AA33" s="34">
        <v>0.02</v>
      </c>
      <c r="AB33" s="34">
        <v>0.02</v>
      </c>
      <c r="AC33" s="34">
        <v>0.02</v>
      </c>
      <c r="AD33" s="34">
        <v>0.02</v>
      </c>
      <c r="AE33" s="34">
        <v>0.02</v>
      </c>
      <c r="AF33" s="34">
        <v>0.02</v>
      </c>
      <c r="AG33" s="34">
        <v>0.02</v>
      </c>
      <c r="AH33" s="34">
        <v>0.02</v>
      </c>
      <c r="AI33" s="34">
        <v>0.02</v>
      </c>
      <c r="AJ33" s="34">
        <v>0.02</v>
      </c>
    </row>
    <row r="38" spans="6:36" x14ac:dyDescent="0.35">
      <c r="W38" t="s">
        <v>129</v>
      </c>
      <c r="X38" s="34">
        <v>0.02</v>
      </c>
    </row>
    <row r="39" spans="6:36" x14ac:dyDescent="0.35">
      <c r="W39" t="s">
        <v>130</v>
      </c>
    </row>
    <row r="40" spans="6:36" x14ac:dyDescent="0.35">
      <c r="W40" t="s">
        <v>131</v>
      </c>
      <c r="X40" s="34">
        <v>0.09</v>
      </c>
    </row>
    <row r="41" spans="6:36" x14ac:dyDescent="0.35">
      <c r="W41" t="s">
        <v>132</v>
      </c>
      <c r="X41" s="40">
        <f>NPV(X40,L32:AL32)</f>
        <v>57254.813270749422</v>
      </c>
    </row>
    <row r="42" spans="6:36" x14ac:dyDescent="0.35">
      <c r="W42" t="s">
        <v>133</v>
      </c>
      <c r="X42" s="40">
        <f>X41/Main!P6</f>
        <v>85.29962347777095</v>
      </c>
    </row>
    <row r="43" spans="6:36" x14ac:dyDescent="0.35">
      <c r="W43" t="s">
        <v>58</v>
      </c>
      <c r="X43">
        <v>68</v>
      </c>
    </row>
    <row r="44" spans="6:36" x14ac:dyDescent="0.35">
      <c r="W44" t="s">
        <v>134</v>
      </c>
    </row>
  </sheetData>
  <hyperlinks>
    <hyperlink ref="M1" r:id="rId1" xr:uid="{00000000-0004-0000-0000-000000000000}"/>
  </hyperlinks>
  <printOptions gridLines="1"/>
  <pageMargins left="0.7" right="0.7" top="0.75" bottom="0.75" header="0.3" footer="0.3"/>
  <pageSetup paperSize="9" orientation="landscape"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A008F-2545-4AB1-8D42-080E59FB39A7}">
  <dimension ref="A1:R25"/>
  <sheetViews>
    <sheetView zoomScale="96" workbookViewId="0">
      <selection activeCell="H20" sqref="H20"/>
    </sheetView>
  </sheetViews>
  <sheetFormatPr defaultRowHeight="14.5" x14ac:dyDescent="0.35"/>
  <cols>
    <col min="1" max="1" width="11.54296875" customWidth="1"/>
    <col min="2" max="2" width="11.36328125" customWidth="1"/>
    <col min="3" max="3" width="21.26953125" customWidth="1"/>
    <col min="4" max="4" width="21.453125" customWidth="1"/>
    <col min="5" max="5" width="18.1796875" customWidth="1"/>
    <col min="7" max="7" width="1" customWidth="1"/>
    <col min="8" max="8" width="19.453125" customWidth="1"/>
    <col min="9" max="9" width="7.453125" customWidth="1"/>
    <col min="10" max="13" width="8.7265625" hidden="1" customWidth="1"/>
    <col min="14" max="14" width="5.54296875" customWidth="1"/>
    <col min="16" max="16" width="16.54296875" customWidth="1"/>
  </cols>
  <sheetData>
    <row r="1" spans="2:18" ht="25.5" x14ac:dyDescent="0.55000000000000004">
      <c r="B1" s="25" t="s">
        <v>93</v>
      </c>
      <c r="H1" t="s">
        <v>104</v>
      </c>
      <c r="I1" t="s">
        <v>103</v>
      </c>
    </row>
    <row r="3" spans="2:18" x14ac:dyDescent="0.35">
      <c r="B3" t="s">
        <v>107</v>
      </c>
      <c r="H3" t="s">
        <v>108</v>
      </c>
    </row>
    <row r="4" spans="2:18" x14ac:dyDescent="0.35">
      <c r="B4" t="s">
        <v>110</v>
      </c>
    </row>
    <row r="5" spans="2:18" x14ac:dyDescent="0.35">
      <c r="B5" t="s">
        <v>115</v>
      </c>
      <c r="O5" s="28" t="s">
        <v>58</v>
      </c>
      <c r="P5" s="29">
        <v>70</v>
      </c>
      <c r="Q5" t="s">
        <v>126</v>
      </c>
    </row>
    <row r="6" spans="2:18" x14ac:dyDescent="0.35">
      <c r="O6" s="30" t="s">
        <v>95</v>
      </c>
      <c r="P6" s="36">
        <v>671.22</v>
      </c>
      <c r="Q6" t="s">
        <v>124</v>
      </c>
    </row>
    <row r="7" spans="2:18" x14ac:dyDescent="0.35">
      <c r="O7" s="30" t="s">
        <v>96</v>
      </c>
      <c r="P7" s="31">
        <f>P5*P6</f>
        <v>46985.4</v>
      </c>
      <c r="Q7" t="s">
        <v>135</v>
      </c>
      <c r="R7">
        <v>56000</v>
      </c>
    </row>
    <row r="8" spans="2:18" x14ac:dyDescent="0.35">
      <c r="O8" s="30" t="s">
        <v>125</v>
      </c>
      <c r="P8" s="31"/>
    </row>
    <row r="9" spans="2:18" x14ac:dyDescent="0.35">
      <c r="O9" s="30" t="s">
        <v>94</v>
      </c>
      <c r="P9" s="31">
        <v>64</v>
      </c>
    </row>
    <row r="10" spans="2:18" x14ac:dyDescent="0.35">
      <c r="O10" s="30" t="s">
        <v>97</v>
      </c>
      <c r="P10" s="31"/>
    </row>
    <row r="11" spans="2:18" x14ac:dyDescent="0.35">
      <c r="O11" s="32" t="s">
        <v>98</v>
      </c>
      <c r="P11" s="33"/>
    </row>
    <row r="13" spans="2:18" x14ac:dyDescent="0.35">
      <c r="O13" s="26" t="s">
        <v>99</v>
      </c>
    </row>
    <row r="14" spans="2:18" x14ac:dyDescent="0.35">
      <c r="O14" s="26" t="s">
        <v>100</v>
      </c>
    </row>
    <row r="15" spans="2:18" x14ac:dyDescent="0.35">
      <c r="O15" s="26" t="s">
        <v>101</v>
      </c>
    </row>
    <row r="16" spans="2:18" x14ac:dyDescent="0.35">
      <c r="O16" s="26" t="s">
        <v>105</v>
      </c>
    </row>
    <row r="17" spans="1:15" x14ac:dyDescent="0.35">
      <c r="O17" s="26" t="s">
        <v>106</v>
      </c>
    </row>
    <row r="18" spans="1:15" x14ac:dyDescent="0.35">
      <c r="N18" t="s">
        <v>109</v>
      </c>
      <c r="O18" t="s">
        <v>102</v>
      </c>
    </row>
    <row r="21" spans="1:15" x14ac:dyDescent="0.35">
      <c r="A21" s="35">
        <v>45352</v>
      </c>
      <c r="B21" t="s">
        <v>111</v>
      </c>
    </row>
    <row r="22" spans="1:15" s="2" customFormat="1" x14ac:dyDescent="0.35">
      <c r="B22" s="2" t="s">
        <v>112</v>
      </c>
      <c r="C22" s="2" t="s">
        <v>113</v>
      </c>
      <c r="D22" s="2" t="s">
        <v>118</v>
      </c>
      <c r="E22" s="2" t="s">
        <v>114</v>
      </c>
    </row>
    <row r="23" spans="1:15" x14ac:dyDescent="0.35">
      <c r="A23" t="s">
        <v>116</v>
      </c>
      <c r="B23" s="34">
        <v>0.24</v>
      </c>
      <c r="C23" s="34">
        <v>0.22</v>
      </c>
      <c r="D23" s="34">
        <v>0.56999999999999995</v>
      </c>
      <c r="E23" s="34">
        <v>0.69</v>
      </c>
    </row>
    <row r="24" spans="1:15" x14ac:dyDescent="0.35">
      <c r="A24" t="s">
        <v>117</v>
      </c>
      <c r="B24" s="27">
        <v>52819</v>
      </c>
      <c r="C24">
        <v>9568</v>
      </c>
      <c r="D24">
        <v>17637</v>
      </c>
      <c r="E24">
        <v>9599</v>
      </c>
    </row>
    <row r="25" spans="1:15" x14ac:dyDescent="0.35">
      <c r="A25" t="s">
        <v>119</v>
      </c>
      <c r="B25" t="s">
        <v>120</v>
      </c>
      <c r="C25" t="s">
        <v>121</v>
      </c>
      <c r="D25" t="s">
        <v>122</v>
      </c>
      <c r="E25" t="s">
        <v>123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K22"/>
  <sheetViews>
    <sheetView zoomScale="68" workbookViewId="0">
      <pane xSplit="1" ySplit="3" topLeftCell="C4" activePane="bottomRight" state="frozen"/>
      <selection pane="topRight" activeCell="B1" sqref="B1"/>
      <selection pane="bottomLeft" activeCell="A4" sqref="A4"/>
      <selection pane="bottomRight" activeCell="K5" sqref="K5"/>
    </sheetView>
  </sheetViews>
  <sheetFormatPr defaultColWidth="8.81640625" defaultRowHeight="14.5" x14ac:dyDescent="0.35"/>
  <cols>
    <col min="1" max="1" width="20.6328125" customWidth="1"/>
    <col min="2" max="11" width="13.453125" bestFit="1" customWidth="1"/>
  </cols>
  <sheetData>
    <row r="1" spans="1:11" s="2" customFormat="1" x14ac:dyDescent="0.35">
      <c r="A1" s="2" t="str">
        <f>'Profit &amp; Loss'!A1</f>
        <v>BAJAJ HOUSING FINANCE LTD</v>
      </c>
      <c r="E1" t="str">
        <f>UPDATE</f>
        <v/>
      </c>
      <c r="J1" s="2" t="s">
        <v>1</v>
      </c>
    </row>
    <row r="3" spans="1:11" s="2" customFormat="1" x14ac:dyDescent="0.35">
      <c r="A3" s="11" t="s">
        <v>2</v>
      </c>
      <c r="B3" s="12">
        <f>'Data Sheet'!B41</f>
        <v>0</v>
      </c>
      <c r="C3" s="12">
        <f>'Data Sheet'!C41</f>
        <v>0</v>
      </c>
      <c r="D3" s="12">
        <f>'Data Sheet'!D41</f>
        <v>0</v>
      </c>
      <c r="E3" s="12">
        <f>'Data Sheet'!E41</f>
        <v>0</v>
      </c>
      <c r="F3" s="12">
        <f>'Data Sheet'!F41</f>
        <v>0</v>
      </c>
      <c r="G3" s="12">
        <f>'Data Sheet'!G41</f>
        <v>0</v>
      </c>
      <c r="H3" s="12">
        <f>'Data Sheet'!H41</f>
        <v>45016</v>
      </c>
      <c r="I3" s="12">
        <f>'Data Sheet'!I41</f>
        <v>45107</v>
      </c>
      <c r="J3" s="12">
        <f>'Data Sheet'!J41</f>
        <v>45382</v>
      </c>
      <c r="K3" s="12">
        <f>'Data Sheet'!K41</f>
        <v>45473</v>
      </c>
    </row>
    <row r="4" spans="1:11" s="2" customFormat="1" x14ac:dyDescent="0.35">
      <c r="A4" s="2" t="s">
        <v>6</v>
      </c>
      <c r="B4" s="1">
        <f>'Data Sheet'!B42</f>
        <v>0</v>
      </c>
      <c r="C4" s="1">
        <f>'Data Sheet'!C42</f>
        <v>0</v>
      </c>
      <c r="D4" s="1">
        <f>'Data Sheet'!D42</f>
        <v>0</v>
      </c>
      <c r="E4" s="1">
        <f>'Data Sheet'!E42</f>
        <v>0</v>
      </c>
      <c r="F4" s="1">
        <f>'Data Sheet'!F42</f>
        <v>0</v>
      </c>
      <c r="G4" s="1">
        <f>'Data Sheet'!G42</f>
        <v>0</v>
      </c>
      <c r="H4" s="1">
        <f>'Data Sheet'!H42</f>
        <v>1585.23</v>
      </c>
      <c r="I4" s="1">
        <f>'Data Sheet'!I42</f>
        <v>1763.25</v>
      </c>
      <c r="J4" s="1">
        <f>'Data Sheet'!J42</f>
        <v>1996.4</v>
      </c>
      <c r="K4" s="1">
        <f>'Data Sheet'!K42</f>
        <v>2208.65</v>
      </c>
    </row>
    <row r="5" spans="1:11" x14ac:dyDescent="0.35">
      <c r="A5" t="s">
        <v>7</v>
      </c>
      <c r="B5" s="6">
        <f>'Data Sheet'!B43</f>
        <v>0</v>
      </c>
      <c r="C5" s="6">
        <f>'Data Sheet'!C43</f>
        <v>0</v>
      </c>
      <c r="D5" s="6">
        <f>'Data Sheet'!D43</f>
        <v>0</v>
      </c>
      <c r="E5" s="6">
        <f>'Data Sheet'!E43</f>
        <v>0</v>
      </c>
      <c r="F5" s="6">
        <f>'Data Sheet'!F43</f>
        <v>0</v>
      </c>
      <c r="G5" s="6">
        <f>'Data Sheet'!G43</f>
        <v>0</v>
      </c>
      <c r="H5" s="6">
        <f>'Data Sheet'!H43</f>
        <v>215.69</v>
      </c>
      <c r="I5" s="6">
        <f>'Data Sheet'!I43</f>
        <v>165.3</v>
      </c>
      <c r="J5" s="6">
        <f>'Data Sheet'!J43</f>
        <v>218.78</v>
      </c>
      <c r="K5" s="6">
        <f>'Data Sheet'!K43</f>
        <v>170.18</v>
      </c>
    </row>
    <row r="6" spans="1:11" s="2" customFormat="1" x14ac:dyDescent="0.35">
      <c r="A6" s="2" t="s">
        <v>8</v>
      </c>
      <c r="B6" s="1">
        <f>'Data Sheet'!B50</f>
        <v>0</v>
      </c>
      <c r="C6" s="1">
        <f>'Data Sheet'!C50</f>
        <v>0</v>
      </c>
      <c r="D6" s="1">
        <f>'Data Sheet'!D50</f>
        <v>0</v>
      </c>
      <c r="E6" s="1">
        <f>'Data Sheet'!E50</f>
        <v>0</v>
      </c>
      <c r="F6" s="1">
        <f>'Data Sheet'!F50</f>
        <v>0</v>
      </c>
      <c r="G6" s="1">
        <f>'Data Sheet'!G50</f>
        <v>0</v>
      </c>
      <c r="H6" s="1">
        <f>'Data Sheet'!H50</f>
        <v>1369.54</v>
      </c>
      <c r="I6" s="1">
        <f>'Data Sheet'!I50</f>
        <v>1597.95</v>
      </c>
      <c r="J6" s="1">
        <f>'Data Sheet'!J50</f>
        <v>1777.62</v>
      </c>
      <c r="K6" s="1">
        <f>'Data Sheet'!K50</f>
        <v>2038.47</v>
      </c>
    </row>
    <row r="7" spans="1:11" x14ac:dyDescent="0.35">
      <c r="A7" t="s">
        <v>9</v>
      </c>
      <c r="B7" s="6">
        <f>'Data Sheet'!B44</f>
        <v>0</v>
      </c>
      <c r="C7" s="6">
        <f>'Data Sheet'!C44</f>
        <v>0</v>
      </c>
      <c r="D7" s="6">
        <f>'Data Sheet'!D44</f>
        <v>0</v>
      </c>
      <c r="E7" s="6">
        <f>'Data Sheet'!E44</f>
        <v>0</v>
      </c>
      <c r="F7" s="6">
        <f>'Data Sheet'!F44</f>
        <v>0</v>
      </c>
      <c r="G7" s="6">
        <f>'Data Sheet'!G44</f>
        <v>0</v>
      </c>
      <c r="H7" s="6">
        <f>'Data Sheet'!H44</f>
        <v>0.35</v>
      </c>
      <c r="I7" s="6">
        <f>'Data Sheet'!I44</f>
        <v>0.13</v>
      </c>
      <c r="J7" s="6">
        <f>'Data Sheet'!J44</f>
        <v>0.1</v>
      </c>
      <c r="K7" s="6">
        <f>'Data Sheet'!K44</f>
        <v>0.08</v>
      </c>
    </row>
    <row r="8" spans="1:11" x14ac:dyDescent="0.35">
      <c r="A8" t="s">
        <v>10</v>
      </c>
      <c r="B8" s="6">
        <f>'Data Sheet'!B45</f>
        <v>0</v>
      </c>
      <c r="C8" s="6">
        <f>'Data Sheet'!C45</f>
        <v>0</v>
      </c>
      <c r="D8" s="6">
        <f>'Data Sheet'!D45</f>
        <v>0</v>
      </c>
      <c r="E8" s="6">
        <f>'Data Sheet'!E45</f>
        <v>0</v>
      </c>
      <c r="F8" s="6">
        <f>'Data Sheet'!F45</f>
        <v>0</v>
      </c>
      <c r="G8" s="6">
        <f>'Data Sheet'!G45</f>
        <v>0</v>
      </c>
      <c r="H8" s="6">
        <f>'Data Sheet'!H45</f>
        <v>9.06</v>
      </c>
      <c r="I8" s="6">
        <f>'Data Sheet'!I45</f>
        <v>9.69</v>
      </c>
      <c r="J8" s="6">
        <f>'Data Sheet'!J45</f>
        <v>10.199999999999999</v>
      </c>
      <c r="K8" s="6">
        <f>'Data Sheet'!K45</f>
        <v>9.91</v>
      </c>
    </row>
    <row r="9" spans="1:11" x14ac:dyDescent="0.35">
      <c r="A9" t="s">
        <v>11</v>
      </c>
      <c r="B9" s="6">
        <f>'Data Sheet'!B46</f>
        <v>0</v>
      </c>
      <c r="C9" s="6">
        <f>'Data Sheet'!C46</f>
        <v>0</v>
      </c>
      <c r="D9" s="6">
        <f>'Data Sheet'!D46</f>
        <v>0</v>
      </c>
      <c r="E9" s="6">
        <f>'Data Sheet'!E46</f>
        <v>0</v>
      </c>
      <c r="F9" s="6">
        <f>'Data Sheet'!F46</f>
        <v>0</v>
      </c>
      <c r="G9" s="6">
        <f>'Data Sheet'!G46</f>
        <v>0</v>
      </c>
      <c r="H9" s="6">
        <f>'Data Sheet'!H46</f>
        <v>954.03</v>
      </c>
      <c r="I9" s="6">
        <f>'Data Sheet'!I46</f>
        <v>1062.1500000000001</v>
      </c>
      <c r="J9" s="6">
        <f>'Data Sheet'!J46</f>
        <v>1279.3</v>
      </c>
      <c r="K9" s="6">
        <f>'Data Sheet'!K46</f>
        <v>1398.76</v>
      </c>
    </row>
    <row r="10" spans="1:11" x14ac:dyDescent="0.35">
      <c r="A10" t="s">
        <v>12</v>
      </c>
      <c r="B10" s="6">
        <f>'Data Sheet'!B47</f>
        <v>0</v>
      </c>
      <c r="C10" s="6">
        <f>'Data Sheet'!C47</f>
        <v>0</v>
      </c>
      <c r="D10" s="6">
        <f>'Data Sheet'!D47</f>
        <v>0</v>
      </c>
      <c r="E10" s="6">
        <f>'Data Sheet'!E47</f>
        <v>0</v>
      </c>
      <c r="F10" s="6">
        <f>'Data Sheet'!F47</f>
        <v>0</v>
      </c>
      <c r="G10" s="6">
        <f>'Data Sheet'!G47</f>
        <v>0</v>
      </c>
      <c r="H10" s="6">
        <f>'Data Sheet'!H47</f>
        <v>406.8</v>
      </c>
      <c r="I10" s="6">
        <f>'Data Sheet'!I47</f>
        <v>526.24</v>
      </c>
      <c r="J10" s="6">
        <f>'Data Sheet'!J47</f>
        <v>488.22</v>
      </c>
      <c r="K10" s="6">
        <f>'Data Sheet'!K47</f>
        <v>629.88</v>
      </c>
    </row>
    <row r="11" spans="1:11" x14ac:dyDescent="0.35">
      <c r="A11" t="s">
        <v>13</v>
      </c>
      <c r="B11" s="6">
        <f>'Data Sheet'!B48</f>
        <v>0</v>
      </c>
      <c r="C11" s="6">
        <f>'Data Sheet'!C48</f>
        <v>0</v>
      </c>
      <c r="D11" s="6">
        <f>'Data Sheet'!D48</f>
        <v>0</v>
      </c>
      <c r="E11" s="6">
        <f>'Data Sheet'!E48</f>
        <v>0</v>
      </c>
      <c r="F11" s="6">
        <f>'Data Sheet'!F48</f>
        <v>0</v>
      </c>
      <c r="G11" s="6">
        <f>'Data Sheet'!G48</f>
        <v>0</v>
      </c>
      <c r="H11" s="6">
        <f>'Data Sheet'!H48</f>
        <v>105.33</v>
      </c>
      <c r="I11" s="6">
        <f>'Data Sheet'!I48</f>
        <v>64.44</v>
      </c>
      <c r="J11" s="6">
        <f>'Data Sheet'!J48</f>
        <v>106.88</v>
      </c>
      <c r="K11" s="6">
        <f>'Data Sheet'!K48</f>
        <v>147.27000000000001</v>
      </c>
    </row>
    <row r="12" spans="1:11" s="2" customFormat="1" x14ac:dyDescent="0.35">
      <c r="A12" s="2" t="s">
        <v>14</v>
      </c>
      <c r="B12" s="1">
        <f>'Data Sheet'!B49</f>
        <v>0</v>
      </c>
      <c r="C12" s="1">
        <f>'Data Sheet'!C49</f>
        <v>0</v>
      </c>
      <c r="D12" s="1">
        <f>'Data Sheet'!D49</f>
        <v>0</v>
      </c>
      <c r="E12" s="1">
        <f>'Data Sheet'!E49</f>
        <v>0</v>
      </c>
      <c r="F12" s="1">
        <f>'Data Sheet'!F49</f>
        <v>0</v>
      </c>
      <c r="G12" s="1">
        <f>'Data Sheet'!G49</f>
        <v>0</v>
      </c>
      <c r="H12" s="1">
        <f>'Data Sheet'!H49</f>
        <v>301.47000000000003</v>
      </c>
      <c r="I12" s="1">
        <f>'Data Sheet'!I49</f>
        <v>461.8</v>
      </c>
      <c r="J12" s="1">
        <f>'Data Sheet'!J49</f>
        <v>381.34</v>
      </c>
      <c r="K12" s="1">
        <f>'Data Sheet'!K49</f>
        <v>482.61</v>
      </c>
    </row>
    <row r="14" spans="1:11" s="2" customFormat="1" x14ac:dyDescent="0.35">
      <c r="A14" s="2" t="s">
        <v>18</v>
      </c>
      <c r="B14" s="10" t="str">
        <f>IF(B4&gt;0,B6/B4,"")</f>
        <v/>
      </c>
      <c r="C14" s="10" t="str">
        <f t="shared" ref="C14:K14" si="0">IF(C4&gt;0,C6/C4,"")</f>
        <v/>
      </c>
      <c r="D14" s="10" t="str">
        <f t="shared" si="0"/>
        <v/>
      </c>
      <c r="E14" s="10" t="str">
        <f t="shared" si="0"/>
        <v/>
      </c>
      <c r="F14" s="10" t="str">
        <f t="shared" si="0"/>
        <v/>
      </c>
      <c r="G14" s="10" t="str">
        <f t="shared" si="0"/>
        <v/>
      </c>
      <c r="H14" s="10">
        <f t="shared" si="0"/>
        <v>0.86393772512506073</v>
      </c>
      <c r="I14" s="10">
        <f t="shared" si="0"/>
        <v>0.90625265844321568</v>
      </c>
      <c r="J14" s="10">
        <f t="shared" si="0"/>
        <v>0.89041274293728701</v>
      </c>
      <c r="K14" s="10">
        <f t="shared" si="0"/>
        <v>0.9229484073981844</v>
      </c>
    </row>
    <row r="22" s="23" customFormat="1" x14ac:dyDescent="0.35"/>
  </sheetData>
  <hyperlinks>
    <hyperlink ref="J1"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K24"/>
  <sheetViews>
    <sheetView zoomScale="84" workbookViewId="0">
      <pane xSplit="1" ySplit="3" topLeftCell="B4" activePane="bottomRight" state="frozen"/>
      <selection activeCell="C4" sqref="C4"/>
      <selection pane="topRight" activeCell="C4" sqref="C4"/>
      <selection pane="bottomLeft" activeCell="C4" sqref="C4"/>
      <selection pane="bottomRight" activeCell="C26" sqref="C26"/>
    </sheetView>
  </sheetViews>
  <sheetFormatPr defaultColWidth="8.81640625" defaultRowHeight="14.5" x14ac:dyDescent="0.35"/>
  <cols>
    <col min="1" max="1" width="22.81640625" bestFit="1" customWidth="1"/>
    <col min="2" max="2" width="13.453125" customWidth="1"/>
    <col min="3" max="11" width="15.453125" customWidth="1"/>
  </cols>
  <sheetData>
    <row r="1" spans="1:11" s="2" customFormat="1" x14ac:dyDescent="0.35">
      <c r="A1" s="2" t="str">
        <f>'Profit &amp; Loss'!A1</f>
        <v>BAJAJ HOUSING FINANCE LTD</v>
      </c>
      <c r="E1" t="str">
        <f>UPDATE</f>
        <v/>
      </c>
      <c r="G1"/>
      <c r="J1" s="2" t="s">
        <v>1</v>
      </c>
    </row>
    <row r="2" spans="1:11" x14ac:dyDescent="0.35">
      <c r="G2" s="2"/>
      <c r="H2" s="2"/>
    </row>
    <row r="3" spans="1:11" x14ac:dyDescent="0.35">
      <c r="A3" s="11" t="s">
        <v>2</v>
      </c>
      <c r="B3" s="12">
        <f>'Data Sheet'!B56</f>
        <v>0</v>
      </c>
      <c r="C3" s="12">
        <f>'Data Sheet'!C56</f>
        <v>0</v>
      </c>
      <c r="D3" s="12">
        <f>'Data Sheet'!D56</f>
        <v>0</v>
      </c>
      <c r="E3" s="12">
        <f>'Data Sheet'!E56</f>
        <v>0</v>
      </c>
      <c r="F3" s="12">
        <f>'Data Sheet'!F56</f>
        <v>0</v>
      </c>
      <c r="G3" s="12">
        <f>'Data Sheet'!G56</f>
        <v>43921</v>
      </c>
      <c r="H3" s="12">
        <f>'Data Sheet'!H56</f>
        <v>44286</v>
      </c>
      <c r="I3" s="12">
        <f>'Data Sheet'!I56</f>
        <v>44651</v>
      </c>
      <c r="J3" s="12">
        <f>'Data Sheet'!J56</f>
        <v>45016</v>
      </c>
      <c r="K3" s="12">
        <f>'Data Sheet'!K56</f>
        <v>45382</v>
      </c>
    </row>
    <row r="4" spans="1:11" x14ac:dyDescent="0.35">
      <c r="A4" t="s">
        <v>24</v>
      </c>
      <c r="B4" s="14">
        <f>'Data Sheet'!B57</f>
        <v>0</v>
      </c>
      <c r="C4" s="14">
        <f>'Data Sheet'!C57</f>
        <v>0</v>
      </c>
      <c r="D4" s="14">
        <f>'Data Sheet'!D57</f>
        <v>0</v>
      </c>
      <c r="E4" s="14">
        <f>'Data Sheet'!E57</f>
        <v>0</v>
      </c>
      <c r="F4" s="14">
        <f>'Data Sheet'!F57</f>
        <v>0</v>
      </c>
      <c r="G4" s="14">
        <f>'Data Sheet'!G57</f>
        <v>4883.33</v>
      </c>
      <c r="H4" s="14">
        <f>'Data Sheet'!H57</f>
        <v>4883.33</v>
      </c>
      <c r="I4" s="14">
        <f>'Data Sheet'!I57</f>
        <v>4883.33</v>
      </c>
      <c r="J4" s="14">
        <f>'Data Sheet'!J57</f>
        <v>6712.16</v>
      </c>
      <c r="K4" s="14">
        <f>'Data Sheet'!K57</f>
        <v>6712.16</v>
      </c>
    </row>
    <row r="5" spans="1:11" x14ac:dyDescent="0.35">
      <c r="A5" t="s">
        <v>25</v>
      </c>
      <c r="B5" s="14">
        <f>'Data Sheet'!B58</f>
        <v>0</v>
      </c>
      <c r="C5" s="14">
        <f>'Data Sheet'!C58</f>
        <v>0</v>
      </c>
      <c r="D5" s="14">
        <f>'Data Sheet'!D58</f>
        <v>0</v>
      </c>
      <c r="E5" s="14">
        <f>'Data Sheet'!E58</f>
        <v>0</v>
      </c>
      <c r="F5" s="14">
        <f>'Data Sheet'!F58</f>
        <v>0</v>
      </c>
      <c r="G5" s="14">
        <f>'Data Sheet'!G58</f>
        <v>701.8</v>
      </c>
      <c r="H5" s="14">
        <f>'Data Sheet'!H58</f>
        <v>1148.8900000000001</v>
      </c>
      <c r="I5" s="14">
        <f>'Data Sheet'!I58</f>
        <v>1858.03</v>
      </c>
      <c r="J5" s="14">
        <f>'Data Sheet'!J58</f>
        <v>3791.03</v>
      </c>
      <c r="K5" s="14">
        <f>'Data Sheet'!K58</f>
        <v>5521.34</v>
      </c>
    </row>
    <row r="6" spans="1:11" x14ac:dyDescent="0.35">
      <c r="A6" t="s">
        <v>71</v>
      </c>
      <c r="B6" s="14">
        <f>'Data Sheet'!B59</f>
        <v>0</v>
      </c>
      <c r="C6" s="14">
        <f>'Data Sheet'!C59</f>
        <v>0</v>
      </c>
      <c r="D6" s="14">
        <f>'Data Sheet'!D59</f>
        <v>0</v>
      </c>
      <c r="E6" s="14">
        <f>'Data Sheet'!E59</f>
        <v>0</v>
      </c>
      <c r="F6" s="14">
        <f>'Data Sheet'!F59</f>
        <v>0</v>
      </c>
      <c r="G6" s="14">
        <f>'Data Sheet'!G59</f>
        <v>25600.44</v>
      </c>
      <c r="H6" s="14">
        <f>'Data Sheet'!H59</f>
        <v>31600.6</v>
      </c>
      <c r="I6" s="14">
        <f>'Data Sheet'!I59</f>
        <v>41492.32</v>
      </c>
      <c r="J6" s="14">
        <f>'Data Sheet'!J59</f>
        <v>53745.39</v>
      </c>
      <c r="K6" s="14">
        <f>'Data Sheet'!K59</f>
        <v>69129.320000000007</v>
      </c>
    </row>
    <row r="7" spans="1:11" x14ac:dyDescent="0.35">
      <c r="A7" t="s">
        <v>72</v>
      </c>
      <c r="B7" s="14">
        <f>'Data Sheet'!B60</f>
        <v>0</v>
      </c>
      <c r="C7" s="14">
        <f>'Data Sheet'!C60</f>
        <v>0</v>
      </c>
      <c r="D7" s="14">
        <f>'Data Sheet'!D60</f>
        <v>0</v>
      </c>
      <c r="E7" s="14">
        <f>'Data Sheet'!E60</f>
        <v>0</v>
      </c>
      <c r="F7" s="14">
        <f>'Data Sheet'!F60</f>
        <v>0</v>
      </c>
      <c r="G7" s="14">
        <f>'Data Sheet'!G60</f>
        <v>186.85</v>
      </c>
      <c r="H7" s="14">
        <f>'Data Sheet'!H60</f>
        <v>225.56</v>
      </c>
      <c r="I7" s="14">
        <f>'Data Sheet'!I60</f>
        <v>293.39999999999998</v>
      </c>
      <c r="J7" s="14">
        <f>'Data Sheet'!J60</f>
        <v>405.56</v>
      </c>
      <c r="K7" s="14">
        <f>'Data Sheet'!K60</f>
        <v>464.27</v>
      </c>
    </row>
    <row r="8" spans="1:11" s="2" customFormat="1" x14ac:dyDescent="0.35">
      <c r="A8" s="2" t="s">
        <v>26</v>
      </c>
      <c r="B8" s="15">
        <f>'Data Sheet'!B61</f>
        <v>0</v>
      </c>
      <c r="C8" s="15">
        <f>'Data Sheet'!C61</f>
        <v>0</v>
      </c>
      <c r="D8" s="15">
        <f>'Data Sheet'!D61</f>
        <v>0</v>
      </c>
      <c r="E8" s="15">
        <f>'Data Sheet'!E61</f>
        <v>0</v>
      </c>
      <c r="F8" s="15">
        <f>'Data Sheet'!F61</f>
        <v>0</v>
      </c>
      <c r="G8" s="15">
        <f>'Data Sheet'!G61</f>
        <v>31372.42</v>
      </c>
      <c r="H8" s="15">
        <f>'Data Sheet'!H61</f>
        <v>37858.379999999997</v>
      </c>
      <c r="I8" s="15">
        <f>'Data Sheet'!I61</f>
        <v>48527.08</v>
      </c>
      <c r="J8" s="15">
        <f>'Data Sheet'!J61</f>
        <v>64654.14</v>
      </c>
      <c r="K8" s="15">
        <f>'Data Sheet'!K61</f>
        <v>81827.09</v>
      </c>
    </row>
    <row r="9" spans="1:11" s="2" customFormat="1" x14ac:dyDescent="0.35">
      <c r="B9" s="15"/>
      <c r="C9" s="15"/>
      <c r="D9" s="15"/>
      <c r="E9" s="15"/>
      <c r="F9" s="15"/>
      <c r="G9" s="15"/>
      <c r="H9" s="15"/>
      <c r="I9" s="15"/>
      <c r="J9" s="15"/>
      <c r="K9" s="15"/>
    </row>
    <row r="10" spans="1:11" x14ac:dyDescent="0.35">
      <c r="A10" t="s">
        <v>27</v>
      </c>
      <c r="B10" s="14">
        <f>'Data Sheet'!B62</f>
        <v>0</v>
      </c>
      <c r="C10" s="14">
        <f>'Data Sheet'!C62</f>
        <v>0</v>
      </c>
      <c r="D10" s="14">
        <f>'Data Sheet'!D62</f>
        <v>0</v>
      </c>
      <c r="E10" s="14">
        <f>'Data Sheet'!E62</f>
        <v>0</v>
      </c>
      <c r="F10" s="14">
        <f>'Data Sheet'!F62</f>
        <v>0</v>
      </c>
      <c r="G10" s="14">
        <f>'Data Sheet'!G62</f>
        <v>85.78</v>
      </c>
      <c r="H10" s="14">
        <f>'Data Sheet'!H62</f>
        <v>78.89</v>
      </c>
      <c r="I10" s="14">
        <f>'Data Sheet'!I62</f>
        <v>97.2</v>
      </c>
      <c r="J10" s="14">
        <f>'Data Sheet'!J62</f>
        <v>112.99</v>
      </c>
      <c r="K10" s="14">
        <f>'Data Sheet'!K62</f>
        <v>122.86</v>
      </c>
    </row>
    <row r="11" spans="1:11" x14ac:dyDescent="0.35">
      <c r="A11" t="s">
        <v>28</v>
      </c>
      <c r="B11" s="14">
        <f>'Data Sheet'!B63</f>
        <v>0</v>
      </c>
      <c r="C11" s="14">
        <f>'Data Sheet'!C63</f>
        <v>0</v>
      </c>
      <c r="D11" s="14">
        <f>'Data Sheet'!D63</f>
        <v>0</v>
      </c>
      <c r="E11" s="14">
        <f>'Data Sheet'!E63</f>
        <v>0</v>
      </c>
      <c r="F11" s="14">
        <f>'Data Sheet'!F63</f>
        <v>0</v>
      </c>
      <c r="G11" s="14">
        <f>'Data Sheet'!G63</f>
        <v>0</v>
      </c>
      <c r="H11" s="14">
        <f>'Data Sheet'!H63</f>
        <v>0</v>
      </c>
      <c r="I11" s="14">
        <f>'Data Sheet'!I63</f>
        <v>1.46</v>
      </c>
      <c r="J11" s="14">
        <f>'Data Sheet'!J63</f>
        <v>0.31</v>
      </c>
      <c r="K11" s="14">
        <f>'Data Sheet'!K63</f>
        <v>0.87</v>
      </c>
    </row>
    <row r="12" spans="1:11" x14ac:dyDescent="0.35">
      <c r="A12" t="s">
        <v>29</v>
      </c>
      <c r="B12" s="14">
        <f>'Data Sheet'!B64</f>
        <v>0</v>
      </c>
      <c r="C12" s="14">
        <f>'Data Sheet'!C64</f>
        <v>0</v>
      </c>
      <c r="D12" s="14">
        <f>'Data Sheet'!D64</f>
        <v>0</v>
      </c>
      <c r="E12" s="14">
        <f>'Data Sheet'!E64</f>
        <v>0</v>
      </c>
      <c r="F12" s="14">
        <f>'Data Sheet'!F64</f>
        <v>0</v>
      </c>
      <c r="G12" s="14">
        <f>'Data Sheet'!G64</f>
        <v>2508.02</v>
      </c>
      <c r="H12" s="14">
        <f>'Data Sheet'!H64</f>
        <v>3266.04</v>
      </c>
      <c r="I12" s="14">
        <f>'Data Sheet'!I64</f>
        <v>1248.27</v>
      </c>
      <c r="J12" s="14">
        <f>'Data Sheet'!J64</f>
        <v>2000.91</v>
      </c>
      <c r="K12" s="14">
        <f>'Data Sheet'!K64</f>
        <v>1938.57</v>
      </c>
    </row>
    <row r="13" spans="1:11" x14ac:dyDescent="0.35">
      <c r="A13" t="s">
        <v>73</v>
      </c>
      <c r="B13" s="14">
        <f>'Data Sheet'!B65</f>
        <v>0</v>
      </c>
      <c r="C13" s="14">
        <f>'Data Sheet'!C65</f>
        <v>0</v>
      </c>
      <c r="D13" s="14">
        <f>'Data Sheet'!D65</f>
        <v>0</v>
      </c>
      <c r="E13" s="14">
        <f>'Data Sheet'!E65</f>
        <v>0</v>
      </c>
      <c r="F13" s="14">
        <f>'Data Sheet'!F65</f>
        <v>0</v>
      </c>
      <c r="G13" s="14">
        <f>'Data Sheet'!G65</f>
        <v>28778.62</v>
      </c>
      <c r="H13" s="14">
        <f>'Data Sheet'!H65</f>
        <v>34513.449999999997</v>
      </c>
      <c r="I13" s="14">
        <f>'Data Sheet'!I65</f>
        <v>47180.15</v>
      </c>
      <c r="J13" s="14">
        <f>'Data Sheet'!J65</f>
        <v>62539.93</v>
      </c>
      <c r="K13" s="14">
        <f>'Data Sheet'!K65</f>
        <v>79764.789999999994</v>
      </c>
    </row>
    <row r="14" spans="1:11" s="2" customFormat="1" x14ac:dyDescent="0.35">
      <c r="A14" s="2" t="s">
        <v>26</v>
      </c>
      <c r="B14" s="14">
        <f>'Data Sheet'!B66</f>
        <v>0</v>
      </c>
      <c r="C14" s="14">
        <f>'Data Sheet'!C66</f>
        <v>0</v>
      </c>
      <c r="D14" s="14">
        <f>'Data Sheet'!D66</f>
        <v>0</v>
      </c>
      <c r="E14" s="14">
        <f>'Data Sheet'!E66</f>
        <v>0</v>
      </c>
      <c r="F14" s="14">
        <f>'Data Sheet'!F66</f>
        <v>0</v>
      </c>
      <c r="G14" s="14">
        <f>'Data Sheet'!G66</f>
        <v>31372.42</v>
      </c>
      <c r="H14" s="14">
        <f>'Data Sheet'!H66</f>
        <v>37858.379999999997</v>
      </c>
      <c r="I14" s="14">
        <f>'Data Sheet'!I66</f>
        <v>48527.08</v>
      </c>
      <c r="J14" s="14">
        <f>'Data Sheet'!J66</f>
        <v>64654.14</v>
      </c>
      <c r="K14" s="14">
        <f>'Data Sheet'!K66</f>
        <v>81827.09</v>
      </c>
    </row>
    <row r="15" spans="1:11" x14ac:dyDescent="0.35">
      <c r="B15" s="4"/>
      <c r="C15" s="4"/>
      <c r="D15" s="4"/>
      <c r="E15" s="4"/>
      <c r="F15" s="4"/>
      <c r="G15" s="4"/>
      <c r="H15" s="4"/>
      <c r="I15" s="4"/>
      <c r="J15" s="4"/>
      <c r="K15" s="4"/>
    </row>
    <row r="16" spans="1:11" x14ac:dyDescent="0.35">
      <c r="A16" t="s">
        <v>30</v>
      </c>
      <c r="B16" s="4">
        <f>B13-B7</f>
        <v>0</v>
      </c>
      <c r="C16" s="4">
        <f t="shared" ref="C16:K16" si="0">C13-C7</f>
        <v>0</v>
      </c>
      <c r="D16" s="4">
        <f t="shared" si="0"/>
        <v>0</v>
      </c>
      <c r="E16" s="4">
        <f t="shared" si="0"/>
        <v>0</v>
      </c>
      <c r="F16" s="4">
        <f t="shared" si="0"/>
        <v>0</v>
      </c>
      <c r="G16" s="4">
        <f t="shared" si="0"/>
        <v>28591.77</v>
      </c>
      <c r="H16" s="4">
        <f t="shared" si="0"/>
        <v>34287.89</v>
      </c>
      <c r="I16" s="4">
        <f t="shared" si="0"/>
        <v>46886.75</v>
      </c>
      <c r="J16" s="4">
        <f t="shared" si="0"/>
        <v>62134.37</v>
      </c>
      <c r="K16" s="4">
        <f t="shared" si="0"/>
        <v>79300.51999999999</v>
      </c>
    </row>
    <row r="17" spans="1:11" x14ac:dyDescent="0.35">
      <c r="A17" t="s">
        <v>44</v>
      </c>
      <c r="B17" s="4">
        <f>'Data Sheet'!B67</f>
        <v>0</v>
      </c>
      <c r="C17" s="4">
        <f>'Data Sheet'!C67</f>
        <v>0</v>
      </c>
      <c r="D17" s="4">
        <f>'Data Sheet'!D67</f>
        <v>0</v>
      </c>
      <c r="E17" s="4">
        <f>'Data Sheet'!E67</f>
        <v>0</v>
      </c>
      <c r="F17" s="4">
        <f>'Data Sheet'!F67</f>
        <v>0</v>
      </c>
      <c r="G17" s="4">
        <f>'Data Sheet'!G67</f>
        <v>118.4</v>
      </c>
      <c r="H17" s="4">
        <f>'Data Sheet'!H67</f>
        <v>310.66000000000003</v>
      </c>
      <c r="I17" s="4">
        <f>'Data Sheet'!I67</f>
        <v>1.87</v>
      </c>
      <c r="J17" s="4">
        <f>'Data Sheet'!J67</f>
        <v>1.59</v>
      </c>
      <c r="K17" s="4">
        <f>'Data Sheet'!K67</f>
        <v>13.36</v>
      </c>
    </row>
    <row r="18" spans="1:11" x14ac:dyDescent="0.35">
      <c r="A18" t="s">
        <v>45</v>
      </c>
      <c r="B18" s="4">
        <f>'Data Sheet'!B68</f>
        <v>0</v>
      </c>
      <c r="C18" s="4">
        <f>'Data Sheet'!C68</f>
        <v>0</v>
      </c>
      <c r="D18" s="4">
        <f>'Data Sheet'!D68</f>
        <v>0</v>
      </c>
      <c r="E18" s="4">
        <f>'Data Sheet'!E68</f>
        <v>0</v>
      </c>
      <c r="F18" s="4">
        <f>'Data Sheet'!F68</f>
        <v>0</v>
      </c>
      <c r="G18" s="4">
        <f>'Data Sheet'!G68</f>
        <v>0</v>
      </c>
      <c r="H18" s="4">
        <f>'Data Sheet'!H68</f>
        <v>0</v>
      </c>
      <c r="I18" s="4">
        <f>'Data Sheet'!I68</f>
        <v>0</v>
      </c>
      <c r="J18" s="4">
        <f>'Data Sheet'!J68</f>
        <v>0</v>
      </c>
      <c r="K18" s="4">
        <f>'Data Sheet'!K68</f>
        <v>0</v>
      </c>
    </row>
    <row r="20" spans="1:11" x14ac:dyDescent="0.35">
      <c r="A20" t="s">
        <v>46</v>
      </c>
      <c r="B20" s="4">
        <f>IF('Profit &amp; Loss'!B4&gt;0,'Balance Sheet'!B17/('Profit &amp; Loss'!B4/365),0)</f>
        <v>0</v>
      </c>
      <c r="C20" s="4">
        <f>IF('Profit &amp; Loss'!C4&gt;0,'Balance Sheet'!C17/('Profit &amp; Loss'!C4/365),0)</f>
        <v>0</v>
      </c>
      <c r="D20" s="4">
        <f>IF('Profit &amp; Loss'!D4&gt;0,'Balance Sheet'!D17/('Profit &amp; Loss'!D4/365),0)</f>
        <v>0</v>
      </c>
      <c r="E20" s="4">
        <f>IF('Profit &amp; Loss'!E4&gt;0,'Balance Sheet'!E17/('Profit &amp; Loss'!E4/365),0)</f>
        <v>0</v>
      </c>
      <c r="F20" s="4">
        <f>IF('Profit &amp; Loss'!F4&gt;0,'Balance Sheet'!F17/('Profit &amp; Loss'!F4/365),0)</f>
        <v>0</v>
      </c>
      <c r="G20" s="4">
        <f>IF('Profit &amp; Loss'!G4&gt;0,'Balance Sheet'!G17/('Profit &amp; Loss'!G4/365),0)</f>
        <v>16.332454025290815</v>
      </c>
      <c r="H20" s="4">
        <f>IF('Profit &amp; Loss'!H4&gt;0,'Balance Sheet'!H17/('Profit &amp; Loss'!H4/365),0)</f>
        <v>35.943481155101914</v>
      </c>
      <c r="I20" s="4">
        <f>IF('Profit &amp; Loss'!I4&gt;0,'Balance Sheet'!I17/('Profit &amp; Loss'!I4/365),0)</f>
        <v>0.18120587993235476</v>
      </c>
      <c r="J20" s="4">
        <f>IF('Profit &amp; Loss'!J4&gt;0,'Balance Sheet'!J17/('Profit &amp; Loss'!J4/365),0)</f>
        <v>0.10244429420497334</v>
      </c>
      <c r="K20" s="4">
        <f>IF('Profit &amp; Loss'!K4&gt;0,'Balance Sheet'!K17/('Profit &amp; Loss'!K4/365),0)</f>
        <v>0.64017349956874536</v>
      </c>
    </row>
    <row r="21" spans="1:11" x14ac:dyDescent="0.35">
      <c r="A21" t="s">
        <v>47</v>
      </c>
      <c r="B21" s="4">
        <f>IF('Balance Sheet'!B18&gt;0,'Profit &amp; Loss'!B4/'Balance Sheet'!B18,0)</f>
        <v>0</v>
      </c>
      <c r="C21" s="4">
        <f>IF('Balance Sheet'!C18&gt;0,'Profit &amp; Loss'!C4/'Balance Sheet'!C18,0)</f>
        <v>0</v>
      </c>
      <c r="D21" s="4">
        <f>IF('Balance Sheet'!D18&gt;0,'Profit &amp; Loss'!D4/'Balance Sheet'!D18,0)</f>
        <v>0</v>
      </c>
      <c r="E21" s="4">
        <f>IF('Balance Sheet'!E18&gt;0,'Profit &amp; Loss'!E4/'Balance Sheet'!E18,0)</f>
        <v>0</v>
      </c>
      <c r="F21" s="4">
        <f>IF('Balance Sheet'!F18&gt;0,'Profit &amp; Loss'!F4/'Balance Sheet'!F18,0)</f>
        <v>0</v>
      </c>
      <c r="G21" s="4">
        <f>IF('Balance Sheet'!G18&gt;0,'Profit &amp; Loss'!G4/'Balance Sheet'!G18,0)</f>
        <v>0</v>
      </c>
      <c r="H21" s="4">
        <f>IF('Balance Sheet'!H18&gt;0,'Profit &amp; Loss'!H4/'Balance Sheet'!H18,0)</f>
        <v>0</v>
      </c>
      <c r="I21" s="4">
        <f>IF('Balance Sheet'!I18&gt;0,'Profit &amp; Loss'!I4/'Balance Sheet'!I18,0)</f>
        <v>0</v>
      </c>
      <c r="J21" s="4">
        <f>IF('Balance Sheet'!J18&gt;0,'Profit &amp; Loss'!J4/'Balance Sheet'!J18,0)</f>
        <v>0</v>
      </c>
      <c r="K21" s="4">
        <f>IF('Balance Sheet'!K18&gt;0,'Profit &amp; Loss'!K4/'Balance Sheet'!K18,0)</f>
        <v>0</v>
      </c>
    </row>
    <row r="23" spans="1:11" s="2" customFormat="1" x14ac:dyDescent="0.35">
      <c r="A23" s="2" t="s">
        <v>59</v>
      </c>
      <c r="B23" s="10" t="str">
        <f>IF(SUM('Balance Sheet'!B4:B5)&gt;0,'Profit &amp; Loss'!B12/SUM('Balance Sheet'!B4:B5),"")</f>
        <v/>
      </c>
      <c r="C23" s="10" t="str">
        <f>IF(SUM('Balance Sheet'!C4:C5)&gt;0,'Profit &amp; Loss'!C12/SUM('Balance Sheet'!C4:C5),"")</f>
        <v/>
      </c>
      <c r="D23" s="10" t="str">
        <f>IF(SUM('Balance Sheet'!D4:D5)&gt;0,'Profit &amp; Loss'!D12/SUM('Balance Sheet'!D4:D5),"")</f>
        <v/>
      </c>
      <c r="E23" s="10" t="str">
        <f>IF(SUM('Balance Sheet'!E4:E5)&gt;0,'Profit &amp; Loss'!E12/SUM('Balance Sheet'!E4:E5),"")</f>
        <v/>
      </c>
      <c r="F23" s="10" t="str">
        <f>IF(SUM('Balance Sheet'!F4:F5)&gt;0,'Profit &amp; Loss'!F12/SUM('Balance Sheet'!F4:F5),"")</f>
        <v/>
      </c>
      <c r="G23" s="10">
        <f>IF(SUM('Balance Sheet'!G4:G5)&gt;0,'Profit &amp; Loss'!G12/SUM('Balance Sheet'!G4:G5),"")</f>
        <v>7.543781433914698E-2</v>
      </c>
      <c r="H23" s="10">
        <f>IF(SUM('Balance Sheet'!H4:H5)&gt;0,'Profit &amp; Loss'!H12/SUM('Balance Sheet'!H4:H5),"")</f>
        <v>7.5128228081867032E-2</v>
      </c>
      <c r="I23" s="10">
        <f>IF(SUM('Balance Sheet'!I4:I5)&gt;0,'Profit &amp; Loss'!I12/SUM('Balance Sheet'!I4:I5),"")</f>
        <v>0.10526362633059205</v>
      </c>
      <c r="J23" s="10">
        <f>IF(SUM('Balance Sheet'!J4:J5)&gt;0,'Profit &amp; Loss'!J12/SUM('Balance Sheet'!J4:J5),"")</f>
        <v>0.11975409375627784</v>
      </c>
      <c r="K23" s="10">
        <f>IF(SUM('Balance Sheet'!K4:K5)&gt;0,'Profit &amp; Loss'!K12/SUM('Balance Sheet'!K4:K5),"")</f>
        <v>0.1415146932603098</v>
      </c>
    </row>
    <row r="24" spans="1:11" s="2" customFormat="1" x14ac:dyDescent="0.35">
      <c r="A24" s="2" t="s">
        <v>60</v>
      </c>
      <c r="B24" s="10"/>
      <c r="C24" s="10" t="str">
        <f>IF((B4+B5+B6+C4+C5+C6)&gt;0,('Profit &amp; Loss'!C10+'Profit &amp; Loss'!C9)*2/(B4+B5+B6+C4+C5+C6),"")</f>
        <v/>
      </c>
      <c r="D24" s="10" t="str">
        <f>IF((C4+C5+C6+D4+D5+D6)&gt;0,('Profit &amp; Loss'!D10+'Profit &amp; Loss'!D9)*2/(C4+C5+C6+D4+D5+D6),"")</f>
        <v/>
      </c>
      <c r="E24" s="10" t="str">
        <f>IF((D4+D5+D6+E4+E5+E6)&gt;0,('Profit &amp; Loss'!E10+'Profit &amp; Loss'!E9)*2/(D4+D5+D6+E4+E5+E6),"")</f>
        <v/>
      </c>
      <c r="F24" s="10" t="str">
        <f>IF((E4+E5+E6+F4+F5+F6)&gt;0,('Profit &amp; Loss'!F10+'Profit &amp; Loss'!F9)*2/(E4+E5+E6+F4+F5+F6),"")</f>
        <v/>
      </c>
      <c r="G24" s="10">
        <f>IF((F4+F5+F6+G4+G5+G6)&gt;0,('Profit &amp; Loss'!G10+'Profit &amp; Loss'!G9)*2/(F4+F5+F6+G4+G5+G6),"")</f>
        <v>0.14012891218598858</v>
      </c>
      <c r="H24" s="10">
        <f>IF((G4+G5+G6+H4+H5+H6)&gt;0,('Profit &amp; Loss'!H10+'Profit &amp; Loss'!H9)*2/(G4+G5+G6+H4+H5+H6),"")</f>
        <v>7.500001089824973E-2</v>
      </c>
      <c r="I24" s="10">
        <f>IF((H4+H5+H6+I4+I5+I6)&gt;0,('Profit &amp; Loss'!I10+'Profit &amp; Loss'!I9)*2/(H4+H5+H6+I4+I5+I6),"")</f>
        <v>7.260340179231714E-2</v>
      </c>
      <c r="J24" s="10">
        <f>IF((I4+I5+I6+J4+J5+J6)&gt;0,('Profit &amp; Loss'!J10+'Profit &amp; Loss'!J9)*2/(I4+I5+I6+J4+J5+J6),"")</f>
        <v>8.7362398301741112E-2</v>
      </c>
      <c r="K24" s="10">
        <f>IF((J4+J5+J6+K4+K5+K6)&gt;0,('Profit &amp; Loss'!K10+'Profit &amp; Loss'!K9)*2/(J4+J5+J6+K4+K5+K6),"")</f>
        <v>9.4168863152198246E-2</v>
      </c>
    </row>
  </sheetData>
  <hyperlinks>
    <hyperlink ref="J1" r:id="rId1" xr:uid="{00000000-0004-0000-0200-000000000000}"/>
  </hyperlinks>
  <printOptions gridLines="1"/>
  <pageMargins left="0.7" right="0.7" top="0.75" bottom="0.75" header="0.3" footer="0.3"/>
  <pageSetup paperSize="9" orientation="landscape" horizontalDpi="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K24"/>
  <sheetViews>
    <sheetView zoomScale="116" zoomScaleNormal="150" zoomScalePageLayoutView="150" workbookViewId="0">
      <pane xSplit="1" ySplit="3" topLeftCell="E4" activePane="bottomRight" state="frozen"/>
      <selection pane="topRight" activeCell="B1" sqref="B1"/>
      <selection pane="bottomLeft" activeCell="A4" sqref="A4"/>
      <selection pane="bottomRight" activeCell="K5" sqref="K5"/>
    </sheetView>
  </sheetViews>
  <sheetFormatPr defaultColWidth="8.81640625" defaultRowHeight="14.5" x14ac:dyDescent="0.35"/>
  <cols>
    <col min="1" max="1" width="26.81640625" bestFit="1" customWidth="1"/>
    <col min="2" max="6" width="13.453125" customWidth="1"/>
    <col min="7" max="11" width="13.453125" bestFit="1" customWidth="1"/>
  </cols>
  <sheetData>
    <row r="1" spans="1:11" s="2" customFormat="1" x14ac:dyDescent="0.35">
      <c r="A1" s="2" t="str">
        <f>'Balance Sheet'!A1</f>
        <v>BAJAJ HOUSING FINANCE LTD</v>
      </c>
      <c r="E1" t="str">
        <f>UPDATE</f>
        <v/>
      </c>
      <c r="F1"/>
      <c r="J1" s="2" t="s">
        <v>1</v>
      </c>
    </row>
    <row r="3" spans="1:11" s="2" customFormat="1" x14ac:dyDescent="0.35">
      <c r="A3" s="11" t="s">
        <v>2</v>
      </c>
      <c r="B3" s="12">
        <f>'Data Sheet'!B81</f>
        <v>0</v>
      </c>
      <c r="C3" s="12">
        <f>'Data Sheet'!C81</f>
        <v>0</v>
      </c>
      <c r="D3" s="12">
        <f>'Data Sheet'!D81</f>
        <v>0</v>
      </c>
      <c r="E3" s="12">
        <f>'Data Sheet'!E81</f>
        <v>0</v>
      </c>
      <c r="F3" s="12">
        <f>'Data Sheet'!F81</f>
        <v>0</v>
      </c>
      <c r="G3" s="12">
        <f>'Data Sheet'!G81</f>
        <v>43921</v>
      </c>
      <c r="H3" s="12">
        <f>'Data Sheet'!H81</f>
        <v>44286</v>
      </c>
      <c r="I3" s="12">
        <f>'Data Sheet'!I81</f>
        <v>44651</v>
      </c>
      <c r="J3" s="12">
        <f>'Data Sheet'!J81</f>
        <v>45016</v>
      </c>
      <c r="K3" s="12">
        <f>'Data Sheet'!K81</f>
        <v>45382</v>
      </c>
    </row>
    <row r="4" spans="1:11" s="2" customFormat="1" x14ac:dyDescent="0.35">
      <c r="A4" s="2" t="s">
        <v>32</v>
      </c>
      <c r="B4" s="1">
        <f>'Data Sheet'!B82</f>
        <v>0</v>
      </c>
      <c r="C4" s="1">
        <f>'Data Sheet'!C82</f>
        <v>0</v>
      </c>
      <c r="D4" s="1">
        <f>'Data Sheet'!D82</f>
        <v>0</v>
      </c>
      <c r="E4" s="1">
        <f>'Data Sheet'!E82</f>
        <v>0</v>
      </c>
      <c r="F4" s="1">
        <f>'Data Sheet'!F82</f>
        <v>0</v>
      </c>
      <c r="G4" s="1">
        <f>'Data Sheet'!G82</f>
        <v>-10244.209999999999</v>
      </c>
      <c r="H4" s="1">
        <f>'Data Sheet'!H82</f>
        <v>-5075.7700000000004</v>
      </c>
      <c r="I4" s="1">
        <f>'Data Sheet'!I82</f>
        <v>-12480.53</v>
      </c>
      <c r="J4" s="1">
        <f>'Data Sheet'!J82</f>
        <v>-14331.77</v>
      </c>
      <c r="K4" s="1">
        <f>'Data Sheet'!K82</f>
        <v>-15428.11</v>
      </c>
    </row>
    <row r="5" spans="1:11" x14ac:dyDescent="0.35">
      <c r="A5" t="s">
        <v>33</v>
      </c>
      <c r="B5" s="6">
        <f>'Data Sheet'!B83</f>
        <v>0</v>
      </c>
      <c r="C5" s="6">
        <f>'Data Sheet'!C83</f>
        <v>0</v>
      </c>
      <c r="D5" s="6">
        <f>'Data Sheet'!D83</f>
        <v>0</v>
      </c>
      <c r="E5" s="6">
        <f>'Data Sheet'!E83</f>
        <v>0</v>
      </c>
      <c r="F5" s="6">
        <f>'Data Sheet'!F83</f>
        <v>0</v>
      </c>
      <c r="G5" s="6">
        <f>'Data Sheet'!G83</f>
        <v>-693.56</v>
      </c>
      <c r="H5" s="6">
        <f>'Data Sheet'!H83</f>
        <v>-797.04</v>
      </c>
      <c r="I5" s="6">
        <f>'Data Sheet'!I83</f>
        <v>2197.3200000000002</v>
      </c>
      <c r="J5" s="6">
        <f>'Data Sheet'!J83</f>
        <v>-611.44000000000005</v>
      </c>
      <c r="K5" s="6">
        <f>'Data Sheet'!K83</f>
        <v>273.31</v>
      </c>
    </row>
    <row r="6" spans="1:11" x14ac:dyDescent="0.35">
      <c r="A6" t="s">
        <v>34</v>
      </c>
      <c r="B6" s="6">
        <f>'Data Sheet'!B84</f>
        <v>0</v>
      </c>
      <c r="C6" s="6">
        <f>'Data Sheet'!C84</f>
        <v>0</v>
      </c>
      <c r="D6" s="6">
        <f>'Data Sheet'!D84</f>
        <v>0</v>
      </c>
      <c r="E6" s="6">
        <f>'Data Sheet'!E84</f>
        <v>0</v>
      </c>
      <c r="F6" s="6">
        <f>'Data Sheet'!F84</f>
        <v>0</v>
      </c>
      <c r="G6" s="6">
        <f>'Data Sheet'!G84</f>
        <v>11489.51</v>
      </c>
      <c r="H6" s="6">
        <f>'Data Sheet'!H84</f>
        <v>5675.87</v>
      </c>
      <c r="I6" s="6">
        <f>'Data Sheet'!I84</f>
        <v>10228.459999999999</v>
      </c>
      <c r="J6" s="6">
        <f>'Data Sheet'!J84</f>
        <v>14630.06</v>
      </c>
      <c r="K6" s="6">
        <f>'Data Sheet'!K84</f>
        <v>15124.78</v>
      </c>
    </row>
    <row r="7" spans="1:11" s="2" customFormat="1" x14ac:dyDescent="0.35">
      <c r="A7" s="2" t="s">
        <v>35</v>
      </c>
      <c r="B7" s="1">
        <f>'Data Sheet'!B85</f>
        <v>0</v>
      </c>
      <c r="C7" s="1">
        <f>'Data Sheet'!C85</f>
        <v>0</v>
      </c>
      <c r="D7" s="1">
        <f>'Data Sheet'!D85</f>
        <v>0</v>
      </c>
      <c r="E7" s="1">
        <f>'Data Sheet'!E85</f>
        <v>0</v>
      </c>
      <c r="F7" s="1">
        <f>'Data Sheet'!F85</f>
        <v>0</v>
      </c>
      <c r="G7" s="1">
        <f>'Data Sheet'!G85</f>
        <v>551.74</v>
      </c>
      <c r="H7" s="1">
        <f>'Data Sheet'!H85</f>
        <v>-196.94</v>
      </c>
      <c r="I7" s="1">
        <f>'Data Sheet'!I85</f>
        <v>-54.75</v>
      </c>
      <c r="J7" s="1">
        <f>'Data Sheet'!J85</f>
        <v>-313.14999999999998</v>
      </c>
      <c r="K7" s="1">
        <f>'Data Sheet'!K85</f>
        <v>-30.02</v>
      </c>
    </row>
    <row r="8" spans="1:11" x14ac:dyDescent="0.35">
      <c r="B8" s="6"/>
      <c r="C8" s="6"/>
      <c r="D8" s="6"/>
      <c r="E8" s="6"/>
      <c r="F8" s="6"/>
      <c r="G8" s="6"/>
      <c r="H8" s="6"/>
      <c r="I8" s="6"/>
      <c r="J8" s="6"/>
      <c r="K8" s="6"/>
    </row>
    <row r="24" customFormat="1" x14ac:dyDescent="0.35"/>
  </sheetData>
  <hyperlinks>
    <hyperlink ref="J1" r:id="rId1" xr:uid="{00000000-0004-0000-0300-000000000000}"/>
  </hyperlinks>
  <printOptions gridLines="1"/>
  <pageMargins left="0.7" right="0.7" top="0.75" bottom="0.75" header="0.3" footer="0.3"/>
  <pageSetup paperSize="9" orientation="landscape"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zoomScale="116" zoomScaleNormal="150" zoomScalePageLayoutView="150" workbookViewId="0">
      <selection activeCell="B16" sqref="B16"/>
    </sheetView>
  </sheetViews>
  <sheetFormatPr defaultColWidth="8.81640625" defaultRowHeight="14.5" x14ac:dyDescent="0.35"/>
  <cols>
    <col min="1" max="1" width="8.81640625" style="2"/>
    <col min="2" max="2" width="10.453125" customWidth="1"/>
    <col min="3" max="3" width="13.36328125" style="20" customWidth="1"/>
    <col min="6" max="6" width="6.81640625" customWidth="1"/>
  </cols>
  <sheetData>
    <row r="1" spans="1:7" ht="21" x14ac:dyDescent="0.5">
      <c r="A1" s="19" t="s">
        <v>56</v>
      </c>
    </row>
    <row r="3" spans="1:7" x14ac:dyDescent="0.35">
      <c r="A3" s="2" t="s">
        <v>48</v>
      </c>
    </row>
    <row r="4" spans="1:7" x14ac:dyDescent="0.35">
      <c r="B4" t="s">
        <v>90</v>
      </c>
    </row>
    <row r="5" spans="1:7" x14ac:dyDescent="0.35">
      <c r="B5" t="s">
        <v>49</v>
      </c>
    </row>
    <row r="7" spans="1:7" x14ac:dyDescent="0.35">
      <c r="A7" s="2" t="s">
        <v>50</v>
      </c>
    </row>
    <row r="8" spans="1:7" x14ac:dyDescent="0.35">
      <c r="B8" t="s">
        <v>51</v>
      </c>
      <c r="C8" s="21" t="s">
        <v>91</v>
      </c>
    </row>
    <row r="10" spans="1:7" x14ac:dyDescent="0.35">
      <c r="A10" s="2" t="s">
        <v>52</v>
      </c>
    </row>
    <row r="11" spans="1:7" x14ac:dyDescent="0.35">
      <c r="B11" t="s">
        <v>53</v>
      </c>
    </row>
    <row r="14" spans="1:7" x14ac:dyDescent="0.35">
      <c r="A14" s="2" t="s">
        <v>54</v>
      </c>
    </row>
    <row r="15" spans="1:7" x14ac:dyDescent="0.35">
      <c r="B15" t="s">
        <v>55</v>
      </c>
    </row>
    <row r="16" spans="1:7" x14ac:dyDescent="0.35">
      <c r="B16" t="s">
        <v>92</v>
      </c>
      <c r="G16" s="22"/>
    </row>
  </sheetData>
  <hyperlinks>
    <hyperlink ref="C8" r:id="rId1" display=" http://www.screener.in/excel" xr:uid="{00000000-0004-0000-04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3"/>
  <sheetViews>
    <sheetView zoomScale="102" zoomScaleNormal="120" zoomScalePageLayoutView="120" workbookViewId="0">
      <pane xSplit="1" ySplit="1" topLeftCell="C112" activePane="bottomRight" state="frozen"/>
      <selection activeCell="C4" sqref="C4"/>
      <selection pane="topRight" activeCell="C4" sqref="C4"/>
      <selection pane="bottomLeft" activeCell="C4" sqref="C4"/>
      <selection pane="bottomRight" activeCell="A51" sqref="A51"/>
    </sheetView>
  </sheetViews>
  <sheetFormatPr defaultColWidth="8.81640625" defaultRowHeight="14.5" x14ac:dyDescent="0.35"/>
  <cols>
    <col min="1" max="1" width="27.6328125" style="4" bestFit="1" customWidth="1"/>
    <col min="2" max="11" width="13.453125" style="4" bestFit="1" customWidth="1"/>
    <col min="12" max="16384" width="8.81640625" style="4"/>
  </cols>
  <sheetData>
    <row r="1" spans="1:11" s="1" customFormat="1" x14ac:dyDescent="0.35">
      <c r="A1" s="1" t="s">
        <v>0</v>
      </c>
      <c r="B1" s="1" t="s">
        <v>63</v>
      </c>
      <c r="E1" s="42" t="str">
        <f>IF(B2&lt;&gt;B3, "A NEW VERSION OF THE WORKSHEET IS AVAILABLE", "")</f>
        <v/>
      </c>
      <c r="F1" s="42"/>
      <c r="G1" s="42"/>
      <c r="H1" s="42"/>
      <c r="I1" s="42"/>
      <c r="J1" s="42"/>
      <c r="K1" s="42"/>
    </row>
    <row r="2" spans="1:11" x14ac:dyDescent="0.35">
      <c r="A2" s="1" t="s">
        <v>61</v>
      </c>
      <c r="B2" s="4">
        <v>2.1</v>
      </c>
      <c r="E2" s="43" t="s">
        <v>36</v>
      </c>
      <c r="F2" s="43"/>
      <c r="G2" s="43"/>
      <c r="H2" s="43"/>
      <c r="I2" s="43"/>
      <c r="J2" s="43"/>
      <c r="K2" s="43"/>
    </row>
    <row r="3" spans="1:11" x14ac:dyDescent="0.35">
      <c r="A3" s="1" t="s">
        <v>62</v>
      </c>
      <c r="B3" s="4">
        <v>2.1</v>
      </c>
    </row>
    <row r="4" spans="1:11" x14ac:dyDescent="0.35">
      <c r="A4" s="1"/>
    </row>
    <row r="5" spans="1:11" x14ac:dyDescent="0.35">
      <c r="A5" s="1" t="s">
        <v>64</v>
      </c>
    </row>
    <row r="6" spans="1:11" x14ac:dyDescent="0.35">
      <c r="A6" s="4" t="s">
        <v>42</v>
      </c>
      <c r="B6" s="4" t="e">
        <f>IF(B9&gt;0, B9/B8, 0)</f>
        <v>#DIV/0!</v>
      </c>
    </row>
    <row r="7" spans="1:11" x14ac:dyDescent="0.35">
      <c r="A7" s="4" t="s">
        <v>31</v>
      </c>
    </row>
    <row r="8" spans="1:11" x14ac:dyDescent="0.35">
      <c r="A8" s="4" t="s">
        <v>43</v>
      </c>
    </row>
    <row r="9" spans="1:11" x14ac:dyDescent="0.35">
      <c r="A9" s="4" t="s">
        <v>79</v>
      </c>
      <c r="B9">
        <v>58297.03</v>
      </c>
    </row>
    <row r="15" spans="1:11" x14ac:dyDescent="0.35">
      <c r="A15" s="1" t="s">
        <v>37</v>
      </c>
    </row>
    <row r="16" spans="1:11" s="18" customFormat="1" x14ac:dyDescent="0.35">
      <c r="A16" s="17" t="s">
        <v>38</v>
      </c>
      <c r="B16" s="12"/>
      <c r="C16" s="12"/>
      <c r="D16" s="12"/>
      <c r="E16" s="12"/>
      <c r="F16" s="12"/>
      <c r="G16" s="12">
        <v>43921</v>
      </c>
      <c r="H16" s="12">
        <v>44286</v>
      </c>
      <c r="I16" s="12">
        <v>44651</v>
      </c>
      <c r="J16" s="12">
        <v>45016</v>
      </c>
      <c r="K16" s="12">
        <v>45382</v>
      </c>
    </row>
    <row r="17" spans="1:11" s="6" customFormat="1" x14ac:dyDescent="0.35">
      <c r="A17" s="6" t="s">
        <v>6</v>
      </c>
      <c r="G17">
        <v>2646.02</v>
      </c>
      <c r="H17">
        <v>3154.7</v>
      </c>
      <c r="I17">
        <v>3766.71</v>
      </c>
      <c r="J17">
        <v>5665.03</v>
      </c>
      <c r="K17">
        <v>7617.31</v>
      </c>
    </row>
    <row r="18" spans="1:11" s="6" customFormat="1" x14ac:dyDescent="0.35">
      <c r="A18" s="4" t="s">
        <v>80</v>
      </c>
    </row>
    <row r="19" spans="1:11" s="6" customFormat="1" x14ac:dyDescent="0.35">
      <c r="A19" s="4" t="s">
        <v>81</v>
      </c>
    </row>
    <row r="20" spans="1:11" s="6" customFormat="1" x14ac:dyDescent="0.35">
      <c r="A20" s="4" t="s">
        <v>82</v>
      </c>
    </row>
    <row r="21" spans="1:11" s="6" customFormat="1" x14ac:dyDescent="0.35">
      <c r="A21" s="4" t="s">
        <v>83</v>
      </c>
      <c r="G21">
        <v>5.92</v>
      </c>
      <c r="H21">
        <v>8.83</v>
      </c>
      <c r="I21">
        <v>16.239999999999998</v>
      </c>
      <c r="J21">
        <v>15.17</v>
      </c>
      <c r="K21">
        <v>15.06</v>
      </c>
    </row>
    <row r="22" spans="1:11" s="6" customFormat="1" x14ac:dyDescent="0.35">
      <c r="A22" s="4" t="s">
        <v>84</v>
      </c>
      <c r="G22">
        <v>248.69</v>
      </c>
      <c r="H22">
        <v>245.98</v>
      </c>
      <c r="I22">
        <v>349.44</v>
      </c>
      <c r="J22">
        <v>436.28</v>
      </c>
      <c r="K22">
        <v>468.54</v>
      </c>
    </row>
    <row r="23" spans="1:11" s="6" customFormat="1" x14ac:dyDescent="0.35">
      <c r="A23" s="4" t="s">
        <v>85</v>
      </c>
      <c r="G23">
        <v>48.96</v>
      </c>
      <c r="H23">
        <v>41.01</v>
      </c>
      <c r="I23">
        <v>65.209999999999994</v>
      </c>
      <c r="J23">
        <v>123.15</v>
      </c>
      <c r="K23">
        <v>150.11000000000001</v>
      </c>
    </row>
    <row r="24" spans="1:11" s="6" customFormat="1" x14ac:dyDescent="0.35">
      <c r="A24" s="4" t="s">
        <v>86</v>
      </c>
      <c r="G24">
        <v>134.03</v>
      </c>
      <c r="H24">
        <v>256.56</v>
      </c>
      <c r="I24">
        <v>192.9</v>
      </c>
      <c r="J24">
        <v>143.38</v>
      </c>
      <c r="K24">
        <v>87.6</v>
      </c>
    </row>
    <row r="25" spans="1:11" s="6" customFormat="1" x14ac:dyDescent="0.35">
      <c r="A25" s="6" t="s">
        <v>9</v>
      </c>
      <c r="G25">
        <v>-0.28000000000000003</v>
      </c>
      <c r="H25">
        <v>0.14000000000000001</v>
      </c>
      <c r="I25">
        <v>-0.06</v>
      </c>
      <c r="J25">
        <v>-0.28999999999999998</v>
      </c>
      <c r="K25">
        <v>-0.37</v>
      </c>
    </row>
    <row r="26" spans="1:11" s="6" customFormat="1" x14ac:dyDescent="0.35">
      <c r="A26" s="6" t="s">
        <v>10</v>
      </c>
      <c r="G26">
        <v>23.14</v>
      </c>
      <c r="H26">
        <v>21.77</v>
      </c>
      <c r="I26">
        <v>25.76</v>
      </c>
      <c r="J26">
        <v>33.4</v>
      </c>
      <c r="K26">
        <v>39.6</v>
      </c>
    </row>
    <row r="27" spans="1:11" s="6" customFormat="1" x14ac:dyDescent="0.35">
      <c r="A27" s="6" t="s">
        <v>11</v>
      </c>
      <c r="G27">
        <v>1617.55</v>
      </c>
      <c r="H27">
        <v>1967.51</v>
      </c>
      <c r="I27">
        <v>2157.2399999999998</v>
      </c>
      <c r="J27">
        <v>3213.3</v>
      </c>
      <c r="K27">
        <v>4694.71</v>
      </c>
    </row>
    <row r="28" spans="1:11" s="6" customFormat="1" x14ac:dyDescent="0.35">
      <c r="A28" s="6" t="s">
        <v>12</v>
      </c>
      <c r="G28">
        <v>567.45000000000005</v>
      </c>
      <c r="H28">
        <v>613.17999999999995</v>
      </c>
      <c r="I28">
        <v>959.86</v>
      </c>
      <c r="J28">
        <v>1700.06</v>
      </c>
      <c r="K28">
        <v>2161.3200000000002</v>
      </c>
    </row>
    <row r="29" spans="1:11" s="6" customFormat="1" x14ac:dyDescent="0.35">
      <c r="A29" s="6" t="s">
        <v>13</v>
      </c>
      <c r="G29">
        <v>146.12</v>
      </c>
      <c r="H29">
        <v>159.99</v>
      </c>
      <c r="I29">
        <v>250.24</v>
      </c>
      <c r="J29">
        <v>442.26</v>
      </c>
      <c r="K29">
        <v>430.1</v>
      </c>
    </row>
    <row r="30" spans="1:11" s="6" customFormat="1" x14ac:dyDescent="0.35">
      <c r="A30" s="6" t="s">
        <v>14</v>
      </c>
      <c r="G30">
        <v>421.33</v>
      </c>
      <c r="H30">
        <v>453.19</v>
      </c>
      <c r="I30">
        <v>709.62</v>
      </c>
      <c r="J30">
        <v>1257.8</v>
      </c>
      <c r="K30">
        <v>1731.22</v>
      </c>
    </row>
    <row r="31" spans="1:11" s="6" customFormat="1" x14ac:dyDescent="0.35">
      <c r="A31" s="6" t="s">
        <v>70</v>
      </c>
    </row>
    <row r="32" spans="1:11" s="6" customFormat="1" x14ac:dyDescent="0.35"/>
    <row r="33" spans="1:11" x14ac:dyDescent="0.35">
      <c r="A33" s="6"/>
    </row>
    <row r="34" spans="1:11" x14ac:dyDescent="0.35">
      <c r="A34" s="6"/>
    </row>
    <row r="35" spans="1:11" x14ac:dyDescent="0.35">
      <c r="A35" s="6"/>
    </row>
    <row r="36" spans="1:11" x14ac:dyDescent="0.35">
      <c r="A36" s="6"/>
    </row>
    <row r="37" spans="1:11" x14ac:dyDescent="0.35">
      <c r="A37" s="6"/>
    </row>
    <row r="38" spans="1:11" x14ac:dyDescent="0.35">
      <c r="A38" s="6"/>
    </row>
    <row r="39" spans="1:11" x14ac:dyDescent="0.35">
      <c r="A39" s="6"/>
    </row>
    <row r="40" spans="1:11" x14ac:dyDescent="0.35">
      <c r="A40" s="1" t="s">
        <v>39</v>
      </c>
    </row>
    <row r="41" spans="1:11" s="18" customFormat="1" x14ac:dyDescent="0.35">
      <c r="A41" s="17" t="s">
        <v>38</v>
      </c>
      <c r="B41" s="12"/>
      <c r="C41" s="12"/>
      <c r="D41" s="12"/>
      <c r="E41" s="12"/>
      <c r="F41" s="12"/>
      <c r="G41" s="12"/>
      <c r="H41" s="12">
        <v>45016</v>
      </c>
      <c r="I41" s="12">
        <v>45107</v>
      </c>
      <c r="J41" s="12">
        <v>45382</v>
      </c>
      <c r="K41" s="12">
        <v>45473</v>
      </c>
    </row>
    <row r="42" spans="1:11" s="6" customFormat="1" x14ac:dyDescent="0.35">
      <c r="A42" s="6" t="s">
        <v>6</v>
      </c>
      <c r="H42">
        <v>1585.23</v>
      </c>
      <c r="I42">
        <v>1763.25</v>
      </c>
      <c r="J42">
        <v>1996.4</v>
      </c>
      <c r="K42">
        <v>2208.65</v>
      </c>
    </row>
    <row r="43" spans="1:11" s="6" customFormat="1" x14ac:dyDescent="0.35">
      <c r="A43" s="6" t="s">
        <v>7</v>
      </c>
      <c r="H43">
        <v>215.69</v>
      </c>
      <c r="I43">
        <v>165.3</v>
      </c>
      <c r="J43">
        <v>218.78</v>
      </c>
      <c r="K43">
        <v>170.18</v>
      </c>
    </row>
    <row r="44" spans="1:11" s="6" customFormat="1" x14ac:dyDescent="0.35">
      <c r="A44" s="6" t="s">
        <v>9</v>
      </c>
      <c r="H44">
        <v>0.35</v>
      </c>
      <c r="I44">
        <v>0.13</v>
      </c>
      <c r="J44">
        <v>0.1</v>
      </c>
      <c r="K44">
        <v>0.08</v>
      </c>
    </row>
    <row r="45" spans="1:11" s="6" customFormat="1" x14ac:dyDescent="0.35">
      <c r="A45" s="6" t="s">
        <v>10</v>
      </c>
      <c r="H45">
        <v>9.06</v>
      </c>
      <c r="I45">
        <v>9.69</v>
      </c>
      <c r="J45">
        <v>10.199999999999999</v>
      </c>
      <c r="K45">
        <v>9.91</v>
      </c>
    </row>
    <row r="46" spans="1:11" s="6" customFormat="1" x14ac:dyDescent="0.35">
      <c r="A46" s="6" t="s">
        <v>11</v>
      </c>
      <c r="H46">
        <v>954.03</v>
      </c>
      <c r="I46">
        <v>1062.1500000000001</v>
      </c>
      <c r="J46">
        <v>1279.3</v>
      </c>
      <c r="K46">
        <v>1398.76</v>
      </c>
    </row>
    <row r="47" spans="1:11" s="6" customFormat="1" x14ac:dyDescent="0.35">
      <c r="A47" s="6" t="s">
        <v>12</v>
      </c>
      <c r="H47">
        <v>406.8</v>
      </c>
      <c r="I47">
        <v>526.24</v>
      </c>
      <c r="J47">
        <v>488.22</v>
      </c>
      <c r="K47">
        <v>629.88</v>
      </c>
    </row>
    <row r="48" spans="1:11" s="6" customFormat="1" x14ac:dyDescent="0.35">
      <c r="A48" s="6" t="s">
        <v>13</v>
      </c>
      <c r="H48">
        <v>105.33</v>
      </c>
      <c r="I48">
        <v>64.44</v>
      </c>
      <c r="J48">
        <v>106.88</v>
      </c>
      <c r="K48">
        <v>147.27000000000001</v>
      </c>
    </row>
    <row r="49" spans="1:11" s="6" customFormat="1" x14ac:dyDescent="0.35">
      <c r="A49" s="6" t="s">
        <v>14</v>
      </c>
      <c r="H49">
        <v>301.47000000000003</v>
      </c>
      <c r="I49">
        <v>461.8</v>
      </c>
      <c r="J49">
        <v>381.34</v>
      </c>
      <c r="K49">
        <v>482.61</v>
      </c>
    </row>
    <row r="50" spans="1:11" x14ac:dyDescent="0.35">
      <c r="A50" s="6" t="s">
        <v>8</v>
      </c>
      <c r="H50">
        <v>1369.54</v>
      </c>
      <c r="I50">
        <v>1597.95</v>
      </c>
      <c r="J50">
        <v>1777.62</v>
      </c>
      <c r="K50">
        <v>2038.47</v>
      </c>
    </row>
    <row r="51" spans="1:11" x14ac:dyDescent="0.35">
      <c r="A51" s="6"/>
    </row>
    <row r="52" spans="1:11" x14ac:dyDescent="0.35">
      <c r="A52" s="6"/>
    </row>
    <row r="53" spans="1:11" x14ac:dyDescent="0.35">
      <c r="A53" s="6"/>
    </row>
    <row r="54" spans="1:11" x14ac:dyDescent="0.35">
      <c r="A54" s="6"/>
    </row>
    <row r="55" spans="1:11" x14ac:dyDescent="0.35">
      <c r="A55" s="1" t="s">
        <v>40</v>
      </c>
    </row>
    <row r="56" spans="1:11" s="18" customFormat="1" x14ac:dyDescent="0.35">
      <c r="A56" s="17" t="s">
        <v>38</v>
      </c>
      <c r="B56" s="12"/>
      <c r="C56" s="12"/>
      <c r="D56" s="12"/>
      <c r="E56" s="12"/>
      <c r="F56" s="12"/>
      <c r="G56" s="12">
        <v>43921</v>
      </c>
      <c r="H56" s="12">
        <v>44286</v>
      </c>
      <c r="I56" s="12">
        <v>44651</v>
      </c>
      <c r="J56" s="12">
        <v>45016</v>
      </c>
      <c r="K56" s="12">
        <v>45382</v>
      </c>
    </row>
    <row r="57" spans="1:11" x14ac:dyDescent="0.35">
      <c r="A57" s="6" t="s">
        <v>24</v>
      </c>
      <c r="G57">
        <v>4883.33</v>
      </c>
      <c r="H57">
        <v>4883.33</v>
      </c>
      <c r="I57">
        <v>4883.33</v>
      </c>
      <c r="J57">
        <v>6712.16</v>
      </c>
      <c r="K57">
        <v>6712.16</v>
      </c>
    </row>
    <row r="58" spans="1:11" x14ac:dyDescent="0.35">
      <c r="A58" s="6" t="s">
        <v>25</v>
      </c>
      <c r="G58">
        <v>701.8</v>
      </c>
      <c r="H58">
        <v>1148.8900000000001</v>
      </c>
      <c r="I58">
        <v>1858.03</v>
      </c>
      <c r="J58">
        <v>3791.03</v>
      </c>
      <c r="K58">
        <v>5521.34</v>
      </c>
    </row>
    <row r="59" spans="1:11" x14ac:dyDescent="0.35">
      <c r="A59" s="6" t="s">
        <v>71</v>
      </c>
      <c r="G59">
        <v>25600.44</v>
      </c>
      <c r="H59">
        <v>31600.6</v>
      </c>
      <c r="I59">
        <v>41492.32</v>
      </c>
      <c r="J59">
        <v>53745.39</v>
      </c>
      <c r="K59">
        <v>69129.320000000007</v>
      </c>
    </row>
    <row r="60" spans="1:11" x14ac:dyDescent="0.35">
      <c r="A60" s="6" t="s">
        <v>72</v>
      </c>
      <c r="G60">
        <v>186.85</v>
      </c>
      <c r="H60">
        <v>225.56</v>
      </c>
      <c r="I60">
        <v>293.39999999999998</v>
      </c>
      <c r="J60">
        <v>405.56</v>
      </c>
      <c r="K60">
        <v>464.27</v>
      </c>
    </row>
    <row r="61" spans="1:11" s="1" customFormat="1" x14ac:dyDescent="0.35">
      <c r="A61" s="1" t="s">
        <v>26</v>
      </c>
      <c r="G61">
        <v>31372.42</v>
      </c>
      <c r="H61">
        <v>37858.379999999997</v>
      </c>
      <c r="I61">
        <v>48527.08</v>
      </c>
      <c r="J61">
        <v>64654.14</v>
      </c>
      <c r="K61">
        <v>81827.09</v>
      </c>
    </row>
    <row r="62" spans="1:11" x14ac:dyDescent="0.35">
      <c r="A62" s="6" t="s">
        <v>27</v>
      </c>
      <c r="G62">
        <v>85.78</v>
      </c>
      <c r="H62">
        <v>78.89</v>
      </c>
      <c r="I62">
        <v>97.2</v>
      </c>
      <c r="J62">
        <v>112.99</v>
      </c>
      <c r="K62">
        <v>122.86</v>
      </c>
    </row>
    <row r="63" spans="1:11" x14ac:dyDescent="0.35">
      <c r="A63" s="6" t="s">
        <v>28</v>
      </c>
      <c r="I63">
        <v>1.46</v>
      </c>
      <c r="J63">
        <v>0.31</v>
      </c>
      <c r="K63">
        <v>0.87</v>
      </c>
    </row>
    <row r="64" spans="1:11" x14ac:dyDescent="0.35">
      <c r="A64" s="6" t="s">
        <v>29</v>
      </c>
      <c r="G64">
        <v>2508.02</v>
      </c>
      <c r="H64">
        <v>3266.04</v>
      </c>
      <c r="I64">
        <v>1248.27</v>
      </c>
      <c r="J64">
        <v>2000.91</v>
      </c>
      <c r="K64">
        <v>1938.57</v>
      </c>
    </row>
    <row r="65" spans="1:11" x14ac:dyDescent="0.35">
      <c r="A65" s="6" t="s">
        <v>73</v>
      </c>
      <c r="G65">
        <v>28778.62</v>
      </c>
      <c r="H65">
        <v>34513.449999999997</v>
      </c>
      <c r="I65">
        <v>47180.15</v>
      </c>
      <c r="J65">
        <v>62539.93</v>
      </c>
      <c r="K65">
        <v>79764.789999999994</v>
      </c>
    </row>
    <row r="66" spans="1:11" s="1" customFormat="1" x14ac:dyDescent="0.35">
      <c r="A66" s="1" t="s">
        <v>26</v>
      </c>
      <c r="G66">
        <v>31372.42</v>
      </c>
      <c r="H66">
        <v>37858.379999999997</v>
      </c>
      <c r="I66">
        <v>48527.08</v>
      </c>
      <c r="J66">
        <v>64654.14</v>
      </c>
      <c r="K66">
        <v>81827.09</v>
      </c>
    </row>
    <row r="67" spans="1:11" s="6" customFormat="1" x14ac:dyDescent="0.35">
      <c r="A67" s="6" t="s">
        <v>78</v>
      </c>
      <c r="G67">
        <v>118.4</v>
      </c>
      <c r="H67">
        <v>310.66000000000003</v>
      </c>
      <c r="I67">
        <v>1.87</v>
      </c>
      <c r="J67">
        <v>1.59</v>
      </c>
      <c r="K67">
        <v>13.36</v>
      </c>
    </row>
    <row r="68" spans="1:11" x14ac:dyDescent="0.35">
      <c r="A68" s="6" t="s">
        <v>45</v>
      </c>
    </row>
    <row r="69" spans="1:11" x14ac:dyDescent="0.35">
      <c r="A69" s="4" t="s">
        <v>87</v>
      </c>
      <c r="G69">
        <v>658.72</v>
      </c>
      <c r="H69">
        <v>716.78</v>
      </c>
      <c r="I69">
        <v>407.17</v>
      </c>
      <c r="J69">
        <v>108.87</v>
      </c>
      <c r="K69">
        <v>64.010000000000005</v>
      </c>
    </row>
    <row r="70" spans="1:11" x14ac:dyDescent="0.35">
      <c r="A70" s="4" t="s">
        <v>74</v>
      </c>
      <c r="G70">
        <v>4883333329</v>
      </c>
      <c r="H70">
        <v>4883333329</v>
      </c>
      <c r="I70">
        <v>4883333333</v>
      </c>
      <c r="J70">
        <v>6712155564</v>
      </c>
      <c r="K70">
        <v>6712155564</v>
      </c>
    </row>
    <row r="71" spans="1:11" x14ac:dyDescent="0.35">
      <c r="A71" s="4" t="s">
        <v>75</v>
      </c>
    </row>
    <row r="72" spans="1:11" x14ac:dyDescent="0.35">
      <c r="A72" s="4" t="s">
        <v>88</v>
      </c>
      <c r="G72">
        <v>10</v>
      </c>
      <c r="H72">
        <v>10</v>
      </c>
      <c r="I72">
        <v>10</v>
      </c>
      <c r="J72">
        <v>10</v>
      </c>
      <c r="K72">
        <v>10</v>
      </c>
    </row>
    <row r="74" spans="1:11" x14ac:dyDescent="0.35">
      <c r="A74" s="6"/>
    </row>
    <row r="75" spans="1:11" x14ac:dyDescent="0.35">
      <c r="A75" s="6"/>
    </row>
    <row r="76" spans="1:11" x14ac:dyDescent="0.35">
      <c r="A76" s="6"/>
    </row>
    <row r="77" spans="1:11" x14ac:dyDescent="0.35">
      <c r="A77" s="6"/>
    </row>
    <row r="78" spans="1:11" x14ac:dyDescent="0.35">
      <c r="A78" s="6"/>
    </row>
    <row r="79" spans="1:11" x14ac:dyDescent="0.35">
      <c r="A79" s="6"/>
    </row>
    <row r="80" spans="1:11" x14ac:dyDescent="0.35">
      <c r="A80" s="1" t="s">
        <v>41</v>
      </c>
    </row>
    <row r="81" spans="1:11" s="18" customFormat="1" x14ac:dyDescent="0.35">
      <c r="A81" s="17" t="s">
        <v>38</v>
      </c>
      <c r="B81" s="12"/>
      <c r="C81" s="12"/>
      <c r="D81" s="12"/>
      <c r="E81" s="12"/>
      <c r="F81" s="12"/>
      <c r="G81" s="12">
        <v>43921</v>
      </c>
      <c r="H81" s="12">
        <v>44286</v>
      </c>
      <c r="I81" s="12">
        <v>44651</v>
      </c>
      <c r="J81" s="12">
        <v>45016</v>
      </c>
      <c r="K81" s="12">
        <v>45382</v>
      </c>
    </row>
    <row r="82" spans="1:11" s="1" customFormat="1" x14ac:dyDescent="0.35">
      <c r="A82" s="6" t="s">
        <v>32</v>
      </c>
      <c r="G82">
        <v>-10244.209999999999</v>
      </c>
      <c r="H82">
        <v>-5075.7700000000004</v>
      </c>
      <c r="I82">
        <v>-12480.53</v>
      </c>
      <c r="J82">
        <v>-14331.77</v>
      </c>
      <c r="K82">
        <v>-15428.11</v>
      </c>
    </row>
    <row r="83" spans="1:11" s="6" customFormat="1" x14ac:dyDescent="0.35">
      <c r="A83" s="6" t="s">
        <v>33</v>
      </c>
      <c r="G83">
        <v>-693.56</v>
      </c>
      <c r="H83">
        <v>-797.04</v>
      </c>
      <c r="I83">
        <v>2197.3200000000002</v>
      </c>
      <c r="J83">
        <v>-611.44000000000005</v>
      </c>
      <c r="K83">
        <v>273.31</v>
      </c>
    </row>
    <row r="84" spans="1:11" s="6" customFormat="1" x14ac:dyDescent="0.35">
      <c r="A84" s="6" t="s">
        <v>34</v>
      </c>
      <c r="G84">
        <v>11489.51</v>
      </c>
      <c r="H84">
        <v>5675.87</v>
      </c>
      <c r="I84">
        <v>10228.459999999999</v>
      </c>
      <c r="J84">
        <v>14630.06</v>
      </c>
      <c r="K84">
        <v>15124.78</v>
      </c>
    </row>
    <row r="85" spans="1:11" s="1" customFormat="1" x14ac:dyDescent="0.35">
      <c r="A85" s="6" t="s">
        <v>35</v>
      </c>
      <c r="G85">
        <v>551.74</v>
      </c>
      <c r="H85">
        <v>-196.94</v>
      </c>
      <c r="I85">
        <v>-54.75</v>
      </c>
      <c r="J85">
        <v>-313.14999999999998</v>
      </c>
      <c r="K85">
        <v>-30.02</v>
      </c>
    </row>
    <row r="86" spans="1:11" x14ac:dyDescent="0.35">
      <c r="A86" s="6"/>
    </row>
    <row r="87" spans="1:11" x14ac:dyDescent="0.35">
      <c r="A87" s="6"/>
    </row>
    <row r="88" spans="1:11" x14ac:dyDescent="0.35">
      <c r="A88" s="6"/>
    </row>
    <row r="89" spans="1:11" x14ac:dyDescent="0.35">
      <c r="A89" s="6"/>
    </row>
    <row r="90" spans="1:11" s="1" customFormat="1" x14ac:dyDescent="0.35">
      <c r="A90" s="1" t="s">
        <v>77</v>
      </c>
    </row>
    <row r="92" spans="1:11" s="1" customFormat="1" x14ac:dyDescent="0.35">
      <c r="A92" s="1" t="s">
        <v>76</v>
      </c>
    </row>
    <row r="93" spans="1:11" x14ac:dyDescent="0.35">
      <c r="A93" s="4" t="s">
        <v>89</v>
      </c>
      <c r="B93" s="24">
        <f>IF($B7&gt;0,(B70*B72/$B7)+SUM(C71:$K71),0)/10000000</f>
        <v>0</v>
      </c>
      <c r="C93" s="24">
        <f>IF($B7&gt;0,(C70*C72/$B7)+SUM(D71:$K71),0)/10000000</f>
        <v>0</v>
      </c>
      <c r="D93" s="24">
        <f>IF($B7&gt;0,(D70*D72/$B7)+SUM(E71:$K71),0)/10000000</f>
        <v>0</v>
      </c>
      <c r="E93" s="24">
        <f>IF($B7&gt;0,(E70*E72/$B7)+SUM(F71:$K71),0)/10000000</f>
        <v>0</v>
      </c>
      <c r="F93" s="24">
        <f>IF($B7&gt;0,(F70*F72/$B7)+SUM(G71:$K71),0)/10000000</f>
        <v>0</v>
      </c>
      <c r="G93" s="24">
        <f>IF($B7&gt;0,(G70*G72/$B7)+SUM(H71:$K71),0)/10000000</f>
        <v>0</v>
      </c>
      <c r="H93" s="24">
        <f>IF($B7&gt;0,(H70*H72/$B7)+SUM(I71:$K71),0)/10000000</f>
        <v>0</v>
      </c>
      <c r="I93" s="24">
        <f>IF($B7&gt;0,(I70*I72/$B7)+SUM(J71:$K71),0)/10000000</f>
        <v>0</v>
      </c>
      <c r="J93" s="24">
        <f>IF($B7&gt;0,(J70*J72/$B7)+SUM(K71:$K71),0)/10000000</f>
        <v>0</v>
      </c>
      <c r="K93" s="24">
        <f>IF($B7&gt;0,(K70*K72/$B7),0)/10000000</f>
        <v>0</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docMetadata/LabelInfo.xml><?xml version="1.0" encoding="utf-8"?>
<clbl:labelList xmlns:clbl="http://schemas.microsoft.com/office/2020/mipLabelMetadata">
  <clbl:label id="{f9465cb1-7889-4d9a-b552-fdd0addf0eb1}" enabled="0" method="" siteId="{f9465cb1-7889-4d9a-b552-fdd0addf0eb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Model</vt:lpstr>
      <vt:lpstr>Profit &amp; Loss</vt:lpstr>
      <vt:lpstr>Main</vt:lpstr>
      <vt:lpstr>Quarters</vt:lpstr>
      <vt:lpstr>Balance Sheet</vt:lpstr>
      <vt:lpstr>Cash Flow</vt:lpstr>
      <vt:lpstr>Customization</vt:lpstr>
      <vt:lpstr>Data 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Chetan Kandpal</cp:lastModifiedBy>
  <cp:lastPrinted>2012-12-06T18:14:13Z</cp:lastPrinted>
  <dcterms:created xsi:type="dcterms:W3CDTF">2012-08-17T09:55:37Z</dcterms:created>
  <dcterms:modified xsi:type="dcterms:W3CDTF">2024-09-08T10:25:46Z</dcterms:modified>
</cp:coreProperties>
</file>