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C:\Users\ChetanKandpal\Downloads\"/>
    </mc:Choice>
  </mc:AlternateContent>
  <xr:revisionPtr revIDLastSave="0" documentId="13_ncr:1_{87EA9E39-15D9-4AC7-AE0E-9E218DCACF8A}" xr6:coauthVersionLast="47" xr6:coauthVersionMax="47" xr10:uidLastSave="{00000000-0000-0000-0000-000000000000}"/>
  <bookViews>
    <workbookView xWindow="-110" yWindow="-110" windowWidth="19420" windowHeight="11500" xr2:uid="{00000000-000D-0000-FFFF-FFFF00000000}"/>
  </bookViews>
  <sheets>
    <sheet name="Sheet1" sheetId="8" r:id="rId1"/>
    <sheet name="Profit &amp; Loss" sheetId="1" r:id="rId2"/>
    <sheet name="Main" sheetId="7" r:id="rId3"/>
    <sheet name="Quarters" sheetId="3" r:id="rId4"/>
    <sheet name="Balance Sheet" sheetId="2" r:id="rId5"/>
    <sheet name="Cash Flow" sheetId="4" r:id="rId6"/>
    <sheet name="Customization" sheetId="5" r:id="rId7"/>
    <sheet name="Data Sheet" sheetId="6" r:id="rId8"/>
  </sheet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4" i="8" l="1"/>
  <c r="K11" i="8"/>
  <c r="K16" i="8" s="1"/>
  <c r="K17" i="8" s="1"/>
  <c r="J21" i="8"/>
  <c r="K21" i="8"/>
  <c r="L21" i="8"/>
  <c r="M21" i="8"/>
  <c r="N21" i="8"/>
  <c r="J17" i="8"/>
  <c r="L17" i="8"/>
  <c r="M17" i="8"/>
  <c r="N15" i="8"/>
  <c r="N14" i="8"/>
  <c r="N16" i="8" s="1"/>
  <c r="N17" i="8" s="1"/>
  <c r="N11" i="8"/>
  <c r="AA15" i="8"/>
  <c r="AA14" i="8"/>
  <c r="AA16" i="8" s="1"/>
  <c r="AA17" i="8" s="1"/>
  <c r="AA11" i="8"/>
  <c r="P21" i="8"/>
  <c r="Q21" i="8"/>
  <c r="R21" i="8"/>
  <c r="S21" i="8"/>
  <c r="T21" i="8"/>
  <c r="U21" i="8"/>
  <c r="V21" i="8"/>
  <c r="W21" i="8"/>
  <c r="X21" i="8"/>
  <c r="Y21" i="8"/>
  <c r="Z21" i="8"/>
  <c r="AA21" i="8"/>
  <c r="AB21" i="8"/>
  <c r="AC21" i="8"/>
  <c r="AD21" i="8"/>
  <c r="AE21" i="8"/>
  <c r="AF21" i="8"/>
  <c r="AG21" i="8"/>
  <c r="AH21" i="8"/>
  <c r="AI21" i="8"/>
  <c r="AJ21" i="8"/>
  <c r="AK21" i="8"/>
  <c r="AL21" i="8"/>
  <c r="O21" i="8"/>
  <c r="T17" i="8"/>
  <c r="U17" i="8"/>
  <c r="V17" i="8"/>
  <c r="W17" i="8"/>
  <c r="X17" i="8"/>
  <c r="Y17" i="8"/>
  <c r="Z17" i="8"/>
  <c r="AC17" i="8"/>
  <c r="AD17" i="8"/>
  <c r="AJ17" i="8"/>
  <c r="C16" i="8"/>
  <c r="D16" i="8"/>
  <c r="E16" i="8"/>
  <c r="F16" i="8"/>
  <c r="G16" i="8"/>
  <c r="H16" i="8"/>
  <c r="I16" i="8"/>
  <c r="I17" i="8" s="1"/>
  <c r="J16" i="8"/>
  <c r="L16" i="8"/>
  <c r="M16" i="8"/>
  <c r="Y16" i="8"/>
  <c r="Z16" i="8"/>
  <c r="AC16" i="8"/>
  <c r="AD16" i="8"/>
  <c r="AE16" i="8"/>
  <c r="AE17" i="8" s="1"/>
  <c r="AF16" i="8"/>
  <c r="AF17" i="8" s="1"/>
  <c r="AG16" i="8"/>
  <c r="AG17" i="8" s="1"/>
  <c r="AH16" i="8"/>
  <c r="AH17" i="8" s="1"/>
  <c r="AI16" i="8"/>
  <c r="AI17" i="8" s="1"/>
  <c r="AJ16" i="8"/>
  <c r="AK16" i="8"/>
  <c r="AL16" i="8"/>
  <c r="P16" i="8"/>
  <c r="P17" i="8" s="1"/>
  <c r="Q16" i="8"/>
  <c r="Q17" i="8" s="1"/>
  <c r="AB15" i="8"/>
  <c r="O15" i="8"/>
  <c r="R15" i="8"/>
  <c r="S15" i="8"/>
  <c r="AB14" i="8"/>
  <c r="AB16" i="8" s="1"/>
  <c r="AB17" i="8" s="1"/>
  <c r="O14" i="8"/>
  <c r="R14" i="8"/>
  <c r="S14" i="8"/>
  <c r="AB11" i="8"/>
  <c r="Z2" i="8"/>
  <c r="AA2" i="8" s="1"/>
  <c r="AB2" i="8" s="1"/>
  <c r="AC2" i="8" s="1"/>
  <c r="AD2" i="8" s="1"/>
  <c r="AE2" i="8" s="1"/>
  <c r="AF2" i="8" s="1"/>
  <c r="AG2" i="8" s="1"/>
  <c r="AH2" i="8" s="1"/>
  <c r="AI2" i="8" s="1"/>
  <c r="AJ2" i="8" s="1"/>
  <c r="AK2" i="8" s="1"/>
  <c r="AL2" i="8" s="1"/>
  <c r="O11" i="8"/>
  <c r="O16" i="8" s="1"/>
  <c r="O17" i="8" s="1"/>
  <c r="R11" i="8"/>
  <c r="R16" i="8" s="1"/>
  <c r="R17" i="8" s="1"/>
  <c r="S11" i="8"/>
  <c r="S16" i="8" s="1"/>
  <c r="S17" i="8" s="1"/>
  <c r="L32" i="1" l="1"/>
  <c r="I33" i="1"/>
  <c r="J33" i="1"/>
  <c r="K33" i="1"/>
  <c r="H33" i="1"/>
  <c r="H30" i="1"/>
  <c r="I30" i="1" s="1"/>
  <c r="J30" i="1" s="1"/>
  <c r="K30" i="1" s="1"/>
  <c r="L30" i="1" s="1"/>
  <c r="M30" i="1" s="1"/>
  <c r="N30" i="1" s="1"/>
  <c r="O30" i="1" s="1"/>
  <c r="P30" i="1" s="1"/>
  <c r="Q30" i="1" s="1"/>
  <c r="R30" i="1" s="1"/>
  <c r="S30" i="1" s="1"/>
  <c r="T30" i="1" s="1"/>
  <c r="U30" i="1" s="1"/>
  <c r="V30" i="1" s="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BB30" i="1" s="1"/>
  <c r="BC30" i="1" s="1"/>
  <c r="BD30" i="1" s="1"/>
  <c r="BE30" i="1" s="1"/>
  <c r="BF30" i="1" s="1"/>
  <c r="BG30" i="1" s="1"/>
  <c r="BH30" i="1" s="1"/>
  <c r="K32" i="1"/>
  <c r="J32" i="1"/>
  <c r="I32" i="1"/>
  <c r="H32" i="1"/>
  <c r="P7" i="7"/>
  <c r="M32" i="1" l="1"/>
  <c r="N32" i="1" s="1"/>
  <c r="O32" i="1" s="1"/>
  <c r="P32" i="1" s="1"/>
  <c r="Q32" i="1" s="1"/>
  <c r="R32" i="1" s="1"/>
  <c r="S32" i="1" s="1"/>
  <c r="T32" i="1" s="1"/>
  <c r="U32" i="1" s="1"/>
  <c r="V32" i="1" s="1"/>
  <c r="W32" i="1" s="1"/>
  <c r="X32" i="1" s="1"/>
  <c r="Y32" i="1" s="1"/>
  <c r="Z32" i="1" s="1"/>
  <c r="AA32" i="1" s="1"/>
  <c r="AB32" i="1" s="1"/>
  <c r="AC32" i="1" s="1"/>
  <c r="AD32" i="1" s="1"/>
  <c r="AE32" i="1" s="1"/>
  <c r="AF32" i="1" s="1"/>
  <c r="AG32" i="1" s="1"/>
  <c r="AH32" i="1" s="1"/>
  <c r="AI32" i="1" s="1"/>
  <c r="AJ32" i="1" s="1"/>
  <c r="AK32" i="1" s="1"/>
  <c r="AL32" i="1" s="1"/>
  <c r="C6" i="3"/>
  <c r="D6" i="3"/>
  <c r="E6" i="3"/>
  <c r="F6" i="3"/>
  <c r="G6" i="3"/>
  <c r="H6" i="3"/>
  <c r="I6" i="3"/>
  <c r="J6" i="3"/>
  <c r="K6" i="3"/>
  <c r="B6" i="3"/>
  <c r="C5" i="1"/>
  <c r="D5" i="1"/>
  <c r="D6" i="1" s="1"/>
  <c r="D19" i="1" s="1"/>
  <c r="E5" i="1"/>
  <c r="F5" i="1"/>
  <c r="G5" i="1"/>
  <c r="H5" i="1"/>
  <c r="I5" i="1"/>
  <c r="J5" i="1"/>
  <c r="K5" i="1"/>
  <c r="B5" i="1"/>
  <c r="K93" i="6"/>
  <c r="K13" i="1" s="1"/>
  <c r="C93" i="6"/>
  <c r="C13" i="1" s="1"/>
  <c r="D93" i="6"/>
  <c r="D13" i="1" s="1"/>
  <c r="E93" i="6"/>
  <c r="E13" i="1" s="1"/>
  <c r="F93" i="6"/>
  <c r="F13" i="1" s="1"/>
  <c r="G93" i="6"/>
  <c r="G13" i="1" s="1"/>
  <c r="H93" i="6"/>
  <c r="I93" i="6"/>
  <c r="J93" i="6"/>
  <c r="J13" i="1" s="1"/>
  <c r="B93" i="6"/>
  <c r="B13" i="1" s="1"/>
  <c r="B6" i="6"/>
  <c r="C17" i="2"/>
  <c r="D17" i="2"/>
  <c r="E17" i="2"/>
  <c r="F17" i="2"/>
  <c r="G17" i="2"/>
  <c r="G20" i="2" s="1"/>
  <c r="H17" i="2"/>
  <c r="I17" i="2"/>
  <c r="J17" i="2"/>
  <c r="K17" i="2"/>
  <c r="C18" i="2"/>
  <c r="C21" i="2" s="1"/>
  <c r="D18" i="2"/>
  <c r="E18" i="2"/>
  <c r="F18" i="2"/>
  <c r="G18" i="2"/>
  <c r="H18" i="2"/>
  <c r="H21" i="2" s="1"/>
  <c r="I18" i="2"/>
  <c r="I21" i="2" s="1"/>
  <c r="J18" i="2"/>
  <c r="J21" i="2" s="1"/>
  <c r="K18" i="2"/>
  <c r="K21" i="2" s="1"/>
  <c r="B17" i="2"/>
  <c r="C4" i="2"/>
  <c r="C23" i="2" s="1"/>
  <c r="D4" i="2"/>
  <c r="D23" i="2" s="1"/>
  <c r="E4" i="2"/>
  <c r="E5" i="2"/>
  <c r="E23" i="2"/>
  <c r="F4" i="2"/>
  <c r="G4" i="2"/>
  <c r="H4" i="2"/>
  <c r="I4" i="2"/>
  <c r="I5" i="2"/>
  <c r="I23" i="2"/>
  <c r="J4" i="2"/>
  <c r="J5" i="2"/>
  <c r="J23" i="2" s="1"/>
  <c r="K4" i="2"/>
  <c r="K23" i="2" s="1"/>
  <c r="C5" i="2"/>
  <c r="D5" i="2"/>
  <c r="F5" i="2"/>
  <c r="G5" i="2"/>
  <c r="H5" i="2"/>
  <c r="K5" i="2"/>
  <c r="C6" i="2"/>
  <c r="D6" i="2"/>
  <c r="E6" i="2"/>
  <c r="F6" i="2"/>
  <c r="G6" i="2"/>
  <c r="H6" i="2"/>
  <c r="I6" i="2"/>
  <c r="J6" i="2"/>
  <c r="K6" i="2"/>
  <c r="C7" i="2"/>
  <c r="C16" i="2" s="1"/>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H16" i="2" s="1"/>
  <c r="I13" i="2"/>
  <c r="J13" i="2"/>
  <c r="J16" i="2" s="1"/>
  <c r="K13" i="2"/>
  <c r="K16" i="2" s="1"/>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F4" i="3"/>
  <c r="G4" i="3"/>
  <c r="G14" i="3" s="1"/>
  <c r="H4" i="3"/>
  <c r="I4" i="3"/>
  <c r="I14" i="3" s="1"/>
  <c r="J4" i="3"/>
  <c r="J14" i="3" s="1"/>
  <c r="K4" i="3"/>
  <c r="K14" i="3" s="1"/>
  <c r="C5" i="3"/>
  <c r="D5" i="3"/>
  <c r="E5" i="3"/>
  <c r="F5" i="3"/>
  <c r="G5" i="3"/>
  <c r="H5" i="3"/>
  <c r="I5" i="3"/>
  <c r="J5" i="3"/>
  <c r="K5" i="3"/>
  <c r="L5" i="1" s="1"/>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2" i="3"/>
  <c r="D12" i="3"/>
  <c r="E12" i="3"/>
  <c r="F12" i="3"/>
  <c r="G12" i="3"/>
  <c r="H12" i="3"/>
  <c r="I12" i="3"/>
  <c r="J12" i="3"/>
  <c r="K12" i="3"/>
  <c r="B5" i="3"/>
  <c r="C18" i="1"/>
  <c r="D18" i="1"/>
  <c r="E18" i="1"/>
  <c r="F18" i="1"/>
  <c r="G18" i="1"/>
  <c r="H18" i="1"/>
  <c r="I18" i="1"/>
  <c r="J18" i="1"/>
  <c r="K18" i="1"/>
  <c r="B18" i="1"/>
  <c r="C4" i="1"/>
  <c r="D4" i="1"/>
  <c r="E4" i="1"/>
  <c r="F4" i="1"/>
  <c r="F20" i="2" s="1"/>
  <c r="G4" i="1"/>
  <c r="H4" i="1"/>
  <c r="I4" i="1"/>
  <c r="I6" i="1" s="1"/>
  <c r="I19" i="1" s="1"/>
  <c r="J4" i="1"/>
  <c r="J20" i="2" s="1"/>
  <c r="K4" i="1"/>
  <c r="K20" i="2" s="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D12" i="1"/>
  <c r="E12" i="1"/>
  <c r="F12" i="1"/>
  <c r="G12" i="1"/>
  <c r="H12" i="1"/>
  <c r="I12" i="1"/>
  <c r="J12" i="1"/>
  <c r="K12" i="1"/>
  <c r="C15" i="1"/>
  <c r="C14" i="1"/>
  <c r="D15" i="1"/>
  <c r="D14" i="1" s="1"/>
  <c r="E15" i="1"/>
  <c r="E14" i="1" s="1"/>
  <c r="F15" i="1"/>
  <c r="F14" i="1" s="1"/>
  <c r="G15" i="1"/>
  <c r="G14" i="1"/>
  <c r="H15" i="1"/>
  <c r="H14" i="1" s="1"/>
  <c r="I15" i="1"/>
  <c r="I14" i="1" s="1"/>
  <c r="J15" i="1"/>
  <c r="J14" i="1" s="1"/>
  <c r="K15" i="1"/>
  <c r="K14" i="1"/>
  <c r="B15" i="1"/>
  <c r="B14" i="1" s="1"/>
  <c r="H13" i="1"/>
  <c r="I13" i="1"/>
  <c r="B7" i="1"/>
  <c r="B4" i="1"/>
  <c r="B20" i="2" s="1"/>
  <c r="A1" i="1"/>
  <c r="A1" i="2" s="1"/>
  <c r="A1" i="4" s="1"/>
  <c r="E1" i="6"/>
  <c r="H1" i="1" s="1"/>
  <c r="E1" i="3"/>
  <c r="D16" i="2"/>
  <c r="F23" i="2"/>
  <c r="G23" i="2"/>
  <c r="F16" i="2"/>
  <c r="G6" i="1"/>
  <c r="G19" i="1" s="1"/>
  <c r="C6" i="1"/>
  <c r="C19" i="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G21" i="2"/>
  <c r="F21" i="2"/>
  <c r="E21" i="2"/>
  <c r="D21" i="2"/>
  <c r="B18" i="2"/>
  <c r="B21" i="2"/>
  <c r="B13" i="2"/>
  <c r="B12" i="2"/>
  <c r="B11" i="2"/>
  <c r="B10" i="2"/>
  <c r="B8" i="2"/>
  <c r="B7" i="2"/>
  <c r="B6" i="2"/>
  <c r="B3" i="2"/>
  <c r="F14" i="3"/>
  <c r="B12" i="3"/>
  <c r="B11" i="3"/>
  <c r="B10" i="3"/>
  <c r="B9" i="3"/>
  <c r="B8" i="3"/>
  <c r="B7" i="3"/>
  <c r="B4" i="3"/>
  <c r="B14" i="3" s="1"/>
  <c r="B3" i="3"/>
  <c r="N13" i="1"/>
  <c r="M13" i="1"/>
  <c r="L13" i="1"/>
  <c r="L14" i="1" s="1"/>
  <c r="L25" i="1" s="1"/>
  <c r="L15" i="1"/>
  <c r="B12" i="1"/>
  <c r="B11" i="1"/>
  <c r="B10" i="1"/>
  <c r="B9" i="1"/>
  <c r="B8" i="1"/>
  <c r="B3" i="1"/>
  <c r="E14" i="3"/>
  <c r="D20" i="2"/>
  <c r="C20" i="2"/>
  <c r="E20" i="2"/>
  <c r="L12" i="1"/>
  <c r="L11" i="1"/>
  <c r="I23" i="1"/>
  <c r="J23" i="1"/>
  <c r="A1" i="3" l="1"/>
  <c r="L6" i="1"/>
  <c r="C24" i="2"/>
  <c r="L4" i="1"/>
  <c r="B16" i="2"/>
  <c r="E16" i="2"/>
  <c r="L10" i="1"/>
  <c r="N11" i="1" s="1"/>
  <c r="G16" i="2"/>
  <c r="E1" i="2"/>
  <c r="J25" i="1"/>
  <c r="H23" i="1"/>
  <c r="B6" i="1"/>
  <c r="B19" i="1" s="1"/>
  <c r="E6" i="1"/>
  <c r="E19" i="1" s="1"/>
  <c r="X41" i="1"/>
  <c r="X42" i="1" s="1"/>
  <c r="K6" i="1"/>
  <c r="K19" i="1" s="1"/>
  <c r="L23" i="1"/>
  <c r="H14" i="3"/>
  <c r="J24" i="2"/>
  <c r="K25" i="1"/>
  <c r="M25" i="1" s="1"/>
  <c r="M14" i="1" s="1"/>
  <c r="M15" i="1" s="1"/>
  <c r="H24" i="2"/>
  <c r="I16" i="2"/>
  <c r="G24" i="2"/>
  <c r="J6" i="1"/>
  <c r="J19" i="1" s="1"/>
  <c r="K24" i="1" s="1"/>
  <c r="I24" i="2"/>
  <c r="H24" i="1"/>
  <c r="H23" i="2"/>
  <c r="L9" i="1"/>
  <c r="M9" i="1" s="1"/>
  <c r="K24" i="2"/>
  <c r="L8" i="1"/>
  <c r="L7" i="1"/>
  <c r="F24" i="2"/>
  <c r="B23" i="2"/>
  <c r="E24" i="2"/>
  <c r="D24" i="2"/>
  <c r="N9" i="1"/>
  <c r="N8" i="1"/>
  <c r="M8" i="1"/>
  <c r="H25" i="1"/>
  <c r="I25" i="1"/>
  <c r="I20" i="2"/>
  <c r="H20" i="2"/>
  <c r="K23" i="1"/>
  <c r="H6" i="1"/>
  <c r="H19" i="1" s="1"/>
  <c r="F6" i="1"/>
  <c r="F19" i="1" s="1"/>
  <c r="E1" i="4"/>
  <c r="M24" i="1" l="1"/>
  <c r="I24" i="1"/>
  <c r="N24" i="1" s="1"/>
  <c r="J24" i="1"/>
  <c r="M11" i="1"/>
  <c r="L19" i="1"/>
  <c r="L24" i="1" s="1"/>
  <c r="M23" i="1"/>
  <c r="M4" i="1" s="1"/>
  <c r="N25" i="1"/>
  <c r="N14" i="1" s="1"/>
  <c r="N15" i="1" s="1"/>
  <c r="N23" i="1"/>
  <c r="N4" i="1" s="1"/>
  <c r="M6" i="1" l="1"/>
  <c r="M10" i="1" s="1"/>
  <c r="M12" i="1" s="1"/>
  <c r="N6" i="1"/>
  <c r="N10" i="1" s="1"/>
  <c r="N12" i="1" s="1"/>
  <c r="N5" i="1" l="1"/>
  <c r="M5" i="1"/>
</calcChain>
</file>

<file path=xl/sharedStrings.xml><?xml version="1.0" encoding="utf-8"?>
<sst xmlns="http://schemas.openxmlformats.org/spreadsheetml/2006/main" count="230" uniqueCount="174">
  <si>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</si>
  <si>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</si>
  <si>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</si>
  <si>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</si>
  <si>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</si>
  <si>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</si>
  <si>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</si>
  <si>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</si>
  <si>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</si>
  <si>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</si>
  <si>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</si>
  <si>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</si>
  <si>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</si>
  <si>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</si>
  <si>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</si>
  <si>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</si>
  <si>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</si>
  <si>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</si>
  <si>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</si>
  <si>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</si>
  <si>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</si>
  <si>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</si>
  <si>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</si>
  <si>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</si>
  <si>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</si>
  <si>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</si>
  <si>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</si>
  <si>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</si>
  <si>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</si>
  <si>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</si>
  <si>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</si>
  <si>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</si>
  <si>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</si>
  <si>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</si>
  <si>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</si>
  <si>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</si>
  <si>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</si>
  <si>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</si>
  <si>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</si>
  <si>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</si>
  <si>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</si>
  <si>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</si>
  <si>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</si>
  <si>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</si>
  <si>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</si>
  <si>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</si>
  <si>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</si>
  <si>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</si>
  <si>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</si>
  <si>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</si>
  <si>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</si>
  <si>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</si>
  <si>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</si>
  <si>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</si>
  <si>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</si>
  <si>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</si>
  <si>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</si>
  <si>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</si>
  <si>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</si>
  <si>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</si>
  <si>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</si>
  <si>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</si>
  <si>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</si>
  <si>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BAJAJ HOUSING FINANCE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</si>
  <si>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</si>
  <si>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</si>
  <si>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</si>
  <si>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</si>
  <si>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</si>
  <si>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</si>
  <si>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</si>
  <si>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</si>
  <si>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</si>
  <si>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</si>
  <si>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</si>
  <si>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</si>
  <si>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</si>
  <si>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</si>
  <si>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</si>
  <si>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</si>
  <si>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</si>
  <si>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</si>
  <si>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</si>
  <si>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</si>
  <si>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</si>
  <si>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</si>
  <si>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</si>
  <si>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</si>
  <si>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</si>
  <si>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</si>
  <si>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</si>
  <si>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</si>
  <si>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</si>
  <si>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Non-Banking Financial Company</t>
  </si>
  <si>
    <t>Cash</t>
  </si>
  <si>
    <t>Shares</t>
  </si>
  <si>
    <t>MC</t>
  </si>
  <si>
    <t>Debt</t>
  </si>
  <si>
    <t>EV</t>
  </si>
  <si>
    <t>100% subsidiary of Bajaj Finance Limited</t>
  </si>
  <si>
    <t>88.11 million customers </t>
  </si>
  <si>
    <t>finance to individuals as well as corporate entities for the purchase and renovation of homes, or commercial spaces. It also provides loans against property for business or personal needs as well as working capital for business expansion purposes. BHFL also offers finance to developers engaged in the construction of residential and commercial properties as well as lease rental discounting to developers and high-net-worth individuals</t>
  </si>
  <si>
    <t>Convenient application and processing with a quick turnaround time DIY Home Loan application, WhatsApp application, ‘Call to Apply’, etc. Doorstep documentation Disbursal in 72 hours*</t>
  </si>
  <si>
    <t>()</t>
  </si>
  <si>
    <t>Housing Loan company</t>
  </si>
  <si>
    <t>A Good  CAR of 21.28 as per March 2024.  !5-20% is considered a good CAR --&gt; Less risky investments.</t>
  </si>
  <si>
    <t>Gross NON performing assets - 0.27% . Below 1% is seen as excellent.</t>
  </si>
  <si>
    <t>Everything depends on Performance of Housing Markets in india</t>
  </si>
  <si>
    <t>~not very good signs housing market will be on a boom for a few years</t>
  </si>
  <si>
    <t>Claims</t>
  </si>
  <si>
    <t>Outstanding individual housing loans as % to GDP stood at 10.52% as of 31 March 2023</t>
  </si>
  <si>
    <t>Products</t>
  </si>
  <si>
    <t>home loans</t>
  </si>
  <si>
    <t>loans against property</t>
  </si>
  <si>
    <t>developer financing.</t>
  </si>
  <si>
    <t>focused on building low-risk medium-return portfolio where HL contribute 58% of portfolio. Of which, 92% pertains to lower risk segments of salaried ppl.</t>
  </si>
  <si>
    <t>YOY growth</t>
  </si>
  <si>
    <t>Value(cr)</t>
  </si>
  <si>
    <t xml:space="preserve"> lease rental discounting</t>
  </si>
  <si>
    <t>clients</t>
  </si>
  <si>
    <t>Salaries/self emp</t>
  </si>
  <si>
    <t>sme/msme+salaried+self</t>
  </si>
  <si>
    <t>HNI/Corporates/Builders</t>
  </si>
  <si>
    <t>Big developer groups</t>
  </si>
  <si>
    <t>cr</t>
  </si>
  <si>
    <t xml:space="preserve"> Assets </t>
  </si>
  <si>
    <t>ipo range avg</t>
  </si>
  <si>
    <t>Profitincrease</t>
  </si>
  <si>
    <t>Profit Increase</t>
  </si>
  <si>
    <t>Maturity</t>
  </si>
  <si>
    <t>ROIC</t>
  </si>
  <si>
    <t>Discount</t>
  </si>
  <si>
    <t>NPV</t>
  </si>
  <si>
    <t>Share</t>
  </si>
  <si>
    <t>Return %</t>
  </si>
  <si>
    <t>targeting</t>
  </si>
  <si>
    <t>Main</t>
  </si>
  <si>
    <t>Q120</t>
  </si>
  <si>
    <t>Q220</t>
  </si>
  <si>
    <t>Q320</t>
  </si>
  <si>
    <t>Q420</t>
  </si>
  <si>
    <t>Q121</t>
  </si>
  <si>
    <t>Q221</t>
  </si>
  <si>
    <t>Q321</t>
  </si>
  <si>
    <t>Q421</t>
  </si>
  <si>
    <t>Q122</t>
  </si>
  <si>
    <t>Q222</t>
  </si>
  <si>
    <t>Q322</t>
  </si>
  <si>
    <t>Q422</t>
  </si>
  <si>
    <t>Q123</t>
  </si>
  <si>
    <t>Q223</t>
  </si>
  <si>
    <t>Q323</t>
  </si>
  <si>
    <t>Q423</t>
  </si>
  <si>
    <t>Q124</t>
  </si>
  <si>
    <t>Q224</t>
  </si>
  <si>
    <t>Q324</t>
  </si>
  <si>
    <t>Q424</t>
  </si>
  <si>
    <t>Interest Inc</t>
  </si>
  <si>
    <t>Fees and Comm</t>
  </si>
  <si>
    <t>Net gain</t>
  </si>
  <si>
    <t>Sales of services</t>
  </si>
  <si>
    <t>Inc on loans</t>
  </si>
  <si>
    <t>Other inc</t>
  </si>
  <si>
    <t>Total Revenue</t>
  </si>
  <si>
    <t>Financia Costs</t>
  </si>
  <si>
    <t>Impairement of Instruments</t>
  </si>
  <si>
    <t>COGS</t>
  </si>
  <si>
    <t>Operational expenses</t>
  </si>
  <si>
    <t>Gross Margins</t>
  </si>
  <si>
    <t>Operational Income</t>
  </si>
  <si>
    <t>pretax income</t>
  </si>
  <si>
    <t>Taxes</t>
  </si>
  <si>
    <t>Net Income</t>
  </si>
  <si>
    <t>629.88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</si>
</sst>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 #,##0.00;[Red]&quot;₹&quot;\ \-#,##0.00"/>
    <numFmt numFmtId="43" formatCode="_ * #,##0.00_ ;_ * \-#,##0.00_ ;_ * &quot;-&quot;??_ ;_ @_ "/>
    <numFmt numFmtId="164" formatCode="_(* #,##0.00_);_(* \(#,##0.00\);_(* &quot;-&quot;??_);_(@_)"/>
    <numFmt numFmtId="165" formatCode="[$-409]mmm\-yy;@"/>
    <numFmt numFmtId="166" formatCode="0.0%"/>
  </numFmts>
  <fonts count="13"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sz val="20"/>
      <color rgb="FF111111"/>
      <name val="Roboto"/>
    </font>
    <font>
      <sz val="7"/>
      <color rgb="FF1A1A1A"/>
      <name val="Arial"/>
      <family val="2"/>
    </font>
    <font>
      <sz val="11"/>
      <color theme="1"/>
      <name val="Calibri"/>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4"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44">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10" fillId="0" borderId="0" xfId="0" applyFont="1"/>
    <xf numFmtId="0" fontId="11" fillId="0" borderId="0" xfId="0" applyFont="1"/>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9" fontId="0" fillId="0" borderId="0" xfId="0" applyNumberFormat="1"/>
    <xf numFmtId="17" fontId="0" fillId="6" borderId="0" xfId="0" applyNumberFormat="1" applyFill="1"/>
    <xf numFmtId="4" fontId="0" fillId="0" borderId="4" xfId="0" applyNumberFormat="1" applyBorder="1"/>
    <xf numFmtId="0" fontId="12" fillId="0" borderId="0" xfId="0" applyFont="1"/>
    <xf numFmtId="166" fontId="0" fillId="0" borderId="0" xfId="0" applyNumberFormat="1"/>
    <xf numFmtId="43" fontId="0" fillId="0" borderId="0" xfId="0" applyNumberFormat="1"/>
    <xf numFmtId="8" fontId="0" fillId="0" borderId="0" xfId="0" applyNumberFormat="1"/>
    <xf numFmtId="0" fontId="0" fillId="0" borderId="0" xfId="0" quotePrefix="1"/>
    <xf numFmtId="43" fontId="4" fillId="0" borderId="0" xfId="2" applyNumberFormat="1" applyBorder="1" applyAlignment="1" applyProtection="1">
      <alignment horizontal="center"/>
    </xf>
    <xf numFmtId="43" fontId="2" fillId="4" borderId="0" xfId="5" applyNumberFormat="1" applyFont="1" applyBorder="1" applyAlignment="1">
      <alignment horizontal="center"/>
    </xf>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22</xdr:col>
      <xdr:colOff>596900</xdr:colOff>
      <xdr:row>0</xdr:row>
      <xdr:rowOff>19050</xdr:rowOff>
    </xdr:from>
    <xdr:to>
      <xdr:col>23</xdr:col>
      <xdr:colOff>6350</xdr:colOff>
      <xdr:row>50</xdr:row>
      <xdr:rowOff>120650</xdr:rowOff>
    </xdr:to>
    <xdr:cxnSp macro="">
      <xdr:nvCxnSpPr>
        <xdr:cNvPr id="3" name="Straight Connector 2">
          <a:extLst>
            <a:ext uri="{FF2B5EF4-FFF2-40B4-BE49-F238E27FC236}">
              <a16:creationId xmlns:a16="http://schemas.microsoft.com/office/drawing/2014/main" id="{152632A9-42D9-6DC6-84C6-FF8BC13051D8}"/>
            </a:ext>
          </a:extLst>
        </xdr:cNvPr>
        <xdr:cNvCxnSpPr/>
      </xdr:nvCxnSpPr>
      <xdr:spPr>
        <a:xfrm>
          <a:off x="14668500" y="19050"/>
          <a:ext cx="19050" cy="930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337766</xdr:colOff>
      <xdr:row>0</xdr:row>
      <xdr:rowOff>40532</xdr:rowOff>
    </xdr:from>
    <xdr:to>
      <xdr:col>8</xdr:col>
      <xdr:colOff>371543</xdr:colOff>
      <xdr:row>34</xdr:row>
      <xdr:rowOff>6755</xdr:rowOff>
    </xdr:to>
    <xdr:cxnSp macro="">
      <xdr:nvCxnSpPr>
        <xdr:cNvPr id="3" name="Straight Connector 2">
          <a:extLst>
            <a:ext uri="{FF2B5EF4-FFF2-40B4-BE49-F238E27FC236}">
              <a16:creationId xmlns:a16="http://schemas.microsoft.com/office/drawing/2014/main" id="{5A9DD7E1-3AFB-6D26-30EC-9DD8A692FACB}"/>
            </a:ext>
          </a:extLst>
        </xdr:cNvPr>
        <xdr:cNvCxnSpPr/>
      </xdr:nvCxnSpPr>
      <xdr:spPr>
        <a:xfrm>
          <a:off x="7282234" y="40532"/>
          <a:ext cx="33777" cy="61270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xdr:colOff>
      <xdr:row>6</xdr:row>
      <xdr:rowOff>1</xdr:rowOff>
    </xdr:from>
    <xdr:to>
      <xdr:col>5</xdr:col>
      <xdr:colOff>453572</xdr:colOff>
      <xdr:row>18</xdr:row>
      <xdr:rowOff>22679</xdr:rowOff>
    </xdr:to>
    <xdr:pic>
      <xdr:nvPicPr>
        <xdr:cNvPr id="4" name="Picture 3">
          <a:extLst>
            <a:ext uri="{FF2B5EF4-FFF2-40B4-BE49-F238E27FC236}">
              <a16:creationId xmlns:a16="http://schemas.microsoft.com/office/drawing/2014/main" id="{B1F46E2B-D6FE-BF2E-7A87-2BB99B46B272}"/>
            </a:ext>
          </a:extLst>
        </xdr:cNvPr>
        <xdr:cNvPicPr>
          <a:picLocks noChangeAspect="1"/>
        </xdr:cNvPicPr>
      </xdr:nvPicPr>
      <xdr:blipFill>
        <a:blip xmlns:r="http://schemas.openxmlformats.org/officeDocument/2006/relationships" r:embed="rId1"/>
        <a:stretch>
          <a:fillRect/>
        </a:stretch>
      </xdr:blipFill>
      <xdr:spPr>
        <a:xfrm>
          <a:off x="1" y="1235983"/>
          <a:ext cx="6304642" cy="219982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20"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creener.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screener.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C062-4910-4A89-9D4D-AD5D62323320}">
  <dimension ref="A1:AL22"/>
  <sheetViews>
    <sheetView tabSelected="1" zoomScale="86" workbookViewId="0">
      <pane xSplit="2" ySplit="4" topLeftCell="U5" activePane="bottomRight" state="frozen"/>
      <selection pane="topRight" activeCell="C1" sqref="C1"/>
      <selection pane="bottomLeft" activeCell="A5" sqref="A5"/>
      <selection pane="bottomRight" activeCell="F11" sqref="F11"/>
    </sheetView>
  </sheetViews>
  <sheetFormatPr defaultRowHeight="14.5" x14ac:dyDescent="0.35"/>
  <cols>
    <col min="1" max="1" width="6.453125" customWidth="1"/>
    <col min="2" max="2" width="24.08984375" customWidth="1"/>
  </cols>
  <sheetData>
    <row r="1" spans="1:38" x14ac:dyDescent="0.35">
      <c r="A1" t="s">
        <v>136</v>
      </c>
    </row>
    <row r="2" spans="1:38" x14ac:dyDescent="0.35">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Y2">
        <v>2020</v>
      </c>
      <c r="Z2">
        <f>Y2+1</f>
        <v>2021</v>
      </c>
      <c r="AA2">
        <f t="shared" ref="AA2:AL2" si="0">Z2+1</f>
        <v>2022</v>
      </c>
      <c r="AB2">
        <f t="shared" si="0"/>
        <v>2023</v>
      </c>
      <c r="AC2">
        <f t="shared" si="0"/>
        <v>2024</v>
      </c>
      <c r="AD2">
        <f t="shared" si="0"/>
        <v>2025</v>
      </c>
      <c r="AE2">
        <f t="shared" si="0"/>
        <v>2026</v>
      </c>
      <c r="AF2">
        <f t="shared" si="0"/>
        <v>2027</v>
      </c>
      <c r="AG2">
        <f t="shared" si="0"/>
        <v>2028</v>
      </c>
      <c r="AH2">
        <f t="shared" si="0"/>
        <v>2029</v>
      </c>
      <c r="AI2">
        <f t="shared" si="0"/>
        <v>2030</v>
      </c>
      <c r="AJ2">
        <f t="shared" si="0"/>
        <v>2031</v>
      </c>
      <c r="AK2">
        <f t="shared" si="0"/>
        <v>2032</v>
      </c>
      <c r="AL2">
        <f t="shared" si="0"/>
        <v>2033</v>
      </c>
    </row>
    <row r="5" spans="1:38" x14ac:dyDescent="0.35">
      <c r="B5" t="s">
        <v>157</v>
      </c>
      <c r="K5">
        <v>1072.46</v>
      </c>
      <c r="N5">
        <v>1520.57</v>
      </c>
      <c r="O5">
        <v>1666.95</v>
      </c>
      <c r="R5">
        <v>1907.64</v>
      </c>
      <c r="S5">
        <v>2063.54</v>
      </c>
      <c r="AA5">
        <v>5269.24</v>
      </c>
      <c r="AB5">
        <v>7202.36</v>
      </c>
    </row>
    <row r="6" spans="1:38" x14ac:dyDescent="0.35">
      <c r="B6" s="41" t="s">
        <v>158</v>
      </c>
      <c r="K6">
        <v>23.91</v>
      </c>
      <c r="N6">
        <v>20.75</v>
      </c>
      <c r="O6">
        <v>33.08</v>
      </c>
      <c r="R6">
        <v>42.98</v>
      </c>
      <c r="S6">
        <v>56.79</v>
      </c>
      <c r="AA6">
        <v>86.22</v>
      </c>
      <c r="AB6">
        <v>138.22999999999999</v>
      </c>
    </row>
    <row r="7" spans="1:38" x14ac:dyDescent="0.35">
      <c r="B7" t="s">
        <v>159</v>
      </c>
      <c r="K7">
        <v>15.19</v>
      </c>
      <c r="N7">
        <v>33.99</v>
      </c>
      <c r="O7">
        <v>35.619999999999997</v>
      </c>
      <c r="R7">
        <v>35.200000000000003</v>
      </c>
      <c r="S7">
        <v>50.7</v>
      </c>
      <c r="AA7">
        <v>112.04</v>
      </c>
      <c r="AB7">
        <v>133.19999999999999</v>
      </c>
    </row>
    <row r="8" spans="1:38" x14ac:dyDescent="0.35">
      <c r="B8" t="s">
        <v>160</v>
      </c>
      <c r="K8">
        <v>0.48</v>
      </c>
      <c r="N8">
        <v>14.81</v>
      </c>
      <c r="O8">
        <v>16.47</v>
      </c>
      <c r="R8">
        <v>0.38</v>
      </c>
      <c r="S8">
        <v>22.95</v>
      </c>
      <c r="AA8">
        <v>50.29</v>
      </c>
      <c r="AB8">
        <v>52.48</v>
      </c>
    </row>
    <row r="9" spans="1:38" x14ac:dyDescent="0.35">
      <c r="B9" t="s">
        <v>161</v>
      </c>
      <c r="K9">
        <v>109.79</v>
      </c>
      <c r="N9">
        <v>-9.66</v>
      </c>
      <c r="O9">
        <v>7.44</v>
      </c>
      <c r="R9">
        <v>0.36</v>
      </c>
      <c r="S9">
        <v>2.71</v>
      </c>
      <c r="AA9">
        <v>134.80000000000001</v>
      </c>
      <c r="AB9">
        <v>53.08</v>
      </c>
    </row>
    <row r="10" spans="1:38" x14ac:dyDescent="0.35">
      <c r="B10" t="s">
        <v>162</v>
      </c>
      <c r="K10">
        <v>0.87</v>
      </c>
      <c r="N10">
        <v>4.7699999999999996</v>
      </c>
      <c r="O10">
        <v>3.69</v>
      </c>
      <c r="R10">
        <v>9.84</v>
      </c>
      <c r="S10">
        <v>11.96</v>
      </c>
      <c r="AA10">
        <v>12.14</v>
      </c>
      <c r="AB10">
        <v>37.96</v>
      </c>
    </row>
    <row r="11" spans="1:38" s="2" customFormat="1" x14ac:dyDescent="0.35">
      <c r="B11" s="2" t="s">
        <v>163</v>
      </c>
      <c r="K11" s="2">
        <f>SUM(K5:K10)</f>
        <v>1222.7</v>
      </c>
      <c r="N11" s="2">
        <f>SUM(N5:N10)</f>
        <v>1585.2299999999998</v>
      </c>
      <c r="O11" s="2">
        <f>SUM(O5:O10)</f>
        <v>1763.25</v>
      </c>
      <c r="R11" s="2">
        <f>SUM(R5:R10)</f>
        <v>1996.4</v>
      </c>
      <c r="S11" s="2">
        <f>SUM(S5:S10)</f>
        <v>2208.6499999999996</v>
      </c>
      <c r="AA11" s="2">
        <f>SUM(AA5:AA10)</f>
        <v>5664.7300000000005</v>
      </c>
      <c r="AB11" s="2">
        <f>SUM(AB5:AB10)</f>
        <v>7617.3099999999986</v>
      </c>
    </row>
    <row r="12" spans="1:38" x14ac:dyDescent="0.35">
      <c r="B12" t="s">
        <v>164</v>
      </c>
      <c r="K12">
        <v>628.62</v>
      </c>
      <c r="N12">
        <v>954.03</v>
      </c>
      <c r="O12">
        <v>1062.1500000000001</v>
      </c>
      <c r="R12">
        <v>1279.3</v>
      </c>
      <c r="S12">
        <v>1398.76</v>
      </c>
      <c r="AA12">
        <v>3211.32</v>
      </c>
      <c r="AB12">
        <v>4092.61</v>
      </c>
    </row>
    <row r="13" spans="1:38" x14ac:dyDescent="0.35">
      <c r="B13" t="s">
        <v>165</v>
      </c>
      <c r="K13">
        <v>6.67</v>
      </c>
      <c r="N13">
        <v>56.91</v>
      </c>
      <c r="O13">
        <v>6.74</v>
      </c>
      <c r="R13">
        <v>35.25</v>
      </c>
      <c r="S13">
        <v>10.039999999999999</v>
      </c>
      <c r="AA13">
        <v>123.5</v>
      </c>
      <c r="AB13">
        <v>60.88</v>
      </c>
    </row>
    <row r="14" spans="1:38" s="2" customFormat="1" x14ac:dyDescent="0.35">
      <c r="B14" s="2" t="s">
        <v>166</v>
      </c>
      <c r="K14" s="2">
        <f>SUM(K12:K13)</f>
        <v>635.29</v>
      </c>
      <c r="N14" s="2">
        <f>SUM(N12:N13)</f>
        <v>1010.9399999999999</v>
      </c>
      <c r="O14" s="2">
        <f>SUM(O12:O13)</f>
        <v>1068.8900000000001</v>
      </c>
      <c r="R14" s="2">
        <f>SUM(R12:R13)</f>
        <v>1314.55</v>
      </c>
      <c r="S14" s="2">
        <f>SUM(S12:S13)</f>
        <v>1408.8</v>
      </c>
      <c r="AA14" s="2">
        <f>SUM(AA12:AA13)</f>
        <v>3334.82</v>
      </c>
      <c r="AB14" s="2">
        <f>SUM(AB12:AB13)</f>
        <v>4153.49</v>
      </c>
    </row>
    <row r="15" spans="1:38" x14ac:dyDescent="0.35">
      <c r="B15" t="s">
        <v>167</v>
      </c>
      <c r="N15">
        <f>3.17+110.82+9.06+44.79</f>
        <v>167.84</v>
      </c>
      <c r="O15">
        <f>2.91+114.24+9.69+41.41</f>
        <v>168.25</v>
      </c>
      <c r="R15">
        <f>2.92+123.28+10.2+57.33</f>
        <v>193.73000000000002</v>
      </c>
      <c r="S15">
        <f>2.97+113.42+9.91+43.75</f>
        <v>170.05</v>
      </c>
      <c r="AA15">
        <f>14.03+434.93+33.4+147.99</f>
        <v>630.34999999999991</v>
      </c>
      <c r="AB15">
        <f>11.71+465.63+40+185</f>
        <v>702.33999999999992</v>
      </c>
    </row>
    <row r="16" spans="1:38" x14ac:dyDescent="0.35">
      <c r="B16" t="s">
        <v>168</v>
      </c>
      <c r="C16">
        <f t="shared" ref="C16:N16" si="1">C11-C14</f>
        <v>0</v>
      </c>
      <c r="D16">
        <f t="shared" si="1"/>
        <v>0</v>
      </c>
      <c r="E16">
        <f t="shared" si="1"/>
        <v>0</v>
      </c>
      <c r="F16">
        <f t="shared" si="1"/>
        <v>0</v>
      </c>
      <c r="G16">
        <f t="shared" si="1"/>
        <v>0</v>
      </c>
      <c r="H16">
        <f t="shared" si="1"/>
        <v>0</v>
      </c>
      <c r="I16">
        <f t="shared" si="1"/>
        <v>0</v>
      </c>
      <c r="J16">
        <f t="shared" si="1"/>
        <v>0</v>
      </c>
      <c r="K16">
        <f t="shared" si="1"/>
        <v>587.41000000000008</v>
      </c>
      <c r="L16">
        <f t="shared" si="1"/>
        <v>0</v>
      </c>
      <c r="M16">
        <f t="shared" si="1"/>
        <v>0</v>
      </c>
      <c r="N16">
        <f t="shared" si="1"/>
        <v>574.28999999999985</v>
      </c>
      <c r="O16">
        <f>O11-O14</f>
        <v>694.3599999999999</v>
      </c>
      <c r="P16">
        <f t="shared" ref="P16:AL16" si="2">P11-P14</f>
        <v>0</v>
      </c>
      <c r="Q16">
        <f t="shared" si="2"/>
        <v>0</v>
      </c>
      <c r="R16">
        <f t="shared" si="2"/>
        <v>681.85000000000014</v>
      </c>
      <c r="S16">
        <f t="shared" si="2"/>
        <v>799.84999999999968</v>
      </c>
      <c r="Y16">
        <f t="shared" si="2"/>
        <v>0</v>
      </c>
      <c r="Z16">
        <f t="shared" si="2"/>
        <v>0</v>
      </c>
      <c r="AA16">
        <f t="shared" si="2"/>
        <v>2329.9100000000003</v>
      </c>
      <c r="AB16">
        <f t="shared" si="2"/>
        <v>3463.8199999999988</v>
      </c>
      <c r="AC16">
        <f t="shared" si="2"/>
        <v>0</v>
      </c>
      <c r="AD16">
        <f t="shared" si="2"/>
        <v>0</v>
      </c>
      <c r="AE16">
        <f t="shared" si="2"/>
        <v>0</v>
      </c>
      <c r="AF16">
        <f t="shared" si="2"/>
        <v>0</v>
      </c>
      <c r="AG16">
        <f t="shared" si="2"/>
        <v>0</v>
      </c>
      <c r="AH16">
        <f t="shared" si="2"/>
        <v>0</v>
      </c>
      <c r="AI16">
        <f t="shared" si="2"/>
        <v>0</v>
      </c>
      <c r="AJ16">
        <f t="shared" si="2"/>
        <v>0</v>
      </c>
      <c r="AK16">
        <f t="shared" si="2"/>
        <v>0</v>
      </c>
      <c r="AL16">
        <f t="shared" si="2"/>
        <v>0</v>
      </c>
    </row>
    <row r="17" spans="2:38" x14ac:dyDescent="0.35">
      <c r="B17" t="s">
        <v>169</v>
      </c>
      <c r="I17">
        <f t="shared" ref="I17:N17" si="3">I16-I15</f>
        <v>0</v>
      </c>
      <c r="J17">
        <f t="shared" si="3"/>
        <v>0</v>
      </c>
      <c r="K17">
        <f t="shared" si="3"/>
        <v>587.41000000000008</v>
      </c>
      <c r="L17">
        <f t="shared" si="3"/>
        <v>0</v>
      </c>
      <c r="M17">
        <f t="shared" si="3"/>
        <v>0</v>
      </c>
      <c r="N17">
        <f t="shared" si="3"/>
        <v>406.44999999999982</v>
      </c>
      <c r="O17">
        <f>O16-O15</f>
        <v>526.1099999999999</v>
      </c>
      <c r="P17">
        <f t="shared" ref="P17:AJ17" si="4">P16-P15</f>
        <v>0</v>
      </c>
      <c r="Q17">
        <f t="shared" si="4"/>
        <v>0</v>
      </c>
      <c r="R17">
        <f t="shared" si="4"/>
        <v>488.12000000000012</v>
      </c>
      <c r="S17">
        <f t="shared" si="4"/>
        <v>629.79999999999973</v>
      </c>
      <c r="T17">
        <f t="shared" si="4"/>
        <v>0</v>
      </c>
      <c r="U17">
        <f t="shared" si="4"/>
        <v>0</v>
      </c>
      <c r="V17">
        <f t="shared" si="4"/>
        <v>0</v>
      </c>
      <c r="W17">
        <f t="shared" si="4"/>
        <v>0</v>
      </c>
      <c r="X17">
        <f t="shared" si="4"/>
        <v>0</v>
      </c>
      <c r="Y17">
        <f t="shared" si="4"/>
        <v>0</v>
      </c>
      <c r="Z17">
        <f t="shared" si="4"/>
        <v>0</v>
      </c>
      <c r="AA17">
        <f t="shared" si="4"/>
        <v>1699.5600000000004</v>
      </c>
      <c r="AB17">
        <f t="shared" si="4"/>
        <v>2761.4799999999987</v>
      </c>
      <c r="AC17">
        <f t="shared" si="4"/>
        <v>0</v>
      </c>
      <c r="AD17">
        <f t="shared" si="4"/>
        <v>0</v>
      </c>
      <c r="AE17">
        <f t="shared" si="4"/>
        <v>0</v>
      </c>
      <c r="AF17">
        <f t="shared" si="4"/>
        <v>0</v>
      </c>
      <c r="AG17">
        <f t="shared" si="4"/>
        <v>0</v>
      </c>
      <c r="AH17">
        <f t="shared" si="4"/>
        <v>0</v>
      </c>
      <c r="AI17">
        <f t="shared" si="4"/>
        <v>0</v>
      </c>
      <c r="AJ17">
        <f t="shared" si="4"/>
        <v>0</v>
      </c>
    </row>
    <row r="18" spans="2:38" x14ac:dyDescent="0.35">
      <c r="B18" t="s">
        <v>170</v>
      </c>
      <c r="N18">
        <v>406.8</v>
      </c>
      <c r="O18">
        <v>526.24</v>
      </c>
      <c r="R18">
        <v>488.22</v>
      </c>
      <c r="S18" s="41" t="s">
        <v>173</v>
      </c>
      <c r="AA18">
        <v>1700.06</v>
      </c>
      <c r="AB18">
        <v>2161.3200000000002</v>
      </c>
    </row>
    <row r="19" spans="2:38" x14ac:dyDescent="0.35">
      <c r="B19" t="s">
        <v>171</v>
      </c>
      <c r="N19">
        <v>82.75</v>
      </c>
      <c r="O19">
        <v>140.09</v>
      </c>
      <c r="R19">
        <v>113.01</v>
      </c>
      <c r="S19">
        <v>148.69</v>
      </c>
      <c r="AA19">
        <v>399.8</v>
      </c>
      <c r="AB19">
        <v>509</v>
      </c>
    </row>
    <row r="20" spans="2:38" s="2" customFormat="1" x14ac:dyDescent="0.35">
      <c r="B20" s="2" t="s">
        <v>172</v>
      </c>
      <c r="N20" s="2">
        <v>305</v>
      </c>
      <c r="O20" s="2">
        <v>461.8</v>
      </c>
      <c r="R20" s="2">
        <v>380.05</v>
      </c>
      <c r="S20" s="2">
        <v>483.24</v>
      </c>
      <c r="AA20" s="2">
        <v>1261.95</v>
      </c>
      <c r="AB20" s="2">
        <v>1730.31</v>
      </c>
    </row>
    <row r="21" spans="2:38" x14ac:dyDescent="0.35">
      <c r="B21" t="s">
        <v>57</v>
      </c>
      <c r="J21" t="e">
        <f t="shared" ref="J21:N21" si="5">J20/J22</f>
        <v>#DIV/0!</v>
      </c>
      <c r="K21" t="e">
        <f t="shared" si="5"/>
        <v>#DIV/0!</v>
      </c>
      <c r="L21" t="e">
        <f t="shared" si="5"/>
        <v>#DIV/0!</v>
      </c>
      <c r="M21" t="e">
        <f t="shared" si="5"/>
        <v>#DIV/0!</v>
      </c>
      <c r="N21">
        <f t="shared" si="5"/>
        <v>0.45439647209558715</v>
      </c>
      <c r="O21">
        <f>O20/O22</f>
        <v>0.68800095348767909</v>
      </c>
      <c r="P21">
        <f t="shared" ref="P21:AL21" si="6">P20/P22</f>
        <v>0</v>
      </c>
      <c r="Q21">
        <f t="shared" si="6"/>
        <v>0</v>
      </c>
      <c r="R21">
        <f t="shared" si="6"/>
        <v>0.56620780072107502</v>
      </c>
      <c r="S21">
        <f t="shared" si="6"/>
        <v>0.71994279073925094</v>
      </c>
      <c r="T21" t="e">
        <f t="shared" si="6"/>
        <v>#DIV/0!</v>
      </c>
      <c r="U21" t="e">
        <f t="shared" si="6"/>
        <v>#DIV/0!</v>
      </c>
      <c r="V21" t="e">
        <f t="shared" si="6"/>
        <v>#DIV/0!</v>
      </c>
      <c r="W21" t="e">
        <f t="shared" si="6"/>
        <v>#DIV/0!</v>
      </c>
      <c r="X21" t="e">
        <f t="shared" si="6"/>
        <v>#DIV/0!</v>
      </c>
      <c r="Y21" t="e">
        <f t="shared" si="6"/>
        <v>#DIV/0!</v>
      </c>
      <c r="Z21" t="e">
        <f t="shared" si="6"/>
        <v>#DIV/0!</v>
      </c>
      <c r="AA21">
        <f t="shared" si="6"/>
        <v>1.8800840261017253</v>
      </c>
      <c r="AB21">
        <f t="shared" si="6"/>
        <v>2.5778582283007059</v>
      </c>
      <c r="AC21" t="e">
        <f t="shared" si="6"/>
        <v>#DIV/0!</v>
      </c>
      <c r="AD21" t="e">
        <f t="shared" si="6"/>
        <v>#DIV/0!</v>
      </c>
      <c r="AE21" t="e">
        <f t="shared" si="6"/>
        <v>#DIV/0!</v>
      </c>
      <c r="AF21" t="e">
        <f t="shared" si="6"/>
        <v>#DIV/0!</v>
      </c>
      <c r="AG21" t="e">
        <f t="shared" si="6"/>
        <v>#DIV/0!</v>
      </c>
      <c r="AH21" t="e">
        <f t="shared" si="6"/>
        <v>#DIV/0!</v>
      </c>
      <c r="AI21" t="e">
        <f t="shared" si="6"/>
        <v>#DIV/0!</v>
      </c>
      <c r="AJ21" t="e">
        <f t="shared" si="6"/>
        <v>#DIV/0!</v>
      </c>
      <c r="AK21" t="e">
        <f t="shared" si="6"/>
        <v>#DIV/0!</v>
      </c>
      <c r="AL21" t="e">
        <f t="shared" si="6"/>
        <v>#DIV/0!</v>
      </c>
    </row>
    <row r="22" spans="2:38" x14ac:dyDescent="0.35">
      <c r="B22" t="s">
        <v>95</v>
      </c>
      <c r="N22">
        <v>671.22</v>
      </c>
      <c r="O22">
        <v>671.22</v>
      </c>
      <c r="P22">
        <v>671.22</v>
      </c>
      <c r="Q22">
        <v>671.22</v>
      </c>
      <c r="R22">
        <v>671.22</v>
      </c>
      <c r="S22">
        <v>671.22</v>
      </c>
      <c r="AA22">
        <v>671.22</v>
      </c>
      <c r="AB22">
        <v>671.22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H44"/>
  <sheetViews>
    <sheetView zoomScale="90" zoomScaleNormal="120" zoomScaleSheetLayoutView="100" zoomScalePageLayoutView="120" workbookViewId="0">
      <pane xSplit="1" ySplit="4" topLeftCell="O26" activePane="bottomRight" state="frozen"/>
      <selection activeCell="I2" sqref="I2"/>
      <selection pane="topRight" activeCell="I2" sqref="I2"/>
      <selection pane="bottomLeft" activeCell="I2" sqref="I2"/>
      <selection pane="bottomRight" activeCell="F29" sqref="F29"/>
    </sheetView>
  </sheetViews>
  <sheetFormatPr defaultColWidth="8.81640625" defaultRowHeight="14.5" x14ac:dyDescent="0.35"/>
  <cols>
    <col min="1" max="1" width="20.6328125" customWidth="1"/>
    <col min="2" max="6" width="13.453125" customWidth="1"/>
    <col min="7" max="7" width="14.81640625" bestFit="1" customWidth="1"/>
    <col min="8" max="11" width="13.453125" customWidth="1"/>
    <col min="12" max="12" width="13.36328125" customWidth="1"/>
    <col min="13" max="13" width="11.6328125" bestFit="1" customWidth="1"/>
    <col min="14" max="14" width="10.36328125" bestFit="1" customWidth="1"/>
    <col min="15" max="15" width="9.1796875" bestFit="1" customWidth="1"/>
    <col min="16" max="21" width="9.26953125" bestFit="1" customWidth="1"/>
    <col min="24" max="24" width="10.81640625" bestFit="1" customWidth="1"/>
    <col min="33" max="35" width="9.7265625" bestFit="1" customWidth="1"/>
    <col min="36" max="36" width="10" bestFit="1" customWidth="1"/>
    <col min="37" max="38" width="9.7265625" bestFit="1" customWidth="1"/>
  </cols>
  <sheetData>
    <row r="1" spans="1:14" s="2" customFormat="1" x14ac:dyDescent="0.35">
      <c r="A1" s="2" t="str">
        <f>'Data Sheet'!B1</f>
        <v>BAJAJ HOUSING FINANCE LTD</v>
      </c>
      <c r="H1" t="str">
        <f>UPDATE</f>
        <v/>
      </c>
      <c r="J1" s="3"/>
      <c r="K1" s="3"/>
      <c r="M1" s="2" t="s">
        <v>1</v>
      </c>
    </row>
    <row r="3" spans="1:14" s="2" customFormat="1" x14ac:dyDescent="0.35">
      <c r="A3" s="11" t="s">
        <v>2</v>
      </c>
      <c r="B3" s="12">
        <f>'Data Sheet'!B16</f>
        <v>0</v>
      </c>
      <c r="C3" s="12">
        <f>'Data Sheet'!C16</f>
        <v>0</v>
      </c>
      <c r="D3" s="12">
        <f>'Data Sheet'!D16</f>
        <v>0</v>
      </c>
      <c r="E3" s="12">
        <f>'Data Sheet'!E16</f>
        <v>0</v>
      </c>
      <c r="F3" s="12">
        <f>'Data Sheet'!F16</f>
        <v>0</v>
      </c>
      <c r="G3" s="12">
        <f>'Data Sheet'!G16</f>
        <v>43921</v>
      </c>
      <c r="H3" s="12">
        <f>'Data Sheet'!H16</f>
        <v>44286</v>
      </c>
      <c r="I3" s="12">
        <f>'Data Sheet'!I16</f>
        <v>44651</v>
      </c>
      <c r="J3" s="12">
        <f>'Data Sheet'!J16</f>
        <v>45016</v>
      </c>
      <c r="K3" s="12">
        <f>'Data Sheet'!K16</f>
        <v>45382</v>
      </c>
      <c r="L3" s="13" t="s">
        <v>3</v>
      </c>
      <c r="M3" s="13" t="s">
        <v>4</v>
      </c>
      <c r="N3" s="13" t="s">
        <v>5</v>
      </c>
    </row>
    <row r="4" spans="1:14" s="2" customFormat="1" x14ac:dyDescent="0.35">
      <c r="A4" s="2" t="s">
        <v>6</v>
      </c>
      <c r="B4" s="1">
        <f>'Data Sheet'!B17</f>
        <v>0</v>
      </c>
      <c r="C4" s="1">
        <f>'Data Sheet'!C17</f>
        <v>0</v>
      </c>
      <c r="D4" s="1">
        <f>'Data Sheet'!D17</f>
        <v>0</v>
      </c>
      <c r="E4" s="1">
        <f>'Data Sheet'!E17</f>
        <v>0</v>
      </c>
      <c r="F4" s="1">
        <f>'Data Sheet'!F17</f>
        <v>0</v>
      </c>
      <c r="G4" s="1">
        <f>'Data Sheet'!G17</f>
        <v>2646.02</v>
      </c>
      <c r="H4" s="1">
        <f>'Data Sheet'!H17</f>
        <v>3154.7</v>
      </c>
      <c r="I4" s="1">
        <f>'Data Sheet'!I17</f>
        <v>3766.71</v>
      </c>
      <c r="J4" s="1">
        <f>'Data Sheet'!J17</f>
        <v>5665.03</v>
      </c>
      <c r="K4" s="1">
        <f>'Data Sheet'!K17</f>
        <v>7617.31</v>
      </c>
      <c r="L4" s="1">
        <f>SUM(Quarters!H4:K4)</f>
        <v>7553.5300000000007</v>
      </c>
      <c r="M4" s="1">
        <f>$K4+M23*K4</f>
        <v>10242.383824286899</v>
      </c>
      <c r="N4" s="1">
        <f>$K4+N23*L4</f>
        <v>10197.396855963972</v>
      </c>
    </row>
    <row r="5" spans="1:14" x14ac:dyDescent="0.35">
      <c r="A5" t="s">
        <v>7</v>
      </c>
      <c r="B5" s="6">
        <f>SUM('Data Sheet'!B18,'Data Sheet'!B20:B24, -1*'Data Sheet'!B19)</f>
        <v>0</v>
      </c>
      <c r="C5" s="6">
        <f>SUM('Data Sheet'!C18,'Data Sheet'!C20:C24, -1*'Data Sheet'!C19)</f>
        <v>0</v>
      </c>
      <c r="D5" s="6">
        <f>SUM('Data Sheet'!D18,'Data Sheet'!D20:D24, -1*'Data Sheet'!D19)</f>
        <v>0</v>
      </c>
      <c r="E5" s="6">
        <f>SUM('Data Sheet'!E18,'Data Sheet'!E20:E24, -1*'Data Sheet'!E19)</f>
        <v>0</v>
      </c>
      <c r="F5" s="6">
        <f>SUM('Data Sheet'!F18,'Data Sheet'!F20:F24, -1*'Data Sheet'!F19)</f>
        <v>0</v>
      </c>
      <c r="G5" s="6">
        <f>SUM('Data Sheet'!G18,'Data Sheet'!G20:G24, -1*'Data Sheet'!G19)</f>
        <v>437.6</v>
      </c>
      <c r="H5" s="6">
        <f>SUM('Data Sheet'!H18,'Data Sheet'!H20:H24, -1*'Data Sheet'!H19)</f>
        <v>552.38</v>
      </c>
      <c r="I5" s="6">
        <f>SUM('Data Sheet'!I18,'Data Sheet'!I20:I24, -1*'Data Sheet'!I19)</f>
        <v>623.79</v>
      </c>
      <c r="J5" s="6">
        <f>SUM('Data Sheet'!J18,'Data Sheet'!J20:J24, -1*'Data Sheet'!J19)</f>
        <v>717.98</v>
      </c>
      <c r="K5" s="6">
        <f>SUM('Data Sheet'!K18,'Data Sheet'!K20:K24, -1*'Data Sheet'!K19)</f>
        <v>721.31000000000006</v>
      </c>
      <c r="L5" s="6">
        <f>SUM(Quarters!H5:K5)</f>
        <v>769.95</v>
      </c>
      <c r="M5" s="6">
        <f t="shared" ref="M5:N5" si="0">M4-M6</f>
        <v>1044.0315224153073</v>
      </c>
      <c r="N5" s="6">
        <f t="shared" si="0"/>
        <v>1362.5198172703422</v>
      </c>
    </row>
    <row r="6" spans="1:14" s="2" customFormat="1" x14ac:dyDescent="0.35">
      <c r="A6" s="2" t="s">
        <v>8</v>
      </c>
      <c r="B6" s="1">
        <f>B4-B5</f>
        <v>0</v>
      </c>
      <c r="C6" s="1">
        <f t="shared" ref="C6:K6" si="1">C4-C5</f>
        <v>0</v>
      </c>
      <c r="D6" s="1">
        <f t="shared" si="1"/>
        <v>0</v>
      </c>
      <c r="E6" s="1">
        <f t="shared" si="1"/>
        <v>0</v>
      </c>
      <c r="F6" s="1">
        <f t="shared" si="1"/>
        <v>0</v>
      </c>
      <c r="G6" s="1">
        <f t="shared" si="1"/>
        <v>2208.42</v>
      </c>
      <c r="H6" s="1">
        <f t="shared" si="1"/>
        <v>2602.3199999999997</v>
      </c>
      <c r="I6" s="1">
        <f t="shared" si="1"/>
        <v>3142.92</v>
      </c>
      <c r="J6" s="1">
        <f t="shared" si="1"/>
        <v>4947.0499999999993</v>
      </c>
      <c r="K6" s="1">
        <f t="shared" si="1"/>
        <v>6896</v>
      </c>
      <c r="L6" s="1">
        <f>SUM(Quarters!H6:K6)</f>
        <v>6783.58</v>
      </c>
      <c r="M6" s="1">
        <f>M4*M24</f>
        <v>9198.3523018715914</v>
      </c>
      <c r="N6" s="1">
        <f>N4*N24</f>
        <v>8834.8770386936303</v>
      </c>
    </row>
    <row r="7" spans="1:14" x14ac:dyDescent="0.35">
      <c r="A7" t="s">
        <v>9</v>
      </c>
      <c r="B7" s="6">
        <f>'Data Sheet'!B25</f>
        <v>0</v>
      </c>
      <c r="C7" s="6">
        <f>'Data Sheet'!C25</f>
        <v>0</v>
      </c>
      <c r="D7" s="6">
        <f>'Data Sheet'!D25</f>
        <v>0</v>
      </c>
      <c r="E7" s="6">
        <f>'Data Sheet'!E25</f>
        <v>0</v>
      </c>
      <c r="F7" s="6">
        <f>'Data Sheet'!F25</f>
        <v>0</v>
      </c>
      <c r="G7" s="6">
        <f>'Data Sheet'!G25</f>
        <v>-0.28000000000000003</v>
      </c>
      <c r="H7" s="6">
        <f>'Data Sheet'!H25</f>
        <v>0.14000000000000001</v>
      </c>
      <c r="I7" s="6">
        <f>'Data Sheet'!I25</f>
        <v>-0.06</v>
      </c>
      <c r="J7" s="6">
        <f>'Data Sheet'!J25</f>
        <v>-0.28999999999999998</v>
      </c>
      <c r="K7" s="6">
        <f>'Data Sheet'!K25</f>
        <v>-0.37</v>
      </c>
      <c r="L7" s="6">
        <f>SUM(Quarters!H7:K7)</f>
        <v>0.65999999999999992</v>
      </c>
      <c r="M7" s="6">
        <v>0</v>
      </c>
      <c r="N7" s="6">
        <v>0</v>
      </c>
    </row>
    <row r="8" spans="1:14" x14ac:dyDescent="0.35">
      <c r="A8" t="s">
        <v>10</v>
      </c>
      <c r="B8" s="6">
        <f>'Data Sheet'!B26</f>
        <v>0</v>
      </c>
      <c r="C8" s="6">
        <f>'Data Sheet'!C26</f>
        <v>0</v>
      </c>
      <c r="D8" s="6">
        <f>'Data Sheet'!D26</f>
        <v>0</v>
      </c>
      <c r="E8" s="6">
        <f>'Data Sheet'!E26</f>
        <v>0</v>
      </c>
      <c r="F8" s="6">
        <f>'Data Sheet'!F26</f>
        <v>0</v>
      </c>
      <c r="G8" s="6">
        <f>'Data Sheet'!G26</f>
        <v>23.14</v>
      </c>
      <c r="H8" s="6">
        <f>'Data Sheet'!H26</f>
        <v>21.77</v>
      </c>
      <c r="I8" s="6">
        <f>'Data Sheet'!I26</f>
        <v>25.76</v>
      </c>
      <c r="J8" s="6">
        <f>'Data Sheet'!J26</f>
        <v>33.4</v>
      </c>
      <c r="K8" s="6">
        <f>'Data Sheet'!K26</f>
        <v>39.6</v>
      </c>
      <c r="L8" s="6">
        <f>SUM(Quarters!H8:K8)</f>
        <v>38.86</v>
      </c>
      <c r="M8" s="6">
        <f>+$L8</f>
        <v>38.86</v>
      </c>
      <c r="N8" s="6">
        <f>+$L8</f>
        <v>38.86</v>
      </c>
    </row>
    <row r="9" spans="1:14" x14ac:dyDescent="0.35">
      <c r="A9" t="s">
        <v>11</v>
      </c>
      <c r="B9" s="6">
        <f>'Data Sheet'!B27</f>
        <v>0</v>
      </c>
      <c r="C9" s="6">
        <f>'Data Sheet'!C27</f>
        <v>0</v>
      </c>
      <c r="D9" s="6">
        <f>'Data Sheet'!D27</f>
        <v>0</v>
      </c>
      <c r="E9" s="6">
        <f>'Data Sheet'!E27</f>
        <v>0</v>
      </c>
      <c r="F9" s="6">
        <f>'Data Sheet'!F27</f>
        <v>0</v>
      </c>
      <c r="G9" s="6">
        <f>'Data Sheet'!G27</f>
        <v>1617.55</v>
      </c>
      <c r="H9" s="6">
        <f>'Data Sheet'!H27</f>
        <v>1967.51</v>
      </c>
      <c r="I9" s="6">
        <f>'Data Sheet'!I27</f>
        <v>2157.2399999999998</v>
      </c>
      <c r="J9" s="6">
        <f>'Data Sheet'!J27</f>
        <v>3213.3</v>
      </c>
      <c r="K9" s="6">
        <f>'Data Sheet'!K27</f>
        <v>4694.71</v>
      </c>
      <c r="L9" s="6">
        <f>SUM(Quarters!H9:K9)</f>
        <v>4694.24</v>
      </c>
      <c r="M9" s="6">
        <f>+$L9</f>
        <v>4694.24</v>
      </c>
      <c r="N9" s="6">
        <f>+$L9</f>
        <v>4694.24</v>
      </c>
    </row>
    <row r="10" spans="1:14" x14ac:dyDescent="0.35">
      <c r="A10" t="s">
        <v>12</v>
      </c>
      <c r="B10" s="6">
        <f>'Data Sheet'!B28</f>
        <v>0</v>
      </c>
      <c r="C10" s="6">
        <f>'Data Sheet'!C28</f>
        <v>0</v>
      </c>
      <c r="D10" s="6">
        <f>'Data Sheet'!D28</f>
        <v>0</v>
      </c>
      <c r="E10" s="6">
        <f>'Data Sheet'!E28</f>
        <v>0</v>
      </c>
      <c r="F10" s="6">
        <f>'Data Sheet'!F28</f>
        <v>0</v>
      </c>
      <c r="G10" s="6">
        <f>'Data Sheet'!G28</f>
        <v>567.45000000000005</v>
      </c>
      <c r="H10" s="6">
        <f>'Data Sheet'!H28</f>
        <v>613.17999999999995</v>
      </c>
      <c r="I10" s="6">
        <f>'Data Sheet'!I28</f>
        <v>959.86</v>
      </c>
      <c r="J10" s="6">
        <f>'Data Sheet'!J28</f>
        <v>1700.06</v>
      </c>
      <c r="K10" s="6">
        <f>'Data Sheet'!K28</f>
        <v>2161.3200000000002</v>
      </c>
      <c r="L10" s="6">
        <f>SUM(Quarters!H10:K10)</f>
        <v>2051.14</v>
      </c>
      <c r="M10" s="6">
        <f>M6+M7-SUM(M8:M9)</f>
        <v>4465.252301871592</v>
      </c>
      <c r="N10" s="6">
        <f>N6+N7-SUM(N8:N9)</f>
        <v>4101.7770386936309</v>
      </c>
    </row>
    <row r="11" spans="1:14" x14ac:dyDescent="0.35">
      <c r="A11" t="s">
        <v>13</v>
      </c>
      <c r="B11" s="6">
        <f>'Data Sheet'!B29</f>
        <v>0</v>
      </c>
      <c r="C11" s="6">
        <f>'Data Sheet'!C29</f>
        <v>0</v>
      </c>
      <c r="D11" s="6">
        <f>'Data Sheet'!D29</f>
        <v>0</v>
      </c>
      <c r="E11" s="6">
        <f>'Data Sheet'!E29</f>
        <v>0</v>
      </c>
      <c r="F11" s="6">
        <f>'Data Sheet'!F29</f>
        <v>0</v>
      </c>
      <c r="G11" s="6">
        <f>'Data Sheet'!G29</f>
        <v>146.12</v>
      </c>
      <c r="H11" s="6">
        <f>'Data Sheet'!H29</f>
        <v>159.99</v>
      </c>
      <c r="I11" s="6">
        <f>'Data Sheet'!I29</f>
        <v>250.24</v>
      </c>
      <c r="J11" s="6">
        <f>'Data Sheet'!J29</f>
        <v>442.26</v>
      </c>
      <c r="K11" s="6">
        <f>'Data Sheet'!K29</f>
        <v>430.1</v>
      </c>
      <c r="L11" s="6">
        <f>SUM(Quarters!H11:K11)</f>
        <v>423.91999999999996</v>
      </c>
      <c r="M11" s="7">
        <f>IF($L10&gt;0,$L11/$L10,0)</f>
        <v>0.20667531226537436</v>
      </c>
      <c r="N11" s="7">
        <f>IF($L10&gt;0,$L11/$L10,0)</f>
        <v>0.20667531226537436</v>
      </c>
    </row>
    <row r="12" spans="1:14" s="2" customFormat="1" x14ac:dyDescent="0.35">
      <c r="A12" s="2" t="s">
        <v>14</v>
      </c>
      <c r="B12" s="1">
        <f>'Data Sheet'!B30</f>
        <v>0</v>
      </c>
      <c r="C12" s="1">
        <f>'Data Sheet'!C30</f>
        <v>0</v>
      </c>
      <c r="D12" s="1">
        <f>'Data Sheet'!D30</f>
        <v>0</v>
      </c>
      <c r="E12" s="1">
        <f>'Data Sheet'!E30</f>
        <v>0</v>
      </c>
      <c r="F12" s="1">
        <f>'Data Sheet'!F30</f>
        <v>0</v>
      </c>
      <c r="G12" s="1">
        <f>'Data Sheet'!G30</f>
        <v>421.33</v>
      </c>
      <c r="H12" s="1">
        <f>'Data Sheet'!H30</f>
        <v>453.19</v>
      </c>
      <c r="I12" s="1">
        <f>'Data Sheet'!I30</f>
        <v>709.62</v>
      </c>
      <c r="J12" s="1">
        <f>'Data Sheet'!J30</f>
        <v>1257.8</v>
      </c>
      <c r="K12" s="1">
        <f>'Data Sheet'!K30</f>
        <v>1731.22</v>
      </c>
      <c r="L12" s="1">
        <f>SUM(Quarters!H12:K12)</f>
        <v>1627.2199999999998</v>
      </c>
      <c r="M12" s="1">
        <f>M10-M11*M10</f>
        <v>3542.3948880385988</v>
      </c>
      <c r="N12" s="1">
        <f>N10-N11*N10</f>
        <v>3254.0409883786824</v>
      </c>
    </row>
    <row r="13" spans="1:14" x14ac:dyDescent="0.35">
      <c r="A13" t="s">
        <v>57</v>
      </c>
      <c r="B13" s="6">
        <f>IF('Data Sheet'!B93&gt;0,B12/'Data Sheet'!B93,0)</f>
        <v>0</v>
      </c>
      <c r="C13" s="6">
        <f>IF('Data Sheet'!C93&gt;0,C12/'Data Sheet'!C93,0)</f>
        <v>0</v>
      </c>
      <c r="D13" s="6">
        <f>IF('Data Sheet'!D93&gt;0,D12/'Data Sheet'!D93,0)</f>
        <v>0</v>
      </c>
      <c r="E13" s="6">
        <f>IF('Data Sheet'!E93&gt;0,E12/'Data Sheet'!E93,0)</f>
        <v>0</v>
      </c>
      <c r="F13" s="6">
        <f>IF('Data Sheet'!F93&gt;0,F12/'Data Sheet'!F93,0)</f>
        <v>0</v>
      </c>
      <c r="G13" s="6">
        <f>IF('Data Sheet'!G93&gt;0,G12/'Data Sheet'!G93,0)</f>
        <v>0</v>
      </c>
      <c r="H13" s="6">
        <f>IF('Data Sheet'!H93&gt;0,H12/'Data Sheet'!H93,0)</f>
        <v>0</v>
      </c>
      <c r="I13" s="6">
        <f>IF('Data Sheet'!I93&gt;0,I12/'Data Sheet'!I93,0)</f>
        <v>0</v>
      </c>
      <c r="J13" s="6">
        <f>IF('Data Sheet'!J93&gt;0,J12/'Data Sheet'!J93,0)</f>
        <v>0</v>
      </c>
      <c r="K13" s="6">
        <f>IF('Data Sheet'!K93&gt;0,K12/'Data Sheet'!K93,0)</f>
        <v>0</v>
      </c>
      <c r="L13" s="6" t="e">
        <f>IF('Data Sheet'!$B6&gt;0,'Profit &amp; Loss'!L12/'Data Sheet'!$B6,0)</f>
        <v>#DIV/0!</v>
      </c>
      <c r="M13" s="6" t="e">
        <f>IF('Data Sheet'!$B6&gt;0,'Profit &amp; Loss'!M12/'Data Sheet'!$B6,0)</f>
        <v>#DIV/0!</v>
      </c>
      <c r="N13" s="6" t="e">
        <f>IF('Data Sheet'!$B6&gt;0,'Profit &amp; Loss'!N12/'Data Sheet'!$B6,0)</f>
        <v>#DIV/0!</v>
      </c>
    </row>
    <row r="14" spans="1:14" x14ac:dyDescent="0.35">
      <c r="A14" t="s">
        <v>16</v>
      </c>
      <c r="B14" s="6" t="str">
        <f>IF(B15&gt;0,B15/B13,"")</f>
        <v/>
      </c>
      <c r="C14" s="6" t="str">
        <f t="shared" ref="C14:K14" si="2">IF(C15&gt;0,C15/C13,"")</f>
        <v/>
      </c>
      <c r="D14" s="6" t="str">
        <f t="shared" si="2"/>
        <v/>
      </c>
      <c r="E14" s="6" t="str">
        <f t="shared" si="2"/>
        <v/>
      </c>
      <c r="F14" s="6" t="str">
        <f t="shared" si="2"/>
        <v/>
      </c>
      <c r="G14" s="6" t="str">
        <f t="shared" si="2"/>
        <v/>
      </c>
      <c r="H14" s="6" t="str">
        <f t="shared" si="2"/>
        <v/>
      </c>
      <c r="I14" s="6" t="str">
        <f t="shared" si="2"/>
        <v/>
      </c>
      <c r="J14" s="6" t="str">
        <f t="shared" si="2"/>
        <v/>
      </c>
      <c r="K14" s="6" t="str">
        <f t="shared" si="2"/>
        <v/>
      </c>
      <c r="L14" s="6" t="e">
        <f t="shared" ref="L14" si="3">IF(L13&gt;0,L15/L13,0)</f>
        <v>#DIV/0!</v>
      </c>
      <c r="M14" s="6" t="e">
        <f>M25</f>
        <v>#DIV/0!</v>
      </c>
      <c r="N14" s="6" t="e">
        <f>N25</f>
        <v>#DIV/0!</v>
      </c>
    </row>
    <row r="15" spans="1:14" s="2" customFormat="1" x14ac:dyDescent="0.35">
      <c r="A15" s="2" t="s">
        <v>58</v>
      </c>
      <c r="B15" s="1">
        <f>'Data Sheet'!B90</f>
        <v>0</v>
      </c>
      <c r="C15" s="1">
        <f>'Data Sheet'!C90</f>
        <v>0</v>
      </c>
      <c r="D15" s="1">
        <f>'Data Sheet'!D90</f>
        <v>0</v>
      </c>
      <c r="E15" s="1">
        <f>'Data Sheet'!E90</f>
        <v>0</v>
      </c>
      <c r="F15" s="1">
        <f>'Data Sheet'!F90</f>
        <v>0</v>
      </c>
      <c r="G15" s="1">
        <f>'Data Sheet'!G90</f>
        <v>0</v>
      </c>
      <c r="H15" s="1">
        <f>'Data Sheet'!H90</f>
        <v>0</v>
      </c>
      <c r="I15" s="1">
        <f>'Data Sheet'!I90</f>
        <v>0</v>
      </c>
      <c r="J15" s="1">
        <f>'Data Sheet'!J90</f>
        <v>0</v>
      </c>
      <c r="K15" s="1">
        <f>'Data Sheet'!K90</f>
        <v>0</v>
      </c>
      <c r="L15" s="1">
        <f>'Data Sheet'!B8</f>
        <v>0</v>
      </c>
      <c r="M15" s="8" t="e">
        <f>M13*M14</f>
        <v>#DIV/0!</v>
      </c>
      <c r="N15" s="9" t="e">
        <f>N13*N14</f>
        <v>#DIV/0!</v>
      </c>
    </row>
    <row r="17" spans="1:60" s="2" customFormat="1" x14ac:dyDescent="0.35">
      <c r="A17" s="2" t="s">
        <v>15</v>
      </c>
    </row>
    <row r="18" spans="1:60" x14ac:dyDescent="0.35">
      <c r="A18" t="s">
        <v>17</v>
      </c>
      <c r="B18" s="5">
        <f>IF('Data Sheet'!B30&gt;0, 'Data Sheet'!B31/'Data Sheet'!B30, 0)</f>
        <v>0</v>
      </c>
      <c r="C18" s="5">
        <f>IF('Data Sheet'!C30&gt;0, 'Data Sheet'!C31/'Data Sheet'!C30, 0)</f>
        <v>0</v>
      </c>
      <c r="D18" s="5">
        <f>IF('Data Sheet'!D30&gt;0, 'Data Sheet'!D31/'Data Sheet'!D30, 0)</f>
        <v>0</v>
      </c>
      <c r="E18" s="5">
        <f>IF('Data Sheet'!E30&gt;0, 'Data Sheet'!E31/'Data Sheet'!E30, 0)</f>
        <v>0</v>
      </c>
      <c r="F18" s="5">
        <f>IF('Data Sheet'!F30&gt;0, 'Data Sheet'!F31/'Data Sheet'!F30, 0)</f>
        <v>0</v>
      </c>
      <c r="G18" s="5">
        <f>IF('Data Sheet'!G30&gt;0, 'Data Sheet'!G31/'Data Sheet'!G30, 0)</f>
        <v>0</v>
      </c>
      <c r="H18" s="5">
        <f>IF('Data Sheet'!H30&gt;0, 'Data Sheet'!H31/'Data Sheet'!H30, 0)</f>
        <v>0</v>
      </c>
      <c r="I18" s="5">
        <f>IF('Data Sheet'!I30&gt;0, 'Data Sheet'!I31/'Data Sheet'!I30, 0)</f>
        <v>0</v>
      </c>
      <c r="J18" s="5">
        <f>IF('Data Sheet'!J30&gt;0, 'Data Sheet'!J31/'Data Sheet'!J30, 0)</f>
        <v>0</v>
      </c>
      <c r="K18" s="5">
        <f>IF('Data Sheet'!K30&gt;0, 'Data Sheet'!K31/'Data Sheet'!K30, 0)</f>
        <v>0</v>
      </c>
    </row>
    <row r="19" spans="1:60" x14ac:dyDescent="0.35">
      <c r="A19" t="s">
        <v>18</v>
      </c>
      <c r="B19" s="5">
        <f t="shared" ref="B19:L19" si="4">IF(B6&gt;0,B6/B4,0)</f>
        <v>0</v>
      </c>
      <c r="C19" s="5">
        <f t="shared" ref="C19:K19" si="5">IF(C6&gt;0,C6/C4,0)</f>
        <v>0</v>
      </c>
      <c r="D19" s="5">
        <f t="shared" si="5"/>
        <v>0</v>
      </c>
      <c r="E19" s="5">
        <f t="shared" si="5"/>
        <v>0</v>
      </c>
      <c r="F19" s="5">
        <f t="shared" si="5"/>
        <v>0</v>
      </c>
      <c r="G19" s="5">
        <f t="shared" si="5"/>
        <v>0.83461954180240516</v>
      </c>
      <c r="H19" s="5">
        <f t="shared" si="5"/>
        <v>0.82490252638919703</v>
      </c>
      <c r="I19" s="5">
        <f t="shared" si="5"/>
        <v>0.83439394060068339</v>
      </c>
      <c r="J19" s="5">
        <f t="shared" si="5"/>
        <v>0.87326104186562115</v>
      </c>
      <c r="K19" s="5">
        <f t="shared" si="5"/>
        <v>0.9053064664560061</v>
      </c>
      <c r="L19" s="5">
        <f t="shared" si="4"/>
        <v>0.89806752604411444</v>
      </c>
    </row>
    <row r="20" spans="1:60" x14ac:dyDescent="0.35">
      <c r="A20" s="37" t="s">
        <v>127</v>
      </c>
      <c r="B20" s="5"/>
      <c r="C20" s="5"/>
      <c r="D20" s="5"/>
      <c r="E20" s="5"/>
      <c r="F20" s="5"/>
      <c r="G20" s="5"/>
      <c r="H20" s="5"/>
      <c r="I20" s="5"/>
      <c r="J20" s="5"/>
      <c r="K20" s="5"/>
      <c r="L20" s="5"/>
      <c r="M20" s="37"/>
      <c r="N20" s="37"/>
    </row>
    <row r="21" spans="1:60" x14ac:dyDescent="0.35">
      <c r="B21" s="5"/>
      <c r="C21" s="5"/>
      <c r="D21" s="5"/>
      <c r="E21" s="5"/>
      <c r="F21" s="5"/>
      <c r="G21" s="5"/>
      <c r="H21" s="5"/>
      <c r="I21" s="5"/>
      <c r="J21" s="5"/>
      <c r="K21" s="5"/>
      <c r="L21" s="5"/>
    </row>
    <row r="22" spans="1:60" s="2" customFormat="1" x14ac:dyDescent="0.35">
      <c r="A22" s="11"/>
      <c r="B22" s="12"/>
      <c r="C22" s="12"/>
      <c r="D22" s="12"/>
      <c r="E22" s="12"/>
      <c r="F22" s="12"/>
      <c r="G22" s="12" t="s">
        <v>19</v>
      </c>
      <c r="H22" s="12" t="s">
        <v>65</v>
      </c>
      <c r="I22" s="12" t="s">
        <v>66</v>
      </c>
      <c r="J22" s="12" t="s">
        <v>67</v>
      </c>
      <c r="K22" s="12" t="s">
        <v>68</v>
      </c>
      <c r="L22" s="13" t="s">
        <v>69</v>
      </c>
      <c r="M22" s="13" t="s">
        <v>20</v>
      </c>
      <c r="N22" s="13" t="s">
        <v>21</v>
      </c>
    </row>
    <row r="23" spans="1:60" s="2" customFormat="1" x14ac:dyDescent="0.35">
      <c r="A23"/>
      <c r="B23"/>
      <c r="C23"/>
      <c r="D23"/>
      <c r="E23"/>
      <c r="F23"/>
      <c r="G23" t="s">
        <v>22</v>
      </c>
      <c r="H23" s="5" t="str">
        <f>IF(B4=0,"",POWER($K4/B4,1/9)-1)</f>
        <v/>
      </c>
      <c r="I23" s="5" t="str">
        <f>IF(D4=0,"",POWER($K4/D4,1/7)-1)</f>
        <v/>
      </c>
      <c r="J23" s="5" t="str">
        <f>IF(F4=0,"",POWER($K4/F4,1/5)-1)</f>
        <v/>
      </c>
      <c r="K23" s="5">
        <f>IF(H4=0,"",POWER($K4/H4, 1/3)-1)</f>
        <v>0.34157365575617926</v>
      </c>
      <c r="L23" s="5">
        <f>IF(ISERROR(MAX(IF(J4=0,"",(K4-J4)/J4),IF(K4=0,"",(L4-K4)/K4))),"",MAX(IF(J4=0,"",(K4-J4)/J4),IF(K4=0,"",(L4-K4)/K4)))</f>
        <v>0.34461953423018071</v>
      </c>
      <c r="M23" s="16">
        <f>MAX(K23:L23)</f>
        <v>0.34461953423018071</v>
      </c>
      <c r="N23" s="16">
        <f>MIN(H23:L23)</f>
        <v>0.34157365575617926</v>
      </c>
    </row>
    <row r="24" spans="1:60" x14ac:dyDescent="0.35">
      <c r="G24" t="s">
        <v>18</v>
      </c>
      <c r="H24" s="5">
        <f>IF(SUM(B4:$K$4)=0,"",SUMPRODUCT(B19:$K$19,B4:$K$4)/SUM(B4:$K$4))</f>
        <v>0.86638552598122431</v>
      </c>
      <c r="I24" s="5">
        <f>IF(SUM(E4:$K$4)=0,"",SUMPRODUCT(E19:$K$19,E4:$K$4)/SUM(E4:$K$4))</f>
        <v>0.86638552598122431</v>
      </c>
      <c r="J24" s="5">
        <f>IF(SUM(G4:$K$4)=0,"",SUMPRODUCT(G19:$K$19,G4:$K$4)/SUM(G4:$K$4))</f>
        <v>0.86638552598122431</v>
      </c>
      <c r="K24" s="5">
        <f>IF(SUM(I4:$K$4)=0, "", SUMPRODUCT(I19:$K$19,I4:$K$4)/SUM(I4:$K$4))</f>
        <v>0.8789914980600092</v>
      </c>
      <c r="L24" s="5">
        <f>L19</f>
        <v>0.89806752604411444</v>
      </c>
      <c r="M24" s="16">
        <f>MAX(K24:L24)</f>
        <v>0.89806752604411444</v>
      </c>
      <c r="N24" s="16">
        <f>MIN(H24:L24)</f>
        <v>0.86638552598122431</v>
      </c>
    </row>
    <row r="25" spans="1:60" x14ac:dyDescent="0.35">
      <c r="G25" t="s">
        <v>23</v>
      </c>
      <c r="H25" s="6" t="str">
        <f>IF(ISERROR(AVERAGEIF(B14:$L14,"&gt;0")),"",AVERAGEIF(B14:$L14,"&gt;0"))</f>
        <v/>
      </c>
      <c r="I25" s="6" t="str">
        <f>IF(ISERROR(AVERAGEIF(E14:$L14,"&gt;0")),"",AVERAGEIF(E14:$L14,"&gt;0"))</f>
        <v/>
      </c>
      <c r="J25" s="6" t="str">
        <f>IF(ISERROR(AVERAGEIF(G14:$L14,"&gt;0")),"",AVERAGEIF(G14:$L14,"&gt;0"))</f>
        <v/>
      </c>
      <c r="K25" s="6" t="str">
        <f>IF(ISERROR(AVERAGEIF(I14:$L14,"&gt;0")),"",AVERAGEIF(I14:$L14,"&gt;0"))</f>
        <v/>
      </c>
      <c r="L25" s="6" t="e">
        <f>L14</f>
        <v>#DIV/0!</v>
      </c>
      <c r="M25" s="1" t="e">
        <f>MAX(K25:L25)</f>
        <v>#DIV/0!</v>
      </c>
      <c r="N25" s="1" t="e">
        <f>MIN(H25:L25)</f>
        <v>#DIV/0!</v>
      </c>
    </row>
    <row r="30" spans="1:60" x14ac:dyDescent="0.35">
      <c r="G30">
        <v>2020</v>
      </c>
      <c r="H30">
        <f>G30+1</f>
        <v>2021</v>
      </c>
      <c r="I30">
        <f t="shared" ref="I30:BH30" si="6">H30+1</f>
        <v>2022</v>
      </c>
      <c r="J30">
        <f t="shared" si="6"/>
        <v>2023</v>
      </c>
      <c r="K30">
        <f t="shared" si="6"/>
        <v>2024</v>
      </c>
      <c r="L30">
        <f t="shared" si="6"/>
        <v>2025</v>
      </c>
      <c r="M30">
        <f t="shared" si="6"/>
        <v>2026</v>
      </c>
      <c r="N30">
        <f t="shared" si="6"/>
        <v>2027</v>
      </c>
      <c r="O30">
        <f t="shared" si="6"/>
        <v>2028</v>
      </c>
      <c r="P30">
        <f t="shared" si="6"/>
        <v>2029</v>
      </c>
      <c r="Q30">
        <f t="shared" si="6"/>
        <v>2030</v>
      </c>
      <c r="R30">
        <f t="shared" si="6"/>
        <v>2031</v>
      </c>
      <c r="S30">
        <f t="shared" si="6"/>
        <v>2032</v>
      </c>
      <c r="T30">
        <f t="shared" si="6"/>
        <v>2033</v>
      </c>
      <c r="U30">
        <f t="shared" si="6"/>
        <v>2034</v>
      </c>
      <c r="V30">
        <f t="shared" si="6"/>
        <v>2035</v>
      </c>
      <c r="W30">
        <f t="shared" si="6"/>
        <v>2036</v>
      </c>
      <c r="X30">
        <f t="shared" si="6"/>
        <v>2037</v>
      </c>
      <c r="Y30">
        <f t="shared" si="6"/>
        <v>2038</v>
      </c>
      <c r="Z30">
        <f t="shared" si="6"/>
        <v>2039</v>
      </c>
      <c r="AA30">
        <f t="shared" si="6"/>
        <v>2040</v>
      </c>
      <c r="AB30">
        <f t="shared" si="6"/>
        <v>2041</v>
      </c>
      <c r="AC30">
        <f t="shared" si="6"/>
        <v>2042</v>
      </c>
      <c r="AD30">
        <f t="shared" si="6"/>
        <v>2043</v>
      </c>
      <c r="AE30">
        <f t="shared" si="6"/>
        <v>2044</v>
      </c>
      <c r="AF30">
        <f t="shared" si="6"/>
        <v>2045</v>
      </c>
      <c r="AG30">
        <f t="shared" si="6"/>
        <v>2046</v>
      </c>
      <c r="AH30">
        <f t="shared" si="6"/>
        <v>2047</v>
      </c>
      <c r="AI30">
        <f t="shared" si="6"/>
        <v>2048</v>
      </c>
      <c r="AJ30">
        <f t="shared" si="6"/>
        <v>2049</v>
      </c>
      <c r="AK30">
        <f t="shared" si="6"/>
        <v>2050</v>
      </c>
      <c r="AL30">
        <f t="shared" si="6"/>
        <v>2051</v>
      </c>
      <c r="AM30">
        <f t="shared" si="6"/>
        <v>2052</v>
      </c>
      <c r="AN30">
        <f t="shared" si="6"/>
        <v>2053</v>
      </c>
      <c r="AO30">
        <f t="shared" si="6"/>
        <v>2054</v>
      </c>
      <c r="AP30">
        <f t="shared" si="6"/>
        <v>2055</v>
      </c>
      <c r="AQ30">
        <f t="shared" si="6"/>
        <v>2056</v>
      </c>
      <c r="AR30">
        <f t="shared" si="6"/>
        <v>2057</v>
      </c>
      <c r="AS30">
        <f t="shared" si="6"/>
        <v>2058</v>
      </c>
      <c r="AT30">
        <f t="shared" si="6"/>
        <v>2059</v>
      </c>
      <c r="AU30">
        <f t="shared" si="6"/>
        <v>2060</v>
      </c>
      <c r="AV30">
        <f t="shared" si="6"/>
        <v>2061</v>
      </c>
      <c r="AW30">
        <f t="shared" si="6"/>
        <v>2062</v>
      </c>
      <c r="AX30">
        <f t="shared" si="6"/>
        <v>2063</v>
      </c>
      <c r="AY30">
        <f t="shared" si="6"/>
        <v>2064</v>
      </c>
      <c r="AZ30">
        <f t="shared" si="6"/>
        <v>2065</v>
      </c>
      <c r="BA30">
        <f t="shared" si="6"/>
        <v>2066</v>
      </c>
      <c r="BB30">
        <f t="shared" si="6"/>
        <v>2067</v>
      </c>
      <c r="BC30">
        <f t="shared" si="6"/>
        <v>2068</v>
      </c>
      <c r="BD30">
        <f t="shared" si="6"/>
        <v>2069</v>
      </c>
      <c r="BE30">
        <f t="shared" si="6"/>
        <v>2070</v>
      </c>
      <c r="BF30">
        <f t="shared" si="6"/>
        <v>2071</v>
      </c>
      <c r="BG30">
        <f t="shared" si="6"/>
        <v>2072</v>
      </c>
      <c r="BH30">
        <f t="shared" si="6"/>
        <v>2073</v>
      </c>
    </row>
    <row r="32" spans="1:60" x14ac:dyDescent="0.35">
      <c r="G32" s="1">
        <v>421.33</v>
      </c>
      <c r="H32" s="1">
        <f>'Data Sheet'!H50</f>
        <v>1369.54</v>
      </c>
      <c r="I32" s="1">
        <f>'Data Sheet'!I50</f>
        <v>1597.95</v>
      </c>
      <c r="J32" s="1">
        <f>'Data Sheet'!J50</f>
        <v>1777.62</v>
      </c>
      <c r="K32" s="1">
        <f>'Data Sheet'!K50</f>
        <v>2038.47</v>
      </c>
      <c r="L32" s="39">
        <f>K32+K32*L33</f>
        <v>2344.2404999999999</v>
      </c>
      <c r="M32" s="39">
        <f t="shared" ref="M32:P32" si="7">L32+L32*M33</f>
        <v>2695.8765749999998</v>
      </c>
      <c r="N32" s="39">
        <f t="shared" si="7"/>
        <v>3100.2580612499996</v>
      </c>
      <c r="O32" s="39">
        <f t="shared" si="7"/>
        <v>3565.2967704374996</v>
      </c>
      <c r="P32" s="39">
        <f t="shared" si="7"/>
        <v>3921.8264474812495</v>
      </c>
      <c r="Q32" s="39">
        <f t="shared" ref="Q32" si="8">P32+P32*Q33</f>
        <v>4314.0090922293748</v>
      </c>
      <c r="R32" s="39">
        <f t="shared" ref="R32" si="9">Q32+Q32*R33</f>
        <v>4745.4100014523119</v>
      </c>
      <c r="S32" s="39">
        <f t="shared" ref="S32" si="10">R32+R32*S33</f>
        <v>5219.9510015975429</v>
      </c>
      <c r="T32" s="39">
        <f t="shared" ref="T32" si="11">S32+S32*T33</f>
        <v>5741.9461017572976</v>
      </c>
      <c r="U32" s="39">
        <f t="shared" ref="U32" si="12">T32+T32*U33</f>
        <v>6316.140711933027</v>
      </c>
      <c r="V32" s="39">
        <f t="shared" ref="V32" si="13">U32+U32*V33</f>
        <v>6947.75478312633</v>
      </c>
      <c r="W32" s="39">
        <f t="shared" ref="W32" si="14">V32+V32*W33</f>
        <v>7642.530261438963</v>
      </c>
      <c r="X32" s="39">
        <f t="shared" ref="X32" si="15">W32+W32*X33</f>
        <v>8406.783287582859</v>
      </c>
      <c r="Y32" s="39">
        <f>X32+X32*Y33</f>
        <v>8574.9189533345161</v>
      </c>
      <c r="Z32" s="39">
        <f t="shared" ref="Z32:AJ32" si="16">Y32+Y32*Z33</f>
        <v>8746.4173324012063</v>
      </c>
      <c r="AA32" s="39">
        <f t="shared" si="16"/>
        <v>8921.345679049231</v>
      </c>
      <c r="AB32" s="39">
        <f t="shared" si="16"/>
        <v>9099.7725926302155</v>
      </c>
      <c r="AC32" s="39">
        <f t="shared" si="16"/>
        <v>9281.7680444828202</v>
      </c>
      <c r="AD32" s="39">
        <f t="shared" si="16"/>
        <v>9467.4034053724772</v>
      </c>
      <c r="AE32" s="39">
        <f t="shared" si="16"/>
        <v>9656.7514734799261</v>
      </c>
      <c r="AF32" s="39">
        <f t="shared" si="16"/>
        <v>9849.8865029495246</v>
      </c>
      <c r="AG32" s="39">
        <f t="shared" si="16"/>
        <v>10046.884233008515</v>
      </c>
      <c r="AH32" s="39">
        <f t="shared" si="16"/>
        <v>10247.821917668685</v>
      </c>
      <c r="AI32" s="39">
        <f t="shared" si="16"/>
        <v>10452.77835602206</v>
      </c>
      <c r="AJ32" s="39">
        <f t="shared" si="16"/>
        <v>10661.833923142502</v>
      </c>
      <c r="AK32" s="39">
        <f>AJ32+AJ32*AK33</f>
        <v>10661.833923142502</v>
      </c>
      <c r="AL32" s="39">
        <f t="shared" ref="AL32" si="17">AK32+AK32*AL33</f>
        <v>10661.833923142502</v>
      </c>
    </row>
    <row r="33" spans="6:36" x14ac:dyDescent="0.35">
      <c r="F33" t="s">
        <v>128</v>
      </c>
      <c r="H33" s="38">
        <f>(H32-G32)/G32</f>
        <v>2.2505162224384687</v>
      </c>
      <c r="I33" s="38">
        <f t="shared" ref="I33:K33" si="18">(I32-H32)/H32</f>
        <v>0.16677862640010521</v>
      </c>
      <c r="J33" s="38">
        <f t="shared" si="18"/>
        <v>0.11243781094527353</v>
      </c>
      <c r="K33" s="38">
        <f t="shared" si="18"/>
        <v>0.14674114827690965</v>
      </c>
      <c r="L33" s="34">
        <v>0.15</v>
      </c>
      <c r="M33" s="34">
        <v>0.15</v>
      </c>
      <c r="N33" s="34">
        <v>0.15</v>
      </c>
      <c r="O33" s="34">
        <v>0.15</v>
      </c>
      <c r="P33" s="34">
        <v>0.1</v>
      </c>
      <c r="Q33" s="34">
        <v>0.1</v>
      </c>
      <c r="R33" s="34">
        <v>0.1</v>
      </c>
      <c r="S33" s="34">
        <v>0.1</v>
      </c>
      <c r="T33" s="34">
        <v>0.1</v>
      </c>
      <c r="U33" s="34">
        <v>0.1</v>
      </c>
      <c r="V33" s="34">
        <v>0.1</v>
      </c>
      <c r="W33" s="34">
        <v>0.1</v>
      </c>
      <c r="X33" s="34">
        <v>0.1</v>
      </c>
      <c r="Y33" s="34">
        <v>0.02</v>
      </c>
      <c r="Z33" s="34">
        <v>0.02</v>
      </c>
      <c r="AA33" s="34">
        <v>0.02</v>
      </c>
      <c r="AB33" s="34">
        <v>0.02</v>
      </c>
      <c r="AC33" s="34">
        <v>0.02</v>
      </c>
      <c r="AD33" s="34">
        <v>0.02</v>
      </c>
      <c r="AE33" s="34">
        <v>0.02</v>
      </c>
      <c r="AF33" s="34">
        <v>0.02</v>
      </c>
      <c r="AG33" s="34">
        <v>0.02</v>
      </c>
      <c r="AH33" s="34">
        <v>0.02</v>
      </c>
      <c r="AI33" s="34">
        <v>0.02</v>
      </c>
      <c r="AJ33" s="34">
        <v>0.02</v>
      </c>
    </row>
    <row r="38" spans="6:36" x14ac:dyDescent="0.35">
      <c r="W38" t="s">
        <v>129</v>
      </c>
      <c r="X38" s="34">
        <v>0.02</v>
      </c>
    </row>
    <row r="39" spans="6:36" x14ac:dyDescent="0.35">
      <c r="W39" t="s">
        <v>130</v>
      </c>
    </row>
    <row r="40" spans="6:36" x14ac:dyDescent="0.35">
      <c r="W40" t="s">
        <v>131</v>
      </c>
      <c r="X40" s="34">
        <v>0.09</v>
      </c>
    </row>
    <row r="41" spans="6:36" x14ac:dyDescent="0.35">
      <c r="W41" t="s">
        <v>132</v>
      </c>
      <c r="X41" s="40">
        <f>NPV(X40,L32:AL32)</f>
        <v>57254.813270749422</v>
      </c>
    </row>
    <row r="42" spans="6:36" x14ac:dyDescent="0.35">
      <c r="W42" t="s">
        <v>133</v>
      </c>
      <c r="X42" s="40">
        <f>X41/Main!P6</f>
        <v>85.29962347777095</v>
      </c>
    </row>
    <row r="43" spans="6:36" x14ac:dyDescent="0.35">
      <c r="W43" t="s">
        <v>58</v>
      </c>
      <c r="X43">
        <v>68</v>
      </c>
    </row>
    <row r="44" spans="6:36" x14ac:dyDescent="0.35">
      <c r="W44" t="s">
        <v>134</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A008F-2545-4AB1-8D42-080E59FB39A7}">
  <dimension ref="A1:R25"/>
  <sheetViews>
    <sheetView topLeftCell="C1" zoomScale="103" workbookViewId="0">
      <selection activeCell="R7" sqref="R7"/>
    </sheetView>
  </sheetViews>
  <sheetFormatPr defaultRowHeight="14.5" x14ac:dyDescent="0.35"/>
  <cols>
    <col min="1" max="1" width="11.54296875" customWidth="1"/>
    <col min="2" max="2" width="11.36328125" customWidth="1"/>
    <col min="3" max="3" width="21.26953125" customWidth="1"/>
    <col min="4" max="4" width="21.453125" customWidth="1"/>
    <col min="5" max="5" width="18.1796875" customWidth="1"/>
    <col min="7" max="7" width="1" customWidth="1"/>
    <col min="8" max="8" width="19.453125" customWidth="1"/>
    <col min="9" max="9" width="7.453125" customWidth="1"/>
    <col min="10" max="13" width="8.7265625" hidden="1" customWidth="1"/>
    <col min="14" max="14" width="5.54296875" customWidth="1"/>
    <col min="16" max="16" width="16.54296875" customWidth="1"/>
  </cols>
  <sheetData>
    <row r="1" spans="2:18" ht="25.5" x14ac:dyDescent="0.55000000000000004">
      <c r="B1" s="25" t="s">
        <v>93</v>
      </c>
      <c r="H1" t="s">
        <v>104</v>
      </c>
      <c r="I1" t="s">
        <v>103</v>
      </c>
    </row>
    <row r="3" spans="2:18" x14ac:dyDescent="0.35">
      <c r="B3" t="s">
        <v>107</v>
      </c>
      <c r="H3" t="s">
        <v>108</v>
      </c>
    </row>
    <row r="4" spans="2:18" x14ac:dyDescent="0.35">
      <c r="B4" t="s">
        <v>110</v>
      </c>
    </row>
    <row r="5" spans="2:18" x14ac:dyDescent="0.35">
      <c r="B5" t="s">
        <v>115</v>
      </c>
      <c r="O5" s="28" t="s">
        <v>58</v>
      </c>
      <c r="P5" s="29">
        <v>70</v>
      </c>
      <c r="Q5" t="s">
        <v>126</v>
      </c>
    </row>
    <row r="6" spans="2:18" x14ac:dyDescent="0.35">
      <c r="O6" s="30" t="s">
        <v>95</v>
      </c>
      <c r="P6" s="36">
        <v>671.22</v>
      </c>
      <c r="Q6" t="s">
        <v>124</v>
      </c>
    </row>
    <row r="7" spans="2:18" x14ac:dyDescent="0.35">
      <c r="O7" s="30" t="s">
        <v>96</v>
      </c>
      <c r="P7" s="31">
        <f>P5*P6</f>
        <v>46985.4</v>
      </c>
      <c r="Q7" t="s">
        <v>135</v>
      </c>
      <c r="R7">
        <v>56000</v>
      </c>
    </row>
    <row r="8" spans="2:18" x14ac:dyDescent="0.35">
      <c r="O8" s="30" t="s">
        <v>125</v>
      </c>
      <c r="P8" s="31"/>
    </row>
    <row r="9" spans="2:18" x14ac:dyDescent="0.35">
      <c r="O9" s="30" t="s">
        <v>94</v>
      </c>
      <c r="P9" s="31">
        <v>64</v>
      </c>
    </row>
    <row r="10" spans="2:18" x14ac:dyDescent="0.35">
      <c r="O10" s="30" t="s">
        <v>97</v>
      </c>
      <c r="P10" s="31"/>
    </row>
    <row r="11" spans="2:18" x14ac:dyDescent="0.35">
      <c r="O11" s="32" t="s">
        <v>98</v>
      </c>
      <c r="P11" s="33"/>
    </row>
    <row r="13" spans="2:18" x14ac:dyDescent="0.35">
      <c r="O13" s="26" t="s">
        <v>99</v>
      </c>
    </row>
    <row r="14" spans="2:18" x14ac:dyDescent="0.35">
      <c r="O14" s="26" t="s">
        <v>100</v>
      </c>
    </row>
    <row r="15" spans="2:18" x14ac:dyDescent="0.35">
      <c r="O15" s="26" t="s">
        <v>101</v>
      </c>
    </row>
    <row r="16" spans="2:18" x14ac:dyDescent="0.35">
      <c r="O16" s="26" t="s">
        <v>105</v>
      </c>
    </row>
    <row r="17" spans="1:15" x14ac:dyDescent="0.35">
      <c r="O17" s="26" t="s">
        <v>106</v>
      </c>
    </row>
    <row r="18" spans="1:15" x14ac:dyDescent="0.35">
      <c r="N18" t="s">
        <v>109</v>
      </c>
      <c r="O18" t="s">
        <v>102</v>
      </c>
    </row>
    <row r="21" spans="1:15" x14ac:dyDescent="0.35">
      <c r="A21" s="35">
        <v>45352</v>
      </c>
      <c r="B21" t="s">
        <v>111</v>
      </c>
    </row>
    <row r="22" spans="1:15" s="2" customFormat="1" x14ac:dyDescent="0.35">
      <c r="B22" s="2" t="s">
        <v>112</v>
      </c>
      <c r="C22" s="2" t="s">
        <v>113</v>
      </c>
      <c r="D22" s="2" t="s">
        <v>118</v>
      </c>
      <c r="E22" s="2" t="s">
        <v>114</v>
      </c>
    </row>
    <row r="23" spans="1:15" x14ac:dyDescent="0.35">
      <c r="A23" t="s">
        <v>116</v>
      </c>
      <c r="B23" s="34">
        <v>0.24</v>
      </c>
      <c r="C23" s="34">
        <v>0.22</v>
      </c>
      <c r="D23" s="34">
        <v>0.56999999999999995</v>
      </c>
      <c r="E23" s="34">
        <v>0.69</v>
      </c>
    </row>
    <row r="24" spans="1:15" x14ac:dyDescent="0.35">
      <c r="A24" t="s">
        <v>117</v>
      </c>
      <c r="B24" s="27">
        <v>52819</v>
      </c>
      <c r="C24">
        <v>9568</v>
      </c>
      <c r="D24">
        <v>17637</v>
      </c>
      <c r="E24">
        <v>9599</v>
      </c>
    </row>
    <row r="25" spans="1:15" x14ac:dyDescent="0.35">
      <c r="A25" t="s">
        <v>119</v>
      </c>
      <c r="B25" t="s">
        <v>120</v>
      </c>
      <c r="C25" t="s">
        <v>121</v>
      </c>
      <c r="D25" t="s">
        <v>122</v>
      </c>
      <c r="E25" t="s">
        <v>123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68" workbookViewId="0">
      <pane xSplit="1" ySplit="3" topLeftCell="C4" activePane="bottomRight" state="frozen"/>
      <selection pane="topRight" activeCell="B1" sqref="B1"/>
      <selection pane="bottomLeft" activeCell="A4" sqref="A4"/>
      <selection pane="bottomRight" activeCell="K5" sqref="K5"/>
    </sheetView>
  </sheetViews>
  <sheetFormatPr defaultColWidth="8.81640625" defaultRowHeight="14.5" x14ac:dyDescent="0.35"/>
  <cols>
    <col min="1" max="1" width="20.6328125" customWidth="1"/>
    <col min="2" max="11" width="13.453125" bestFit="1" customWidth="1"/>
  </cols>
  <sheetData>
    <row r="1" spans="1:11" s="2" customFormat="1" x14ac:dyDescent="0.35">
      <c r="A1" s="2" t="str">
        <f>'Profit &amp; Loss'!A1</f>
        <v>BAJAJ HOUSING FINANCE LTD</v>
      </c>
      <c r="E1" t="str">
        <f>UPDATE</f>
        <v/>
      </c>
      <c r="J1" s="2" t="s">
        <v>1</v>
      </c>
    </row>
    <row r="3" spans="1:11" s="2" customFormat="1" x14ac:dyDescent="0.35">
      <c r="A3" s="11" t="s">
        <v>2</v>
      </c>
      <c r="B3" s="12">
        <f>'Data Sheet'!B41</f>
        <v>0</v>
      </c>
      <c r="C3" s="12">
        <f>'Data Sheet'!C41</f>
        <v>0</v>
      </c>
      <c r="D3" s="12">
        <f>'Data Sheet'!D41</f>
        <v>0</v>
      </c>
      <c r="E3" s="12">
        <f>'Data Sheet'!E41</f>
        <v>0</v>
      </c>
      <c r="F3" s="12">
        <f>'Data Sheet'!F41</f>
        <v>0</v>
      </c>
      <c r="G3" s="12">
        <f>'Data Sheet'!G41</f>
        <v>0</v>
      </c>
      <c r="H3" s="12">
        <f>'Data Sheet'!H41</f>
        <v>45016</v>
      </c>
      <c r="I3" s="12">
        <f>'Data Sheet'!I41</f>
        <v>45107</v>
      </c>
      <c r="J3" s="12">
        <f>'Data Sheet'!J41</f>
        <v>45382</v>
      </c>
      <c r="K3" s="12">
        <f>'Data Sheet'!K41</f>
        <v>45473</v>
      </c>
    </row>
    <row r="4" spans="1:11" s="2" customFormat="1" x14ac:dyDescent="0.35">
      <c r="A4" s="2" t="s">
        <v>6</v>
      </c>
      <c r="B4" s="1">
        <f>'Data Sheet'!B42</f>
        <v>0</v>
      </c>
      <c r="C4" s="1">
        <f>'Data Sheet'!C42</f>
        <v>0</v>
      </c>
      <c r="D4" s="1">
        <f>'Data Sheet'!D42</f>
        <v>0</v>
      </c>
      <c r="E4" s="1">
        <f>'Data Sheet'!E42</f>
        <v>0</v>
      </c>
      <c r="F4" s="1">
        <f>'Data Sheet'!F42</f>
        <v>0</v>
      </c>
      <c r="G4" s="1">
        <f>'Data Sheet'!G42</f>
        <v>0</v>
      </c>
      <c r="H4" s="1">
        <f>'Data Sheet'!H42</f>
        <v>1585.23</v>
      </c>
      <c r="I4" s="1">
        <f>'Data Sheet'!I42</f>
        <v>1763.25</v>
      </c>
      <c r="J4" s="1">
        <f>'Data Sheet'!J42</f>
        <v>1996.4</v>
      </c>
      <c r="K4" s="1">
        <f>'Data Sheet'!K42</f>
        <v>2208.65</v>
      </c>
    </row>
    <row r="5" spans="1:11" x14ac:dyDescent="0.35">
      <c r="A5" t="s">
        <v>7</v>
      </c>
      <c r="B5" s="6">
        <f>'Data Sheet'!B43</f>
        <v>0</v>
      </c>
      <c r="C5" s="6">
        <f>'Data Sheet'!C43</f>
        <v>0</v>
      </c>
      <c r="D5" s="6">
        <f>'Data Sheet'!D43</f>
        <v>0</v>
      </c>
      <c r="E5" s="6">
        <f>'Data Sheet'!E43</f>
        <v>0</v>
      </c>
      <c r="F5" s="6">
        <f>'Data Sheet'!F43</f>
        <v>0</v>
      </c>
      <c r="G5" s="6">
        <f>'Data Sheet'!G43</f>
        <v>0</v>
      </c>
      <c r="H5" s="6">
        <f>'Data Sheet'!H43</f>
        <v>215.69</v>
      </c>
      <c r="I5" s="6">
        <f>'Data Sheet'!I43</f>
        <v>165.3</v>
      </c>
      <c r="J5" s="6">
        <f>'Data Sheet'!J43</f>
        <v>218.78</v>
      </c>
      <c r="K5" s="6">
        <f>'Data Sheet'!K43</f>
        <v>170.18</v>
      </c>
    </row>
    <row r="6" spans="1:11" s="2" customFormat="1" x14ac:dyDescent="0.35">
      <c r="A6" s="2" t="s">
        <v>8</v>
      </c>
      <c r="B6" s="1">
        <f>'Data Sheet'!B50</f>
        <v>0</v>
      </c>
      <c r="C6" s="1">
        <f>'Data Sheet'!C50</f>
        <v>0</v>
      </c>
      <c r="D6" s="1">
        <f>'Data Sheet'!D50</f>
        <v>0</v>
      </c>
      <c r="E6" s="1">
        <f>'Data Sheet'!E50</f>
        <v>0</v>
      </c>
      <c r="F6" s="1">
        <f>'Data Sheet'!F50</f>
        <v>0</v>
      </c>
      <c r="G6" s="1">
        <f>'Data Sheet'!G50</f>
        <v>0</v>
      </c>
      <c r="H6" s="1">
        <f>'Data Sheet'!H50</f>
        <v>1369.54</v>
      </c>
      <c r="I6" s="1">
        <f>'Data Sheet'!I50</f>
        <v>1597.95</v>
      </c>
      <c r="J6" s="1">
        <f>'Data Sheet'!J50</f>
        <v>1777.62</v>
      </c>
      <c r="K6" s="1">
        <f>'Data Sheet'!K50</f>
        <v>2038.47</v>
      </c>
    </row>
    <row r="7" spans="1:11" x14ac:dyDescent="0.35">
      <c r="A7" t="s">
        <v>9</v>
      </c>
      <c r="B7" s="6">
        <f>'Data Sheet'!B44</f>
        <v>0</v>
      </c>
      <c r="C7" s="6">
        <f>'Data Sheet'!C44</f>
        <v>0</v>
      </c>
      <c r="D7" s="6">
        <f>'Data Sheet'!D44</f>
        <v>0</v>
      </c>
      <c r="E7" s="6">
        <f>'Data Sheet'!E44</f>
        <v>0</v>
      </c>
      <c r="F7" s="6">
        <f>'Data Sheet'!F44</f>
        <v>0</v>
      </c>
      <c r="G7" s="6">
        <f>'Data Sheet'!G44</f>
        <v>0</v>
      </c>
      <c r="H7" s="6">
        <f>'Data Sheet'!H44</f>
        <v>0.35</v>
      </c>
      <c r="I7" s="6">
        <f>'Data Sheet'!I44</f>
        <v>0.13</v>
      </c>
      <c r="J7" s="6">
        <f>'Data Sheet'!J44</f>
        <v>0.1</v>
      </c>
      <c r="K7" s="6">
        <f>'Data Sheet'!K44</f>
        <v>0.08</v>
      </c>
    </row>
    <row r="8" spans="1:11" x14ac:dyDescent="0.35">
      <c r="A8" t="s">
        <v>10</v>
      </c>
      <c r="B8" s="6">
        <f>'Data Sheet'!B45</f>
        <v>0</v>
      </c>
      <c r="C8" s="6">
        <f>'Data Sheet'!C45</f>
        <v>0</v>
      </c>
      <c r="D8" s="6">
        <f>'Data Sheet'!D45</f>
        <v>0</v>
      </c>
      <c r="E8" s="6">
        <f>'Data Sheet'!E45</f>
        <v>0</v>
      </c>
      <c r="F8" s="6">
        <f>'Data Sheet'!F45</f>
        <v>0</v>
      </c>
      <c r="G8" s="6">
        <f>'Data Sheet'!G45</f>
        <v>0</v>
      </c>
      <c r="H8" s="6">
        <f>'Data Sheet'!H45</f>
        <v>9.06</v>
      </c>
      <c r="I8" s="6">
        <f>'Data Sheet'!I45</f>
        <v>9.69</v>
      </c>
      <c r="J8" s="6">
        <f>'Data Sheet'!J45</f>
        <v>10.199999999999999</v>
      </c>
      <c r="K8" s="6">
        <f>'Data Sheet'!K45</f>
        <v>9.91</v>
      </c>
    </row>
    <row r="9" spans="1:11" x14ac:dyDescent="0.35">
      <c r="A9" t="s">
        <v>11</v>
      </c>
      <c r="B9" s="6">
        <f>'Data Sheet'!B46</f>
        <v>0</v>
      </c>
      <c r="C9" s="6">
        <f>'Data Sheet'!C46</f>
        <v>0</v>
      </c>
      <c r="D9" s="6">
        <f>'Data Sheet'!D46</f>
        <v>0</v>
      </c>
      <c r="E9" s="6">
        <f>'Data Sheet'!E46</f>
        <v>0</v>
      </c>
      <c r="F9" s="6">
        <f>'Data Sheet'!F46</f>
        <v>0</v>
      </c>
      <c r="G9" s="6">
        <f>'Data Sheet'!G46</f>
        <v>0</v>
      </c>
      <c r="H9" s="6">
        <f>'Data Sheet'!H46</f>
        <v>954.03</v>
      </c>
      <c r="I9" s="6">
        <f>'Data Sheet'!I46</f>
        <v>1062.1500000000001</v>
      </c>
      <c r="J9" s="6">
        <f>'Data Sheet'!J46</f>
        <v>1279.3</v>
      </c>
      <c r="K9" s="6">
        <f>'Data Sheet'!K46</f>
        <v>1398.76</v>
      </c>
    </row>
    <row r="10" spans="1:11" x14ac:dyDescent="0.35">
      <c r="A10" t="s">
        <v>12</v>
      </c>
      <c r="B10" s="6">
        <f>'Data Sheet'!B47</f>
        <v>0</v>
      </c>
      <c r="C10" s="6">
        <f>'Data Sheet'!C47</f>
        <v>0</v>
      </c>
      <c r="D10" s="6">
        <f>'Data Sheet'!D47</f>
        <v>0</v>
      </c>
      <c r="E10" s="6">
        <f>'Data Sheet'!E47</f>
        <v>0</v>
      </c>
      <c r="F10" s="6">
        <f>'Data Sheet'!F47</f>
        <v>0</v>
      </c>
      <c r="G10" s="6">
        <f>'Data Sheet'!G47</f>
        <v>0</v>
      </c>
      <c r="H10" s="6">
        <f>'Data Sheet'!H47</f>
        <v>406.8</v>
      </c>
      <c r="I10" s="6">
        <f>'Data Sheet'!I47</f>
        <v>526.24</v>
      </c>
      <c r="J10" s="6">
        <f>'Data Sheet'!J47</f>
        <v>488.22</v>
      </c>
      <c r="K10" s="6">
        <f>'Data Sheet'!K47</f>
        <v>629.88</v>
      </c>
    </row>
    <row r="11" spans="1:11" x14ac:dyDescent="0.35">
      <c r="A11" t="s">
        <v>13</v>
      </c>
      <c r="B11" s="6">
        <f>'Data Sheet'!B48</f>
        <v>0</v>
      </c>
      <c r="C11" s="6">
        <f>'Data Sheet'!C48</f>
        <v>0</v>
      </c>
      <c r="D11" s="6">
        <f>'Data Sheet'!D48</f>
        <v>0</v>
      </c>
      <c r="E11" s="6">
        <f>'Data Sheet'!E48</f>
        <v>0</v>
      </c>
      <c r="F11" s="6">
        <f>'Data Sheet'!F48</f>
        <v>0</v>
      </c>
      <c r="G11" s="6">
        <f>'Data Sheet'!G48</f>
        <v>0</v>
      </c>
      <c r="H11" s="6">
        <f>'Data Sheet'!H48</f>
        <v>105.33</v>
      </c>
      <c r="I11" s="6">
        <f>'Data Sheet'!I48</f>
        <v>64.44</v>
      </c>
      <c r="J11" s="6">
        <f>'Data Sheet'!J48</f>
        <v>106.88</v>
      </c>
      <c r="K11" s="6">
        <f>'Data Sheet'!K48</f>
        <v>147.27000000000001</v>
      </c>
    </row>
    <row r="12" spans="1:11" s="2" customFormat="1" x14ac:dyDescent="0.35">
      <c r="A12" s="2" t="s">
        <v>14</v>
      </c>
      <c r="B12" s="1">
        <f>'Data Sheet'!B49</f>
        <v>0</v>
      </c>
      <c r="C12" s="1">
        <f>'Data Sheet'!C49</f>
        <v>0</v>
      </c>
      <c r="D12" s="1">
        <f>'Data Sheet'!D49</f>
        <v>0</v>
      </c>
      <c r="E12" s="1">
        <f>'Data Sheet'!E49</f>
        <v>0</v>
      </c>
      <c r="F12" s="1">
        <f>'Data Sheet'!F49</f>
        <v>0</v>
      </c>
      <c r="G12" s="1">
        <f>'Data Sheet'!G49</f>
        <v>0</v>
      </c>
      <c r="H12" s="1">
        <f>'Data Sheet'!H49</f>
        <v>301.47000000000003</v>
      </c>
      <c r="I12" s="1">
        <f>'Data Sheet'!I49</f>
        <v>461.8</v>
      </c>
      <c r="J12" s="1">
        <f>'Data Sheet'!J49</f>
        <v>381.34</v>
      </c>
      <c r="K12" s="1">
        <f>'Data Sheet'!K49</f>
        <v>482.61</v>
      </c>
    </row>
    <row r="14" spans="1:11" s="2" customFormat="1" x14ac:dyDescent="0.35">
      <c r="A14" s="2" t="s">
        <v>18</v>
      </c>
      <c r="B14" s="10" t="str">
        <f>IF(B4&gt;0,B6/B4,"")</f>
        <v/>
      </c>
      <c r="C14" s="10" t="str">
        <f t="shared" ref="C14:K14" si="0">IF(C4&gt;0,C6/C4,"")</f>
        <v/>
      </c>
      <c r="D14" s="10" t="str">
        <f t="shared" si="0"/>
        <v/>
      </c>
      <c r="E14" s="10" t="str">
        <f t="shared" si="0"/>
        <v/>
      </c>
      <c r="F14" s="10" t="str">
        <f t="shared" si="0"/>
        <v/>
      </c>
      <c r="G14" s="10" t="str">
        <f t="shared" si="0"/>
        <v/>
      </c>
      <c r="H14" s="10">
        <f t="shared" si="0"/>
        <v>0.86393772512506073</v>
      </c>
      <c r="I14" s="10">
        <f t="shared" si="0"/>
        <v>0.90625265844321568</v>
      </c>
      <c r="J14" s="10">
        <f t="shared" si="0"/>
        <v>0.89041274293728701</v>
      </c>
      <c r="K14" s="10">
        <f t="shared" si="0"/>
        <v>0.9229484073981844</v>
      </c>
    </row>
    <row r="22" s="23" customFormat="1" x14ac:dyDescent="0.35"/>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84" workbookViewId="0">
      <pane xSplit="1" ySplit="3" topLeftCell="B4" activePane="bottomRight" state="frozen"/>
      <selection activeCell="C4" sqref="C4"/>
      <selection pane="topRight" activeCell="C4" sqref="C4"/>
      <selection pane="bottomLeft" activeCell="C4" sqref="C4"/>
      <selection pane="bottomRight" activeCell="K24" sqref="K24"/>
    </sheetView>
  </sheetViews>
  <sheetFormatPr defaultColWidth="8.81640625" defaultRowHeight="14.5" x14ac:dyDescent="0.35"/>
  <cols>
    <col min="1" max="1" width="22.81640625" bestFit="1" customWidth="1"/>
    <col min="2" max="2" width="13.453125" customWidth="1"/>
    <col min="3" max="11" width="15.453125" customWidth="1"/>
  </cols>
  <sheetData>
    <row r="1" spans="1:11" s="2" customFormat="1" x14ac:dyDescent="0.35">
      <c r="A1" s="2" t="str">
        <f>'Profit &amp; Loss'!A1</f>
        <v>BAJAJ HOUSING FINANCE LTD</v>
      </c>
      <c r="E1" t="str">
        <f>UPDATE</f>
        <v/>
      </c>
      <c r="G1"/>
      <c r="J1" s="2" t="s">
        <v>1</v>
      </c>
    </row>
    <row r="2" spans="1:11" x14ac:dyDescent="0.35">
      <c r="G2" s="2"/>
      <c r="H2" s="2"/>
    </row>
    <row r="3" spans="1:11" x14ac:dyDescent="0.35">
      <c r="A3" s="11" t="s">
        <v>2</v>
      </c>
      <c r="B3" s="12">
        <f>'Data Sheet'!B56</f>
        <v>0</v>
      </c>
      <c r="C3" s="12">
        <f>'Data Sheet'!C56</f>
        <v>0</v>
      </c>
      <c r="D3" s="12">
        <f>'Data Sheet'!D56</f>
        <v>0</v>
      </c>
      <c r="E3" s="12">
        <f>'Data Sheet'!E56</f>
        <v>0</v>
      </c>
      <c r="F3" s="12">
        <f>'Data Sheet'!F56</f>
        <v>0</v>
      </c>
      <c r="G3" s="12">
        <f>'Data Sheet'!G56</f>
        <v>43921</v>
      </c>
      <c r="H3" s="12">
        <f>'Data Sheet'!H56</f>
        <v>44286</v>
      </c>
      <c r="I3" s="12">
        <f>'Data Sheet'!I56</f>
        <v>44651</v>
      </c>
      <c r="J3" s="12">
        <f>'Data Sheet'!J56</f>
        <v>45016</v>
      </c>
      <c r="K3" s="12">
        <f>'Data Sheet'!K56</f>
        <v>45382</v>
      </c>
    </row>
    <row r="4" spans="1:11" x14ac:dyDescent="0.35">
      <c r="A4" t="s">
        <v>24</v>
      </c>
      <c r="B4" s="14">
        <f>'Data Sheet'!B57</f>
        <v>0</v>
      </c>
      <c r="C4" s="14">
        <f>'Data Sheet'!C57</f>
        <v>0</v>
      </c>
      <c r="D4" s="14">
        <f>'Data Sheet'!D57</f>
        <v>0</v>
      </c>
      <c r="E4" s="14">
        <f>'Data Sheet'!E57</f>
        <v>0</v>
      </c>
      <c r="F4" s="14">
        <f>'Data Sheet'!F57</f>
        <v>0</v>
      </c>
      <c r="G4" s="14">
        <f>'Data Sheet'!G57</f>
        <v>4883.33</v>
      </c>
      <c r="H4" s="14">
        <f>'Data Sheet'!H57</f>
        <v>4883.33</v>
      </c>
      <c r="I4" s="14">
        <f>'Data Sheet'!I57</f>
        <v>4883.33</v>
      </c>
      <c r="J4" s="14">
        <f>'Data Sheet'!J57</f>
        <v>6712.16</v>
      </c>
      <c r="K4" s="14">
        <f>'Data Sheet'!K57</f>
        <v>6712.16</v>
      </c>
    </row>
    <row r="5" spans="1:11" x14ac:dyDescent="0.35">
      <c r="A5" t="s">
        <v>25</v>
      </c>
      <c r="B5" s="14">
        <f>'Data Sheet'!B58</f>
        <v>0</v>
      </c>
      <c r="C5" s="14">
        <f>'Data Sheet'!C58</f>
        <v>0</v>
      </c>
      <c r="D5" s="14">
        <f>'Data Sheet'!D58</f>
        <v>0</v>
      </c>
      <c r="E5" s="14">
        <f>'Data Sheet'!E58</f>
        <v>0</v>
      </c>
      <c r="F5" s="14">
        <f>'Data Sheet'!F58</f>
        <v>0</v>
      </c>
      <c r="G5" s="14">
        <f>'Data Sheet'!G58</f>
        <v>701.8</v>
      </c>
      <c r="H5" s="14">
        <f>'Data Sheet'!H58</f>
        <v>1148.8900000000001</v>
      </c>
      <c r="I5" s="14">
        <f>'Data Sheet'!I58</f>
        <v>1858.03</v>
      </c>
      <c r="J5" s="14">
        <f>'Data Sheet'!J58</f>
        <v>3791.03</v>
      </c>
      <c r="K5" s="14">
        <f>'Data Sheet'!K58</f>
        <v>5521.34</v>
      </c>
    </row>
    <row r="6" spans="1:11" x14ac:dyDescent="0.35">
      <c r="A6" t="s">
        <v>71</v>
      </c>
      <c r="B6" s="14">
        <f>'Data Sheet'!B59</f>
        <v>0</v>
      </c>
      <c r="C6" s="14">
        <f>'Data Sheet'!C59</f>
        <v>0</v>
      </c>
      <c r="D6" s="14">
        <f>'Data Sheet'!D59</f>
        <v>0</v>
      </c>
      <c r="E6" s="14">
        <f>'Data Sheet'!E59</f>
        <v>0</v>
      </c>
      <c r="F6" s="14">
        <f>'Data Sheet'!F59</f>
        <v>0</v>
      </c>
      <c r="G6" s="14">
        <f>'Data Sheet'!G59</f>
        <v>25600.44</v>
      </c>
      <c r="H6" s="14">
        <f>'Data Sheet'!H59</f>
        <v>31600.6</v>
      </c>
      <c r="I6" s="14">
        <f>'Data Sheet'!I59</f>
        <v>41492.32</v>
      </c>
      <c r="J6" s="14">
        <f>'Data Sheet'!J59</f>
        <v>53745.39</v>
      </c>
      <c r="K6" s="14">
        <f>'Data Sheet'!K59</f>
        <v>69129.320000000007</v>
      </c>
    </row>
    <row r="7" spans="1:11" x14ac:dyDescent="0.35">
      <c r="A7" t="s">
        <v>72</v>
      </c>
      <c r="B7" s="14">
        <f>'Data Sheet'!B60</f>
        <v>0</v>
      </c>
      <c r="C7" s="14">
        <f>'Data Sheet'!C60</f>
        <v>0</v>
      </c>
      <c r="D7" s="14">
        <f>'Data Sheet'!D60</f>
        <v>0</v>
      </c>
      <c r="E7" s="14">
        <f>'Data Sheet'!E60</f>
        <v>0</v>
      </c>
      <c r="F7" s="14">
        <f>'Data Sheet'!F60</f>
        <v>0</v>
      </c>
      <c r="G7" s="14">
        <f>'Data Sheet'!G60</f>
        <v>186.85</v>
      </c>
      <c r="H7" s="14">
        <f>'Data Sheet'!H60</f>
        <v>225.56</v>
      </c>
      <c r="I7" s="14">
        <f>'Data Sheet'!I60</f>
        <v>293.39999999999998</v>
      </c>
      <c r="J7" s="14">
        <f>'Data Sheet'!J60</f>
        <v>405.56</v>
      </c>
      <c r="K7" s="14">
        <f>'Data Sheet'!K60</f>
        <v>464.27</v>
      </c>
    </row>
    <row r="8" spans="1:11" s="2" customFormat="1" x14ac:dyDescent="0.35">
      <c r="A8" s="2" t="s">
        <v>26</v>
      </c>
      <c r="B8" s="15">
        <f>'Data Sheet'!B61</f>
        <v>0</v>
      </c>
      <c r="C8" s="15">
        <f>'Data Sheet'!C61</f>
        <v>0</v>
      </c>
      <c r="D8" s="15">
        <f>'Data Sheet'!D61</f>
        <v>0</v>
      </c>
      <c r="E8" s="15">
        <f>'Data Sheet'!E61</f>
        <v>0</v>
      </c>
      <c r="F8" s="15">
        <f>'Data Sheet'!F61</f>
        <v>0</v>
      </c>
      <c r="G8" s="15">
        <f>'Data Sheet'!G61</f>
        <v>31372.42</v>
      </c>
      <c r="H8" s="15">
        <f>'Data Sheet'!H61</f>
        <v>37858.379999999997</v>
      </c>
      <c r="I8" s="15">
        <f>'Data Sheet'!I61</f>
        <v>48527.08</v>
      </c>
      <c r="J8" s="15">
        <f>'Data Sheet'!J61</f>
        <v>64654.14</v>
      </c>
      <c r="K8" s="15">
        <f>'Data Sheet'!K61</f>
        <v>81827.09</v>
      </c>
    </row>
    <row r="9" spans="1:11" s="2" customFormat="1" x14ac:dyDescent="0.35">
      <c r="B9" s="15"/>
      <c r="C9" s="15"/>
      <c r="D9" s="15"/>
      <c r="E9" s="15"/>
      <c r="F9" s="15"/>
      <c r="G9" s="15"/>
      <c r="H9" s="15"/>
      <c r="I9" s="15"/>
      <c r="J9" s="15"/>
      <c r="K9" s="15"/>
    </row>
    <row r="10" spans="1:11" x14ac:dyDescent="0.35">
      <c r="A10" t="s">
        <v>27</v>
      </c>
      <c r="B10" s="14">
        <f>'Data Sheet'!B62</f>
        <v>0</v>
      </c>
      <c r="C10" s="14">
        <f>'Data Sheet'!C62</f>
        <v>0</v>
      </c>
      <c r="D10" s="14">
        <f>'Data Sheet'!D62</f>
        <v>0</v>
      </c>
      <c r="E10" s="14">
        <f>'Data Sheet'!E62</f>
        <v>0</v>
      </c>
      <c r="F10" s="14">
        <f>'Data Sheet'!F62</f>
        <v>0</v>
      </c>
      <c r="G10" s="14">
        <f>'Data Sheet'!G62</f>
        <v>85.78</v>
      </c>
      <c r="H10" s="14">
        <f>'Data Sheet'!H62</f>
        <v>78.89</v>
      </c>
      <c r="I10" s="14">
        <f>'Data Sheet'!I62</f>
        <v>97.2</v>
      </c>
      <c r="J10" s="14">
        <f>'Data Sheet'!J62</f>
        <v>112.99</v>
      </c>
      <c r="K10" s="14">
        <f>'Data Sheet'!K62</f>
        <v>122.86</v>
      </c>
    </row>
    <row r="11" spans="1:11" x14ac:dyDescent="0.35">
      <c r="A11" t="s">
        <v>28</v>
      </c>
      <c r="B11" s="14">
        <f>'Data Sheet'!B63</f>
        <v>0</v>
      </c>
      <c r="C11" s="14">
        <f>'Data Sheet'!C63</f>
        <v>0</v>
      </c>
      <c r="D11" s="14">
        <f>'Data Sheet'!D63</f>
        <v>0</v>
      </c>
      <c r="E11" s="14">
        <f>'Data Sheet'!E63</f>
        <v>0</v>
      </c>
      <c r="F11" s="14">
        <f>'Data Sheet'!F63</f>
        <v>0</v>
      </c>
      <c r="G11" s="14">
        <f>'Data Sheet'!G63</f>
        <v>0</v>
      </c>
      <c r="H11" s="14">
        <f>'Data Sheet'!H63</f>
        <v>0</v>
      </c>
      <c r="I11" s="14">
        <f>'Data Sheet'!I63</f>
        <v>1.46</v>
      </c>
      <c r="J11" s="14">
        <f>'Data Sheet'!J63</f>
        <v>0.31</v>
      </c>
      <c r="K11" s="14">
        <f>'Data Sheet'!K63</f>
        <v>0.87</v>
      </c>
    </row>
    <row r="12" spans="1:11" x14ac:dyDescent="0.35">
      <c r="A12" t="s">
        <v>29</v>
      </c>
      <c r="B12" s="14">
        <f>'Data Sheet'!B64</f>
        <v>0</v>
      </c>
      <c r="C12" s="14">
        <f>'Data Sheet'!C64</f>
        <v>0</v>
      </c>
      <c r="D12" s="14">
        <f>'Data Sheet'!D64</f>
        <v>0</v>
      </c>
      <c r="E12" s="14">
        <f>'Data Sheet'!E64</f>
        <v>0</v>
      </c>
      <c r="F12" s="14">
        <f>'Data Sheet'!F64</f>
        <v>0</v>
      </c>
      <c r="G12" s="14">
        <f>'Data Sheet'!G64</f>
        <v>2508.02</v>
      </c>
      <c r="H12" s="14">
        <f>'Data Sheet'!H64</f>
        <v>3266.04</v>
      </c>
      <c r="I12" s="14">
        <f>'Data Sheet'!I64</f>
        <v>1248.27</v>
      </c>
      <c r="J12" s="14">
        <f>'Data Sheet'!J64</f>
        <v>2000.91</v>
      </c>
      <c r="K12" s="14">
        <f>'Data Sheet'!K64</f>
        <v>1938.57</v>
      </c>
    </row>
    <row r="13" spans="1:11" x14ac:dyDescent="0.35">
      <c r="A13" t="s">
        <v>73</v>
      </c>
      <c r="B13" s="14">
        <f>'Data Sheet'!B65</f>
        <v>0</v>
      </c>
      <c r="C13" s="14">
        <f>'Data Sheet'!C65</f>
        <v>0</v>
      </c>
      <c r="D13" s="14">
        <f>'Data Sheet'!D65</f>
        <v>0</v>
      </c>
      <c r="E13" s="14">
        <f>'Data Sheet'!E65</f>
        <v>0</v>
      </c>
      <c r="F13" s="14">
        <f>'Data Sheet'!F65</f>
        <v>0</v>
      </c>
      <c r="G13" s="14">
        <f>'Data Sheet'!G65</f>
        <v>28778.62</v>
      </c>
      <c r="H13" s="14">
        <f>'Data Sheet'!H65</f>
        <v>34513.449999999997</v>
      </c>
      <c r="I13" s="14">
        <f>'Data Sheet'!I65</f>
        <v>47180.15</v>
      </c>
      <c r="J13" s="14">
        <f>'Data Sheet'!J65</f>
        <v>62539.93</v>
      </c>
      <c r="K13" s="14">
        <f>'Data Sheet'!K65</f>
        <v>79764.789999999994</v>
      </c>
    </row>
    <row r="14" spans="1:11" s="2" customFormat="1" x14ac:dyDescent="0.35">
      <c r="A14" s="2" t="s">
        <v>26</v>
      </c>
      <c r="B14" s="14">
        <f>'Data Sheet'!B66</f>
        <v>0</v>
      </c>
      <c r="C14" s="14">
        <f>'Data Sheet'!C66</f>
        <v>0</v>
      </c>
      <c r="D14" s="14">
        <f>'Data Sheet'!D66</f>
        <v>0</v>
      </c>
      <c r="E14" s="14">
        <f>'Data Sheet'!E66</f>
        <v>0</v>
      </c>
      <c r="F14" s="14">
        <f>'Data Sheet'!F66</f>
        <v>0</v>
      </c>
      <c r="G14" s="14">
        <f>'Data Sheet'!G66</f>
        <v>31372.42</v>
      </c>
      <c r="H14" s="14">
        <f>'Data Sheet'!H66</f>
        <v>37858.379999999997</v>
      </c>
      <c r="I14" s="14">
        <f>'Data Sheet'!I66</f>
        <v>48527.08</v>
      </c>
      <c r="J14" s="14">
        <f>'Data Sheet'!J66</f>
        <v>64654.14</v>
      </c>
      <c r="K14" s="14">
        <f>'Data Sheet'!K66</f>
        <v>81827.09</v>
      </c>
    </row>
    <row r="15" spans="1:11" x14ac:dyDescent="0.35">
      <c r="B15" s="4"/>
      <c r="C15" s="4"/>
      <c r="D15" s="4"/>
      <c r="E15" s="4"/>
      <c r="F15" s="4"/>
      <c r="G15" s="4"/>
      <c r="H15" s="4"/>
      <c r="I15" s="4"/>
      <c r="J15" s="4"/>
      <c r="K15" s="4"/>
    </row>
    <row r="16" spans="1:11" x14ac:dyDescent="0.35">
      <c r="A16" t="s">
        <v>30</v>
      </c>
      <c r="B16" s="4">
        <f>B13-B7</f>
        <v>0</v>
      </c>
      <c r="C16" s="4">
        <f t="shared" ref="C16:K16" si="0">C13-C7</f>
        <v>0</v>
      </c>
      <c r="D16" s="4">
        <f t="shared" si="0"/>
        <v>0</v>
      </c>
      <c r="E16" s="4">
        <f t="shared" si="0"/>
        <v>0</v>
      </c>
      <c r="F16" s="4">
        <f t="shared" si="0"/>
        <v>0</v>
      </c>
      <c r="G16" s="4">
        <f t="shared" si="0"/>
        <v>28591.77</v>
      </c>
      <c r="H16" s="4">
        <f t="shared" si="0"/>
        <v>34287.89</v>
      </c>
      <c r="I16" s="4">
        <f t="shared" si="0"/>
        <v>46886.75</v>
      </c>
      <c r="J16" s="4">
        <f t="shared" si="0"/>
        <v>62134.37</v>
      </c>
      <c r="K16" s="4">
        <f t="shared" si="0"/>
        <v>79300.51999999999</v>
      </c>
    </row>
    <row r="17" spans="1:11" x14ac:dyDescent="0.35">
      <c r="A17" t="s">
        <v>44</v>
      </c>
      <c r="B17" s="4">
        <f>'Data Sheet'!B67</f>
        <v>0</v>
      </c>
      <c r="C17" s="4">
        <f>'Data Sheet'!C67</f>
        <v>0</v>
      </c>
      <c r="D17" s="4">
        <f>'Data Sheet'!D67</f>
        <v>0</v>
      </c>
      <c r="E17" s="4">
        <f>'Data Sheet'!E67</f>
        <v>0</v>
      </c>
      <c r="F17" s="4">
        <f>'Data Sheet'!F67</f>
        <v>0</v>
      </c>
      <c r="G17" s="4">
        <f>'Data Sheet'!G67</f>
        <v>118.4</v>
      </c>
      <c r="H17" s="4">
        <f>'Data Sheet'!H67</f>
        <v>310.66000000000003</v>
      </c>
      <c r="I17" s="4">
        <f>'Data Sheet'!I67</f>
        <v>1.87</v>
      </c>
      <c r="J17" s="4">
        <f>'Data Sheet'!J67</f>
        <v>1.59</v>
      </c>
      <c r="K17" s="4">
        <f>'Data Sheet'!K67</f>
        <v>13.36</v>
      </c>
    </row>
    <row r="18" spans="1:11" x14ac:dyDescent="0.35">
      <c r="A18" t="s">
        <v>45</v>
      </c>
      <c r="B18" s="4">
        <f>'Data Sheet'!B68</f>
        <v>0</v>
      </c>
      <c r="C18" s="4">
        <f>'Data Sheet'!C68</f>
        <v>0</v>
      </c>
      <c r="D18" s="4">
        <f>'Data Sheet'!D68</f>
        <v>0</v>
      </c>
      <c r="E18" s="4">
        <f>'Data Sheet'!E68</f>
        <v>0</v>
      </c>
      <c r="F18" s="4">
        <f>'Data Sheet'!F68</f>
        <v>0</v>
      </c>
      <c r="G18" s="4">
        <f>'Data Sheet'!G68</f>
        <v>0</v>
      </c>
      <c r="H18" s="4">
        <f>'Data Sheet'!H68</f>
        <v>0</v>
      </c>
      <c r="I18" s="4">
        <f>'Data Sheet'!I68</f>
        <v>0</v>
      </c>
      <c r="J18" s="4">
        <f>'Data Sheet'!J68</f>
        <v>0</v>
      </c>
      <c r="K18" s="4">
        <f>'Data Sheet'!K68</f>
        <v>0</v>
      </c>
    </row>
    <row r="20" spans="1:11" x14ac:dyDescent="0.35">
      <c r="A20" t="s">
        <v>46</v>
      </c>
      <c r="B20" s="4">
        <f>IF('Profit &amp; Loss'!B4&gt;0,'Balance Sheet'!B17/('Profit &amp; Loss'!B4/365),0)</f>
        <v>0</v>
      </c>
      <c r="C20" s="4">
        <f>IF('Profit &amp; Loss'!C4&gt;0,'Balance Sheet'!C17/('Profit &amp; Loss'!C4/365),0)</f>
        <v>0</v>
      </c>
      <c r="D20" s="4">
        <f>IF('Profit &amp; Loss'!D4&gt;0,'Balance Sheet'!D17/('Profit &amp; Loss'!D4/365),0)</f>
        <v>0</v>
      </c>
      <c r="E20" s="4">
        <f>IF('Profit &amp; Loss'!E4&gt;0,'Balance Sheet'!E17/('Profit &amp; Loss'!E4/365),0)</f>
        <v>0</v>
      </c>
      <c r="F20" s="4">
        <f>IF('Profit &amp; Loss'!F4&gt;0,'Balance Sheet'!F17/('Profit &amp; Loss'!F4/365),0)</f>
        <v>0</v>
      </c>
      <c r="G20" s="4">
        <f>IF('Profit &amp; Loss'!G4&gt;0,'Balance Sheet'!G17/('Profit &amp; Loss'!G4/365),0)</f>
        <v>16.332454025290815</v>
      </c>
      <c r="H20" s="4">
        <f>IF('Profit &amp; Loss'!H4&gt;0,'Balance Sheet'!H17/('Profit &amp; Loss'!H4/365),0)</f>
        <v>35.943481155101914</v>
      </c>
      <c r="I20" s="4">
        <f>IF('Profit &amp; Loss'!I4&gt;0,'Balance Sheet'!I17/('Profit &amp; Loss'!I4/365),0)</f>
        <v>0.18120587993235476</v>
      </c>
      <c r="J20" s="4">
        <f>IF('Profit &amp; Loss'!J4&gt;0,'Balance Sheet'!J17/('Profit &amp; Loss'!J4/365),0)</f>
        <v>0.10244429420497334</v>
      </c>
      <c r="K20" s="4">
        <f>IF('Profit &amp; Loss'!K4&gt;0,'Balance Sheet'!K17/('Profit &amp; Loss'!K4/365),0)</f>
        <v>0.64017349956874536</v>
      </c>
    </row>
    <row r="21" spans="1:11" x14ac:dyDescent="0.35">
      <c r="A21" t="s">
        <v>47</v>
      </c>
      <c r="B21" s="4">
        <f>IF('Balance Sheet'!B18&gt;0,'Profit &amp; Loss'!B4/'Balance Sheet'!B18,0)</f>
        <v>0</v>
      </c>
      <c r="C21" s="4">
        <f>IF('Balance Sheet'!C18&gt;0,'Profit &amp; Loss'!C4/'Balance Sheet'!C18,0)</f>
        <v>0</v>
      </c>
      <c r="D21" s="4">
        <f>IF('Balance Sheet'!D18&gt;0,'Profit &amp; Loss'!D4/'Balance Sheet'!D18,0)</f>
        <v>0</v>
      </c>
      <c r="E21" s="4">
        <f>IF('Balance Sheet'!E18&gt;0,'Profit &amp; Loss'!E4/'Balance Sheet'!E18,0)</f>
        <v>0</v>
      </c>
      <c r="F21" s="4">
        <f>IF('Balance Sheet'!F18&gt;0,'Profit &amp; Loss'!F4/'Balance Sheet'!F18,0)</f>
        <v>0</v>
      </c>
      <c r="G21" s="4">
        <f>IF('Balance Sheet'!G18&gt;0,'Profit &amp; Loss'!G4/'Balance Sheet'!G18,0)</f>
        <v>0</v>
      </c>
      <c r="H21" s="4">
        <f>IF('Balance Sheet'!H18&gt;0,'Profit &amp; Loss'!H4/'Balance Sheet'!H18,0)</f>
        <v>0</v>
      </c>
      <c r="I21" s="4">
        <f>IF('Balance Sheet'!I18&gt;0,'Profit &amp; Loss'!I4/'Balance Sheet'!I18,0)</f>
        <v>0</v>
      </c>
      <c r="J21" s="4">
        <f>IF('Balance Sheet'!J18&gt;0,'Profit &amp; Loss'!J4/'Balance Sheet'!J18,0)</f>
        <v>0</v>
      </c>
      <c r="K21" s="4">
        <f>IF('Balance Sheet'!K18&gt;0,'Profit &amp; Loss'!K4/'Balance Sheet'!K18,0)</f>
        <v>0</v>
      </c>
    </row>
    <row r="23" spans="1:11" s="2" customFormat="1" x14ac:dyDescent="0.35">
      <c r="A23" s="2" t="s">
        <v>59</v>
      </c>
      <c r="B23" s="10" t="str">
        <f>IF(SUM('Balance Sheet'!B4:B5)&gt;0,'Profit &amp; Loss'!B12/SUM('Balance Sheet'!B4:B5),"")</f>
        <v/>
      </c>
      <c r="C23" s="10" t="str">
        <f>IF(SUM('Balance Sheet'!C4:C5)&gt;0,'Profit &amp; Loss'!C12/SUM('Balance Sheet'!C4:C5),"")</f>
        <v/>
      </c>
      <c r="D23" s="10" t="str">
        <f>IF(SUM('Balance Sheet'!D4:D5)&gt;0,'Profit &amp; Loss'!D12/SUM('Balance Sheet'!D4:D5),"")</f>
        <v/>
      </c>
      <c r="E23" s="10" t="str">
        <f>IF(SUM('Balance Sheet'!E4:E5)&gt;0,'Profit &amp; Loss'!E12/SUM('Balance Sheet'!E4:E5),"")</f>
        <v/>
      </c>
      <c r="F23" s="10" t="str">
        <f>IF(SUM('Balance Sheet'!F4:F5)&gt;0,'Profit &amp; Loss'!F12/SUM('Balance Sheet'!F4:F5),"")</f>
        <v/>
      </c>
      <c r="G23" s="10">
        <f>IF(SUM('Balance Sheet'!G4:G5)&gt;0,'Profit &amp; Loss'!G12/SUM('Balance Sheet'!G4:G5),"")</f>
        <v>7.543781433914698E-2</v>
      </c>
      <c r="H23" s="10">
        <f>IF(SUM('Balance Sheet'!H4:H5)&gt;0,'Profit &amp; Loss'!H12/SUM('Balance Sheet'!H4:H5),"")</f>
        <v>7.5128228081867032E-2</v>
      </c>
      <c r="I23" s="10">
        <f>IF(SUM('Balance Sheet'!I4:I5)&gt;0,'Profit &amp; Loss'!I12/SUM('Balance Sheet'!I4:I5),"")</f>
        <v>0.10526362633059205</v>
      </c>
      <c r="J23" s="10">
        <f>IF(SUM('Balance Sheet'!J4:J5)&gt;0,'Profit &amp; Loss'!J12/SUM('Balance Sheet'!J4:J5),"")</f>
        <v>0.11975409375627784</v>
      </c>
      <c r="K23" s="10">
        <f>IF(SUM('Balance Sheet'!K4:K5)&gt;0,'Profit &amp; Loss'!K12/SUM('Balance Sheet'!K4:K5),"")</f>
        <v>0.1415146932603098</v>
      </c>
    </row>
    <row r="24" spans="1:11" s="2" customFormat="1" x14ac:dyDescent="0.35">
      <c r="A24" s="2" t="s">
        <v>60</v>
      </c>
      <c r="B24" s="10"/>
      <c r="C24" s="10" t="str">
        <f>IF((B4+B5+B6+C4+C5+C6)&gt;0,('Profit &amp; Loss'!C10+'Profit &amp; Loss'!C9)*2/(B4+B5+B6+C4+C5+C6),"")</f>
        <v/>
      </c>
      <c r="D24" s="10" t="str">
        <f>IF((C4+C5+C6+D4+D5+D6)&gt;0,('Profit &amp; Loss'!D10+'Profit &amp; Loss'!D9)*2/(C4+C5+C6+D4+D5+D6),"")</f>
        <v/>
      </c>
      <c r="E24" s="10" t="str">
        <f>IF((D4+D5+D6+E4+E5+E6)&gt;0,('Profit &amp; Loss'!E10+'Profit &amp; Loss'!E9)*2/(D4+D5+D6+E4+E5+E6),"")</f>
        <v/>
      </c>
      <c r="F24" s="10" t="str">
        <f>IF((E4+E5+E6+F4+F5+F6)&gt;0,('Profit &amp; Loss'!F10+'Profit &amp; Loss'!F9)*2/(E4+E5+E6+F4+F5+F6),"")</f>
        <v/>
      </c>
      <c r="G24" s="10">
        <f>IF((F4+F5+F6+G4+G5+G6)&gt;0,('Profit &amp; Loss'!G10+'Profit &amp; Loss'!G9)*2/(F4+F5+F6+G4+G5+G6),"")</f>
        <v>0.14012891218598858</v>
      </c>
      <c r="H24" s="10">
        <f>IF((G4+G5+G6+H4+H5+H6)&gt;0,('Profit &amp; Loss'!H10+'Profit &amp; Loss'!H9)*2/(G4+G5+G6+H4+H5+H6),"")</f>
        <v>7.500001089824973E-2</v>
      </c>
      <c r="I24" s="10">
        <f>IF((H4+H5+H6+I4+I5+I6)&gt;0,('Profit &amp; Loss'!I10+'Profit &amp; Loss'!I9)*2/(H4+H5+H6+I4+I5+I6),"")</f>
        <v>7.260340179231714E-2</v>
      </c>
      <c r="J24" s="10">
        <f>IF((I4+I5+I6+J4+J5+J6)&gt;0,('Profit &amp; Loss'!J10+'Profit &amp; Loss'!J9)*2/(I4+I5+I6+J4+J5+J6),"")</f>
        <v>8.7362398301741112E-2</v>
      </c>
      <c r="K24" s="10">
        <f>IF((J4+J5+J6+K4+K5+K6)&gt;0,('Profit &amp; Loss'!K10+'Profit &amp; Loss'!K9)*2/(J4+J5+J6+K4+K5+K6),"")</f>
        <v>9.4168863152198246E-2</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24"/>
  <sheetViews>
    <sheetView zoomScale="116" zoomScaleNormal="150" zoomScalePageLayoutView="150" workbookViewId="0">
      <pane xSplit="1" ySplit="3" topLeftCell="E4" activePane="bottomRight" state="frozen"/>
      <selection pane="topRight" activeCell="B1" sqref="B1"/>
      <selection pane="bottomLeft" activeCell="A4" sqref="A4"/>
      <selection pane="bottomRight" activeCell="K5" sqref="K5"/>
    </sheetView>
  </sheetViews>
  <sheetFormatPr defaultColWidth="8.81640625" defaultRowHeight="14.5" x14ac:dyDescent="0.35"/>
  <cols>
    <col min="1" max="1" width="26.81640625" bestFit="1" customWidth="1"/>
    <col min="2" max="6" width="13.453125" customWidth="1"/>
    <col min="7" max="11" width="13.453125" bestFit="1" customWidth="1"/>
  </cols>
  <sheetData>
    <row r="1" spans="1:11" s="2" customFormat="1" x14ac:dyDescent="0.35">
      <c r="A1" s="2" t="str">
        <f>'Balance Sheet'!A1</f>
        <v>BAJAJ HOUSING FINANCE LTD</v>
      </c>
      <c r="E1" t="str">
        <f>UPDATE</f>
        <v/>
      </c>
      <c r="F1"/>
      <c r="J1" s="2" t="s">
        <v>1</v>
      </c>
    </row>
    <row r="3" spans="1:11" s="2" customFormat="1" x14ac:dyDescent="0.35">
      <c r="A3" s="11" t="s">
        <v>2</v>
      </c>
      <c r="B3" s="12">
        <f>'Data Sheet'!B81</f>
        <v>0</v>
      </c>
      <c r="C3" s="12">
        <f>'Data Sheet'!C81</f>
        <v>0</v>
      </c>
      <c r="D3" s="12">
        <f>'Data Sheet'!D81</f>
        <v>0</v>
      </c>
      <c r="E3" s="12">
        <f>'Data Sheet'!E81</f>
        <v>0</v>
      </c>
      <c r="F3" s="12">
        <f>'Data Sheet'!F81</f>
        <v>0</v>
      </c>
      <c r="G3" s="12">
        <f>'Data Sheet'!G81</f>
        <v>43921</v>
      </c>
      <c r="H3" s="12">
        <f>'Data Sheet'!H81</f>
        <v>44286</v>
      </c>
      <c r="I3" s="12">
        <f>'Data Sheet'!I81</f>
        <v>44651</v>
      </c>
      <c r="J3" s="12">
        <f>'Data Sheet'!J81</f>
        <v>45016</v>
      </c>
      <c r="K3" s="12">
        <f>'Data Sheet'!K81</f>
        <v>45382</v>
      </c>
    </row>
    <row r="4" spans="1:11" s="2" customFormat="1" x14ac:dyDescent="0.35">
      <c r="A4" s="2" t="s">
        <v>32</v>
      </c>
      <c r="B4" s="1">
        <f>'Data Sheet'!B82</f>
        <v>0</v>
      </c>
      <c r="C4" s="1">
        <f>'Data Sheet'!C82</f>
        <v>0</v>
      </c>
      <c r="D4" s="1">
        <f>'Data Sheet'!D82</f>
        <v>0</v>
      </c>
      <c r="E4" s="1">
        <f>'Data Sheet'!E82</f>
        <v>0</v>
      </c>
      <c r="F4" s="1">
        <f>'Data Sheet'!F82</f>
        <v>0</v>
      </c>
      <c r="G4" s="1">
        <f>'Data Sheet'!G82</f>
        <v>-10244.209999999999</v>
      </c>
      <c r="H4" s="1">
        <f>'Data Sheet'!H82</f>
        <v>-5075.7700000000004</v>
      </c>
      <c r="I4" s="1">
        <f>'Data Sheet'!I82</f>
        <v>-12480.53</v>
      </c>
      <c r="J4" s="1">
        <f>'Data Sheet'!J82</f>
        <v>-14331.77</v>
      </c>
      <c r="K4" s="1">
        <f>'Data Sheet'!K82</f>
        <v>-15428.11</v>
      </c>
    </row>
    <row r="5" spans="1:11" x14ac:dyDescent="0.35">
      <c r="A5" t="s">
        <v>33</v>
      </c>
      <c r="B5" s="6">
        <f>'Data Sheet'!B83</f>
        <v>0</v>
      </c>
      <c r="C5" s="6">
        <f>'Data Sheet'!C83</f>
        <v>0</v>
      </c>
      <c r="D5" s="6">
        <f>'Data Sheet'!D83</f>
        <v>0</v>
      </c>
      <c r="E5" s="6">
        <f>'Data Sheet'!E83</f>
        <v>0</v>
      </c>
      <c r="F5" s="6">
        <f>'Data Sheet'!F83</f>
        <v>0</v>
      </c>
      <c r="G5" s="6">
        <f>'Data Sheet'!G83</f>
        <v>-693.56</v>
      </c>
      <c r="H5" s="6">
        <f>'Data Sheet'!H83</f>
        <v>-797.04</v>
      </c>
      <c r="I5" s="6">
        <f>'Data Sheet'!I83</f>
        <v>2197.3200000000002</v>
      </c>
      <c r="J5" s="6">
        <f>'Data Sheet'!J83</f>
        <v>-611.44000000000005</v>
      </c>
      <c r="K5" s="6">
        <f>'Data Sheet'!K83</f>
        <v>273.31</v>
      </c>
    </row>
    <row r="6" spans="1:11" x14ac:dyDescent="0.35">
      <c r="A6" t="s">
        <v>34</v>
      </c>
      <c r="B6" s="6">
        <f>'Data Sheet'!B84</f>
        <v>0</v>
      </c>
      <c r="C6" s="6">
        <f>'Data Sheet'!C84</f>
        <v>0</v>
      </c>
      <c r="D6" s="6">
        <f>'Data Sheet'!D84</f>
        <v>0</v>
      </c>
      <c r="E6" s="6">
        <f>'Data Sheet'!E84</f>
        <v>0</v>
      </c>
      <c r="F6" s="6">
        <f>'Data Sheet'!F84</f>
        <v>0</v>
      </c>
      <c r="G6" s="6">
        <f>'Data Sheet'!G84</f>
        <v>11489.51</v>
      </c>
      <c r="H6" s="6">
        <f>'Data Sheet'!H84</f>
        <v>5675.87</v>
      </c>
      <c r="I6" s="6">
        <f>'Data Sheet'!I84</f>
        <v>10228.459999999999</v>
      </c>
      <c r="J6" s="6">
        <f>'Data Sheet'!J84</f>
        <v>14630.06</v>
      </c>
      <c r="K6" s="6">
        <f>'Data Sheet'!K84</f>
        <v>15124.78</v>
      </c>
    </row>
    <row r="7" spans="1:11" s="2" customFormat="1" x14ac:dyDescent="0.35">
      <c r="A7" s="2" t="s">
        <v>35</v>
      </c>
      <c r="B7" s="1">
        <f>'Data Sheet'!B85</f>
        <v>0</v>
      </c>
      <c r="C7" s="1">
        <f>'Data Sheet'!C85</f>
        <v>0</v>
      </c>
      <c r="D7" s="1">
        <f>'Data Sheet'!D85</f>
        <v>0</v>
      </c>
      <c r="E7" s="1">
        <f>'Data Sheet'!E85</f>
        <v>0</v>
      </c>
      <c r="F7" s="1">
        <f>'Data Sheet'!F85</f>
        <v>0</v>
      </c>
      <c r="G7" s="1">
        <f>'Data Sheet'!G85</f>
        <v>551.74</v>
      </c>
      <c r="H7" s="1">
        <f>'Data Sheet'!H85</f>
        <v>-196.94</v>
      </c>
      <c r="I7" s="1">
        <f>'Data Sheet'!I85</f>
        <v>-54.75</v>
      </c>
      <c r="J7" s="1">
        <f>'Data Sheet'!J85</f>
        <v>-313.14999999999998</v>
      </c>
      <c r="K7" s="1">
        <f>'Data Sheet'!K85</f>
        <v>-30.02</v>
      </c>
    </row>
    <row r="8" spans="1:11" x14ac:dyDescent="0.35">
      <c r="B8" s="6"/>
      <c r="C8" s="6"/>
      <c r="D8" s="6"/>
      <c r="E8" s="6"/>
      <c r="F8" s="6"/>
      <c r="G8" s="6"/>
      <c r="H8" s="6"/>
      <c r="I8" s="6"/>
      <c r="J8" s="6"/>
      <c r="K8" s="6"/>
    </row>
    <row r="24" customFormat="1" x14ac:dyDescent="0.35"/>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116" zoomScaleNormal="150" zoomScalePageLayoutView="150" workbookViewId="0">
      <selection activeCell="B16" sqref="B16"/>
    </sheetView>
  </sheetViews>
  <sheetFormatPr defaultColWidth="8.81640625" defaultRowHeight="14.5" x14ac:dyDescent="0.35"/>
  <cols>
    <col min="1" max="1" width="8.81640625" style="2"/>
    <col min="2" max="2" width="10.453125" customWidth="1"/>
    <col min="3" max="3" width="13.36328125" style="20" customWidth="1"/>
    <col min="6" max="6" width="6.81640625" customWidth="1"/>
  </cols>
  <sheetData>
    <row r="1" spans="1:7" ht="21" x14ac:dyDescent="0.5">
      <c r="A1" s="19" t="s">
        <v>56</v>
      </c>
    </row>
    <row r="3" spans="1:7" x14ac:dyDescent="0.35">
      <c r="A3" s="2" t="s">
        <v>48</v>
      </c>
    </row>
    <row r="4" spans="1:7" x14ac:dyDescent="0.35">
      <c r="B4" t="s">
        <v>90</v>
      </c>
    </row>
    <row r="5" spans="1:7" x14ac:dyDescent="0.35">
      <c r="B5" t="s">
        <v>49</v>
      </c>
    </row>
    <row r="7" spans="1:7" x14ac:dyDescent="0.35">
      <c r="A7" s="2" t="s">
        <v>50</v>
      </c>
    </row>
    <row r="8" spans="1:7" x14ac:dyDescent="0.35">
      <c r="B8" t="s">
        <v>51</v>
      </c>
      <c r="C8" s="21" t="s">
        <v>91</v>
      </c>
    </row>
    <row r="10" spans="1:7" x14ac:dyDescent="0.35">
      <c r="A10" s="2" t="s">
        <v>52</v>
      </c>
    </row>
    <row r="11" spans="1:7" x14ac:dyDescent="0.35">
      <c r="B11" t="s">
        <v>53</v>
      </c>
    </row>
    <row r="14" spans="1:7" x14ac:dyDescent="0.35">
      <c r="A14" s="2" t="s">
        <v>54</v>
      </c>
    </row>
    <row r="15" spans="1:7" x14ac:dyDescent="0.35">
      <c r="B15" t="s">
        <v>55</v>
      </c>
    </row>
    <row r="16" spans="1:7" x14ac:dyDescent="0.35">
      <c r="B16" t="s">
        <v>92</v>
      </c>
      <c r="G16" s="22"/>
    </row>
  </sheetData>
  <hyperlinks>
    <hyperlink ref="C8" r:id="rId1" display=" http://www.screener.in/excel" xr:uid="{00000000-0004-0000-04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102" zoomScaleNormal="120" zoomScalePageLayoutView="120" workbookViewId="0">
      <pane xSplit="1" ySplit="1" topLeftCell="D2" activePane="bottomRight" state="frozen"/>
      <selection activeCell="C4" sqref="C4"/>
      <selection pane="topRight" activeCell="C4" sqref="C4"/>
      <selection pane="bottomLeft" activeCell="C4" sqref="C4"/>
      <selection pane="bottomRight" activeCell="A51" sqref="A51"/>
    </sheetView>
  </sheetViews>
  <sheetFormatPr defaultColWidth="8.81640625" defaultRowHeight="14.5" x14ac:dyDescent="0.35"/>
  <cols>
    <col min="1" max="1" width="27.6328125" style="4" bestFit="1" customWidth="1"/>
    <col min="2" max="11" width="13.453125" style="4" bestFit="1" customWidth="1"/>
    <col min="12" max="16384" width="8.81640625" style="4"/>
  </cols>
  <sheetData>
    <row r="1" spans="1:11" s="1" customFormat="1" x14ac:dyDescent="0.35">
      <c r="A1" s="1" t="s">
        <v>0</v>
      </c>
      <c r="B1" s="1" t="s">
        <v>63</v>
      </c>
      <c r="E1" s="42" t="str">
        <f>IF(B2&lt;&gt;B3, "A NEW VERSION OF THE WORKSHEET IS AVAILABLE", "")</f>
        <v/>
      </c>
      <c r="F1" s="42"/>
      <c r="G1" s="42"/>
      <c r="H1" s="42"/>
      <c r="I1" s="42"/>
      <c r="J1" s="42"/>
      <c r="K1" s="42"/>
    </row>
    <row r="2" spans="1:11" x14ac:dyDescent="0.35">
      <c r="A2" s="1" t="s">
        <v>61</v>
      </c>
      <c r="B2" s="4">
        <v>2.1</v>
      </c>
      <c r="E2" s="43" t="s">
        <v>36</v>
      </c>
      <c r="F2" s="43"/>
      <c r="G2" s="43"/>
      <c r="H2" s="43"/>
      <c r="I2" s="43"/>
      <c r="J2" s="43"/>
      <c r="K2" s="43"/>
    </row>
    <row r="3" spans="1:11" x14ac:dyDescent="0.35">
      <c r="A3" s="1" t="s">
        <v>62</v>
      </c>
      <c r="B3" s="4">
        <v>2.1</v>
      </c>
    </row>
    <row r="4" spans="1:11" x14ac:dyDescent="0.35">
      <c r="A4" s="1"/>
    </row>
    <row r="5" spans="1:11" x14ac:dyDescent="0.35">
      <c r="A5" s="1" t="s">
        <v>64</v>
      </c>
    </row>
    <row r="6" spans="1:11" x14ac:dyDescent="0.35">
      <c r="A6" s="4" t="s">
        <v>42</v>
      </c>
      <c r="B6" s="4" t="e">
        <f>IF(B9&gt;0, B9/B8, 0)</f>
        <v>#DIV/0!</v>
      </c>
    </row>
    <row r="7" spans="1:11" x14ac:dyDescent="0.35">
      <c r="A7" s="4" t="s">
        <v>31</v>
      </c>
    </row>
    <row r="8" spans="1:11" x14ac:dyDescent="0.35">
      <c r="A8" s="4" t="s">
        <v>43</v>
      </c>
    </row>
    <row r="9" spans="1:11" x14ac:dyDescent="0.35">
      <c r="A9" s="4" t="s">
        <v>79</v>
      </c>
      <c r="B9">
        <v>58297.03</v>
      </c>
    </row>
    <row r="15" spans="1:11" x14ac:dyDescent="0.35">
      <c r="A15" s="1" t="s">
        <v>37</v>
      </c>
    </row>
    <row r="16" spans="1:11" s="18" customFormat="1" x14ac:dyDescent="0.35">
      <c r="A16" s="17" t="s">
        <v>38</v>
      </c>
      <c r="B16" s="12"/>
      <c r="C16" s="12"/>
      <c r="D16" s="12"/>
      <c r="E16" s="12"/>
      <c r="F16" s="12"/>
      <c r="G16" s="12">
        <v>43921</v>
      </c>
      <c r="H16" s="12">
        <v>44286</v>
      </c>
      <c r="I16" s="12">
        <v>44651</v>
      </c>
      <c r="J16" s="12">
        <v>45016</v>
      </c>
      <c r="K16" s="12">
        <v>45382</v>
      </c>
    </row>
    <row r="17" spans="1:11" s="6" customFormat="1" x14ac:dyDescent="0.35">
      <c r="A17" s="6" t="s">
        <v>6</v>
      </c>
      <c r="G17">
        <v>2646.02</v>
      </c>
      <c r="H17">
        <v>3154.7</v>
      </c>
      <c r="I17">
        <v>3766.71</v>
      </c>
      <c r="J17">
        <v>5665.03</v>
      </c>
      <c r="K17">
        <v>7617.31</v>
      </c>
    </row>
    <row r="18" spans="1:11" s="6" customFormat="1" x14ac:dyDescent="0.35">
      <c r="A18" s="4" t="s">
        <v>80</v>
      </c>
    </row>
    <row r="19" spans="1:11" s="6" customFormat="1" x14ac:dyDescent="0.35">
      <c r="A19" s="4" t="s">
        <v>81</v>
      </c>
    </row>
    <row r="20" spans="1:11" s="6" customFormat="1" x14ac:dyDescent="0.35">
      <c r="A20" s="4" t="s">
        <v>82</v>
      </c>
    </row>
    <row r="21" spans="1:11" s="6" customFormat="1" x14ac:dyDescent="0.35">
      <c r="A21" s="4" t="s">
        <v>83</v>
      </c>
      <c r="G21">
        <v>5.92</v>
      </c>
      <c r="H21">
        <v>8.83</v>
      </c>
      <c r="I21">
        <v>16.239999999999998</v>
      </c>
      <c r="J21">
        <v>15.17</v>
      </c>
      <c r="K21">
        <v>15.06</v>
      </c>
    </row>
    <row r="22" spans="1:11" s="6" customFormat="1" x14ac:dyDescent="0.35">
      <c r="A22" s="4" t="s">
        <v>84</v>
      </c>
      <c r="G22">
        <v>248.69</v>
      </c>
      <c r="H22">
        <v>245.98</v>
      </c>
      <c r="I22">
        <v>349.44</v>
      </c>
      <c r="J22">
        <v>436.28</v>
      </c>
      <c r="K22">
        <v>468.54</v>
      </c>
    </row>
    <row r="23" spans="1:11" s="6" customFormat="1" x14ac:dyDescent="0.35">
      <c r="A23" s="4" t="s">
        <v>85</v>
      </c>
      <c r="G23">
        <v>48.96</v>
      </c>
      <c r="H23">
        <v>41.01</v>
      </c>
      <c r="I23">
        <v>65.209999999999994</v>
      </c>
      <c r="J23">
        <v>123.15</v>
      </c>
      <c r="K23">
        <v>150.11000000000001</v>
      </c>
    </row>
    <row r="24" spans="1:11" s="6" customFormat="1" x14ac:dyDescent="0.35">
      <c r="A24" s="4" t="s">
        <v>86</v>
      </c>
      <c r="G24">
        <v>134.03</v>
      </c>
      <c r="H24">
        <v>256.56</v>
      </c>
      <c r="I24">
        <v>192.9</v>
      </c>
      <c r="J24">
        <v>143.38</v>
      </c>
      <c r="K24">
        <v>87.6</v>
      </c>
    </row>
    <row r="25" spans="1:11" s="6" customFormat="1" x14ac:dyDescent="0.35">
      <c r="A25" s="6" t="s">
        <v>9</v>
      </c>
      <c r="G25">
        <v>-0.28000000000000003</v>
      </c>
      <c r="H25">
        <v>0.14000000000000001</v>
      </c>
      <c r="I25">
        <v>-0.06</v>
      </c>
      <c r="J25">
        <v>-0.28999999999999998</v>
      </c>
      <c r="K25">
        <v>-0.37</v>
      </c>
    </row>
    <row r="26" spans="1:11" s="6" customFormat="1" x14ac:dyDescent="0.35">
      <c r="A26" s="6" t="s">
        <v>10</v>
      </c>
      <c r="G26">
        <v>23.14</v>
      </c>
      <c r="H26">
        <v>21.77</v>
      </c>
      <c r="I26">
        <v>25.76</v>
      </c>
      <c r="J26">
        <v>33.4</v>
      </c>
      <c r="K26">
        <v>39.6</v>
      </c>
    </row>
    <row r="27" spans="1:11" s="6" customFormat="1" x14ac:dyDescent="0.35">
      <c r="A27" s="6" t="s">
        <v>11</v>
      </c>
      <c r="G27">
        <v>1617.55</v>
      </c>
      <c r="H27">
        <v>1967.51</v>
      </c>
      <c r="I27">
        <v>2157.2399999999998</v>
      </c>
      <c r="J27">
        <v>3213.3</v>
      </c>
      <c r="K27">
        <v>4694.71</v>
      </c>
    </row>
    <row r="28" spans="1:11" s="6" customFormat="1" x14ac:dyDescent="0.35">
      <c r="A28" s="6" t="s">
        <v>12</v>
      </c>
      <c r="G28">
        <v>567.45000000000005</v>
      </c>
      <c r="H28">
        <v>613.17999999999995</v>
      </c>
      <c r="I28">
        <v>959.86</v>
      </c>
      <c r="J28">
        <v>1700.06</v>
      </c>
      <c r="K28">
        <v>2161.3200000000002</v>
      </c>
    </row>
    <row r="29" spans="1:11" s="6" customFormat="1" x14ac:dyDescent="0.35">
      <c r="A29" s="6" t="s">
        <v>13</v>
      </c>
      <c r="G29">
        <v>146.12</v>
      </c>
      <c r="H29">
        <v>159.99</v>
      </c>
      <c r="I29">
        <v>250.24</v>
      </c>
      <c r="J29">
        <v>442.26</v>
      </c>
      <c r="K29">
        <v>430.1</v>
      </c>
    </row>
    <row r="30" spans="1:11" s="6" customFormat="1" x14ac:dyDescent="0.35">
      <c r="A30" s="6" t="s">
        <v>14</v>
      </c>
      <c r="G30">
        <v>421.33</v>
      </c>
      <c r="H30">
        <v>453.19</v>
      </c>
      <c r="I30">
        <v>709.62</v>
      </c>
      <c r="J30">
        <v>1257.8</v>
      </c>
      <c r="K30">
        <v>1731.22</v>
      </c>
    </row>
    <row r="31" spans="1:11" s="6" customFormat="1" x14ac:dyDescent="0.35">
      <c r="A31" s="6" t="s">
        <v>70</v>
      </c>
    </row>
    <row r="32" spans="1:11" s="6" customFormat="1" x14ac:dyDescent="0.35"/>
    <row r="33" spans="1:11" x14ac:dyDescent="0.35">
      <c r="A33" s="6"/>
    </row>
    <row r="34" spans="1:11" x14ac:dyDescent="0.35">
      <c r="A34" s="6"/>
    </row>
    <row r="35" spans="1:11" x14ac:dyDescent="0.35">
      <c r="A35" s="6"/>
    </row>
    <row r="36" spans="1:11" x14ac:dyDescent="0.35">
      <c r="A36" s="6"/>
    </row>
    <row r="37" spans="1:11" x14ac:dyDescent="0.35">
      <c r="A37" s="6"/>
    </row>
    <row r="38" spans="1:11" x14ac:dyDescent="0.35">
      <c r="A38" s="6"/>
    </row>
    <row r="39" spans="1:11" x14ac:dyDescent="0.35">
      <c r="A39" s="6"/>
    </row>
    <row r="40" spans="1:11" x14ac:dyDescent="0.35">
      <c r="A40" s="1" t="s">
        <v>39</v>
      </c>
    </row>
    <row r="41" spans="1:11" s="18" customFormat="1" x14ac:dyDescent="0.35">
      <c r="A41" s="17" t="s">
        <v>38</v>
      </c>
      <c r="B41" s="12"/>
      <c r="C41" s="12"/>
      <c r="D41" s="12"/>
      <c r="E41" s="12"/>
      <c r="F41" s="12"/>
      <c r="G41" s="12"/>
      <c r="H41" s="12">
        <v>45016</v>
      </c>
      <c r="I41" s="12">
        <v>45107</v>
      </c>
      <c r="J41" s="12">
        <v>45382</v>
      </c>
      <c r="K41" s="12">
        <v>45473</v>
      </c>
    </row>
    <row r="42" spans="1:11" s="6" customFormat="1" x14ac:dyDescent="0.35">
      <c r="A42" s="6" t="s">
        <v>6</v>
      </c>
      <c r="H42">
        <v>1585.23</v>
      </c>
      <c r="I42">
        <v>1763.25</v>
      </c>
      <c r="J42">
        <v>1996.4</v>
      </c>
      <c r="K42">
        <v>2208.65</v>
      </c>
    </row>
    <row r="43" spans="1:11" s="6" customFormat="1" x14ac:dyDescent="0.35">
      <c r="A43" s="6" t="s">
        <v>7</v>
      </c>
      <c r="H43">
        <v>215.69</v>
      </c>
      <c r="I43">
        <v>165.3</v>
      </c>
      <c r="J43">
        <v>218.78</v>
      </c>
      <c r="K43">
        <v>170.18</v>
      </c>
    </row>
    <row r="44" spans="1:11" s="6" customFormat="1" x14ac:dyDescent="0.35">
      <c r="A44" s="6" t="s">
        <v>9</v>
      </c>
      <c r="H44">
        <v>0.35</v>
      </c>
      <c r="I44">
        <v>0.13</v>
      </c>
      <c r="J44">
        <v>0.1</v>
      </c>
      <c r="K44">
        <v>0.08</v>
      </c>
    </row>
    <row r="45" spans="1:11" s="6" customFormat="1" x14ac:dyDescent="0.35">
      <c r="A45" s="6" t="s">
        <v>10</v>
      </c>
      <c r="H45">
        <v>9.06</v>
      </c>
      <c r="I45">
        <v>9.69</v>
      </c>
      <c r="J45">
        <v>10.199999999999999</v>
      </c>
      <c r="K45">
        <v>9.91</v>
      </c>
    </row>
    <row r="46" spans="1:11" s="6" customFormat="1" x14ac:dyDescent="0.35">
      <c r="A46" s="6" t="s">
        <v>11</v>
      </c>
      <c r="H46">
        <v>954.03</v>
      </c>
      <c r="I46">
        <v>1062.1500000000001</v>
      </c>
      <c r="J46">
        <v>1279.3</v>
      </c>
      <c r="K46">
        <v>1398.76</v>
      </c>
    </row>
    <row r="47" spans="1:11" s="6" customFormat="1" x14ac:dyDescent="0.35">
      <c r="A47" s="6" t="s">
        <v>12</v>
      </c>
      <c r="H47">
        <v>406.8</v>
      </c>
      <c r="I47">
        <v>526.24</v>
      </c>
      <c r="J47">
        <v>488.22</v>
      </c>
      <c r="K47">
        <v>629.88</v>
      </c>
    </row>
    <row r="48" spans="1:11" s="6" customFormat="1" x14ac:dyDescent="0.35">
      <c r="A48" s="6" t="s">
        <v>13</v>
      </c>
      <c r="H48">
        <v>105.33</v>
      </c>
      <c r="I48">
        <v>64.44</v>
      </c>
      <c r="J48">
        <v>106.88</v>
      </c>
      <c r="K48">
        <v>147.27000000000001</v>
      </c>
    </row>
    <row r="49" spans="1:11" s="6" customFormat="1" x14ac:dyDescent="0.35">
      <c r="A49" s="6" t="s">
        <v>14</v>
      </c>
      <c r="H49">
        <v>301.47000000000003</v>
      </c>
      <c r="I49">
        <v>461.8</v>
      </c>
      <c r="J49">
        <v>381.34</v>
      </c>
      <c r="K49">
        <v>482.61</v>
      </c>
    </row>
    <row r="50" spans="1:11" x14ac:dyDescent="0.35">
      <c r="A50" s="6" t="s">
        <v>8</v>
      </c>
      <c r="H50">
        <v>1369.54</v>
      </c>
      <c r="I50">
        <v>1597.95</v>
      </c>
      <c r="J50">
        <v>1777.62</v>
      </c>
      <c r="K50">
        <v>2038.47</v>
      </c>
    </row>
    <row r="51" spans="1:11" x14ac:dyDescent="0.35">
      <c r="A51" s="6"/>
    </row>
    <row r="52" spans="1:11" x14ac:dyDescent="0.35">
      <c r="A52" s="6"/>
    </row>
    <row r="53" spans="1:11" x14ac:dyDescent="0.35">
      <c r="A53" s="6"/>
    </row>
    <row r="54" spans="1:11" x14ac:dyDescent="0.35">
      <c r="A54" s="6"/>
    </row>
    <row r="55" spans="1:11" x14ac:dyDescent="0.35">
      <c r="A55" s="1" t="s">
        <v>40</v>
      </c>
    </row>
    <row r="56" spans="1:11" s="18" customFormat="1" x14ac:dyDescent="0.35">
      <c r="A56" s="17" t="s">
        <v>38</v>
      </c>
      <c r="B56" s="12"/>
      <c r="C56" s="12"/>
      <c r="D56" s="12"/>
      <c r="E56" s="12"/>
      <c r="F56" s="12"/>
      <c r="G56" s="12">
        <v>43921</v>
      </c>
      <c r="H56" s="12">
        <v>44286</v>
      </c>
      <c r="I56" s="12">
        <v>44651</v>
      </c>
      <c r="J56" s="12">
        <v>45016</v>
      </c>
      <c r="K56" s="12">
        <v>45382</v>
      </c>
    </row>
    <row r="57" spans="1:11" x14ac:dyDescent="0.35">
      <c r="A57" s="6" t="s">
        <v>24</v>
      </c>
      <c r="G57">
        <v>4883.33</v>
      </c>
      <c r="H57">
        <v>4883.33</v>
      </c>
      <c r="I57">
        <v>4883.33</v>
      </c>
      <c r="J57">
        <v>6712.16</v>
      </c>
      <c r="K57">
        <v>6712.16</v>
      </c>
    </row>
    <row r="58" spans="1:11" x14ac:dyDescent="0.35">
      <c r="A58" s="6" t="s">
        <v>25</v>
      </c>
      <c r="G58">
        <v>701.8</v>
      </c>
      <c r="H58">
        <v>1148.8900000000001</v>
      </c>
      <c r="I58">
        <v>1858.03</v>
      </c>
      <c r="J58">
        <v>3791.03</v>
      </c>
      <c r="K58">
        <v>5521.34</v>
      </c>
    </row>
    <row r="59" spans="1:11" x14ac:dyDescent="0.35">
      <c r="A59" s="6" t="s">
        <v>71</v>
      </c>
      <c r="G59">
        <v>25600.44</v>
      </c>
      <c r="H59">
        <v>31600.6</v>
      </c>
      <c r="I59">
        <v>41492.32</v>
      </c>
      <c r="J59">
        <v>53745.39</v>
      </c>
      <c r="K59">
        <v>69129.320000000007</v>
      </c>
    </row>
    <row r="60" spans="1:11" x14ac:dyDescent="0.35">
      <c r="A60" s="6" t="s">
        <v>72</v>
      </c>
      <c r="G60">
        <v>186.85</v>
      </c>
      <c r="H60">
        <v>225.56</v>
      </c>
      <c r="I60">
        <v>293.39999999999998</v>
      </c>
      <c r="J60">
        <v>405.56</v>
      </c>
      <c r="K60">
        <v>464.27</v>
      </c>
    </row>
    <row r="61" spans="1:11" s="1" customFormat="1" x14ac:dyDescent="0.35">
      <c r="A61" s="1" t="s">
        <v>26</v>
      </c>
      <c r="G61">
        <v>31372.42</v>
      </c>
      <c r="H61">
        <v>37858.379999999997</v>
      </c>
      <c r="I61">
        <v>48527.08</v>
      </c>
      <c r="J61">
        <v>64654.14</v>
      </c>
      <c r="K61">
        <v>81827.09</v>
      </c>
    </row>
    <row r="62" spans="1:11" x14ac:dyDescent="0.35">
      <c r="A62" s="6" t="s">
        <v>27</v>
      </c>
      <c r="G62">
        <v>85.78</v>
      </c>
      <c r="H62">
        <v>78.89</v>
      </c>
      <c r="I62">
        <v>97.2</v>
      </c>
      <c r="J62">
        <v>112.99</v>
      </c>
      <c r="K62">
        <v>122.86</v>
      </c>
    </row>
    <row r="63" spans="1:11" x14ac:dyDescent="0.35">
      <c r="A63" s="6" t="s">
        <v>28</v>
      </c>
      <c r="I63">
        <v>1.46</v>
      </c>
      <c r="J63">
        <v>0.31</v>
      </c>
      <c r="K63">
        <v>0.87</v>
      </c>
    </row>
    <row r="64" spans="1:11" x14ac:dyDescent="0.35">
      <c r="A64" s="6" t="s">
        <v>29</v>
      </c>
      <c r="G64">
        <v>2508.02</v>
      </c>
      <c r="H64">
        <v>3266.04</v>
      </c>
      <c r="I64">
        <v>1248.27</v>
      </c>
      <c r="J64">
        <v>2000.91</v>
      </c>
      <c r="K64">
        <v>1938.57</v>
      </c>
    </row>
    <row r="65" spans="1:11" x14ac:dyDescent="0.35">
      <c r="A65" s="6" t="s">
        <v>73</v>
      </c>
      <c r="G65">
        <v>28778.62</v>
      </c>
      <c r="H65">
        <v>34513.449999999997</v>
      </c>
      <c r="I65">
        <v>47180.15</v>
      </c>
      <c r="J65">
        <v>62539.93</v>
      </c>
      <c r="K65">
        <v>79764.789999999994</v>
      </c>
    </row>
    <row r="66" spans="1:11" s="1" customFormat="1" x14ac:dyDescent="0.35">
      <c r="A66" s="1" t="s">
        <v>26</v>
      </c>
      <c r="G66">
        <v>31372.42</v>
      </c>
      <c r="H66">
        <v>37858.379999999997</v>
      </c>
      <c r="I66">
        <v>48527.08</v>
      </c>
      <c r="J66">
        <v>64654.14</v>
      </c>
      <c r="K66">
        <v>81827.09</v>
      </c>
    </row>
    <row r="67" spans="1:11" s="6" customFormat="1" x14ac:dyDescent="0.35">
      <c r="A67" s="6" t="s">
        <v>78</v>
      </c>
      <c r="G67">
        <v>118.4</v>
      </c>
      <c r="H67">
        <v>310.66000000000003</v>
      </c>
      <c r="I67">
        <v>1.87</v>
      </c>
      <c r="J67">
        <v>1.59</v>
      </c>
      <c r="K67">
        <v>13.36</v>
      </c>
    </row>
    <row r="68" spans="1:11" x14ac:dyDescent="0.35">
      <c r="A68" s="6" t="s">
        <v>45</v>
      </c>
    </row>
    <row r="69" spans="1:11" x14ac:dyDescent="0.35">
      <c r="A69" s="4" t="s">
        <v>87</v>
      </c>
      <c r="G69">
        <v>658.72</v>
      </c>
      <c r="H69">
        <v>716.78</v>
      </c>
      <c r="I69">
        <v>407.17</v>
      </c>
      <c r="J69">
        <v>108.87</v>
      </c>
      <c r="K69">
        <v>64.010000000000005</v>
      </c>
    </row>
    <row r="70" spans="1:11" x14ac:dyDescent="0.35">
      <c r="A70" s="4" t="s">
        <v>74</v>
      </c>
      <c r="G70">
        <v>4883333329</v>
      </c>
      <c r="H70">
        <v>4883333329</v>
      </c>
      <c r="I70">
        <v>4883333333</v>
      </c>
      <c r="J70">
        <v>6712155564</v>
      </c>
      <c r="K70">
        <v>6712155564</v>
      </c>
    </row>
    <row r="71" spans="1:11" x14ac:dyDescent="0.35">
      <c r="A71" s="4" t="s">
        <v>75</v>
      </c>
    </row>
    <row r="72" spans="1:11" x14ac:dyDescent="0.35">
      <c r="A72" s="4" t="s">
        <v>88</v>
      </c>
      <c r="G72">
        <v>10</v>
      </c>
      <c r="H72">
        <v>10</v>
      </c>
      <c r="I72">
        <v>10</v>
      </c>
      <c r="J72">
        <v>10</v>
      </c>
      <c r="K72">
        <v>10</v>
      </c>
    </row>
    <row r="74" spans="1:11" x14ac:dyDescent="0.35">
      <c r="A74" s="6"/>
    </row>
    <row r="75" spans="1:11" x14ac:dyDescent="0.35">
      <c r="A75" s="6"/>
    </row>
    <row r="76" spans="1:11" x14ac:dyDescent="0.35">
      <c r="A76" s="6"/>
    </row>
    <row r="77" spans="1:11" x14ac:dyDescent="0.35">
      <c r="A77" s="6"/>
    </row>
    <row r="78" spans="1:11" x14ac:dyDescent="0.35">
      <c r="A78" s="6"/>
    </row>
    <row r="79" spans="1:11" x14ac:dyDescent="0.35">
      <c r="A79" s="6"/>
    </row>
    <row r="80" spans="1:11" x14ac:dyDescent="0.35">
      <c r="A80" s="1" t="s">
        <v>41</v>
      </c>
    </row>
    <row r="81" spans="1:11" s="18" customFormat="1" x14ac:dyDescent="0.35">
      <c r="A81" s="17" t="s">
        <v>38</v>
      </c>
      <c r="B81" s="12"/>
      <c r="C81" s="12"/>
      <c r="D81" s="12"/>
      <c r="E81" s="12"/>
      <c r="F81" s="12"/>
      <c r="G81" s="12">
        <v>43921</v>
      </c>
      <c r="H81" s="12">
        <v>44286</v>
      </c>
      <c r="I81" s="12">
        <v>44651</v>
      </c>
      <c r="J81" s="12">
        <v>45016</v>
      </c>
      <c r="K81" s="12">
        <v>45382</v>
      </c>
    </row>
    <row r="82" spans="1:11" s="1" customFormat="1" x14ac:dyDescent="0.35">
      <c r="A82" s="6" t="s">
        <v>32</v>
      </c>
      <c r="G82">
        <v>-10244.209999999999</v>
      </c>
      <c r="H82">
        <v>-5075.7700000000004</v>
      </c>
      <c r="I82">
        <v>-12480.53</v>
      </c>
      <c r="J82">
        <v>-14331.77</v>
      </c>
      <c r="K82">
        <v>-15428.11</v>
      </c>
    </row>
    <row r="83" spans="1:11" s="6" customFormat="1" x14ac:dyDescent="0.35">
      <c r="A83" s="6" t="s">
        <v>33</v>
      </c>
      <c r="G83">
        <v>-693.56</v>
      </c>
      <c r="H83">
        <v>-797.04</v>
      </c>
      <c r="I83">
        <v>2197.3200000000002</v>
      </c>
      <c r="J83">
        <v>-611.44000000000005</v>
      </c>
      <c r="K83">
        <v>273.31</v>
      </c>
    </row>
    <row r="84" spans="1:11" s="6" customFormat="1" x14ac:dyDescent="0.35">
      <c r="A84" s="6" t="s">
        <v>34</v>
      </c>
      <c r="G84">
        <v>11489.51</v>
      </c>
      <c r="H84">
        <v>5675.87</v>
      </c>
      <c r="I84">
        <v>10228.459999999999</v>
      </c>
      <c r="J84">
        <v>14630.06</v>
      </c>
      <c r="K84">
        <v>15124.78</v>
      </c>
    </row>
    <row r="85" spans="1:11" s="1" customFormat="1" x14ac:dyDescent="0.35">
      <c r="A85" s="6" t="s">
        <v>35</v>
      </c>
      <c r="G85">
        <v>551.74</v>
      </c>
      <c r="H85">
        <v>-196.94</v>
      </c>
      <c r="I85">
        <v>-54.75</v>
      </c>
      <c r="J85">
        <v>-313.14999999999998</v>
      </c>
      <c r="K85">
        <v>-30.02</v>
      </c>
    </row>
    <row r="86" spans="1:11" x14ac:dyDescent="0.35">
      <c r="A86" s="6"/>
    </row>
    <row r="87" spans="1:11" x14ac:dyDescent="0.35">
      <c r="A87" s="6"/>
    </row>
    <row r="88" spans="1:11" x14ac:dyDescent="0.35">
      <c r="A88" s="6"/>
    </row>
    <row r="89" spans="1:11" x14ac:dyDescent="0.35">
      <c r="A89" s="6"/>
    </row>
    <row r="90" spans="1:11" s="1" customFormat="1" x14ac:dyDescent="0.35">
      <c r="A90" s="1" t="s">
        <v>77</v>
      </c>
    </row>
    <row r="92" spans="1:11" s="1" customFormat="1" x14ac:dyDescent="0.35">
      <c r="A92" s="1" t="s">
        <v>76</v>
      </c>
    </row>
    <row r="93" spans="1:11" x14ac:dyDescent="0.35">
      <c r="A93" s="4" t="s">
        <v>89</v>
      </c>
      <c r="B93" s="24">
        <f>IF($B7&gt;0,(B70*B72/$B7)+SUM(C71:$K71),0)/10000000</f>
        <v>0</v>
      </c>
      <c r="C93" s="24">
        <f>IF($B7&gt;0,(C70*C72/$B7)+SUM(D71:$K71),0)/10000000</f>
        <v>0</v>
      </c>
      <c r="D93" s="24">
        <f>IF($B7&gt;0,(D70*D72/$B7)+SUM(E71:$K71),0)/10000000</f>
        <v>0</v>
      </c>
      <c r="E93" s="24">
        <f>IF($B7&gt;0,(E70*E72/$B7)+SUM(F71:$K71),0)/10000000</f>
        <v>0</v>
      </c>
      <c r="F93" s="24">
        <f>IF($B7&gt;0,(F70*F72/$B7)+SUM(G71:$K71),0)/10000000</f>
        <v>0</v>
      </c>
      <c r="G93" s="24">
        <f>IF($B7&gt;0,(G70*G72/$B7)+SUM(H71:$K71),0)/10000000</f>
        <v>0</v>
      </c>
      <c r="H93" s="24">
        <f>IF($B7&gt;0,(H70*H72/$B7)+SUM(I71:$K71),0)/10000000</f>
        <v>0</v>
      </c>
      <c r="I93" s="24">
        <f>IF($B7&gt;0,(I70*I72/$B7)+SUM(J71:$K71),0)/10000000</f>
        <v>0</v>
      </c>
      <c r="J93" s="24">
        <f>IF($B7&gt;0,(J70*J72/$B7)+SUM(K71:$K71),0)/10000000</f>
        <v>0</v>
      </c>
      <c r="K93" s="24">
        <f>IF($B7&gt;0,(K70*K72/$B7),0)/10000000</f>
        <v>0</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Profit &amp; Loss</vt:lpstr>
      <vt:lpstr>Main</vt:lpstr>
      <vt:lpstr>Quarters</vt:lpstr>
      <vt:lpstr>Balance Sheet</vt:lpstr>
      <vt:lpstr>Cash Flow</vt:lpstr>
      <vt:lpstr>Customization</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Chetan Kandpal</cp:lastModifiedBy>
  <cp:lastPrinted>2012-12-06T18:14:13Z</cp:lastPrinted>
  <dcterms:created xsi:type="dcterms:W3CDTF">2012-08-17T09:55:37Z</dcterms:created>
  <dcterms:modified xsi:type="dcterms:W3CDTF">2024-09-08T07:07:25Z</dcterms:modified>
</cp:coreProperties>
</file>