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3016" windowHeight="9408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M30" i="1"/>
  <c r="N30" s="1"/>
  <c r="L30"/>
  <c r="H30"/>
  <c r="C30"/>
  <c r="L29"/>
  <c r="M29" s="1"/>
  <c r="N29" s="1"/>
  <c r="H29"/>
  <c r="C29"/>
  <c r="L28"/>
  <c r="M28" s="1"/>
  <c r="N28" s="1"/>
  <c r="H28"/>
  <c r="C28"/>
  <c r="L27"/>
  <c r="M27" s="1"/>
  <c r="N27" s="1"/>
  <c r="H27"/>
  <c r="C27"/>
  <c r="M26"/>
  <c r="N26" s="1"/>
  <c r="L26"/>
  <c r="H26"/>
  <c r="C26"/>
  <c r="N25"/>
  <c r="M25"/>
  <c r="L25"/>
  <c r="H25"/>
  <c r="C25"/>
  <c r="L24"/>
  <c r="M24" s="1"/>
  <c r="N24" s="1"/>
  <c r="H24"/>
  <c r="C24"/>
  <c r="L23"/>
  <c r="M23" s="1"/>
  <c r="N23" s="1"/>
  <c r="H23"/>
  <c r="C23"/>
  <c r="M22"/>
  <c r="N22" s="1"/>
  <c r="L22"/>
  <c r="H22"/>
  <c r="C22"/>
  <c r="N21"/>
  <c r="M21"/>
  <c r="L21"/>
  <c r="H21"/>
  <c r="C21"/>
  <c r="L20"/>
  <c r="M20" s="1"/>
  <c r="N20" s="1"/>
  <c r="H20"/>
  <c r="C20"/>
  <c r="L19"/>
  <c r="M19" s="1"/>
  <c r="N19" s="1"/>
  <c r="H19"/>
  <c r="C19"/>
  <c r="M18"/>
  <c r="N18" s="1"/>
  <c r="L18"/>
  <c r="H18"/>
  <c r="M17"/>
  <c r="N17" s="1"/>
  <c r="L17"/>
  <c r="H17"/>
  <c r="C17"/>
  <c r="N16"/>
  <c r="M16"/>
  <c r="L16"/>
  <c r="H16"/>
  <c r="C16"/>
  <c r="L15"/>
  <c r="M15" s="1"/>
  <c r="N15" s="1"/>
  <c r="H15"/>
  <c r="C15"/>
  <c r="L14"/>
  <c r="M14" s="1"/>
  <c r="N14" s="1"/>
  <c r="H14"/>
  <c r="C14"/>
  <c r="M13"/>
  <c r="N13" s="1"/>
  <c r="L13"/>
  <c r="H13"/>
  <c r="C13"/>
  <c r="N12"/>
  <c r="M12"/>
  <c r="L12"/>
  <c r="H12"/>
  <c r="C12"/>
  <c r="L11"/>
  <c r="M11" s="1"/>
  <c r="N11" s="1"/>
  <c r="H11"/>
  <c r="C11"/>
  <c r="L10"/>
  <c r="M10" s="1"/>
  <c r="N10" s="1"/>
  <c r="H10"/>
  <c r="C10"/>
  <c r="M9"/>
  <c r="N9" s="1"/>
  <c r="L9"/>
  <c r="H9"/>
  <c r="C9"/>
  <c r="L8"/>
  <c r="M8" s="1"/>
  <c r="N8" s="1"/>
  <c r="H8"/>
  <c r="C8"/>
  <c r="L7"/>
  <c r="M7" s="1"/>
  <c r="N7" s="1"/>
  <c r="H7"/>
  <c r="C7"/>
  <c r="L6"/>
  <c r="M6" s="1"/>
  <c r="N6" s="1"/>
  <c r="H6"/>
  <c r="C6"/>
  <c r="M5"/>
  <c r="N5" s="1"/>
  <c r="L5"/>
  <c r="H5"/>
  <c r="C5"/>
  <c r="N4"/>
  <c r="M4"/>
  <c r="L4"/>
  <c r="H4"/>
  <c r="C4"/>
  <c r="L3"/>
  <c r="M3" s="1"/>
  <c r="N3" s="1"/>
  <c r="H3"/>
  <c r="C3"/>
  <c r="L2"/>
  <c r="M2" s="1"/>
  <c r="N2" s="1"/>
  <c r="H2"/>
  <c r="C2"/>
</calcChain>
</file>

<file path=xl/sharedStrings.xml><?xml version="1.0" encoding="utf-8"?>
<sst xmlns="http://schemas.openxmlformats.org/spreadsheetml/2006/main" count="46" uniqueCount="46">
  <si>
    <r>
      <rPr>
        <b/>
        <sz val="10"/>
        <rFont val="標楷體"/>
        <family val="4"/>
        <charset val="136"/>
      </rPr>
      <t>項次</t>
    </r>
  </si>
  <si>
    <r>
      <rPr>
        <b/>
        <sz val="10"/>
        <color indexed="8"/>
        <rFont val="標楷體"/>
        <family val="4"/>
        <charset val="136"/>
      </rPr>
      <t>院內代碼</t>
    </r>
    <phoneticPr fontId="6" type="noConversion"/>
  </si>
  <si>
    <r>
      <rPr>
        <b/>
        <sz val="10"/>
        <color indexed="8"/>
        <rFont val="標楷體"/>
        <family val="4"/>
        <charset val="136"/>
      </rPr>
      <t>藥品品項</t>
    </r>
  </si>
  <si>
    <t>公藥</t>
    <phoneticPr fontId="6" type="noConversion"/>
  </si>
  <si>
    <t>1060531結存</t>
    <phoneticPr fontId="6" type="noConversion"/>
  </si>
  <si>
    <r>
      <rPr>
        <b/>
        <sz val="10"/>
        <color theme="1"/>
        <rFont val="標楷體"/>
        <family val="4"/>
        <charset val="136"/>
      </rPr>
      <t>收入量</t>
    </r>
    <phoneticPr fontId="6" type="noConversion"/>
  </si>
  <si>
    <t>消耗量</t>
    <phoneticPr fontId="6" type="noConversion"/>
  </si>
  <si>
    <r>
      <rPr>
        <b/>
        <sz val="10"/>
        <color theme="1"/>
        <rFont val="標楷體"/>
        <family val="4"/>
        <charset val="136"/>
      </rPr>
      <t>理論結存</t>
    </r>
    <phoneticPr fontId="6" type="noConversion"/>
  </si>
  <si>
    <r>
      <rPr>
        <b/>
        <sz val="10"/>
        <color theme="1"/>
        <rFont val="標楷體"/>
        <family val="4"/>
        <charset val="136"/>
      </rPr>
      <t>調劑台</t>
    </r>
    <phoneticPr fontId="6" type="noConversion"/>
  </si>
  <si>
    <r>
      <rPr>
        <b/>
        <sz val="10"/>
        <color theme="1"/>
        <rFont val="標楷體"/>
        <family val="4"/>
        <charset val="136"/>
      </rPr>
      <t>抽屜</t>
    </r>
    <phoneticPr fontId="6" type="noConversion"/>
  </si>
  <si>
    <t>UD</t>
    <phoneticPr fontId="9" type="noConversion"/>
  </si>
  <si>
    <t>保險櫃</t>
    <phoneticPr fontId="6" type="noConversion"/>
  </si>
  <si>
    <r>
      <rPr>
        <b/>
        <sz val="10"/>
        <color theme="1"/>
        <rFont val="標楷體"/>
        <family val="4"/>
        <charset val="136"/>
      </rPr>
      <t>合計</t>
    </r>
    <phoneticPr fontId="6" type="noConversion"/>
  </si>
  <si>
    <r>
      <rPr>
        <b/>
        <sz val="10"/>
        <color indexed="8"/>
        <rFont val="標楷體"/>
        <family val="4"/>
        <charset val="136"/>
      </rPr>
      <t>盤盈</t>
    </r>
    <r>
      <rPr>
        <b/>
        <sz val="10"/>
        <color indexed="8"/>
        <rFont val="Times New Roman"/>
        <family val="1"/>
      </rPr>
      <t>(</t>
    </r>
    <r>
      <rPr>
        <b/>
        <sz val="10"/>
        <color indexed="8"/>
        <rFont val="標楷體"/>
        <family val="4"/>
        <charset val="136"/>
      </rPr>
      <t>虧</t>
    </r>
    <r>
      <rPr>
        <b/>
        <sz val="10"/>
        <color indexed="8"/>
        <rFont val="Times New Roman"/>
        <family val="1"/>
      </rPr>
      <t>)</t>
    </r>
    <phoneticPr fontId="6" type="noConversion"/>
  </si>
  <si>
    <t>補充量</t>
    <phoneticPr fontId="6" type="noConversion"/>
  </si>
  <si>
    <t>備註</t>
    <phoneticPr fontId="6" type="noConversion"/>
  </si>
  <si>
    <t>ROALPRA</t>
  </si>
  <si>
    <t>ROALP01</t>
    <phoneticPr fontId="6" type="noConversion"/>
  </si>
  <si>
    <t>RI0A201</t>
  </si>
  <si>
    <t>RO0A213</t>
  </si>
  <si>
    <t>ROCAMAD</t>
  </si>
  <si>
    <t>ROCLONO</t>
  </si>
  <si>
    <t>ROCOD01</t>
  </si>
  <si>
    <t>RODIAZE</t>
  </si>
  <si>
    <t>RI0D327</t>
    <phoneticPr fontId="6" type="noConversion"/>
  </si>
  <si>
    <t>RIDUPIN</t>
  </si>
  <si>
    <t>RO0E410</t>
  </si>
  <si>
    <t>ROFLUPI</t>
  </si>
  <si>
    <t>ROFRISI</t>
    <phoneticPr fontId="6" type="noConversion"/>
  </si>
  <si>
    <t>RO0G408</t>
  </si>
  <si>
    <t>RO0I313</t>
  </si>
  <si>
    <t>RO0K408</t>
  </si>
  <si>
    <t>RO0K209</t>
  </si>
  <si>
    <t>Kinzolam (Estazolam 2mg/tab)</t>
  </si>
  <si>
    <t>RO0L312</t>
  </si>
  <si>
    <t>ROLOWEN</t>
  </si>
  <si>
    <t>RIPROPL</t>
  </si>
  <si>
    <t>RO0R308</t>
  </si>
  <si>
    <t>RO0S226</t>
  </si>
  <si>
    <t>ROSON01</t>
  </si>
  <si>
    <t>ROSTILN</t>
    <phoneticPr fontId="6" type="noConversion"/>
  </si>
  <si>
    <t>ROTRACE</t>
  </si>
  <si>
    <t>RITRAMT</t>
  </si>
  <si>
    <t>RO0Z208</t>
  </si>
  <si>
    <t>ROWONTR</t>
    <phoneticPr fontId="6" type="noConversion"/>
  </si>
  <si>
    <t>RI0CITO</t>
  </si>
</sst>
</file>

<file path=xl/styles.xml><?xml version="1.0" encoding="utf-8"?>
<styleSheet xmlns="http://schemas.openxmlformats.org/spreadsheetml/2006/main">
  <fonts count="15">
    <font>
      <sz val="12"/>
      <color theme="1"/>
      <name val="新細明體"/>
      <family val="2"/>
      <charset val="136"/>
      <scheme val="minor"/>
    </font>
    <font>
      <b/>
      <sz val="10"/>
      <name val="Times New Roman"/>
      <family val="1"/>
    </font>
    <font>
      <b/>
      <sz val="10"/>
      <name val="標楷體"/>
      <family val="4"/>
      <charset val="136"/>
    </font>
    <font>
      <sz val="9"/>
      <name val="新細明體"/>
      <family val="2"/>
      <charset val="136"/>
      <scheme val="minor"/>
    </font>
    <font>
      <b/>
      <sz val="10"/>
      <color indexed="8"/>
      <name val="Times New Roman"/>
      <family val="1"/>
    </font>
    <font>
      <b/>
      <sz val="10"/>
      <color indexed="8"/>
      <name val="標楷體"/>
      <family val="4"/>
      <charset val="136"/>
    </font>
    <font>
      <sz val="9"/>
      <name val="新細明體"/>
      <family val="1"/>
      <charset val="136"/>
    </font>
    <font>
      <b/>
      <sz val="10"/>
      <color theme="1"/>
      <name val="標楷體"/>
      <family val="4"/>
      <charset val="136"/>
    </font>
    <font>
      <b/>
      <sz val="10"/>
      <color theme="1"/>
      <name val="Times New Roman"/>
      <family val="1"/>
    </font>
    <font>
      <sz val="9"/>
      <name val="細明體"/>
      <family val="3"/>
      <charset val="136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細明體"/>
      <family val="3"/>
      <charset val="136"/>
    </font>
    <font>
      <sz val="10"/>
      <color rgb="FFFF0000"/>
      <name val="Times New Roman"/>
      <family val="1"/>
    </font>
    <font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1" xfId="0" quotePrefix="1" applyNumberFormat="1" applyFont="1" applyFill="1" applyBorder="1" applyAlignment="1">
      <alignment horizontal="center" vertical="center" shrinkToFit="1"/>
    </xf>
    <xf numFmtId="0" fontId="4" fillId="0" borderId="1" xfId="0" applyNumberFormat="1" applyFont="1" applyFill="1" applyBorder="1" applyAlignment="1">
      <alignment vertical="center" shrinkToFit="1"/>
    </xf>
    <xf numFmtId="0" fontId="4" fillId="0" borderId="1" xfId="0" quotePrefix="1" applyNumberFormat="1" applyFont="1" applyFill="1" applyBorder="1" applyAlignment="1">
      <alignment horizontal="left" vertical="center" shrinkToFit="1"/>
    </xf>
    <xf numFmtId="0" fontId="5" fillId="0" borderId="1" xfId="0" applyNumberFormat="1" applyFont="1" applyFill="1" applyBorder="1" applyAlignment="1">
      <alignment horizontal="center" vertical="center" shrinkToFit="1"/>
    </xf>
    <xf numFmtId="0" fontId="7" fillId="2" borderId="1" xfId="0" applyNumberFormat="1" applyFont="1" applyFill="1" applyBorder="1" applyAlignment="1">
      <alignment horizontal="center" vertical="center" shrinkToFit="1"/>
    </xf>
    <xf numFmtId="0" fontId="8" fillId="3" borderId="1" xfId="0" applyNumberFormat="1" applyFont="1" applyFill="1" applyBorder="1" applyAlignment="1">
      <alignment horizontal="center" vertical="center" shrinkToFit="1"/>
    </xf>
    <xf numFmtId="0" fontId="7" fillId="3" borderId="1" xfId="0" applyNumberFormat="1" applyFont="1" applyFill="1" applyBorder="1" applyAlignment="1">
      <alignment horizontal="center" vertical="center" shrinkToFit="1"/>
    </xf>
    <xf numFmtId="0" fontId="8" fillId="4" borderId="1" xfId="0" applyNumberFormat="1" applyFont="1" applyFill="1" applyBorder="1" applyAlignment="1">
      <alignment horizontal="center" vertical="center" shrinkToFit="1"/>
    </xf>
    <xf numFmtId="0" fontId="8" fillId="5" borderId="1" xfId="0" applyNumberFormat="1" applyFont="1" applyFill="1" applyBorder="1" applyAlignment="1">
      <alignment horizontal="center" vertical="center" shrinkToFit="1"/>
    </xf>
    <xf numFmtId="0" fontId="7" fillId="5" borderId="1" xfId="0" applyNumberFormat="1" applyFont="1" applyFill="1" applyBorder="1" applyAlignment="1">
      <alignment horizontal="center" vertical="center" shrinkToFit="1"/>
    </xf>
    <xf numFmtId="0" fontId="8" fillId="2" borderId="1" xfId="0" applyNumberFormat="1" applyFont="1" applyFill="1" applyBorder="1" applyAlignment="1">
      <alignment horizontal="center" vertical="center" shrinkToFit="1"/>
    </xf>
    <xf numFmtId="0" fontId="4" fillId="6" borderId="1" xfId="0" applyNumberFormat="1" applyFont="1" applyFill="1" applyBorder="1" applyAlignment="1">
      <alignment horizontal="center" vertical="center" shrinkToFit="1"/>
    </xf>
    <xf numFmtId="0" fontId="5" fillId="6" borderId="1" xfId="0" applyNumberFormat="1" applyFont="1" applyFill="1" applyBorder="1" applyAlignment="1">
      <alignment horizontal="center" vertical="center" shrinkToFit="1"/>
    </xf>
    <xf numFmtId="0" fontId="10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7" borderId="1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11" fillId="6" borderId="1" xfId="0" applyNumberFormat="1" applyFont="1" applyFill="1" applyBorder="1" applyAlignment="1">
      <alignment horizontal="center" vertical="center"/>
    </xf>
    <xf numFmtId="0" fontId="12" fillId="6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left" vertical="center"/>
    </xf>
    <xf numFmtId="0" fontId="10" fillId="0" borderId="1" xfId="0" quotePrefix="1" applyNumberFormat="1" applyFont="1" applyBorder="1" applyAlignment="1"/>
    <xf numFmtId="0" fontId="11" fillId="0" borderId="1" xfId="0" applyNumberFormat="1" applyFont="1" applyFill="1" applyBorder="1">
      <alignment vertical="center"/>
    </xf>
    <xf numFmtId="0" fontId="14" fillId="9" borderId="1" xfId="0" applyNumberFormat="1" applyFont="1" applyFill="1" applyBorder="1" applyAlignment="1"/>
    <xf numFmtId="0" fontId="11" fillId="9" borderId="1" xfId="0" applyNumberFormat="1" applyFont="1" applyFill="1" applyBorder="1" applyAlignment="1">
      <alignment horizontal="left" vertical="center"/>
    </xf>
    <xf numFmtId="0" fontId="11" fillId="9" borderId="1" xfId="0" applyNumberFormat="1" applyFont="1" applyFill="1" applyBorder="1" applyAlignment="1">
      <alignment horizontal="center" vertical="center"/>
    </xf>
    <xf numFmtId="0" fontId="14" fillId="9" borderId="1" xfId="0" applyNumberFormat="1" applyFont="1" applyFill="1" applyBorder="1" applyProtection="1">
      <alignment vertical="center"/>
      <protection locked="0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084;RitaWeng/Coding%20Resource/&#23560;&#38988;&#30456;&#38364;/&#22235;&#32026;&#34277;&#21697;&#31649;&#21046;/TEST1060728/10606_&#22235;&#32026;&#31649;&#21046;&#34277;&#27599;&#26085;&#28165;&#40670;&#38651;&#23376;&#21270;&#31807;&#20874;(v11)fix-80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本月進退貨"/>
      <sheetName val="Total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Sheet1"/>
      <sheetName val="Sheet2"/>
    </sheetNames>
    <sheetDataSet>
      <sheetData sheetId="0">
        <row r="2">
          <cell r="O2" t="str">
            <v>院內代碼</v>
          </cell>
          <cell r="P2" t="str">
            <v>藥品品項</v>
          </cell>
        </row>
        <row r="3">
          <cell r="O3" t="str">
            <v>ROALPRA</v>
          </cell>
          <cell r="P3" t="str">
            <v>Alpragin (alprazolam 2mg/tab)</v>
          </cell>
        </row>
        <row r="4">
          <cell r="O4" t="str">
            <v>ROALP01</v>
          </cell>
          <cell r="P4" t="str">
            <v>Alprazolam (Alprazolam 0.5 mg/tab)</v>
          </cell>
        </row>
        <row r="5">
          <cell r="O5" t="str">
            <v>RI0A201</v>
          </cell>
          <cell r="P5" t="str">
            <v>Anxicam (Lorazepam 2mg/1mL/amp)</v>
          </cell>
        </row>
        <row r="6">
          <cell r="O6" t="str">
            <v>RO0A213</v>
          </cell>
          <cell r="P6" t="str">
            <v>Apano (Miferpristone 200mg/tab)</v>
          </cell>
        </row>
        <row r="7">
          <cell r="O7" t="str">
            <v>ROAPOZO</v>
          </cell>
          <cell r="P7" t="str">
            <v>(DC) Apo-zopiclone (Zopiclone 7.5mg/tab)</v>
          </cell>
        </row>
        <row r="8">
          <cell r="O8" t="str">
            <v>ROCAMAD</v>
          </cell>
          <cell r="P8" t="str">
            <v>Camadol(Tramadol 50mg/cap)</v>
          </cell>
        </row>
        <row r="9">
          <cell r="O9" t="str">
            <v>RI0CITO</v>
          </cell>
          <cell r="P9" t="str">
            <v>Citosol (Thiamylal 300mg/amp)</v>
          </cell>
        </row>
        <row r="10">
          <cell r="O10" t="str">
            <v>ROCLONO</v>
          </cell>
          <cell r="P10" t="str">
            <v>Clonopam (Clonazepam 0.5mg/tab)</v>
          </cell>
        </row>
        <row r="11">
          <cell r="O11" t="str">
            <v>ROCOD01</v>
          </cell>
          <cell r="P11" t="str">
            <v>Codin P Syrup (Codeine 28.8mg/60mL/bot)</v>
          </cell>
        </row>
        <row r="12">
          <cell r="O12" t="str">
            <v>RODALMA</v>
          </cell>
          <cell r="P12" t="str">
            <v>(DC) Dalmadorm (Flurazepam 30mg/cap)</v>
          </cell>
        </row>
        <row r="13">
          <cell r="O13" t="str">
            <v>RIDIAZE</v>
          </cell>
          <cell r="P13" t="str">
            <v>(DC) Diazepam (Diazepam 10mg/2mL/amp)</v>
          </cell>
        </row>
        <row r="14">
          <cell r="O14" t="str">
            <v>RODIAZE</v>
          </cell>
          <cell r="P14" t="str">
            <v>Diazepam (Diazepam 2mg/tab)</v>
          </cell>
        </row>
        <row r="15">
          <cell r="O15" t="str">
            <v>RIDIPRO</v>
          </cell>
          <cell r="P15" t="str">
            <v>(DC) DiProfen 1% 20ML (Propofol 200mg/20mL/bot)</v>
          </cell>
        </row>
        <row r="16">
          <cell r="O16" t="str">
            <v>RI0D327</v>
          </cell>
          <cell r="P16" t="str">
            <v>Dormicum (Midazolam 5mg/1mL/amp)</v>
          </cell>
        </row>
        <row r="17">
          <cell r="O17" t="str">
            <v>RIDUPIN</v>
          </cell>
          <cell r="P17" t="str">
            <v>Dupin (Diazepam 10mg/2mL/amp)</v>
          </cell>
        </row>
        <row r="18">
          <cell r="O18" t="str">
            <v>RO0E410</v>
          </cell>
          <cell r="P18" t="str">
            <v>Eszo (Estazolam 2mg/tab)</v>
          </cell>
        </row>
        <row r="19">
          <cell r="O19" t="str">
            <v>ROFLUPI</v>
          </cell>
          <cell r="P19" t="str">
            <v>Flupine (Fludiazepam 0.25mg/tab)</v>
          </cell>
        </row>
        <row r="20">
          <cell r="O20" t="str">
            <v>ROFRISI</v>
          </cell>
          <cell r="P20" t="str">
            <v>Frisium (Clobazam 10mg/tab)</v>
          </cell>
        </row>
        <row r="21">
          <cell r="O21" t="str">
            <v>RO0G408</v>
          </cell>
          <cell r="P21" t="str">
            <v>Genclone (Zopiclone 7.5mg/tab)</v>
          </cell>
        </row>
        <row r="22">
          <cell r="O22" t="str">
            <v>RO0I313</v>
          </cell>
          <cell r="P22" t="str">
            <v>Imovane (Zopiclone 7.5mg/tab)</v>
          </cell>
        </row>
        <row r="23">
          <cell r="O23" t="str">
            <v>RO0K407</v>
          </cell>
          <cell r="P23" t="str">
            <v>(DC) Kinax (Alprazolam 0.5 mg/tab)</v>
          </cell>
        </row>
        <row r="24">
          <cell r="O24" t="str">
            <v>RO0K408</v>
          </cell>
          <cell r="P24" t="str">
            <v>Kinax 1mg(Alprazolam 1mg/tab)</v>
          </cell>
        </row>
        <row r="25">
          <cell r="O25" t="str">
            <v>RO0L312</v>
          </cell>
          <cell r="P25" t="str">
            <v>Lendormin (Brotizolam 0.25mg/tab)</v>
          </cell>
        </row>
        <row r="26">
          <cell r="O26" t="str">
            <v>ROLOWEN</v>
          </cell>
          <cell r="P26" t="str">
            <v>Lowen (Lorazepam 0.5mg/tab)</v>
          </cell>
        </row>
        <row r="27">
          <cell r="O27" t="str">
            <v>RIMIDAI</v>
          </cell>
          <cell r="P27" t="str">
            <v>(DC) Midatin (Midazolam 5mg/1mL/amp)</v>
          </cell>
        </row>
        <row r="28">
          <cell r="O28" t="str">
            <v>ROMUACT</v>
          </cell>
          <cell r="P28" t="str">
            <v>(DC) Muaction S.R (Tramadol 100mg/tab)</v>
          </cell>
        </row>
        <row r="29">
          <cell r="O29" t="str">
            <v>RONARGI</v>
          </cell>
          <cell r="P29" t="str">
            <v>(DC) Nargin (Nordazepam 5mg/tab)</v>
          </cell>
        </row>
        <row r="30">
          <cell r="O30" t="str">
            <v>RIOMIDA</v>
          </cell>
          <cell r="P30" t="str">
            <v>(DC) Omida (Midazolam 5mg/1mL/amp)</v>
          </cell>
        </row>
        <row r="31">
          <cell r="O31" t="str">
            <v>ROOPI01</v>
          </cell>
          <cell r="P31" t="str">
            <v>(DC) Opicet F.C. (Tramadol 37.5mg, Acetaminophen 325mg/tab)</v>
          </cell>
        </row>
        <row r="32">
          <cell r="O32" t="str">
            <v>RIPROPL</v>
          </cell>
          <cell r="P32" t="str">
            <v>Propofol-Lipuro (四級) ★INJ. 1% 20mL</v>
          </cell>
        </row>
        <row r="33">
          <cell r="O33" t="str">
            <v>RIPRO01</v>
          </cell>
          <cell r="P33" t="str">
            <v>(DC) Propofol-Lipuro 1% (Propofol 200mg/20mL/bot)</v>
          </cell>
        </row>
        <row r="34">
          <cell r="O34" t="str">
            <v>RO0R308</v>
          </cell>
          <cell r="P34" t="str">
            <v>Rivotril (Clonazepam 2mg/tab)</v>
          </cell>
        </row>
        <row r="35">
          <cell r="O35" t="str">
            <v>ROSELAR</v>
          </cell>
          <cell r="P35" t="str">
            <v>(DC) Selars (oxazepam 30mg/tab)</v>
          </cell>
        </row>
        <row r="36">
          <cell r="O36" t="str">
            <v>RO0S226</v>
          </cell>
          <cell r="P36" t="str">
            <v xml:space="preserve">Semi-nax (Zolpidem 10mg/tab) </v>
          </cell>
        </row>
        <row r="37">
          <cell r="O37" t="str">
            <v>ROSON01</v>
          </cell>
          <cell r="P37" t="str">
            <v>Sonaplon (Zaleplon 10mg/cap)</v>
          </cell>
        </row>
        <row r="38">
          <cell r="O38" t="str">
            <v>ROSTILN</v>
          </cell>
          <cell r="P38" t="str">
            <v>Stilnox CR (Zolpidem 6.25mg/tab)</v>
          </cell>
        </row>
        <row r="39">
          <cell r="O39" t="str">
            <v>ROTRACE</v>
          </cell>
          <cell r="P39" t="str">
            <v>Traceton (Tramadol 37.5mg, Acetaminophen 325mg/tab)</v>
          </cell>
        </row>
        <row r="40">
          <cell r="O40" t="str">
            <v>ROTRAMA</v>
          </cell>
          <cell r="P40" t="str">
            <v>(DC) Tramacet (Tramadol 37.5mg, Acetaminophen 325mg/tab)</v>
          </cell>
        </row>
        <row r="41">
          <cell r="O41" t="str">
            <v>RITRAMT</v>
          </cell>
          <cell r="P41" t="str">
            <v>Tramtor (Tramadol 100mg/2mL/amp)</v>
          </cell>
        </row>
        <row r="42">
          <cell r="O42" t="str">
            <v>ROULTRA</v>
          </cell>
          <cell r="P42" t="str">
            <v>(DC) Ultracet (Tramadol 37.5mg, Acetaminophen 325mg/tab)</v>
          </cell>
        </row>
        <row r="43">
          <cell r="O43" t="str">
            <v>ROWINPA</v>
          </cell>
          <cell r="P43" t="str">
            <v>(DC) Winpain (Tramadol 37.5mg, Acetaminophen 325mg/tab)</v>
          </cell>
        </row>
        <row r="44">
          <cell r="O44" t="str">
            <v>ROWONTR</v>
          </cell>
          <cell r="P44" t="str">
            <v>Wontran ER (Tramadol 75mg, Acetaminophen 650mg/tab)</v>
          </cell>
        </row>
        <row r="45">
          <cell r="O45" t="str">
            <v>ROZEPAN</v>
          </cell>
          <cell r="P45" t="str">
            <v>(DC) Zepanc (clonazepam 2mg/tab)</v>
          </cell>
        </row>
        <row r="46">
          <cell r="O46" t="str">
            <v>RO0Z208</v>
          </cell>
          <cell r="P46" t="str">
            <v>Zolnox (Zolpidem 10mg/tab)</v>
          </cell>
        </row>
        <row r="47">
          <cell r="O47" t="str">
            <v>ROZOPID</v>
          </cell>
          <cell r="P47" t="str">
            <v>(DC) Zopidem (Zolpidem 10mg/tab)</v>
          </cell>
        </row>
        <row r="48">
          <cell r="O48" t="str">
            <v>ROZOPIM</v>
          </cell>
          <cell r="P48" t="str">
            <v>(DC) Zopim (Zolpidem 10mg/tab)</v>
          </cell>
        </row>
        <row r="49">
          <cell r="O49" t="str">
            <v>RO0K209</v>
          </cell>
          <cell r="P49" t="str">
            <v>Kinzolam (Estazolam 2mg/tab)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30"/>
  <sheetViews>
    <sheetView tabSelected="1" workbookViewId="0">
      <selection activeCell="V9" sqref="V9"/>
    </sheetView>
  </sheetViews>
  <sheetFormatPr defaultRowHeight="16.2"/>
  <sheetData>
    <row r="1" spans="1:16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9" t="s">
        <v>9</v>
      </c>
      <c r="K1" s="9" t="s">
        <v>10</v>
      </c>
      <c r="L1" s="10" t="s">
        <v>11</v>
      </c>
      <c r="M1" s="11" t="s">
        <v>12</v>
      </c>
      <c r="N1" s="12" t="s">
        <v>13</v>
      </c>
      <c r="O1" s="13" t="s">
        <v>14</v>
      </c>
      <c r="P1" s="13" t="s">
        <v>15</v>
      </c>
    </row>
    <row r="2" spans="1:16">
      <c r="A2" s="14">
        <v>1</v>
      </c>
      <c r="B2" s="15" t="s">
        <v>16</v>
      </c>
      <c r="C2" s="16" t="str">
        <f>VLOOKUP(B2,[1]本月進退貨!O:P,2,0)</f>
        <v>Alpragin (alprazolam 2mg/tab)</v>
      </c>
      <c r="D2" s="17"/>
      <c r="E2" s="18">
        <v>2361.25</v>
      </c>
      <c r="F2" s="19">
        <v>0</v>
      </c>
      <c r="G2" s="19">
        <v>6</v>
      </c>
      <c r="H2" s="20">
        <f>E2+F2-G2</f>
        <v>2355.25</v>
      </c>
      <c r="I2" s="21">
        <v>357</v>
      </c>
      <c r="J2" s="21">
        <v>0</v>
      </c>
      <c r="K2" s="21">
        <v>0</v>
      </c>
      <c r="L2" s="21">
        <f>2000-O2+F2</f>
        <v>2000</v>
      </c>
      <c r="M2" s="18">
        <f>SUM(I2:L2)+D2</f>
        <v>2357</v>
      </c>
      <c r="N2" s="22">
        <f>M2-H2</f>
        <v>1.75</v>
      </c>
      <c r="O2" s="23"/>
      <c r="P2" s="22"/>
    </row>
    <row r="3" spans="1:16">
      <c r="A3" s="14">
        <v>2</v>
      </c>
      <c r="B3" s="15" t="s">
        <v>17</v>
      </c>
      <c r="C3" s="16" t="str">
        <f>VLOOKUP(B3,[1]本月進退貨!O:P,2,0)</f>
        <v>Alprazolam (Alprazolam 0.5 mg/tab)</v>
      </c>
      <c r="D3" s="17"/>
      <c r="E3" s="18">
        <v>29987</v>
      </c>
      <c r="F3" s="19">
        <v>0</v>
      </c>
      <c r="G3" s="19">
        <v>1465</v>
      </c>
      <c r="H3" s="20">
        <f t="shared" ref="H3:H30" si="0">E3+F3-G3</f>
        <v>28522</v>
      </c>
      <c r="I3" s="21">
        <v>73</v>
      </c>
      <c r="J3" s="21">
        <v>4400</v>
      </c>
      <c r="K3" s="21">
        <v>73</v>
      </c>
      <c r="L3" s="21">
        <f>27000-O3+F3</f>
        <v>24000</v>
      </c>
      <c r="M3" s="18">
        <f t="shared" ref="M3:M30" si="1">SUM(I3:L3)+D3</f>
        <v>28546</v>
      </c>
      <c r="N3" s="22">
        <f t="shared" ref="N3:N30" si="2">M3-H3</f>
        <v>24</v>
      </c>
      <c r="O3" s="23">
        <v>3000</v>
      </c>
      <c r="P3" s="22"/>
    </row>
    <row r="4" spans="1:16">
      <c r="A4" s="14">
        <v>3</v>
      </c>
      <c r="B4" s="15" t="s">
        <v>18</v>
      </c>
      <c r="C4" s="16" t="str">
        <f>VLOOKUP(B4,[1]本月進退貨!O:P,2,0)</f>
        <v>Anxicam (Lorazepam 2mg/1mL/amp)</v>
      </c>
      <c r="D4" s="17"/>
      <c r="E4" s="18">
        <v>192</v>
      </c>
      <c r="F4" s="19">
        <v>0</v>
      </c>
      <c r="G4" s="19">
        <v>8</v>
      </c>
      <c r="H4" s="20">
        <f t="shared" si="0"/>
        <v>184</v>
      </c>
      <c r="I4" s="21">
        <v>188</v>
      </c>
      <c r="J4" s="21">
        <v>0</v>
      </c>
      <c r="K4" s="21">
        <v>0</v>
      </c>
      <c r="L4" s="21">
        <f>0-O4+F4</f>
        <v>0</v>
      </c>
      <c r="M4" s="18">
        <f t="shared" si="1"/>
        <v>188</v>
      </c>
      <c r="N4" s="22">
        <f t="shared" si="2"/>
        <v>4</v>
      </c>
      <c r="O4" s="22"/>
      <c r="P4" s="22"/>
    </row>
    <row r="5" spans="1:16">
      <c r="A5" s="14">
        <v>4</v>
      </c>
      <c r="B5" s="15" t="s">
        <v>19</v>
      </c>
      <c r="C5" s="16" t="str">
        <f>VLOOKUP(B5,[1]本月進退貨!O:P,2,0)</f>
        <v>Apano (Miferpristone 200mg/tab)</v>
      </c>
      <c r="D5" s="17"/>
      <c r="E5" s="18">
        <v>10</v>
      </c>
      <c r="F5" s="19">
        <v>0</v>
      </c>
      <c r="G5" s="19">
        <v>0</v>
      </c>
      <c r="H5" s="20">
        <f t="shared" si="0"/>
        <v>10</v>
      </c>
      <c r="I5" s="21">
        <v>0</v>
      </c>
      <c r="J5" s="21">
        <v>10</v>
      </c>
      <c r="K5" s="21">
        <v>0</v>
      </c>
      <c r="L5" s="21">
        <f>0-O5+F5</f>
        <v>0</v>
      </c>
      <c r="M5" s="18">
        <f t="shared" si="1"/>
        <v>10</v>
      </c>
      <c r="N5" s="22">
        <f t="shared" si="2"/>
        <v>0</v>
      </c>
      <c r="O5" s="22"/>
      <c r="P5" s="22"/>
    </row>
    <row r="6" spans="1:16">
      <c r="A6" s="14">
        <v>5</v>
      </c>
      <c r="B6" s="15" t="s">
        <v>20</v>
      </c>
      <c r="C6" s="16" t="str">
        <f>VLOOKUP(B6,[1]本月進退貨!O:P,2,0)</f>
        <v>Camadol(Tramadol 50mg/cap)</v>
      </c>
      <c r="D6" s="17"/>
      <c r="E6" s="18">
        <v>3824</v>
      </c>
      <c r="F6" s="19">
        <v>0</v>
      </c>
      <c r="G6" s="19">
        <v>118</v>
      </c>
      <c r="H6" s="20">
        <f t="shared" si="0"/>
        <v>3706</v>
      </c>
      <c r="I6" s="21">
        <v>261</v>
      </c>
      <c r="J6" s="21">
        <v>600</v>
      </c>
      <c r="K6" s="21">
        <v>60</v>
      </c>
      <c r="L6" s="21">
        <f>3400-O6+F6</f>
        <v>2800</v>
      </c>
      <c r="M6" s="18">
        <f t="shared" si="1"/>
        <v>3721</v>
      </c>
      <c r="N6" s="22">
        <f t="shared" si="2"/>
        <v>15</v>
      </c>
      <c r="O6" s="22">
        <v>600</v>
      </c>
      <c r="P6" s="22"/>
    </row>
    <row r="7" spans="1:16">
      <c r="A7" s="14">
        <v>6</v>
      </c>
      <c r="B7" s="15" t="s">
        <v>21</v>
      </c>
      <c r="C7" s="16" t="str">
        <f>VLOOKUP(B7,[1]本月進退貨!O:P,2,0)</f>
        <v>Clonopam (Clonazepam 0.5mg/tab)</v>
      </c>
      <c r="D7" s="17"/>
      <c r="E7" s="18">
        <v>6068</v>
      </c>
      <c r="F7" s="19">
        <v>0</v>
      </c>
      <c r="G7" s="19">
        <v>196</v>
      </c>
      <c r="H7" s="20">
        <f t="shared" si="0"/>
        <v>5872</v>
      </c>
      <c r="I7" s="21">
        <v>200</v>
      </c>
      <c r="J7" s="21">
        <v>1610</v>
      </c>
      <c r="K7" s="21">
        <v>63</v>
      </c>
      <c r="L7" s="21">
        <f>5000-O7+F7</f>
        <v>4000</v>
      </c>
      <c r="M7" s="18">
        <f t="shared" si="1"/>
        <v>5873</v>
      </c>
      <c r="N7" s="22">
        <f t="shared" si="2"/>
        <v>1</v>
      </c>
      <c r="O7" s="22">
        <v>1000</v>
      </c>
      <c r="P7" s="22"/>
    </row>
    <row r="8" spans="1:16">
      <c r="A8" s="14">
        <v>7</v>
      </c>
      <c r="B8" s="15" t="s">
        <v>22</v>
      </c>
      <c r="C8" s="16" t="str">
        <f>VLOOKUP(B8,[1]本月進退貨!O:P,2,0)</f>
        <v>Codin P Syrup (Codeine 28.8mg/60mL/bot)</v>
      </c>
      <c r="D8" s="17"/>
      <c r="E8" s="18">
        <v>25</v>
      </c>
      <c r="F8" s="19">
        <v>0</v>
      </c>
      <c r="G8" s="19">
        <v>3</v>
      </c>
      <c r="H8" s="20">
        <f t="shared" si="0"/>
        <v>22</v>
      </c>
      <c r="I8" s="21">
        <v>19</v>
      </c>
      <c r="J8" s="21">
        <v>0</v>
      </c>
      <c r="K8" s="21">
        <v>0</v>
      </c>
      <c r="L8" s="21">
        <f>3-O8+F8</f>
        <v>3</v>
      </c>
      <c r="M8" s="18">
        <f t="shared" si="1"/>
        <v>22</v>
      </c>
      <c r="N8" s="22">
        <f t="shared" si="2"/>
        <v>0</v>
      </c>
      <c r="O8" s="22"/>
      <c r="P8" s="22"/>
    </row>
    <row r="9" spans="1:16">
      <c r="A9" s="14">
        <v>8</v>
      </c>
      <c r="B9" s="15" t="s">
        <v>23</v>
      </c>
      <c r="C9" s="16" t="str">
        <f>VLOOKUP(B9,[1]本月進退貨!O:P,2,0)</f>
        <v>Diazepam (Diazepam 2mg/tab)</v>
      </c>
      <c r="D9" s="17"/>
      <c r="E9" s="18">
        <v>2934</v>
      </c>
      <c r="F9" s="19">
        <v>0</v>
      </c>
      <c r="G9" s="19">
        <v>67</v>
      </c>
      <c r="H9" s="20">
        <f t="shared" si="0"/>
        <v>2867</v>
      </c>
      <c r="I9" s="21">
        <v>833</v>
      </c>
      <c r="J9" s="21">
        <v>0</v>
      </c>
      <c r="K9" s="21">
        <v>33</v>
      </c>
      <c r="L9" s="21">
        <f>2000-O9+F9</f>
        <v>2000</v>
      </c>
      <c r="M9" s="18">
        <f t="shared" si="1"/>
        <v>2866</v>
      </c>
      <c r="N9" s="22">
        <f t="shared" si="2"/>
        <v>-1</v>
      </c>
      <c r="O9" s="22"/>
      <c r="P9" s="22"/>
    </row>
    <row r="10" spans="1:16">
      <c r="A10" s="14">
        <v>9</v>
      </c>
      <c r="B10" s="24" t="s">
        <v>24</v>
      </c>
      <c r="C10" s="16" t="str">
        <f>VLOOKUP(B10,[1]本月進退貨!O:P,2,0)</f>
        <v>Dormicum (Midazolam 5mg/1mL/amp)</v>
      </c>
      <c r="D10" s="17">
        <v>49</v>
      </c>
      <c r="E10" s="18">
        <v>860</v>
      </c>
      <c r="F10" s="19">
        <v>0</v>
      </c>
      <c r="G10" s="19">
        <v>10</v>
      </c>
      <c r="H10" s="20">
        <f t="shared" si="0"/>
        <v>850</v>
      </c>
      <c r="I10" s="21">
        <v>0</v>
      </c>
      <c r="J10" s="21">
        <v>107</v>
      </c>
      <c r="K10" s="21">
        <v>0</v>
      </c>
      <c r="L10" s="21">
        <f>700-O10+F10</f>
        <v>700</v>
      </c>
      <c r="M10" s="18">
        <f t="shared" si="1"/>
        <v>856</v>
      </c>
      <c r="N10" s="22">
        <f t="shared" si="2"/>
        <v>6</v>
      </c>
      <c r="O10" s="22"/>
      <c r="P10" s="22"/>
    </row>
    <row r="11" spans="1:16">
      <c r="A11" s="14">
        <v>10</v>
      </c>
      <c r="B11" s="25" t="s">
        <v>25</v>
      </c>
      <c r="C11" s="16" t="str">
        <f>VLOOKUP(B11,[1]本月進退貨!O:P,2,0)</f>
        <v>Dupin (Diazepam 10mg/2mL/amp)</v>
      </c>
      <c r="D11" s="17">
        <v>4</v>
      </c>
      <c r="E11" s="18">
        <v>254</v>
      </c>
      <c r="F11" s="19">
        <v>0</v>
      </c>
      <c r="G11" s="19">
        <v>3</v>
      </c>
      <c r="H11" s="20">
        <f t="shared" si="0"/>
        <v>251</v>
      </c>
      <c r="I11" s="21">
        <v>0</v>
      </c>
      <c r="J11" s="21">
        <v>28</v>
      </c>
      <c r="K11" s="21">
        <v>0</v>
      </c>
      <c r="L11" s="21">
        <f>220-O11+F11</f>
        <v>220</v>
      </c>
      <c r="M11" s="18">
        <f t="shared" si="1"/>
        <v>252</v>
      </c>
      <c r="N11" s="22">
        <f t="shared" si="2"/>
        <v>1</v>
      </c>
      <c r="O11" s="22"/>
      <c r="P11" s="22"/>
    </row>
    <row r="12" spans="1:16">
      <c r="A12" s="14">
        <v>11</v>
      </c>
      <c r="B12" s="15" t="s">
        <v>26</v>
      </c>
      <c r="C12" s="16" t="str">
        <f>VLOOKUP(B12,[1]本月進退貨!O:P,2,0)</f>
        <v>Eszo (Estazolam 2mg/tab)</v>
      </c>
      <c r="D12" s="17"/>
      <c r="E12" s="18">
        <v>1877.5</v>
      </c>
      <c r="F12" s="19">
        <v>0</v>
      </c>
      <c r="G12" s="19">
        <v>126</v>
      </c>
      <c r="H12" s="20">
        <f t="shared" si="0"/>
        <v>1751.5</v>
      </c>
      <c r="I12" s="21">
        <v>305</v>
      </c>
      <c r="J12" s="21">
        <v>400</v>
      </c>
      <c r="K12" s="21">
        <v>44</v>
      </c>
      <c r="L12" s="21">
        <f>1000-O12+F12</f>
        <v>1000</v>
      </c>
      <c r="M12" s="18">
        <f t="shared" si="1"/>
        <v>1749</v>
      </c>
      <c r="N12" s="22">
        <f t="shared" si="2"/>
        <v>-2.5</v>
      </c>
      <c r="O12" s="22"/>
      <c r="P12" s="22"/>
    </row>
    <row r="13" spans="1:16">
      <c r="A13" s="14">
        <v>12</v>
      </c>
      <c r="B13" s="15" t="s">
        <v>27</v>
      </c>
      <c r="C13" s="16" t="str">
        <f>VLOOKUP(B13,[1]本月進退貨!O:P,2,0)</f>
        <v>Flupine (Fludiazepam 0.25mg/tab)</v>
      </c>
      <c r="D13" s="17"/>
      <c r="E13" s="18">
        <v>2418</v>
      </c>
      <c r="F13" s="19">
        <v>0</v>
      </c>
      <c r="G13" s="19">
        <v>143</v>
      </c>
      <c r="H13" s="20">
        <f t="shared" si="0"/>
        <v>2275</v>
      </c>
      <c r="I13" s="21">
        <v>775</v>
      </c>
      <c r="J13" s="21">
        <v>0</v>
      </c>
      <c r="K13" s="21">
        <v>0</v>
      </c>
      <c r="L13" s="21">
        <f>2000-O13+F13</f>
        <v>1500</v>
      </c>
      <c r="M13" s="18">
        <f t="shared" si="1"/>
        <v>2275</v>
      </c>
      <c r="N13" s="22">
        <f t="shared" si="2"/>
        <v>0</v>
      </c>
      <c r="O13" s="22">
        <v>500</v>
      </c>
      <c r="P13" s="22"/>
    </row>
    <row r="14" spans="1:16">
      <c r="A14" s="14">
        <v>13</v>
      </c>
      <c r="B14" s="15" t="s">
        <v>28</v>
      </c>
      <c r="C14" s="16" t="str">
        <f>VLOOKUP(B14,[1]本月進退貨!O:P,2,0)</f>
        <v>Frisium (Clobazam 10mg/tab)</v>
      </c>
      <c r="D14" s="17"/>
      <c r="E14" s="18">
        <v>901</v>
      </c>
      <c r="F14" s="19">
        <v>0</v>
      </c>
      <c r="G14" s="19">
        <v>0</v>
      </c>
      <c r="H14" s="20">
        <f t="shared" si="0"/>
        <v>901</v>
      </c>
      <c r="I14" s="21">
        <v>301</v>
      </c>
      <c r="J14" s="21">
        <v>0</v>
      </c>
      <c r="K14" s="21">
        <v>0</v>
      </c>
      <c r="L14" s="21">
        <f>600-O14+F14</f>
        <v>600</v>
      </c>
      <c r="M14" s="18">
        <f t="shared" si="1"/>
        <v>901</v>
      </c>
      <c r="N14" s="22">
        <f t="shared" si="2"/>
        <v>0</v>
      </c>
      <c r="O14" s="22"/>
      <c r="P14" s="22"/>
    </row>
    <row r="15" spans="1:16">
      <c r="A15" s="14">
        <v>14</v>
      </c>
      <c r="B15" s="15" t="s">
        <v>29</v>
      </c>
      <c r="C15" s="16" t="str">
        <f>VLOOKUP(B15,[1]本月進退貨!O:P,2,0)</f>
        <v>Genclone (Zopiclone 7.5mg/tab)</v>
      </c>
      <c r="D15" s="17"/>
      <c r="E15" s="18">
        <v>915</v>
      </c>
      <c r="F15" s="19">
        <v>0</v>
      </c>
      <c r="G15" s="19">
        <v>2</v>
      </c>
      <c r="H15" s="20">
        <f t="shared" si="0"/>
        <v>913</v>
      </c>
      <c r="I15" s="21">
        <v>358</v>
      </c>
      <c r="J15" s="21">
        <v>500</v>
      </c>
      <c r="K15" s="21">
        <v>55</v>
      </c>
      <c r="L15" s="21">
        <f>500-O15+F15</f>
        <v>0</v>
      </c>
      <c r="M15" s="18">
        <f t="shared" si="1"/>
        <v>913</v>
      </c>
      <c r="N15" s="22">
        <f t="shared" si="2"/>
        <v>0</v>
      </c>
      <c r="O15" s="22">
        <v>500</v>
      </c>
      <c r="P15" s="22"/>
    </row>
    <row r="16" spans="1:16">
      <c r="A16" s="14">
        <v>15</v>
      </c>
      <c r="B16" s="15" t="s">
        <v>30</v>
      </c>
      <c r="C16" s="16" t="str">
        <f>VLOOKUP(B16,[1]本月進退貨!O:P,2,0)</f>
        <v>Imovane (Zopiclone 7.5mg/tab)</v>
      </c>
      <c r="D16" s="17"/>
      <c r="E16" s="18">
        <v>5608</v>
      </c>
      <c r="F16" s="19">
        <v>0</v>
      </c>
      <c r="G16" s="19">
        <v>229</v>
      </c>
      <c r="H16" s="20">
        <f t="shared" si="0"/>
        <v>5379</v>
      </c>
      <c r="I16" s="21">
        <v>135</v>
      </c>
      <c r="J16" s="21">
        <v>1600</v>
      </c>
      <c r="K16" s="21">
        <v>35</v>
      </c>
      <c r="L16" s="21">
        <f>5200-O16+F16</f>
        <v>3600</v>
      </c>
      <c r="M16" s="18">
        <f t="shared" si="1"/>
        <v>5370</v>
      </c>
      <c r="N16" s="22">
        <f t="shared" si="2"/>
        <v>-9</v>
      </c>
      <c r="O16" s="22">
        <v>1600</v>
      </c>
      <c r="P16" s="22"/>
    </row>
    <row r="17" spans="1:16">
      <c r="A17" s="14">
        <v>16</v>
      </c>
      <c r="B17" s="15" t="s">
        <v>31</v>
      </c>
      <c r="C17" s="16" t="str">
        <f>VLOOKUP(B17,[1]本月進退貨!O:P,2,0)</f>
        <v>Kinax 1mg(Alprazolam 1mg/tab)</v>
      </c>
      <c r="D17" s="17"/>
      <c r="E17" s="18">
        <v>10484</v>
      </c>
      <c r="F17" s="19">
        <v>0</v>
      </c>
      <c r="G17" s="19">
        <v>629</v>
      </c>
      <c r="H17" s="20">
        <f t="shared" si="0"/>
        <v>9855</v>
      </c>
      <c r="I17" s="21">
        <v>10</v>
      </c>
      <c r="J17" s="21">
        <v>1300</v>
      </c>
      <c r="K17" s="21">
        <v>42</v>
      </c>
      <c r="L17" s="21">
        <f>8500-O17+F17</f>
        <v>8500</v>
      </c>
      <c r="M17" s="18">
        <f t="shared" si="1"/>
        <v>9852</v>
      </c>
      <c r="N17" s="22">
        <f t="shared" si="2"/>
        <v>-3</v>
      </c>
      <c r="O17" s="22"/>
      <c r="P17" s="22"/>
    </row>
    <row r="18" spans="1:16">
      <c r="A18" s="14">
        <v>17</v>
      </c>
      <c r="B18" s="15" t="s">
        <v>32</v>
      </c>
      <c r="C18" s="26" t="s">
        <v>33</v>
      </c>
      <c r="D18" s="17"/>
      <c r="E18" s="18">
        <v>4856</v>
      </c>
      <c r="F18" s="19">
        <v>0</v>
      </c>
      <c r="G18" s="19">
        <v>133</v>
      </c>
      <c r="H18" s="20">
        <f>E18+F18-G18</f>
        <v>4723</v>
      </c>
      <c r="I18" s="21">
        <v>224</v>
      </c>
      <c r="J18" s="21">
        <v>1000</v>
      </c>
      <c r="K18" s="21">
        <v>0</v>
      </c>
      <c r="L18" s="21">
        <f>4000-O18+F18</f>
        <v>3500</v>
      </c>
      <c r="M18" s="18">
        <f>SUM(I18:L18)+D18</f>
        <v>4724</v>
      </c>
      <c r="N18" s="22">
        <f>M18-H18</f>
        <v>1</v>
      </c>
      <c r="O18" s="22">
        <v>500</v>
      </c>
      <c r="P18" s="22"/>
    </row>
    <row r="19" spans="1:16">
      <c r="A19" s="14">
        <v>18</v>
      </c>
      <c r="B19" s="15" t="s">
        <v>34</v>
      </c>
      <c r="C19" s="16" t="str">
        <f>VLOOKUP(B19,[1]本月進退貨!O:P,2,0)</f>
        <v>Lendormin (Brotizolam 0.25mg/tab)</v>
      </c>
      <c r="D19" s="17"/>
      <c r="E19" s="18">
        <v>6751</v>
      </c>
      <c r="F19" s="19">
        <v>0</v>
      </c>
      <c r="G19" s="19">
        <v>207</v>
      </c>
      <c r="H19" s="20">
        <f t="shared" si="0"/>
        <v>6544</v>
      </c>
      <c r="I19" s="21">
        <v>510</v>
      </c>
      <c r="J19" s="21">
        <v>0</v>
      </c>
      <c r="K19" s="21">
        <v>46</v>
      </c>
      <c r="L19" s="21">
        <f>6000-O19+F19</f>
        <v>6000</v>
      </c>
      <c r="M19" s="18">
        <f t="shared" si="1"/>
        <v>6556</v>
      </c>
      <c r="N19" s="22">
        <f t="shared" si="2"/>
        <v>12</v>
      </c>
      <c r="O19" s="22"/>
      <c r="P19" s="22"/>
    </row>
    <row r="20" spans="1:16">
      <c r="A20" s="14">
        <v>19</v>
      </c>
      <c r="B20" s="15" t="s">
        <v>35</v>
      </c>
      <c r="C20" s="16" t="str">
        <f>VLOOKUP(B20,[1]本月進退貨!O:P,2,0)</f>
        <v>Lowen (Lorazepam 0.5mg/tab)</v>
      </c>
      <c r="D20" s="17"/>
      <c r="E20" s="18">
        <v>10441</v>
      </c>
      <c r="F20" s="19">
        <v>0</v>
      </c>
      <c r="G20" s="19">
        <v>556</v>
      </c>
      <c r="H20" s="20">
        <f t="shared" si="0"/>
        <v>9885</v>
      </c>
      <c r="I20" s="21">
        <v>854</v>
      </c>
      <c r="J20" s="21">
        <v>0</v>
      </c>
      <c r="K20" s="21">
        <v>51</v>
      </c>
      <c r="L20" s="21">
        <f>9000-O20+F20</f>
        <v>9000</v>
      </c>
      <c r="M20" s="18">
        <f t="shared" si="1"/>
        <v>9905</v>
      </c>
      <c r="N20" s="22">
        <f t="shared" si="2"/>
        <v>20</v>
      </c>
      <c r="O20" s="22"/>
      <c r="P20" s="22"/>
    </row>
    <row r="21" spans="1:16">
      <c r="A21" s="14">
        <v>20</v>
      </c>
      <c r="B21" s="27" t="s">
        <v>36</v>
      </c>
      <c r="C21" s="28" t="str">
        <f>VLOOKUP(B21,[1]本月進退貨!O:P,2,0)</f>
        <v>Propofol-Lipuro (四級) ★INJ. 1% 20mL</v>
      </c>
      <c r="D21" s="29">
        <v>55</v>
      </c>
      <c r="E21" s="18">
        <v>481</v>
      </c>
      <c r="F21" s="19">
        <v>0</v>
      </c>
      <c r="G21" s="19">
        <v>17</v>
      </c>
      <c r="H21" s="20">
        <f t="shared" si="0"/>
        <v>464</v>
      </c>
      <c r="I21" s="29">
        <v>20</v>
      </c>
      <c r="J21" s="29">
        <v>0</v>
      </c>
      <c r="K21" s="29">
        <v>0</v>
      </c>
      <c r="L21" s="21">
        <f>364-O21+F21</f>
        <v>364</v>
      </c>
      <c r="M21" s="18">
        <f t="shared" si="1"/>
        <v>439</v>
      </c>
      <c r="N21" s="22">
        <f t="shared" si="2"/>
        <v>-25</v>
      </c>
      <c r="O21" s="29"/>
      <c r="P21" s="29"/>
    </row>
    <row r="22" spans="1:16">
      <c r="A22" s="14">
        <v>21</v>
      </c>
      <c r="B22" s="15" t="s">
        <v>37</v>
      </c>
      <c r="C22" s="16" t="str">
        <f>VLOOKUP(B22,[1]本月進退貨!O:P,2,0)</f>
        <v>Rivotril (Clonazepam 2mg/tab)</v>
      </c>
      <c r="D22" s="17"/>
      <c r="E22" s="18">
        <v>10258</v>
      </c>
      <c r="F22" s="19">
        <v>0</v>
      </c>
      <c r="G22" s="19">
        <v>558</v>
      </c>
      <c r="H22" s="20">
        <f t="shared" si="0"/>
        <v>9700</v>
      </c>
      <c r="I22" s="21">
        <v>641</v>
      </c>
      <c r="J22" s="21">
        <v>1200</v>
      </c>
      <c r="K22" s="21">
        <v>74</v>
      </c>
      <c r="L22" s="21">
        <f>9000-O22+F22</f>
        <v>7800</v>
      </c>
      <c r="M22" s="18">
        <f t="shared" si="1"/>
        <v>9715</v>
      </c>
      <c r="N22" s="22">
        <f t="shared" si="2"/>
        <v>15</v>
      </c>
      <c r="O22" s="22">
        <v>1200</v>
      </c>
      <c r="P22" s="22"/>
    </row>
    <row r="23" spans="1:16">
      <c r="A23" s="14">
        <v>22</v>
      </c>
      <c r="B23" s="15" t="s">
        <v>38</v>
      </c>
      <c r="C23" s="16" t="str">
        <f>VLOOKUP(B23,[1]本月進退貨!O:P,2,0)</f>
        <v xml:space="preserve">Semi-nax (Zolpidem 10mg/tab) </v>
      </c>
      <c r="D23" s="17"/>
      <c r="E23" s="18">
        <v>9377</v>
      </c>
      <c r="F23" s="19">
        <v>0</v>
      </c>
      <c r="G23" s="19">
        <v>342</v>
      </c>
      <c r="H23" s="20">
        <f t="shared" si="0"/>
        <v>9035</v>
      </c>
      <c r="I23" s="21">
        <v>485</v>
      </c>
      <c r="J23" s="21">
        <v>500</v>
      </c>
      <c r="K23" s="21">
        <v>55</v>
      </c>
      <c r="L23" s="21">
        <f>8500-O23+F23</f>
        <v>8000</v>
      </c>
      <c r="M23" s="18">
        <f t="shared" si="1"/>
        <v>9040</v>
      </c>
      <c r="N23" s="22">
        <f t="shared" si="2"/>
        <v>5</v>
      </c>
      <c r="O23" s="22">
        <v>500</v>
      </c>
      <c r="P23" s="22"/>
    </row>
    <row r="24" spans="1:16">
      <c r="A24" s="14">
        <v>23</v>
      </c>
      <c r="B24" s="15" t="s">
        <v>39</v>
      </c>
      <c r="C24" s="16" t="str">
        <f>VLOOKUP(B24,[1]本月進退貨!O:P,2,0)</f>
        <v>Sonaplon (Zaleplon 10mg/cap)</v>
      </c>
      <c r="D24" s="17"/>
      <c r="E24" s="18">
        <v>2070</v>
      </c>
      <c r="F24" s="19">
        <v>0</v>
      </c>
      <c r="G24" s="19">
        <v>75</v>
      </c>
      <c r="H24" s="20">
        <f t="shared" si="0"/>
        <v>1995</v>
      </c>
      <c r="I24" s="21">
        <v>454</v>
      </c>
      <c r="J24" s="21">
        <v>0</v>
      </c>
      <c r="K24" s="21">
        <v>41</v>
      </c>
      <c r="L24" s="21">
        <f>1500-O24+F24</f>
        <v>1500</v>
      </c>
      <c r="M24" s="18">
        <f t="shared" si="1"/>
        <v>1995</v>
      </c>
      <c r="N24" s="22">
        <f t="shared" si="2"/>
        <v>0</v>
      </c>
      <c r="O24" s="22"/>
      <c r="P24" s="22"/>
    </row>
    <row r="25" spans="1:16">
      <c r="A25" s="14">
        <v>24</v>
      </c>
      <c r="B25" s="15" t="s">
        <v>40</v>
      </c>
      <c r="C25" s="16" t="str">
        <f>VLOOKUP(B25,[1]本月進退貨!O:P,2,0)</f>
        <v>Stilnox CR (Zolpidem 6.25mg/tab)</v>
      </c>
      <c r="D25" s="17"/>
      <c r="E25" s="18">
        <v>1434</v>
      </c>
      <c r="F25" s="19">
        <v>0</v>
      </c>
      <c r="G25" s="19">
        <v>10</v>
      </c>
      <c r="H25" s="20">
        <f t="shared" si="0"/>
        <v>1424</v>
      </c>
      <c r="I25" s="21">
        <v>164</v>
      </c>
      <c r="J25" s="21">
        <v>280</v>
      </c>
      <c r="K25" s="21">
        <v>0</v>
      </c>
      <c r="L25" s="21">
        <f>980-O25+F25</f>
        <v>980</v>
      </c>
      <c r="M25" s="18">
        <f t="shared" si="1"/>
        <v>1424</v>
      </c>
      <c r="N25" s="22">
        <f t="shared" si="2"/>
        <v>0</v>
      </c>
      <c r="O25" s="22"/>
      <c r="P25" s="22"/>
    </row>
    <row r="26" spans="1:16">
      <c r="A26" s="14">
        <v>25</v>
      </c>
      <c r="B26" s="15" t="s">
        <v>41</v>
      </c>
      <c r="C26" s="16" t="str">
        <f>VLOOKUP(B26,[1]本月進退貨!O:P,2,0)</f>
        <v>Traceton (Tramadol 37.5mg, Acetaminophen 325mg/tab)</v>
      </c>
      <c r="D26" s="17"/>
      <c r="E26" s="18">
        <v>11168</v>
      </c>
      <c r="F26" s="19">
        <v>0</v>
      </c>
      <c r="G26" s="19">
        <v>598</v>
      </c>
      <c r="H26" s="20">
        <f t="shared" si="0"/>
        <v>10570</v>
      </c>
      <c r="I26" s="21">
        <v>428</v>
      </c>
      <c r="J26" s="21">
        <v>1680</v>
      </c>
      <c r="K26" s="21">
        <v>101</v>
      </c>
      <c r="L26" s="21">
        <f>10080-O26+F26</f>
        <v>8400</v>
      </c>
      <c r="M26" s="18">
        <f t="shared" si="1"/>
        <v>10609</v>
      </c>
      <c r="N26" s="22">
        <f t="shared" si="2"/>
        <v>39</v>
      </c>
      <c r="O26" s="22">
        <v>1680</v>
      </c>
      <c r="P26" s="22"/>
    </row>
    <row r="27" spans="1:16">
      <c r="A27" s="14">
        <v>26</v>
      </c>
      <c r="B27" s="15" t="s">
        <v>42</v>
      </c>
      <c r="C27" s="16" t="str">
        <f>VLOOKUP(B27,[1]本月進退貨!O:P,2,0)</f>
        <v>Tramtor (Tramadol 100mg/2mL/amp)</v>
      </c>
      <c r="D27" s="17"/>
      <c r="E27" s="18">
        <v>1414</v>
      </c>
      <c r="F27" s="19">
        <v>0</v>
      </c>
      <c r="G27" s="19">
        <v>41</v>
      </c>
      <c r="H27" s="20">
        <f t="shared" si="0"/>
        <v>1373</v>
      </c>
      <c r="I27" s="21">
        <v>0</v>
      </c>
      <c r="J27" s="21">
        <v>169</v>
      </c>
      <c r="K27" s="21">
        <v>32</v>
      </c>
      <c r="L27" s="21">
        <f>1200-O27+F27</f>
        <v>1200</v>
      </c>
      <c r="M27" s="18">
        <f t="shared" si="1"/>
        <v>1401</v>
      </c>
      <c r="N27" s="22">
        <f t="shared" si="2"/>
        <v>28</v>
      </c>
      <c r="O27" s="22"/>
      <c r="P27" s="22"/>
    </row>
    <row r="28" spans="1:16">
      <c r="A28" s="14">
        <v>27</v>
      </c>
      <c r="B28" s="15" t="s">
        <v>43</v>
      </c>
      <c r="C28" s="16" t="str">
        <f>VLOOKUP(B28,[1]本月進退貨!O:P,2,0)</f>
        <v>Zolnox (Zolpidem 10mg/tab)</v>
      </c>
      <c r="D28" s="17"/>
      <c r="E28" s="18">
        <v>12593.5</v>
      </c>
      <c r="F28" s="19">
        <v>0</v>
      </c>
      <c r="G28" s="19">
        <v>761</v>
      </c>
      <c r="H28" s="20">
        <f t="shared" si="0"/>
        <v>11832.5</v>
      </c>
      <c r="I28" s="21">
        <v>473</v>
      </c>
      <c r="J28" s="21">
        <v>2000</v>
      </c>
      <c r="K28" s="21">
        <v>60</v>
      </c>
      <c r="L28" s="21">
        <f>10800-O28+F28</f>
        <v>9300</v>
      </c>
      <c r="M28" s="18">
        <f t="shared" si="1"/>
        <v>11833</v>
      </c>
      <c r="N28" s="22">
        <f t="shared" si="2"/>
        <v>0.5</v>
      </c>
      <c r="O28" s="22">
        <v>1500</v>
      </c>
      <c r="P28" s="22"/>
    </row>
    <row r="29" spans="1:16">
      <c r="A29" s="14">
        <v>28</v>
      </c>
      <c r="B29" s="15" t="s">
        <v>44</v>
      </c>
      <c r="C29" s="16" t="str">
        <f>VLOOKUP(B29,[1]本月進退貨!O:P,2,0)</f>
        <v>Wontran ER (Tramadol 75mg, Acetaminophen 650mg/tab)</v>
      </c>
      <c r="D29" s="17"/>
      <c r="E29" s="18">
        <v>9299</v>
      </c>
      <c r="F29" s="19">
        <v>0</v>
      </c>
      <c r="G29" s="19">
        <v>340</v>
      </c>
      <c r="H29" s="20">
        <f t="shared" si="0"/>
        <v>8959</v>
      </c>
      <c r="I29" s="21">
        <v>22</v>
      </c>
      <c r="J29" s="21">
        <v>800</v>
      </c>
      <c r="K29" s="21">
        <v>61</v>
      </c>
      <c r="L29" s="21">
        <f>8500-O29+F29</f>
        <v>8100</v>
      </c>
      <c r="M29" s="18">
        <f t="shared" si="1"/>
        <v>8983</v>
      </c>
      <c r="N29" s="22">
        <f t="shared" si="2"/>
        <v>24</v>
      </c>
      <c r="O29" s="22">
        <v>400</v>
      </c>
      <c r="P29" s="22"/>
    </row>
    <row r="30" spans="1:16">
      <c r="A30" s="14">
        <v>29</v>
      </c>
      <c r="B30" s="30" t="s">
        <v>45</v>
      </c>
      <c r="C30" s="28" t="str">
        <f>VLOOKUP(B30,[1]本月進退貨!O:P,2,0)</f>
        <v>Citosol (Thiamylal 300mg/amp)</v>
      </c>
      <c r="D30" s="29">
        <v>5</v>
      </c>
      <c r="E30" s="18">
        <v>6</v>
      </c>
      <c r="F30" s="19">
        <v>0</v>
      </c>
      <c r="G30" s="19">
        <v>0</v>
      </c>
      <c r="H30" s="20">
        <f t="shared" si="0"/>
        <v>6</v>
      </c>
      <c r="I30" s="29"/>
      <c r="J30" s="29"/>
      <c r="K30" s="29"/>
      <c r="L30" s="21">
        <f>1-O30+F30</f>
        <v>1</v>
      </c>
      <c r="M30" s="18">
        <f t="shared" si="1"/>
        <v>6</v>
      </c>
      <c r="N30" s="22">
        <f t="shared" si="2"/>
        <v>0</v>
      </c>
      <c r="O30" s="29"/>
      <c r="P30" s="29"/>
    </row>
  </sheetData>
  <phoneticPr fontId="3" type="noConversion"/>
  <dataValidations count="1">
    <dataValidation type="list" allowBlank="1" showInputMessage="1" showErrorMessage="1" sqref="P2:P30">
      <formula1>"購入,補充,其他"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C.M.T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rita</cp:lastModifiedBy>
  <dcterms:created xsi:type="dcterms:W3CDTF">2017-08-05T15:26:13Z</dcterms:created>
  <dcterms:modified xsi:type="dcterms:W3CDTF">2017-08-05T15:26:24Z</dcterms:modified>
</cp:coreProperties>
</file>