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genoc/projects/moose/smashed_pellets/CFD/experimental data/"/>
    </mc:Choice>
  </mc:AlternateContent>
  <xr:revisionPtr revIDLastSave="0" documentId="13_ncr:1_{6FC82C48-5884-2542-9174-3576ED0B36CB}" xr6:coauthVersionLast="47" xr6:coauthVersionMax="47" xr10:uidLastSave="{00000000-0000-0000-0000-000000000000}"/>
  <bookViews>
    <workbookView xWindow="0" yWindow="500" windowWidth="35840" windowHeight="19280" activeTab="1" xr2:uid="{00000000-000D-0000-FFFF-FFFF00000000}"/>
  </bookViews>
  <sheets>
    <sheet name="Sheet1" sheetId="1" r:id="rId1"/>
    <sheet name="Experiment 1" sheetId="3" r:id="rId2"/>
    <sheet name="Experiment 2" sheetId="4" r:id="rId3"/>
    <sheet name="Experiment 3" sheetId="2" r:id="rId4"/>
    <sheet name="Experiment 4" sheetId="5" r:id="rId5"/>
    <sheet name="Experiment 5" sheetId="6" r:id="rId6"/>
    <sheet name="Experiment 6" sheetId="8" r:id="rId7"/>
    <sheet name="Comparison" sheetId="9"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3" l="1"/>
  <c r="E18" i="3"/>
  <c r="E19" i="3"/>
  <c r="E20" i="3"/>
  <c r="E9" i="3"/>
  <c r="E10" i="3"/>
  <c r="E11" i="3"/>
  <c r="E12" i="3"/>
  <c r="E13" i="3"/>
  <c r="E14" i="3"/>
  <c r="E15" i="3"/>
  <c r="E16" i="3"/>
  <c r="B8" i="3"/>
  <c r="B9" i="3"/>
  <c r="B10" i="3"/>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7" i="3"/>
  <c r="J14" i="3"/>
  <c r="J9" i="3"/>
  <c r="J8" i="3" l="1"/>
  <c r="J32" i="3"/>
  <c r="I86" i="3"/>
  <c r="I85" i="3"/>
  <c r="M98" i="3"/>
  <c r="P98" i="3" s="1"/>
  <c r="M97" i="3"/>
  <c r="P97" i="3" s="1"/>
  <c r="O96" i="3"/>
  <c r="K96" i="3"/>
  <c r="J96" i="3"/>
  <c r="J97" i="3" s="1"/>
  <c r="O95" i="3"/>
  <c r="K95" i="3"/>
  <c r="O65" i="5"/>
  <c r="O64" i="5"/>
  <c r="J56" i="5"/>
  <c r="N63" i="5"/>
  <c r="N64" i="5"/>
  <c r="N65" i="5"/>
  <c r="N66" i="5"/>
  <c r="N62" i="5"/>
  <c r="J55" i="5"/>
  <c r="L65" i="5"/>
  <c r="L64" i="5"/>
  <c r="I63" i="5"/>
  <c r="J63" i="5" s="1"/>
  <c r="J62" i="5"/>
  <c r="E6" i="4"/>
  <c r="J21" i="8"/>
  <c r="J21" i="6"/>
  <c r="J22" i="5"/>
  <c r="J21"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6" i="5"/>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 i="6"/>
  <c r="J22" i="8"/>
  <c r="J22" i="6"/>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 i="8"/>
  <c r="B76" i="8"/>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99" i="8" s="1"/>
  <c r="B100" i="8" s="1"/>
  <c r="B101" i="8" s="1"/>
  <c r="B102" i="8" s="1"/>
  <c r="B103" i="8" s="1"/>
  <c r="B104" i="8" s="1"/>
  <c r="B105" i="8" s="1"/>
  <c r="B106" i="8" s="1"/>
  <c r="B107" i="8" s="1"/>
  <c r="B108" i="8" s="1"/>
  <c r="B109" i="8" s="1"/>
  <c r="B110" i="8" s="1"/>
  <c r="B111" i="8" s="1"/>
  <c r="B112" i="8" s="1"/>
  <c r="B113" i="8" s="1"/>
  <c r="B114" i="8" s="1"/>
  <c r="B115" i="8" s="1"/>
  <c r="B116" i="8" s="1"/>
  <c r="B117" i="8" s="1"/>
  <c r="B118" i="8" s="1"/>
  <c r="B119" i="8" s="1"/>
  <c r="B120" i="8" s="1"/>
  <c r="B121" i="8" s="1"/>
  <c r="B122" i="8" s="1"/>
  <c r="B123" i="8" s="1"/>
  <c r="B124" i="8" s="1"/>
  <c r="B125" i="8" s="1"/>
  <c r="B72" i="6"/>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62" i="5"/>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J22" i="2"/>
  <c r="J21" i="2"/>
  <c r="B62" i="2"/>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61" i="2"/>
  <c r="J15" i="2"/>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11" i="1"/>
  <c r="G38" i="2"/>
  <c r="G39" i="2"/>
  <c r="G40" i="2"/>
  <c r="G41" i="2"/>
  <c r="G42" i="2"/>
  <c r="G43" i="2"/>
  <c r="G44" i="2"/>
  <c r="G45" i="2"/>
  <c r="G46" i="2"/>
  <c r="G47" i="2"/>
  <c r="G48" i="2"/>
  <c r="G49" i="2"/>
  <c r="G50" i="2"/>
  <c r="F50" i="2"/>
  <c r="E50" i="2"/>
  <c r="F49" i="2"/>
  <c r="E49" i="2"/>
  <c r="F48" i="2"/>
  <c r="E48" i="2"/>
  <c r="F47" i="2"/>
  <c r="E47" i="2"/>
  <c r="F46" i="2"/>
  <c r="E46" i="2"/>
  <c r="F45" i="2"/>
  <c r="E45" i="2"/>
  <c r="F44" i="2"/>
  <c r="E44" i="2"/>
  <c r="F43" i="2"/>
  <c r="E43" i="2"/>
  <c r="F42" i="2"/>
  <c r="E42" i="2"/>
  <c r="F41" i="2"/>
  <c r="E41" i="2"/>
  <c r="F40" i="2"/>
  <c r="E40" i="2"/>
  <c r="F39" i="2"/>
  <c r="E39" i="2"/>
  <c r="F38" i="2"/>
  <c r="E38" i="2"/>
  <c r="F37" i="2"/>
  <c r="E37" i="2"/>
  <c r="F36" i="2"/>
  <c r="E36" i="2"/>
  <c r="F35" i="2"/>
  <c r="E35" i="2"/>
  <c r="F34" i="2"/>
  <c r="E34" i="2"/>
  <c r="F33" i="2"/>
  <c r="E33" i="2"/>
  <c r="F32" i="2"/>
  <c r="E32" i="2"/>
  <c r="F31" i="2"/>
  <c r="E31" i="2"/>
  <c r="F30" i="2"/>
  <c r="E30" i="2"/>
  <c r="F29" i="2"/>
  <c r="E29" i="2"/>
  <c r="F28" i="2"/>
  <c r="E28" i="2"/>
  <c r="F27" i="2"/>
  <c r="E27" i="2"/>
  <c r="F26" i="2"/>
  <c r="E26" i="2"/>
  <c r="F25" i="2"/>
  <c r="E25" i="2"/>
  <c r="F24" i="2"/>
  <c r="E24" i="2"/>
  <c r="F23" i="2"/>
  <c r="E23" i="2"/>
  <c r="F22" i="2"/>
  <c r="E22" i="2"/>
  <c r="F21" i="2"/>
  <c r="E21" i="2"/>
  <c r="F20" i="2"/>
  <c r="E20" i="2"/>
  <c r="F19" i="2"/>
  <c r="E19" i="2"/>
  <c r="F18" i="2"/>
  <c r="E18" i="2"/>
  <c r="F17" i="2"/>
  <c r="E17" i="2"/>
  <c r="F16" i="2"/>
  <c r="E16" i="2"/>
  <c r="F15" i="2"/>
  <c r="E15" i="2"/>
  <c r="F14" i="2"/>
  <c r="E14" i="2"/>
  <c r="F13" i="2"/>
  <c r="E13" i="2"/>
  <c r="F12" i="2"/>
  <c r="E12" i="2"/>
  <c r="F11" i="2"/>
  <c r="E11" i="2"/>
  <c r="F10" i="2"/>
  <c r="E10" i="2"/>
  <c r="F9" i="2"/>
  <c r="E9" i="2"/>
  <c r="F8" i="2"/>
  <c r="E8" i="2"/>
  <c r="F7" i="2"/>
  <c r="E7" i="2"/>
  <c r="F6" i="2"/>
  <c r="E6" i="2"/>
  <c r="J15" i="4"/>
  <c r="J21" i="4"/>
  <c r="J22" i="4" s="1"/>
  <c r="B7" i="4"/>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F50" i="4"/>
  <c r="E50" i="4"/>
  <c r="G50" i="4" s="1"/>
  <c r="F49" i="4"/>
  <c r="E49" i="4"/>
  <c r="G49" i="4" s="1"/>
  <c r="F48" i="4"/>
  <c r="E48" i="4"/>
  <c r="G48" i="4" s="1"/>
  <c r="F47" i="4"/>
  <c r="G47" i="4" s="1"/>
  <c r="E47" i="4"/>
  <c r="F46" i="4"/>
  <c r="E46" i="4"/>
  <c r="F45" i="4"/>
  <c r="E45" i="4"/>
  <c r="G45" i="4" s="1"/>
  <c r="F44" i="4"/>
  <c r="E44" i="4"/>
  <c r="F43" i="4"/>
  <c r="E43" i="4"/>
  <c r="G43" i="4" s="1"/>
  <c r="F42" i="4"/>
  <c r="E42" i="4"/>
  <c r="G42" i="4" s="1"/>
  <c r="F41" i="4"/>
  <c r="E41" i="4"/>
  <c r="G41" i="4" s="1"/>
  <c r="F40" i="4"/>
  <c r="E40" i="4"/>
  <c r="G40" i="4" s="1"/>
  <c r="F39" i="4"/>
  <c r="E39" i="4"/>
  <c r="F38" i="4"/>
  <c r="E38" i="4"/>
  <c r="G38" i="4" s="1"/>
  <c r="F37" i="4"/>
  <c r="E37" i="4"/>
  <c r="F36" i="4"/>
  <c r="E36" i="4"/>
  <c r="F35" i="4"/>
  <c r="E35" i="4"/>
  <c r="F34" i="4"/>
  <c r="E34" i="4"/>
  <c r="F33" i="4"/>
  <c r="E33" i="4"/>
  <c r="F32" i="4"/>
  <c r="E32" i="4"/>
  <c r="F31" i="4"/>
  <c r="E31" i="4"/>
  <c r="F30" i="4"/>
  <c r="E30" i="4"/>
  <c r="F29" i="4"/>
  <c r="E29" i="4"/>
  <c r="F28" i="4"/>
  <c r="E28" i="4"/>
  <c r="F27" i="4"/>
  <c r="E27" i="4"/>
  <c r="F26" i="4"/>
  <c r="E26" i="4"/>
  <c r="F25" i="4"/>
  <c r="E25" i="4"/>
  <c r="F24" i="4"/>
  <c r="E24" i="4"/>
  <c r="F23" i="4"/>
  <c r="E23" i="4"/>
  <c r="F22" i="4"/>
  <c r="E22" i="4"/>
  <c r="F21" i="4"/>
  <c r="E21" i="4"/>
  <c r="F20" i="4"/>
  <c r="E20" i="4"/>
  <c r="F19" i="4"/>
  <c r="E19" i="4"/>
  <c r="F18" i="4"/>
  <c r="E18" i="4"/>
  <c r="F17" i="4"/>
  <c r="E17" i="4"/>
  <c r="F16" i="4"/>
  <c r="E16" i="4"/>
  <c r="F15" i="4"/>
  <c r="E15" i="4"/>
  <c r="F14" i="4"/>
  <c r="E14" i="4"/>
  <c r="F13" i="4"/>
  <c r="E13" i="4"/>
  <c r="F12" i="4"/>
  <c r="E12" i="4"/>
  <c r="F11" i="4"/>
  <c r="E11" i="4"/>
  <c r="F10" i="4"/>
  <c r="E10" i="4"/>
  <c r="F9" i="4"/>
  <c r="E9" i="4"/>
  <c r="F8" i="4"/>
  <c r="E8" i="4"/>
  <c r="F7" i="4"/>
  <c r="E7" i="4"/>
  <c r="F6" i="4"/>
  <c r="F16" i="3"/>
  <c r="G16" i="3" s="1"/>
  <c r="F15" i="3"/>
  <c r="G15" i="3"/>
  <c r="F14" i="3"/>
  <c r="F13" i="3"/>
  <c r="G13" i="3"/>
  <c r="F12" i="3"/>
  <c r="G12" i="3"/>
  <c r="F11" i="3"/>
  <c r="G11" i="3"/>
  <c r="F10" i="3"/>
  <c r="G10" i="3"/>
  <c r="F9" i="3"/>
  <c r="G9" i="3"/>
  <c r="F8" i="3"/>
  <c r="E8" i="3"/>
  <c r="G8" i="3" s="1"/>
  <c r="F7" i="3"/>
  <c r="E7" i="3"/>
  <c r="F6" i="3"/>
  <c r="J23" i="3" s="1"/>
  <c r="E6" i="3"/>
  <c r="E21" i="3"/>
  <c r="E22" i="3"/>
  <c r="E23" i="3"/>
  <c r="E24" i="3"/>
  <c r="E25" i="3"/>
  <c r="E26" i="3"/>
  <c r="E27" i="3"/>
  <c r="E28" i="3"/>
  <c r="E29" i="3"/>
  <c r="E30" i="3"/>
  <c r="E31" i="3"/>
  <c r="E32" i="3"/>
  <c r="E33" i="3"/>
  <c r="E34" i="3"/>
  <c r="J18" i="3"/>
  <c r="J10" i="3"/>
  <c r="J11" i="3" s="1"/>
  <c r="J12" i="3" s="1"/>
  <c r="J13" i="3" s="1"/>
  <c r="J22" i="3"/>
  <c r="J14" i="2"/>
  <c r="J13" i="2"/>
  <c r="G7" i="3" l="1"/>
  <c r="J98" i="3"/>
  <c r="O97" i="3"/>
  <c r="K97" i="3"/>
  <c r="I64" i="5"/>
  <c r="G46" i="4"/>
  <c r="G44" i="4"/>
  <c r="G39" i="4"/>
  <c r="G6" i="3"/>
  <c r="G14" i="3"/>
  <c r="J16" i="8"/>
  <c r="J16" i="6"/>
  <c r="J16" i="5"/>
  <c r="J16" i="2"/>
  <c r="J16" i="4"/>
  <c r="J24" i="3"/>
  <c r="B7" i="8"/>
  <c r="B8" i="8" s="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J11" i="8"/>
  <c r="J10" i="8"/>
  <c r="J9" i="8"/>
  <c r="J6" i="8"/>
  <c r="J4" i="8"/>
  <c r="J3" i="8"/>
  <c r="B7" i="6"/>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J11" i="6"/>
  <c r="J10" i="6"/>
  <c r="J9" i="6"/>
  <c r="J6" i="6"/>
  <c r="J4" i="6"/>
  <c r="J3" i="6"/>
  <c r="B7" i="5"/>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J11" i="5"/>
  <c r="J10" i="5"/>
  <c r="J9" i="5"/>
  <c r="J6" i="5"/>
  <c r="J4" i="5"/>
  <c r="J3" i="5"/>
  <c r="G36" i="2"/>
  <c r="G33" i="2"/>
  <c r="G31" i="2"/>
  <c r="G30" i="2"/>
  <c r="G29" i="2"/>
  <c r="G28" i="2"/>
  <c r="G25" i="2"/>
  <c r="G24" i="2"/>
  <c r="G23" i="2"/>
  <c r="G19" i="2"/>
  <c r="G18" i="2"/>
  <c r="G17" i="2"/>
  <c r="G12" i="2"/>
  <c r="G11" i="2"/>
  <c r="G10" i="2"/>
  <c r="G9" i="2"/>
  <c r="G8" i="2"/>
  <c r="G7" i="2"/>
  <c r="B7" i="2"/>
  <c r="J11" i="4"/>
  <c r="J10" i="4"/>
  <c r="J9" i="4"/>
  <c r="J6" i="4"/>
  <c r="J4" i="4"/>
  <c r="J5" i="4" s="1"/>
  <c r="J3"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J19" i="3"/>
  <c r="J33" i="3" s="1"/>
  <c r="J6" i="3"/>
  <c r="J4" i="3"/>
  <c r="J17" i="3" s="1"/>
  <c r="J21" i="3" s="1"/>
  <c r="G32" i="3"/>
  <c r="G31" i="3"/>
  <c r="G30" i="3"/>
  <c r="G29" i="3"/>
  <c r="G28" i="3"/>
  <c r="G27" i="3"/>
  <c r="G26" i="3"/>
  <c r="G25" i="3"/>
  <c r="G24" i="3"/>
  <c r="G23" i="3"/>
  <c r="G22" i="3"/>
  <c r="G21" i="3"/>
  <c r="G20" i="3"/>
  <c r="G19" i="3"/>
  <c r="G18" i="3"/>
  <c r="G17" i="3"/>
  <c r="G13" i="2"/>
  <c r="G20" i="2"/>
  <c r="G21" i="2"/>
  <c r="G37" i="2"/>
  <c r="J11" i="2"/>
  <c r="J10" i="2"/>
  <c r="J9" i="2"/>
  <c r="J6" i="2"/>
  <c r="J4" i="2"/>
  <c r="J5" i="2" s="1"/>
  <c r="J3" i="2"/>
  <c r="J8" i="2" s="1"/>
  <c r="G35" i="2"/>
  <c r="G34" i="2"/>
  <c r="G32" i="2"/>
  <c r="G27" i="2"/>
  <c r="G26" i="2"/>
  <c r="G22" i="2"/>
  <c r="G16" i="2"/>
  <c r="G15" i="2"/>
  <c r="G14" i="2"/>
  <c r="G6" i="2"/>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C72" i="1"/>
  <c r="C73" i="1"/>
  <c r="C74" i="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71" i="1"/>
  <c r="O20" i="1"/>
  <c r="O10" i="1"/>
  <c r="O24" i="1"/>
  <c r="L15" i="1"/>
  <c r="O15" i="1"/>
  <c r="O17" i="1"/>
  <c r="O16" i="1"/>
  <c r="O18" i="1"/>
  <c r="O11" i="1"/>
  <c r="O12" i="1"/>
  <c r="O14" i="1" s="1"/>
  <c r="O13" i="1"/>
  <c r="M30" i="3" l="1"/>
  <c r="M31" i="3" s="1"/>
  <c r="M32" i="3" s="1"/>
  <c r="J99" i="3"/>
  <c r="O98" i="3"/>
  <c r="K98" i="3"/>
  <c r="J64" i="5"/>
  <c r="I65" i="5"/>
  <c r="J5" i="8"/>
  <c r="J8" i="8"/>
  <c r="J14" i="8"/>
  <c r="J19" i="8" s="1"/>
  <c r="J13" i="8"/>
  <c r="J20" i="8" s="1"/>
  <c r="J8" i="6"/>
  <c r="J13" i="6"/>
  <c r="J20" i="6" s="1"/>
  <c r="J14" i="6"/>
  <c r="J19" i="6" s="1"/>
  <c r="J5" i="6"/>
  <c r="J7" i="6" s="1"/>
  <c r="J5" i="5"/>
  <c r="J8" i="5"/>
  <c r="J13" i="5"/>
  <c r="J20" i="5" s="1"/>
  <c r="J14" i="5"/>
  <c r="J19" i="5" s="1"/>
  <c r="J7" i="5"/>
  <c r="J14" i="4"/>
  <c r="J13" i="4"/>
  <c r="J20" i="4" s="1"/>
  <c r="J5" i="3"/>
  <c r="J27" i="3"/>
  <c r="J29" i="3" s="1"/>
  <c r="J31" i="3" s="1"/>
  <c r="J28" i="3"/>
  <c r="J7" i="8"/>
  <c r="B8" i="2"/>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J7" i="4"/>
  <c r="J8" i="4"/>
  <c r="J19" i="4"/>
  <c r="J20" i="2"/>
  <c r="J19" i="2"/>
  <c r="J7" i="2"/>
  <c r="O99" i="3" l="1"/>
  <c r="K99" i="3"/>
  <c r="I66" i="5"/>
  <c r="J66" i="5" s="1"/>
  <c r="J65" i="5"/>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G11" i="1"/>
  <c r="F11"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82" i="1"/>
  <c r="F83" i="1"/>
  <c r="F84" i="1"/>
  <c r="F85" i="1"/>
  <c r="F86" i="1"/>
  <c r="F87" i="1"/>
  <c r="F88" i="1"/>
  <c r="F89" i="1"/>
  <c r="F90" i="1"/>
  <c r="F91" i="1"/>
  <c r="F92" i="1"/>
  <c r="F93" i="1"/>
  <c r="F94" i="1"/>
  <c r="F95" i="1"/>
  <c r="F96" i="1"/>
  <c r="F97" i="1"/>
  <c r="F98" i="1"/>
  <c r="F99" i="1"/>
  <c r="F81" i="1"/>
  <c r="C12" i="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C398" i="1" s="1"/>
  <c r="C399" i="1" s="1"/>
  <c r="C400" i="1" s="1"/>
  <c r="C401" i="1" s="1"/>
  <c r="C402" i="1" s="1"/>
  <c r="C403" i="1" s="1"/>
  <c r="C404" i="1" s="1"/>
  <c r="C405" i="1" s="1"/>
  <c r="C406" i="1" s="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67" i="1" s="1"/>
  <c r="C468" i="1" s="1"/>
  <c r="C469" i="1" s="1"/>
  <c r="C470" i="1" s="1"/>
  <c r="C471" i="1" s="1"/>
  <c r="C472" i="1" s="1"/>
  <c r="C473"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0" i="1" s="1"/>
  <c r="C511" i="1" s="1"/>
  <c r="C512" i="1" s="1"/>
  <c r="C513" i="1" s="1"/>
  <c r="C514" i="1" s="1"/>
  <c r="C515" i="1" s="1"/>
  <c r="C516" i="1" s="1"/>
  <c r="C517" i="1" s="1"/>
  <c r="C518" i="1" s="1"/>
  <c r="C519" i="1" s="1"/>
  <c r="C520" i="1" s="1"/>
  <c r="C521" i="1" s="1"/>
  <c r="C522" i="1" s="1"/>
  <c r="C523" i="1" s="1"/>
  <c r="C524" i="1" s="1"/>
  <c r="C525" i="1" s="1"/>
  <c r="C526" i="1" s="1"/>
  <c r="C527" i="1" s="1"/>
  <c r="C528" i="1" s="1"/>
  <c r="C529" i="1" s="1"/>
  <c r="C530" i="1" s="1"/>
  <c r="C531" i="1" s="1"/>
  <c r="C532" i="1" s="1"/>
  <c r="C533" i="1" s="1"/>
  <c r="C534" i="1" s="1"/>
  <c r="C535" i="1" s="1"/>
  <c r="C536" i="1" s="1"/>
  <c r="C537" i="1" s="1"/>
  <c r="C538" i="1" s="1"/>
  <c r="C539" i="1" s="1"/>
  <c r="C540" i="1" s="1"/>
  <c r="C541" i="1" s="1"/>
  <c r="C542" i="1" s="1"/>
  <c r="C543" i="1" s="1"/>
  <c r="C544" i="1" s="1"/>
  <c r="C545" i="1" s="1"/>
  <c r="C546" i="1" s="1"/>
  <c r="C547" i="1" s="1"/>
  <c r="C548" i="1" s="1"/>
  <c r="C549" i="1" s="1"/>
  <c r="C550" i="1" s="1"/>
  <c r="C551" i="1" s="1"/>
  <c r="C552" i="1" s="1"/>
  <c r="C553" i="1" s="1"/>
  <c r="C554" i="1" s="1"/>
  <c r="C555" i="1" s="1"/>
  <c r="C556" i="1" s="1"/>
  <c r="C557" i="1" s="1"/>
  <c r="C558" i="1" s="1"/>
  <c r="C559" i="1" s="1"/>
  <c r="C560" i="1" s="1"/>
  <c r="C561" i="1" s="1"/>
  <c r="C562" i="1" s="1"/>
  <c r="C563" i="1" s="1"/>
  <c r="C564" i="1" s="1"/>
  <c r="C565" i="1" s="1"/>
  <c r="C566" i="1" s="1"/>
  <c r="C567" i="1" s="1"/>
  <c r="C568" i="1" s="1"/>
  <c r="C569" i="1" s="1"/>
  <c r="C570" i="1" s="1"/>
  <c r="C571" i="1" s="1"/>
  <c r="C572" i="1" s="1"/>
  <c r="C573" i="1" s="1"/>
  <c r="C574" i="1" s="1"/>
  <c r="C575" i="1" s="1"/>
  <c r="C576" i="1" s="1"/>
  <c r="C577" i="1" s="1"/>
  <c r="C578" i="1" s="1"/>
  <c r="C579" i="1" s="1"/>
  <c r="C580" i="1" s="1"/>
  <c r="C581" i="1" s="1"/>
  <c r="C582" i="1" s="1"/>
  <c r="C583" i="1" s="1"/>
  <c r="C584" i="1" s="1"/>
  <c r="C585" i="1" s="1"/>
  <c r="C586" i="1" s="1"/>
  <c r="C587" i="1" s="1"/>
  <c r="C588" i="1" s="1"/>
  <c r="C589" i="1" s="1"/>
  <c r="C590" i="1" s="1"/>
  <c r="C591" i="1" s="1"/>
  <c r="C592" i="1" s="1"/>
  <c r="C593" i="1" s="1"/>
  <c r="C594" i="1" s="1"/>
  <c r="C595" i="1" s="1"/>
  <c r="C596" i="1" s="1"/>
  <c r="B39" i="2" l="1"/>
  <c r="B40" i="2" s="1"/>
  <c r="B41" i="2" s="1"/>
  <c r="B42" i="2" s="1"/>
  <c r="B43" i="2" s="1"/>
  <c r="B44" i="2" s="1"/>
  <c r="B45" i="2" s="1"/>
  <c r="B46" i="2" s="1"/>
  <c r="B47" i="2" s="1"/>
  <c r="B48" i="2" s="1"/>
  <c r="B49" i="2" s="1"/>
  <c r="B50" i="2" s="1"/>
</calcChain>
</file>

<file path=xl/sharedStrings.xml><?xml version="1.0" encoding="utf-8"?>
<sst xmlns="http://schemas.openxmlformats.org/spreadsheetml/2006/main" count="807" uniqueCount="104">
  <si>
    <t>Data Integrity Valid</t>
  </si>
  <si>
    <t>Channel Tag</t>
  </si>
  <si>
    <t>Unit</t>
  </si>
  <si>
    <t>Range</t>
  </si>
  <si>
    <t>P1</t>
  </si>
  <si>
    <t>psi</t>
  </si>
  <si>
    <t>0 - 1500</t>
  </si>
  <si>
    <t>P2</t>
  </si>
  <si>
    <t>I/P C1</t>
  </si>
  <si>
    <t>%</t>
  </si>
  <si>
    <t>0.0 - 100.0</t>
  </si>
  <si>
    <t>I/P D1</t>
  </si>
  <si>
    <t>Test #</t>
  </si>
  <si>
    <t>Date/Time</t>
  </si>
  <si>
    <t>Instant</t>
  </si>
  <si>
    <t>1b</t>
  </si>
  <si>
    <t>2b</t>
  </si>
  <si>
    <t>3b</t>
  </si>
  <si>
    <t>4b</t>
  </si>
  <si>
    <t>5b</t>
  </si>
  <si>
    <t>6b</t>
  </si>
  <si>
    <t>fuel pellet radius</t>
  </si>
  <si>
    <t>fuel pellet height</t>
  </si>
  <si>
    <t>fuel pellet volume</t>
  </si>
  <si>
    <t>fuel cracks volume</t>
  </si>
  <si>
    <t>effective porosity</t>
  </si>
  <si>
    <t>-</t>
  </si>
  <si>
    <t>m3</t>
  </si>
  <si>
    <t>m</t>
  </si>
  <si>
    <t>permeability</t>
  </si>
  <si>
    <t>fluid dynamic  viscosity @25C</t>
  </si>
  <si>
    <t>kg/m*s</t>
  </si>
  <si>
    <t>kg/m3</t>
  </si>
  <si>
    <t>fluid density @25C</t>
  </si>
  <si>
    <t>Time</t>
  </si>
  <si>
    <t>s</t>
  </si>
  <si>
    <t>Pa</t>
  </si>
  <si>
    <t>fuel stack length</t>
  </si>
  <si>
    <t>fuel rod length</t>
  </si>
  <si>
    <t>fuel pellet cross section</t>
  </si>
  <si>
    <t>Parameters</t>
  </si>
  <si>
    <t>m2</t>
  </si>
  <si>
    <t>plenum volume</t>
  </si>
  <si>
    <t>initial plenum pressure</t>
  </si>
  <si>
    <t>atmospheric pressure</t>
  </si>
  <si>
    <t>omega</t>
  </si>
  <si>
    <t>maximum plenum volume</t>
  </si>
  <si>
    <t>minimum plenum volume</t>
  </si>
  <si>
    <t>minimum permeability</t>
  </si>
  <si>
    <t>maximum permeability</t>
  </si>
  <si>
    <t>Experiment 2  - 742538 Pa</t>
  </si>
  <si>
    <t>Delta_P</t>
  </si>
  <si>
    <t>Experiment 1  - 273694 Pa</t>
  </si>
  <si>
    <t>Experiment 3  - 1390645 Pa</t>
  </si>
  <si>
    <t>atm</t>
  </si>
  <si>
    <t>cladding radius</t>
  </si>
  <si>
    <t>effective porosity (due to cracks only)</t>
  </si>
  <si>
    <t>effective porosity (due to cracks + air gap)</t>
  </si>
  <si>
    <t>Experimental Parameters</t>
  </si>
  <si>
    <t>velocity</t>
  </si>
  <si>
    <t>m/s</t>
  </si>
  <si>
    <t>mach number</t>
  </si>
  <si>
    <t>speed of sound @ 25C</t>
  </si>
  <si>
    <t>inlet pressure</t>
  </si>
  <si>
    <t>outlet pressure</t>
  </si>
  <si>
    <t>time</t>
  </si>
  <si>
    <t>inlet-p</t>
  </si>
  <si>
    <t>theoretical</t>
  </si>
  <si>
    <t>N_DOF</t>
  </si>
  <si>
    <t>Pressure_inlet</t>
  </si>
  <si>
    <t>refinement</t>
  </si>
  <si>
    <t>K (m2)</t>
  </si>
  <si>
    <t>darcy coefficient</t>
  </si>
  <si>
    <t>theoretical predictions</t>
  </si>
  <si>
    <t xml:space="preserve"> CFD permeability coefficient</t>
  </si>
  <si>
    <t>CFD permeability coefficient</t>
  </si>
  <si>
    <t>gap-inlet-p</t>
  </si>
  <si>
    <t>pellet-inlet-p</t>
  </si>
  <si>
    <t>time (s)</t>
  </si>
  <si>
    <t>gap-inlet-p (Pa)</t>
  </si>
  <si>
    <t>inlet-p (Pa)</t>
  </si>
  <si>
    <t>pellet-inlet-p (Pa)</t>
  </si>
  <si>
    <t>initial pressure</t>
  </si>
  <si>
    <t>delta_P</t>
  </si>
  <si>
    <t>Experiment 4  - 1011433 Pa</t>
  </si>
  <si>
    <t>Experiment 6  - 1583698 Pa</t>
  </si>
  <si>
    <t>Experiment 5  - 1238960 Pa</t>
  </si>
  <si>
    <t>N_elements</t>
  </si>
  <si>
    <t>epsilon</t>
  </si>
  <si>
    <t>r</t>
  </si>
  <si>
    <t>GCI</t>
  </si>
  <si>
    <t>p</t>
  </si>
  <si>
    <t>h</t>
  </si>
  <si>
    <t>t</t>
  </si>
  <si>
    <t>dt</t>
  </si>
  <si>
    <t>Area</t>
  </si>
  <si>
    <t>coarse</t>
  </si>
  <si>
    <t>medium</t>
  </si>
  <si>
    <t>fine</t>
  </si>
  <si>
    <t>gap thickness</t>
  </si>
  <si>
    <t>gap cross section</t>
  </si>
  <si>
    <t>cladding cross section</t>
  </si>
  <si>
    <t>gap_xs/cladding_xs</t>
  </si>
  <si>
    <t>contraction_friction_factor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</si>
</sst>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hh:mm:ss"/>
    <numFmt numFmtId="165" formatCode="0.0"/>
    <numFmt numFmtId="166" formatCode="0.0%"/>
    <numFmt numFmtId="167" formatCode="0.0000%"/>
  </numFmts>
  <fonts count="12" x14ac:knownFonts="1">
    <font>
      <sz val="11"/>
      <color theme="1"/>
      <name val="Calibri"/>
      <family val="2"/>
      <scheme val="minor"/>
    </font>
    <font>
      <b/>
      <sz val="11"/>
      <color theme="1"/>
      <name val="Calibri"/>
      <family val="2"/>
      <scheme val="minor"/>
    </font>
    <font>
      <b/>
      <sz val="11"/>
      <color rgb="FFFFFFFF"/>
      <name val="Calibri"/>
      <family val="2"/>
      <scheme val="minor"/>
    </font>
    <font>
      <b/>
      <sz val="11"/>
      <color rgb="FFFF00FF"/>
      <name val="Calibri"/>
      <family val="2"/>
      <scheme val="minor"/>
    </font>
    <font>
      <b/>
      <sz val="11"/>
      <color rgb="FFFF0000"/>
      <name val="Calibri"/>
      <family val="2"/>
      <scheme val="minor"/>
    </font>
    <font>
      <b/>
      <sz val="11"/>
      <color rgb="FF000000"/>
      <name val="Calibri"/>
      <family val="2"/>
      <scheme val="minor"/>
    </font>
    <font>
      <b/>
      <sz val="11"/>
      <color rgb="FF008000"/>
      <name val="Calibri"/>
      <family val="2"/>
      <scheme val="minor"/>
    </font>
    <font>
      <u/>
      <sz val="11"/>
      <color theme="10"/>
      <name val="Calibri"/>
      <family val="2"/>
      <scheme val="minor"/>
    </font>
    <font>
      <sz val="11"/>
      <color rgb="FF000000"/>
      <name val="Calibri"/>
      <family val="2"/>
      <scheme val="minor"/>
    </font>
    <font>
      <b/>
      <sz val="11"/>
      <color rgb="FF00B050"/>
      <name val="Calibri"/>
      <family val="2"/>
      <scheme val="minor"/>
    </font>
    <font>
      <sz val="11"/>
      <color theme="1"/>
      <name val="Calibri"/>
      <family val="2"/>
      <scheme val="minor"/>
    </font>
    <font>
      <sz val="14"/>
      <color theme="1"/>
      <name val="Apple Color Emoji"/>
    </font>
  </fonts>
  <fills count="23">
    <fill>
      <patternFill patternType="none"/>
    </fill>
    <fill>
      <patternFill patternType="gray125"/>
    </fill>
    <fill>
      <patternFill patternType="solid">
        <fgColor rgb="FF00008B"/>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7"/>
        <bgColor indexed="64"/>
      </patternFill>
    </fill>
    <fill>
      <patternFill patternType="solid">
        <fgColor theme="8" tint="0.39997558519241921"/>
        <bgColor indexed="64"/>
      </patternFill>
    </fill>
    <fill>
      <patternFill patternType="solid">
        <fgColor theme="8" tint="0.39997558519241921"/>
        <bgColor rgb="FF000000"/>
      </patternFill>
    </fill>
    <fill>
      <patternFill patternType="solid">
        <fgColor rgb="FFECB7EE"/>
        <bgColor indexed="64"/>
      </patternFill>
    </fill>
    <fill>
      <patternFill patternType="solid">
        <fgColor rgb="FFEAE57D"/>
        <bgColor indexed="64"/>
      </patternFill>
    </fill>
    <fill>
      <patternFill patternType="solid">
        <fgColor rgb="FF8BE6E9"/>
        <bgColor indexed="64"/>
      </patternFill>
    </fill>
    <fill>
      <patternFill patternType="solid">
        <fgColor theme="8"/>
        <bgColor indexed="64"/>
      </patternFill>
    </fill>
    <fill>
      <patternFill patternType="solid">
        <fgColor theme="8"/>
        <bgColor rgb="FF000000"/>
      </patternFill>
    </fill>
    <fill>
      <patternFill patternType="solid">
        <fgColor rgb="FFFF0000"/>
        <bgColor indexed="64"/>
      </patternFill>
    </fill>
    <fill>
      <patternFill patternType="solid">
        <fgColor rgb="FFFF0000"/>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8BE6E9"/>
        <bgColor rgb="FF000000"/>
      </patternFill>
    </fill>
    <fill>
      <patternFill patternType="solid">
        <fgColor rgb="FFFFFF00"/>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3">
    <xf numFmtId="0" fontId="0" fillId="0" borderId="0"/>
    <xf numFmtId="0" fontId="7" fillId="0" borderId="0" applyNumberFormat="0" applyFill="0" applyBorder="0" applyAlignment="0" applyProtection="0"/>
    <xf numFmtId="9" fontId="10" fillId="0" borderId="0" applyFont="0" applyFill="0" applyBorder="0" applyAlignment="0" applyProtection="0"/>
  </cellStyleXfs>
  <cellXfs count="136">
    <xf numFmtId="0" fontId="0" fillId="0" borderId="0" xfId="0"/>
    <xf numFmtId="0" fontId="0" fillId="0" borderId="0" xfId="0" applyAlignment="1">
      <alignment horizontal="center" vertical="center"/>
    </xf>
    <xf numFmtId="165" fontId="0" fillId="0" borderId="0" xfId="0" applyNumberFormat="1" applyAlignment="1">
      <alignment horizontal="center" vertical="center"/>
    </xf>
    <xf numFmtId="1" fontId="1" fillId="0" borderId="0" xfId="0" applyNumberFormat="1" applyFont="1" applyAlignment="1">
      <alignment horizontal="center" vertical="center"/>
    </xf>
    <xf numFmtId="165" fontId="1" fillId="0" borderId="0" xfId="0" applyNumberFormat="1" applyFont="1" applyAlignment="1">
      <alignment horizontal="center" vertical="center"/>
    </xf>
    <xf numFmtId="1" fontId="0" fillId="0" borderId="0" xfId="0" applyNumberFormat="1" applyAlignment="1">
      <alignment horizontal="center" vertical="center"/>
    </xf>
    <xf numFmtId="165" fontId="5" fillId="0" borderId="0" xfId="0" applyNumberFormat="1" applyFont="1" applyAlignment="1">
      <alignment horizontal="center" vertical="center"/>
    </xf>
    <xf numFmtId="165" fontId="6" fillId="0" borderId="0" xfId="0" applyNumberFormat="1" applyFont="1" applyAlignment="1">
      <alignment horizontal="center" vertical="center"/>
    </xf>
    <xf numFmtId="164" fontId="0" fillId="0" borderId="0" xfId="0" applyNumberFormat="1" applyAlignment="1">
      <alignment horizontal="center" vertical="center"/>
    </xf>
    <xf numFmtId="1" fontId="0" fillId="3" borderId="1" xfId="0" applyNumberFormat="1" applyFill="1" applyBorder="1" applyAlignment="1">
      <alignment horizontal="center" vertical="center"/>
    </xf>
    <xf numFmtId="1" fontId="0" fillId="4" borderId="1" xfId="0" applyNumberFormat="1" applyFill="1" applyBorder="1" applyAlignment="1">
      <alignment horizontal="center" vertical="center"/>
    </xf>
    <xf numFmtId="1" fontId="0" fillId="0" borderId="1" xfId="0" applyNumberFormat="1" applyBorder="1" applyAlignment="1">
      <alignment horizontal="center" vertical="center"/>
    </xf>
    <xf numFmtId="0" fontId="0" fillId="0" borderId="0" xfId="0" applyAlignment="1">
      <alignment horizontal="center"/>
    </xf>
    <xf numFmtId="1" fontId="0" fillId="5" borderId="1" xfId="0" applyNumberFormat="1" applyFill="1" applyBorder="1" applyAlignment="1">
      <alignment horizontal="center" vertical="center"/>
    </xf>
    <xf numFmtId="1" fontId="3"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7" fillId="0" borderId="0" xfId="1" applyBorder="1" applyAlignment="1">
      <alignment vertical="center" wrapText="1"/>
    </xf>
    <xf numFmtId="0" fontId="0" fillId="6" borderId="1" xfId="0" applyFill="1" applyBorder="1" applyAlignment="1">
      <alignment horizontal="center" vertical="center"/>
    </xf>
    <xf numFmtId="1" fontId="0" fillId="6" borderId="1" xfId="0" applyNumberFormat="1" applyFill="1" applyBorder="1" applyAlignment="1">
      <alignment horizontal="center" vertical="center"/>
    </xf>
    <xf numFmtId="0" fontId="1" fillId="5" borderId="6" xfId="0" applyFont="1" applyFill="1" applyBorder="1" applyAlignment="1">
      <alignment horizontal="center" vertical="center"/>
    </xf>
    <xf numFmtId="0" fontId="0" fillId="7" borderId="7" xfId="0" applyFill="1" applyBorder="1" applyAlignment="1">
      <alignment horizontal="center" vertical="center"/>
    </xf>
    <xf numFmtId="0" fontId="1" fillId="5" borderId="10" xfId="0" applyFont="1" applyFill="1" applyBorder="1" applyAlignment="1">
      <alignment horizontal="center" vertical="center"/>
    </xf>
    <xf numFmtId="0" fontId="0" fillId="6" borderId="3" xfId="0" applyFill="1" applyBorder="1" applyAlignment="1">
      <alignment horizontal="center" vertical="center"/>
    </xf>
    <xf numFmtId="0" fontId="0" fillId="7" borderId="11" xfId="0" applyFill="1" applyBorder="1" applyAlignment="1">
      <alignment horizontal="center" vertical="center"/>
    </xf>
    <xf numFmtId="0" fontId="1" fillId="5" borderId="12" xfId="0" applyFont="1" applyFill="1" applyBorder="1" applyAlignment="1">
      <alignment horizontal="center" vertical="center"/>
    </xf>
    <xf numFmtId="0" fontId="0" fillId="6" borderId="4" xfId="0" applyFill="1" applyBorder="1" applyAlignment="1">
      <alignment horizontal="center" vertical="center"/>
    </xf>
    <xf numFmtId="0" fontId="0" fillId="7" borderId="13" xfId="0" applyFill="1" applyBorder="1" applyAlignment="1">
      <alignment horizontal="center" vertical="center"/>
    </xf>
    <xf numFmtId="1" fontId="0" fillId="0" borderId="0" xfId="0" applyNumberFormat="1"/>
    <xf numFmtId="0" fontId="0" fillId="7" borderId="17" xfId="0" applyFill="1" applyBorder="1" applyAlignment="1">
      <alignment horizontal="center" vertical="center"/>
    </xf>
    <xf numFmtId="0" fontId="0" fillId="0" borderId="1" xfId="0" applyBorder="1" applyAlignment="1">
      <alignment horizontal="center"/>
    </xf>
    <xf numFmtId="1" fontId="8" fillId="10" borderId="1" xfId="0" applyNumberFormat="1" applyFont="1" applyFill="1" applyBorder="1" applyAlignment="1">
      <alignment horizontal="center" vertical="center"/>
    </xf>
    <xf numFmtId="1" fontId="9" fillId="0" borderId="1" xfId="0" applyNumberFormat="1" applyFont="1" applyBorder="1" applyAlignment="1">
      <alignment horizontal="center" vertical="center"/>
    </xf>
    <xf numFmtId="1" fontId="0" fillId="4" borderId="1" xfId="0" applyNumberFormat="1" applyFill="1" applyBorder="1" applyAlignment="1">
      <alignment horizontal="center"/>
    </xf>
    <xf numFmtId="0" fontId="0" fillId="0" borderId="9" xfId="0" applyBorder="1" applyAlignment="1">
      <alignment horizontal="center"/>
    </xf>
    <xf numFmtId="0" fontId="0" fillId="7" borderId="20" xfId="0" applyFill="1" applyBorder="1" applyAlignment="1">
      <alignment horizontal="center" vertical="center"/>
    </xf>
    <xf numFmtId="1" fontId="0" fillId="5" borderId="1" xfId="0" applyNumberFormat="1" applyFill="1" applyBorder="1" applyAlignment="1">
      <alignment horizontal="center"/>
    </xf>
    <xf numFmtId="1" fontId="0" fillId="11" borderId="1" xfId="0" applyNumberFormat="1" applyFill="1" applyBorder="1" applyAlignment="1">
      <alignment horizontal="center" vertical="center"/>
    </xf>
    <xf numFmtId="1" fontId="0" fillId="11" borderId="1" xfId="0" applyNumberFormat="1" applyFill="1" applyBorder="1" applyAlignment="1">
      <alignment horizontal="center"/>
    </xf>
    <xf numFmtId="0" fontId="1" fillId="11" borderId="12"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10" xfId="0" applyFont="1" applyFill="1" applyBorder="1" applyAlignment="1">
      <alignment horizontal="center" vertical="center"/>
    </xf>
    <xf numFmtId="0" fontId="1" fillId="11" borderId="8" xfId="0" applyFont="1" applyFill="1" applyBorder="1" applyAlignment="1">
      <alignment horizontal="center" vertical="center"/>
    </xf>
    <xf numFmtId="1" fontId="0" fillId="13" borderId="1" xfId="0" applyNumberFormat="1" applyFill="1" applyBorder="1" applyAlignment="1">
      <alignment horizontal="center" vertical="center"/>
    </xf>
    <xf numFmtId="0" fontId="1" fillId="13" borderId="12"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10" xfId="0" applyFont="1" applyFill="1" applyBorder="1" applyAlignment="1">
      <alignment horizontal="center" vertical="center"/>
    </xf>
    <xf numFmtId="0" fontId="1" fillId="13" borderId="8" xfId="0" applyFont="1" applyFill="1" applyBorder="1" applyAlignment="1">
      <alignment horizontal="center" vertical="center"/>
    </xf>
    <xf numFmtId="0" fontId="0" fillId="13" borderId="1" xfId="0" applyFill="1" applyBorder="1" applyAlignment="1">
      <alignment horizontal="center" vertical="center"/>
    </xf>
    <xf numFmtId="0" fontId="1" fillId="13" borderId="24" xfId="0" applyFont="1" applyFill="1" applyBorder="1" applyAlignment="1">
      <alignment horizontal="center" vertical="center"/>
    </xf>
    <xf numFmtId="0" fontId="0" fillId="7" borderId="1" xfId="0" applyFill="1" applyBorder="1" applyAlignment="1">
      <alignment horizontal="center" vertical="center"/>
    </xf>
    <xf numFmtId="11" fontId="0" fillId="0" borderId="0" xfId="0" applyNumberFormat="1"/>
    <xf numFmtId="11" fontId="0" fillId="0" borderId="1" xfId="0" applyNumberFormat="1" applyBorder="1" applyAlignment="1">
      <alignment horizontal="center"/>
    </xf>
    <xf numFmtId="0" fontId="0" fillId="11" borderId="1" xfId="0" applyFill="1" applyBorder="1" applyAlignment="1">
      <alignment horizontal="center"/>
    </xf>
    <xf numFmtId="0" fontId="0" fillId="0" borderId="1" xfId="0" applyBorder="1" applyAlignment="1">
      <alignment horizontal="center" vertical="center"/>
    </xf>
    <xf numFmtId="1" fontId="0" fillId="3" borderId="1" xfId="0" applyNumberFormat="1" applyFill="1" applyBorder="1" applyAlignment="1">
      <alignment vertical="center"/>
    </xf>
    <xf numFmtId="1" fontId="0" fillId="14" borderId="1" xfId="0" applyNumberFormat="1" applyFill="1" applyBorder="1" applyAlignment="1">
      <alignment horizontal="center" vertical="center"/>
    </xf>
    <xf numFmtId="1" fontId="8" fillId="15" borderId="5" xfId="0" applyNumberFormat="1" applyFont="1" applyFill="1" applyBorder="1" applyAlignment="1">
      <alignment horizontal="center" vertical="center"/>
    </xf>
    <xf numFmtId="1" fontId="8" fillId="15" borderId="18" xfId="0" applyNumberFormat="1" applyFont="1" applyFill="1" applyBorder="1" applyAlignment="1">
      <alignment horizontal="center" vertical="center"/>
    </xf>
    <xf numFmtId="1" fontId="0" fillId="3" borderId="1" xfId="0" applyNumberFormat="1" applyFill="1" applyBorder="1" applyAlignment="1">
      <alignment horizontal="center"/>
    </xf>
    <xf numFmtId="1" fontId="0" fillId="16" borderId="1" xfId="0" applyNumberFormat="1" applyFill="1" applyBorder="1" applyAlignment="1">
      <alignment horizontal="center" vertical="center"/>
    </xf>
    <xf numFmtId="1" fontId="8" fillId="17" borderId="5" xfId="0" applyNumberFormat="1" applyFont="1" applyFill="1" applyBorder="1" applyAlignment="1">
      <alignment horizontal="center" vertical="center"/>
    </xf>
    <xf numFmtId="1" fontId="0" fillId="0" borderId="1" xfId="0" applyNumberFormat="1" applyBorder="1" applyAlignment="1">
      <alignment vertical="center"/>
    </xf>
    <xf numFmtId="1" fontId="3" fillId="0" borderId="1" xfId="0" applyNumberFormat="1" applyFont="1" applyBorder="1" applyAlignment="1">
      <alignment vertical="center"/>
    </xf>
    <xf numFmtId="1" fontId="1" fillId="0" borderId="1" xfId="0" applyNumberFormat="1" applyFont="1" applyBorder="1" applyAlignment="1">
      <alignment vertical="center"/>
    </xf>
    <xf numFmtId="1" fontId="8" fillId="15" borderId="5" xfId="0" applyNumberFormat="1" applyFont="1" applyFill="1" applyBorder="1" applyAlignment="1">
      <alignment vertical="center"/>
    </xf>
    <xf numFmtId="1" fontId="8" fillId="15" borderId="18" xfId="0" applyNumberFormat="1" applyFont="1" applyFill="1" applyBorder="1" applyAlignment="1">
      <alignment vertical="center"/>
    </xf>
    <xf numFmtId="0" fontId="11" fillId="0" borderId="0" xfId="0" applyFont="1"/>
    <xf numFmtId="0" fontId="11" fillId="0" borderId="0" xfId="0" applyFont="1" applyAlignment="1">
      <alignment horizontal="center"/>
    </xf>
    <xf numFmtId="9" fontId="0" fillId="0" borderId="1" xfId="2" applyFont="1" applyBorder="1" applyAlignment="1">
      <alignment horizontal="center"/>
    </xf>
    <xf numFmtId="166" fontId="0" fillId="0" borderId="1" xfId="2" applyNumberFormat="1" applyFont="1" applyBorder="1" applyAlignment="1">
      <alignment horizontal="center"/>
    </xf>
    <xf numFmtId="0" fontId="0" fillId="0" borderId="3" xfId="0" applyBorder="1" applyAlignment="1">
      <alignment horizontal="center"/>
    </xf>
    <xf numFmtId="1" fontId="0" fillId="4" borderId="25" xfId="0" applyNumberFormat="1" applyFill="1" applyBorder="1" applyAlignment="1">
      <alignment horizontal="center" vertical="center"/>
    </xf>
    <xf numFmtId="0" fontId="0" fillId="0" borderId="26" xfId="0" applyBorder="1" applyAlignment="1">
      <alignment horizontal="center"/>
    </xf>
    <xf numFmtId="1" fontId="0" fillId="0" borderId="3" xfId="0" applyNumberFormat="1" applyBorder="1" applyAlignment="1">
      <alignment horizontal="center" vertical="center"/>
    </xf>
    <xf numFmtId="1" fontId="0" fillId="0" borderId="4" xfId="0" applyNumberFormat="1" applyBorder="1" applyAlignment="1">
      <alignment horizontal="center" vertical="center"/>
    </xf>
    <xf numFmtId="164" fontId="0" fillId="0" borderId="1" xfId="0" applyNumberFormat="1" applyBorder="1" applyAlignment="1">
      <alignment horizontal="center" vertical="center"/>
    </xf>
    <xf numFmtId="0" fontId="0" fillId="14" borderId="1" xfId="0" applyFill="1" applyBorder="1" applyAlignment="1">
      <alignment horizontal="center" vertical="center"/>
    </xf>
    <xf numFmtId="164" fontId="0" fillId="14" borderId="1" xfId="0" applyNumberFormat="1" applyFill="1" applyBorder="1" applyAlignment="1">
      <alignment horizontal="center" vertical="center"/>
    </xf>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1" fontId="0" fillId="18" borderId="1" xfId="0" applyNumberFormat="1" applyFill="1" applyBorder="1" applyAlignment="1">
      <alignment horizontal="center" vertical="center"/>
    </xf>
    <xf numFmtId="0" fontId="0" fillId="19" borderId="1" xfId="0" applyFill="1" applyBorder="1" applyAlignment="1">
      <alignment horizontal="center" vertical="center"/>
    </xf>
    <xf numFmtId="164" fontId="0" fillId="19" borderId="1" xfId="0" applyNumberFormat="1" applyFill="1" applyBorder="1" applyAlignment="1">
      <alignment horizontal="center" vertical="center"/>
    </xf>
    <xf numFmtId="1" fontId="0" fillId="19" borderId="1" xfId="0" applyNumberFormat="1" applyFill="1" applyBorder="1" applyAlignment="1">
      <alignment horizontal="center" vertical="center"/>
    </xf>
    <xf numFmtId="0" fontId="0" fillId="11" borderId="1" xfId="0" applyFill="1" applyBorder="1" applyAlignment="1">
      <alignment horizontal="center" vertical="center"/>
    </xf>
    <xf numFmtId="164" fontId="0" fillId="11" borderId="1" xfId="0" applyNumberFormat="1" applyFill="1" applyBorder="1" applyAlignment="1">
      <alignment horizontal="center" vertical="center"/>
    </xf>
    <xf numFmtId="1" fontId="0" fillId="20" borderId="1" xfId="0" applyNumberFormat="1" applyFill="1" applyBorder="1" applyAlignment="1">
      <alignment horizontal="center" vertical="center"/>
    </xf>
    <xf numFmtId="0" fontId="0" fillId="20" borderId="1" xfId="0" applyFill="1" applyBorder="1" applyAlignment="1">
      <alignment horizontal="center" vertical="center"/>
    </xf>
    <xf numFmtId="164" fontId="0" fillId="20" borderId="1" xfId="0" applyNumberFormat="1" applyFill="1" applyBorder="1" applyAlignment="1">
      <alignment horizontal="center" vertical="center"/>
    </xf>
    <xf numFmtId="164" fontId="0" fillId="13" borderId="1" xfId="0" applyNumberFormat="1" applyFill="1" applyBorder="1" applyAlignment="1">
      <alignment horizontal="center" vertical="center"/>
    </xf>
    <xf numFmtId="0" fontId="1" fillId="5" borderId="1" xfId="0" applyFont="1" applyFill="1" applyBorder="1" applyAlignment="1">
      <alignment horizontal="center" vertical="center"/>
    </xf>
    <xf numFmtId="0" fontId="1" fillId="20" borderId="12" xfId="0" applyFont="1" applyFill="1" applyBorder="1" applyAlignment="1">
      <alignment horizontal="center" vertical="center"/>
    </xf>
    <xf numFmtId="0" fontId="1" fillId="20" borderId="6" xfId="0" applyFont="1" applyFill="1" applyBorder="1" applyAlignment="1">
      <alignment horizontal="center" vertical="center"/>
    </xf>
    <xf numFmtId="0" fontId="1" fillId="20" borderId="24" xfId="0" applyFont="1" applyFill="1" applyBorder="1" applyAlignment="1">
      <alignment horizontal="center" vertical="center"/>
    </xf>
    <xf numFmtId="0" fontId="1" fillId="20" borderId="10" xfId="0" applyFont="1" applyFill="1" applyBorder="1" applyAlignment="1">
      <alignment horizontal="center" vertical="center"/>
    </xf>
    <xf numFmtId="0" fontId="1" fillId="20" borderId="8" xfId="0" applyFont="1" applyFill="1" applyBorder="1" applyAlignment="1">
      <alignment horizontal="center" vertical="center"/>
    </xf>
    <xf numFmtId="1" fontId="8" fillId="21" borderId="4" xfId="0" applyNumberFormat="1" applyFont="1" applyFill="1" applyBorder="1" applyAlignment="1">
      <alignment horizontal="center" vertical="center"/>
    </xf>
    <xf numFmtId="1" fontId="8" fillId="21" borderId="18" xfId="0" applyNumberFormat="1" applyFont="1" applyFill="1" applyBorder="1" applyAlignment="1">
      <alignment horizontal="center" vertical="center"/>
    </xf>
    <xf numFmtId="1" fontId="8" fillId="22" borderId="1" xfId="0" applyNumberFormat="1" applyFont="1" applyFill="1" applyBorder="1" applyAlignment="1">
      <alignment horizontal="center" vertical="center"/>
    </xf>
    <xf numFmtId="1" fontId="8" fillId="22" borderId="5" xfId="0" applyNumberFormat="1" applyFont="1" applyFill="1" applyBorder="1" applyAlignment="1">
      <alignment horizontal="center" vertical="center"/>
    </xf>
    <xf numFmtId="1" fontId="8" fillId="22" borderId="4" xfId="0" applyNumberFormat="1" applyFont="1" applyFill="1" applyBorder="1" applyAlignment="1">
      <alignment horizontal="center" vertical="center"/>
    </xf>
    <xf numFmtId="1" fontId="8" fillId="22" borderId="18" xfId="0" applyNumberFormat="1" applyFont="1" applyFill="1" applyBorder="1" applyAlignment="1">
      <alignment horizontal="center" vertical="center"/>
    </xf>
    <xf numFmtId="0" fontId="0" fillId="0" borderId="1" xfId="2" applyNumberFormat="1" applyFont="1" applyBorder="1" applyAlignment="1">
      <alignment horizontal="center"/>
    </xf>
    <xf numFmtId="10" fontId="0" fillId="0" borderId="1" xfId="0" applyNumberFormat="1" applyBorder="1" applyAlignment="1">
      <alignment horizontal="center"/>
    </xf>
    <xf numFmtId="167" fontId="0" fillId="0" borderId="1" xfId="2" applyNumberFormat="1" applyFont="1" applyBorder="1" applyAlignment="1">
      <alignment horizontal="center"/>
    </xf>
    <xf numFmtId="11" fontId="0" fillId="11" borderId="1" xfId="0" applyNumberFormat="1" applyFill="1" applyBorder="1" applyAlignment="1">
      <alignment horizontal="center"/>
    </xf>
    <xf numFmtId="0" fontId="8" fillId="10" borderId="1" xfId="0" applyFont="1" applyFill="1" applyBorder="1" applyAlignment="1">
      <alignment horizontal="center" vertical="center"/>
    </xf>
    <xf numFmtId="1" fontId="8" fillId="10" borderId="25" xfId="0" applyNumberFormat="1" applyFont="1" applyFill="1" applyBorder="1" applyAlignment="1">
      <alignment horizontal="center" vertical="center"/>
    </xf>
    <xf numFmtId="0" fontId="0" fillId="7" borderId="25" xfId="0"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0" fillId="0" borderId="1" xfId="0" applyBorder="1" applyAlignment="1">
      <alignment horizontal="center" vertical="center"/>
    </xf>
    <xf numFmtId="164" fontId="1" fillId="0" borderId="1" xfId="0" applyNumberFormat="1" applyFont="1" applyBorder="1" applyAlignment="1">
      <alignment horizontal="center" vertical="center"/>
    </xf>
    <xf numFmtId="1" fontId="0" fillId="0" borderId="1" xfId="0" applyNumberFormat="1" applyBorder="1" applyAlignment="1">
      <alignment horizontal="center" vertical="center"/>
    </xf>
    <xf numFmtId="0" fontId="0" fillId="0" borderId="0" xfId="0" applyAlignment="1">
      <alignment horizontal="center" vertical="center"/>
    </xf>
    <xf numFmtId="0" fontId="2" fillId="2" borderId="0" xfId="0" applyFont="1" applyFill="1" applyAlignment="1">
      <alignment horizontal="center" vertical="center"/>
    </xf>
    <xf numFmtId="0" fontId="1" fillId="0" borderId="0" xfId="0" applyFont="1" applyAlignment="1">
      <alignment horizontal="center" vertical="center"/>
    </xf>
    <xf numFmtId="1" fontId="0" fillId="0" borderId="1" xfId="0" applyNumberFormat="1" applyBorder="1" applyAlignment="1">
      <alignment vertical="center"/>
    </xf>
    <xf numFmtId="0" fontId="0" fillId="9" borderId="19" xfId="0" applyFill="1" applyBorder="1" applyAlignment="1">
      <alignment horizontal="center"/>
    </xf>
    <xf numFmtId="0" fontId="0" fillId="9" borderId="2" xfId="0" applyFill="1"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0" fontId="0" fillId="8" borderId="19" xfId="0" applyFill="1" applyBorder="1" applyAlignment="1">
      <alignment horizontal="center"/>
    </xf>
    <xf numFmtId="0" fontId="0" fillId="8" borderId="2" xfId="0" applyFill="1" applyBorder="1" applyAlignment="1">
      <alignment horizont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1" fontId="0" fillId="4" borderId="3" xfId="0" applyNumberFormat="1" applyFill="1" applyBorder="1" applyAlignment="1">
      <alignment horizontal="center" vertical="center"/>
    </xf>
    <xf numFmtId="1" fontId="0" fillId="4" borderId="4" xfId="0" applyNumberFormat="1" applyFill="1" applyBorder="1" applyAlignment="1">
      <alignment horizontal="center" vertical="center"/>
    </xf>
    <xf numFmtId="0" fontId="0" fillId="5" borderId="1" xfId="0" applyFill="1" applyBorder="1" applyAlignment="1">
      <alignment horizontal="center"/>
    </xf>
    <xf numFmtId="0" fontId="0" fillId="11" borderId="1" xfId="0"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ECB7EE"/>
      <color rgb="FFEAE57D"/>
      <color rgb="FF8BE6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delta_P(t)</a:t>
            </a:r>
          </a:p>
        </c:rich>
      </c:tx>
      <c:layout>
        <c:manualLayout>
          <c:xMode val="edge"/>
          <c:yMode val="edge"/>
          <c:x val="0.46578845447162481"/>
          <c:y val="2.796021778956444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74197111920956"/>
          <c:y val="0.10950435249647848"/>
          <c:w val="0.87550110916603474"/>
          <c:h val="0.78865721517974163"/>
        </c:manualLayout>
      </c:layout>
      <c:scatterChart>
        <c:scatterStyle val="lineMarker"/>
        <c:varyColors val="0"/>
        <c:ser>
          <c:idx val="3"/>
          <c:order val="0"/>
          <c:spPr>
            <a:ln w="1905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exp"/>
            <c:dispRSqr val="1"/>
            <c:dispEq val="1"/>
            <c:trendlineLbl>
              <c:layout>
                <c:manualLayout>
                  <c:x val="-0.21770749517691199"/>
                  <c:y val="-0.44240861784168872"/>
                </c:manualLayout>
              </c:layout>
              <c:numFmt formatCode="0.00000E+00"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Sheet1!$C$164:$C$174</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xVal>
          <c:yVal>
            <c:numRef>
              <c:f>Sheet1!$F$164:$F$174</c:f>
              <c:numCache>
                <c:formatCode>0</c:formatCode>
                <c:ptCount val="11"/>
                <c:pt idx="0">
                  <c:v>742537.68</c:v>
                </c:pt>
                <c:pt idx="1">
                  <c:v>604642.48</c:v>
                </c:pt>
                <c:pt idx="2">
                  <c:v>515010.60000000003</c:v>
                </c:pt>
                <c:pt idx="3">
                  <c:v>439168.24</c:v>
                </c:pt>
                <c:pt idx="4">
                  <c:v>377115.4</c:v>
                </c:pt>
                <c:pt idx="5">
                  <c:v>321957.32</c:v>
                </c:pt>
                <c:pt idx="6">
                  <c:v>280588.76</c:v>
                </c:pt>
                <c:pt idx="7">
                  <c:v>246114.96</c:v>
                </c:pt>
                <c:pt idx="8">
                  <c:v>218535.91999999998</c:v>
                </c:pt>
                <c:pt idx="9">
                  <c:v>197851.64</c:v>
                </c:pt>
                <c:pt idx="10">
                  <c:v>177167.35999999999</c:v>
                </c:pt>
              </c:numCache>
            </c:numRef>
          </c:yVal>
          <c:smooth val="0"/>
          <c:extLst>
            <c:ext xmlns:c16="http://schemas.microsoft.com/office/drawing/2014/chart" uri="{C3380CC4-5D6E-409C-BE32-E72D297353CC}">
              <c16:uniqueId val="{00000001-C221-8445-9B79-5B371A67F28F}"/>
            </c:ext>
          </c:extLst>
        </c:ser>
        <c:dLbls>
          <c:showLegendKey val="0"/>
          <c:showVal val="0"/>
          <c:showCatName val="0"/>
          <c:showSerName val="0"/>
          <c:showPercent val="0"/>
          <c:showBubbleSize val="0"/>
        </c:dLbls>
        <c:axId val="142669184"/>
        <c:axId val="142670832"/>
      </c:scatterChart>
      <c:valAx>
        <c:axId val="14266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70832"/>
        <c:crosses val="autoZero"/>
        <c:crossBetween val="midCat"/>
      </c:valAx>
      <c:valAx>
        <c:axId val="142670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69184"/>
        <c:crosses val="autoZero"/>
        <c:crossBetween val="midCat"/>
      </c:valAx>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baseline="0"/>
              <a:t>inlet pressure</a:t>
            </a:r>
          </a:p>
        </c:rich>
      </c:tx>
      <c:layout>
        <c:manualLayout>
          <c:xMode val="edge"/>
          <c:yMode val="edge"/>
          <c:x val="0.46578845447162481"/>
          <c:y val="2.7960217789564441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496445183961937"/>
          <c:y val="0.11032862515896853"/>
          <c:w val="0.75671302241289673"/>
          <c:h val="0.75845198473902098"/>
        </c:manualLayout>
      </c:layout>
      <c:scatterChart>
        <c:scatterStyle val="lineMarker"/>
        <c:varyColors val="0"/>
        <c:ser>
          <c:idx val="0"/>
          <c:order val="0"/>
          <c:tx>
            <c:v>experiment 1</c:v>
          </c:tx>
          <c:spPr>
            <a:ln w="25400" cap="rnd">
              <a:noFill/>
              <a:round/>
            </a:ln>
            <a:effectLst/>
          </c:spPr>
          <c:marker>
            <c:symbol val="circle"/>
            <c:size val="5"/>
            <c:spPr>
              <a:solidFill>
                <a:schemeClr val="accent1"/>
              </a:solidFill>
              <a:ln w="9525">
                <a:solidFill>
                  <a:schemeClr val="accent1"/>
                </a:solidFill>
              </a:ln>
              <a:effectLst/>
            </c:spPr>
          </c:marker>
          <c:xVal>
            <c:numRef>
              <c:f>'Experiment 1'!$B$6:$B$34</c:f>
              <c:numCache>
                <c:formatCode>0</c:formatCode>
                <c:ptCount val="2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numCache>
            </c:numRef>
          </c:xVal>
          <c:yVal>
            <c:numRef>
              <c:f>'Experiment 1'!$E$6:$E$34</c:f>
              <c:numCache>
                <c:formatCode>0</c:formatCode>
                <c:ptCount val="29"/>
                <c:pt idx="0">
                  <c:v>4293339.08</c:v>
                </c:pt>
                <c:pt idx="1">
                  <c:v>4196812.4399999995</c:v>
                </c:pt>
                <c:pt idx="2">
                  <c:v>3203967</c:v>
                </c:pt>
                <c:pt idx="3">
                  <c:v>2328332.48</c:v>
                </c:pt>
                <c:pt idx="4">
                  <c:v>1687119.8</c:v>
                </c:pt>
                <c:pt idx="5">
                  <c:v>1238960.4000000001</c:v>
                </c:pt>
                <c:pt idx="6">
                  <c:v>914906.68</c:v>
                </c:pt>
                <c:pt idx="7">
                  <c:v>701169.12</c:v>
                </c:pt>
                <c:pt idx="8">
                  <c:v>521905.36</c:v>
                </c:pt>
                <c:pt idx="9">
                  <c:v>432273.48</c:v>
                </c:pt>
                <c:pt idx="10">
                  <c:v>342641.6</c:v>
                </c:pt>
                <c:pt idx="11">
                  <c:v>273700</c:v>
                </c:pt>
                <c:pt idx="12">
                  <c:v>218540</c:v>
                </c:pt>
                <c:pt idx="13">
                  <c:v>184065</c:v>
                </c:pt>
                <c:pt idx="14">
                  <c:v>156485</c:v>
                </c:pt>
                <c:pt idx="15">
                  <c:v>142695</c:v>
                </c:pt>
                <c:pt idx="16">
                  <c:v>128905</c:v>
                </c:pt>
                <c:pt idx="17">
                  <c:v>122010</c:v>
                </c:pt>
                <c:pt idx="18">
                  <c:v>122010</c:v>
                </c:pt>
                <c:pt idx="19">
                  <c:v>115115</c:v>
                </c:pt>
                <c:pt idx="20">
                  <c:v>115115</c:v>
                </c:pt>
                <c:pt idx="21">
                  <c:v>108220</c:v>
                </c:pt>
                <c:pt idx="22">
                  <c:v>108220</c:v>
                </c:pt>
                <c:pt idx="23">
                  <c:v>108220</c:v>
                </c:pt>
                <c:pt idx="24">
                  <c:v>108220</c:v>
                </c:pt>
                <c:pt idx="25">
                  <c:v>108220</c:v>
                </c:pt>
                <c:pt idx="26">
                  <c:v>108220</c:v>
                </c:pt>
                <c:pt idx="27">
                  <c:v>101325</c:v>
                </c:pt>
                <c:pt idx="28">
                  <c:v>101325</c:v>
                </c:pt>
              </c:numCache>
            </c:numRef>
          </c:yVal>
          <c:smooth val="0"/>
          <c:extLst>
            <c:ext xmlns:c16="http://schemas.microsoft.com/office/drawing/2014/chart" uri="{C3380CC4-5D6E-409C-BE32-E72D297353CC}">
              <c16:uniqueId val="{00000002-E371-0448-A892-FFAE2A206D53}"/>
            </c:ext>
          </c:extLst>
        </c:ser>
        <c:ser>
          <c:idx val="1"/>
          <c:order val="1"/>
          <c:tx>
            <c:v>experiment 2</c:v>
          </c:tx>
          <c:spPr>
            <a:ln w="25400" cap="rnd">
              <a:noFill/>
              <a:round/>
            </a:ln>
            <a:effectLst/>
          </c:spPr>
          <c:marker>
            <c:symbol val="circle"/>
            <c:size val="5"/>
            <c:spPr>
              <a:solidFill>
                <a:schemeClr val="accent2"/>
              </a:solidFill>
              <a:ln w="9525">
                <a:solidFill>
                  <a:schemeClr val="accent2"/>
                </a:solidFill>
              </a:ln>
              <a:effectLst/>
            </c:spPr>
          </c:marker>
          <c:xVal>
            <c:numRef>
              <c:f>'Experiment 2'!$B$6:$B$50</c:f>
              <c:numCache>
                <c:formatCode>0</c:formatCod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numCache>
            </c:numRef>
          </c:xVal>
          <c:yVal>
            <c:numRef>
              <c:f>'Experiment 2'!$E$6:$E$50</c:f>
              <c:numCache>
                <c:formatCode>0</c:formatCode>
                <c:ptCount val="45"/>
                <c:pt idx="0">
                  <c:v>5713659.6400000006</c:v>
                </c:pt>
                <c:pt idx="1">
                  <c:v>5362026.88</c:v>
                </c:pt>
                <c:pt idx="2">
                  <c:v>4445023.8</c:v>
                </c:pt>
                <c:pt idx="3">
                  <c:v>3590073.56</c:v>
                </c:pt>
                <c:pt idx="4">
                  <c:v>2893702.8000000003</c:v>
                </c:pt>
                <c:pt idx="5">
                  <c:v>2335227.2400000002</c:v>
                </c:pt>
                <c:pt idx="6">
                  <c:v>1900857.36</c:v>
                </c:pt>
                <c:pt idx="7">
                  <c:v>1542329.84</c:v>
                </c:pt>
                <c:pt idx="8">
                  <c:v>1280328.96</c:v>
                </c:pt>
                <c:pt idx="9">
                  <c:v>1066591.3999999999</c:v>
                </c:pt>
                <c:pt idx="10">
                  <c:v>880432.88</c:v>
                </c:pt>
                <c:pt idx="11">
                  <c:v>742537.68</c:v>
                </c:pt>
                <c:pt idx="12">
                  <c:v>604642.48</c:v>
                </c:pt>
                <c:pt idx="13">
                  <c:v>515010.60000000003</c:v>
                </c:pt>
                <c:pt idx="14">
                  <c:v>439168.24</c:v>
                </c:pt>
                <c:pt idx="15">
                  <c:v>377115.4</c:v>
                </c:pt>
                <c:pt idx="16">
                  <c:v>321957.32</c:v>
                </c:pt>
                <c:pt idx="17">
                  <c:v>280588.76</c:v>
                </c:pt>
                <c:pt idx="18">
                  <c:v>246114.96</c:v>
                </c:pt>
                <c:pt idx="19">
                  <c:v>218535.91999999998</c:v>
                </c:pt>
                <c:pt idx="20">
                  <c:v>197851.64</c:v>
                </c:pt>
                <c:pt idx="21">
                  <c:v>177167.35999999999</c:v>
                </c:pt>
                <c:pt idx="22">
                  <c:v>163377.84</c:v>
                </c:pt>
                <c:pt idx="23">
                  <c:v>156483.08000000002</c:v>
                </c:pt>
                <c:pt idx="24">
                  <c:v>149588.32</c:v>
                </c:pt>
                <c:pt idx="25">
                  <c:v>135798.79999999999</c:v>
                </c:pt>
                <c:pt idx="26">
                  <c:v>135798.79999999999</c:v>
                </c:pt>
                <c:pt idx="27">
                  <c:v>128904.04000000001</c:v>
                </c:pt>
                <c:pt idx="28">
                  <c:v>128904.04000000001</c:v>
                </c:pt>
                <c:pt idx="29">
                  <c:v>122009.28</c:v>
                </c:pt>
                <c:pt idx="30">
                  <c:v>122009.28</c:v>
                </c:pt>
                <c:pt idx="31">
                  <c:v>115114.52</c:v>
                </c:pt>
                <c:pt idx="32">
                  <c:v>115114.52</c:v>
                </c:pt>
                <c:pt idx="33">
                  <c:v>115114.52</c:v>
                </c:pt>
                <c:pt idx="34">
                  <c:v>115114.52</c:v>
                </c:pt>
                <c:pt idx="35">
                  <c:v>108219.76</c:v>
                </c:pt>
                <c:pt idx="36">
                  <c:v>108219.76</c:v>
                </c:pt>
                <c:pt idx="37">
                  <c:v>108219.76</c:v>
                </c:pt>
                <c:pt idx="38">
                  <c:v>108219.76</c:v>
                </c:pt>
                <c:pt idx="39">
                  <c:v>108219.76</c:v>
                </c:pt>
                <c:pt idx="40">
                  <c:v>108219.76</c:v>
                </c:pt>
                <c:pt idx="41">
                  <c:v>108219.76</c:v>
                </c:pt>
                <c:pt idx="42">
                  <c:v>108219.76</c:v>
                </c:pt>
                <c:pt idx="43">
                  <c:v>101325</c:v>
                </c:pt>
                <c:pt idx="44">
                  <c:v>101325</c:v>
                </c:pt>
              </c:numCache>
            </c:numRef>
          </c:yVal>
          <c:smooth val="0"/>
          <c:extLst>
            <c:ext xmlns:c16="http://schemas.microsoft.com/office/drawing/2014/chart" uri="{C3380CC4-5D6E-409C-BE32-E72D297353CC}">
              <c16:uniqueId val="{00000003-E371-0448-A892-FFAE2A206D53}"/>
            </c:ext>
          </c:extLst>
        </c:ser>
        <c:ser>
          <c:idx val="2"/>
          <c:order val="2"/>
          <c:tx>
            <c:v>experiment 3</c:v>
          </c:tx>
          <c:spPr>
            <a:ln w="25400" cap="rnd">
              <a:noFill/>
              <a:round/>
            </a:ln>
            <a:effectLst/>
          </c:spPr>
          <c:marker>
            <c:symbol val="circle"/>
            <c:size val="5"/>
            <c:spPr>
              <a:solidFill>
                <a:schemeClr val="accent3"/>
              </a:solidFill>
              <a:ln w="9525">
                <a:solidFill>
                  <a:schemeClr val="accent3"/>
                </a:solidFill>
              </a:ln>
              <a:effectLst/>
            </c:spPr>
          </c:marker>
          <c:xVal>
            <c:numRef>
              <c:f>'Experiment 3'!$B$6:$B$50</c:f>
              <c:numCache>
                <c:formatCode>0</c:formatCod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numCache>
            </c:numRef>
          </c:xVal>
          <c:yVal>
            <c:numRef>
              <c:f>'Experiment 3'!$E$6:$E$50</c:f>
              <c:numCache>
                <c:formatCode>0</c:formatCode>
                <c:ptCount val="45"/>
                <c:pt idx="0">
                  <c:v>6996085</c:v>
                </c:pt>
                <c:pt idx="1">
                  <c:v>6989190.2400000002</c:v>
                </c:pt>
                <c:pt idx="2">
                  <c:v>6989190.2400000002</c:v>
                </c:pt>
                <c:pt idx="3">
                  <c:v>6630662.7200000007</c:v>
                </c:pt>
                <c:pt idx="4">
                  <c:v>5665396.3200000003</c:v>
                </c:pt>
                <c:pt idx="5">
                  <c:v>4727708.96</c:v>
                </c:pt>
                <c:pt idx="6">
                  <c:v>3948601.08</c:v>
                </c:pt>
                <c:pt idx="7">
                  <c:v>3300493.64</c:v>
                </c:pt>
                <c:pt idx="8">
                  <c:v>2797176.16</c:v>
                </c:pt>
                <c:pt idx="9">
                  <c:v>2349016.7600000002</c:v>
                </c:pt>
                <c:pt idx="10">
                  <c:v>1969804.96</c:v>
                </c:pt>
                <c:pt idx="11">
                  <c:v>1652646</c:v>
                </c:pt>
                <c:pt idx="12">
                  <c:v>1390645.12</c:v>
                </c:pt>
                <c:pt idx="13">
                  <c:v>1183802.32</c:v>
                </c:pt>
                <c:pt idx="14">
                  <c:v>970064.76</c:v>
                </c:pt>
                <c:pt idx="15">
                  <c:v>839064.32000000007</c:v>
                </c:pt>
                <c:pt idx="16">
                  <c:v>701169.12</c:v>
                </c:pt>
                <c:pt idx="17">
                  <c:v>611537.24</c:v>
                </c:pt>
                <c:pt idx="18">
                  <c:v>549484.4</c:v>
                </c:pt>
                <c:pt idx="19">
                  <c:v>466747.28</c:v>
                </c:pt>
                <c:pt idx="20">
                  <c:v>404694.44</c:v>
                </c:pt>
                <c:pt idx="21">
                  <c:v>356431.12</c:v>
                </c:pt>
                <c:pt idx="22">
                  <c:v>315062.56</c:v>
                </c:pt>
                <c:pt idx="23">
                  <c:v>280588.76</c:v>
                </c:pt>
                <c:pt idx="24">
                  <c:v>253009.72</c:v>
                </c:pt>
                <c:pt idx="25">
                  <c:v>225430.68</c:v>
                </c:pt>
                <c:pt idx="26">
                  <c:v>204746.40000000002</c:v>
                </c:pt>
                <c:pt idx="27">
                  <c:v>190956.88</c:v>
                </c:pt>
                <c:pt idx="28">
                  <c:v>177167.35999999999</c:v>
                </c:pt>
                <c:pt idx="29">
                  <c:v>163377.84</c:v>
                </c:pt>
                <c:pt idx="30">
                  <c:v>156483.08000000002</c:v>
                </c:pt>
                <c:pt idx="31">
                  <c:v>149588.32</c:v>
                </c:pt>
                <c:pt idx="32">
                  <c:v>142693.56</c:v>
                </c:pt>
                <c:pt idx="33">
                  <c:v>135798.79999999999</c:v>
                </c:pt>
                <c:pt idx="34">
                  <c:v>135798.79999999999</c:v>
                </c:pt>
                <c:pt idx="35">
                  <c:v>128904.04000000001</c:v>
                </c:pt>
                <c:pt idx="36">
                  <c:v>122009.28</c:v>
                </c:pt>
                <c:pt idx="37">
                  <c:v>122009.28</c:v>
                </c:pt>
                <c:pt idx="38">
                  <c:v>122009.28</c:v>
                </c:pt>
                <c:pt idx="39">
                  <c:v>115114.52</c:v>
                </c:pt>
                <c:pt idx="40">
                  <c:v>115114.52</c:v>
                </c:pt>
                <c:pt idx="41">
                  <c:v>115114.52</c:v>
                </c:pt>
                <c:pt idx="42">
                  <c:v>115114.52</c:v>
                </c:pt>
                <c:pt idx="43">
                  <c:v>108219.76</c:v>
                </c:pt>
                <c:pt idx="44">
                  <c:v>108219.76</c:v>
                </c:pt>
              </c:numCache>
            </c:numRef>
          </c:yVal>
          <c:smooth val="0"/>
          <c:extLst>
            <c:ext xmlns:c16="http://schemas.microsoft.com/office/drawing/2014/chart" uri="{C3380CC4-5D6E-409C-BE32-E72D297353CC}">
              <c16:uniqueId val="{00000004-E371-0448-A892-FFAE2A206D53}"/>
            </c:ext>
          </c:extLst>
        </c:ser>
        <c:ser>
          <c:idx val="3"/>
          <c:order val="3"/>
          <c:tx>
            <c:v>experiment 4</c:v>
          </c:tx>
          <c:spPr>
            <a:ln w="25400" cap="rnd">
              <a:noFill/>
              <a:round/>
            </a:ln>
            <a:effectLst/>
          </c:spPr>
          <c:marker>
            <c:symbol val="circle"/>
            <c:size val="5"/>
            <c:spPr>
              <a:solidFill>
                <a:schemeClr val="accent4"/>
              </a:solidFill>
              <a:ln w="9525">
                <a:solidFill>
                  <a:schemeClr val="accent4"/>
                </a:solidFill>
              </a:ln>
              <a:effectLst/>
            </c:spPr>
          </c:marker>
          <c:xVal>
            <c:numRef>
              <c:f>'Experiment 4'!$B$6:$B$51</c:f>
              <c:numCache>
                <c:formatCode>0</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xVal>
          <c:yVal>
            <c:numRef>
              <c:f>'Experiment 4'!$E$6:$E$51</c:f>
              <c:numCache>
                <c:formatCode>0</c:formatCode>
                <c:ptCount val="46"/>
                <c:pt idx="0">
                  <c:v>4320918.12</c:v>
                </c:pt>
                <c:pt idx="1">
                  <c:v>4314023.3600000003</c:v>
                </c:pt>
                <c:pt idx="2">
                  <c:v>4169233.4</c:v>
                </c:pt>
                <c:pt idx="3">
                  <c:v>3569389.2800000003</c:v>
                </c:pt>
                <c:pt idx="4">
                  <c:v>3066071.8000000003</c:v>
                </c:pt>
                <c:pt idx="5">
                  <c:v>2590333.36</c:v>
                </c:pt>
                <c:pt idx="6">
                  <c:v>2204226.8000000003</c:v>
                </c:pt>
                <c:pt idx="7">
                  <c:v>1873278.32</c:v>
                </c:pt>
                <c:pt idx="8">
                  <c:v>1611277.44</c:v>
                </c:pt>
                <c:pt idx="9">
                  <c:v>1335487.04</c:v>
                </c:pt>
                <c:pt idx="10">
                  <c:v>1142433.76</c:v>
                </c:pt>
                <c:pt idx="11">
                  <c:v>1011433.3200000001</c:v>
                </c:pt>
                <c:pt idx="12">
                  <c:v>866643.36</c:v>
                </c:pt>
                <c:pt idx="13">
                  <c:v>770116.72</c:v>
                </c:pt>
                <c:pt idx="14">
                  <c:v>666695.32000000007</c:v>
                </c:pt>
                <c:pt idx="15">
                  <c:v>577063.43999999994</c:v>
                </c:pt>
                <c:pt idx="16">
                  <c:v>508115.84</c:v>
                </c:pt>
                <c:pt idx="17">
                  <c:v>439168.24</c:v>
                </c:pt>
                <c:pt idx="18">
                  <c:v>390904.92</c:v>
                </c:pt>
                <c:pt idx="19">
                  <c:v>342641.6</c:v>
                </c:pt>
                <c:pt idx="20">
                  <c:v>308167.80000000005</c:v>
                </c:pt>
                <c:pt idx="21">
                  <c:v>280588.76</c:v>
                </c:pt>
                <c:pt idx="22">
                  <c:v>253009.72</c:v>
                </c:pt>
                <c:pt idx="23">
                  <c:v>232325.44</c:v>
                </c:pt>
                <c:pt idx="24">
                  <c:v>211641.16</c:v>
                </c:pt>
                <c:pt idx="25">
                  <c:v>197851.64</c:v>
                </c:pt>
                <c:pt idx="26">
                  <c:v>184062.12</c:v>
                </c:pt>
                <c:pt idx="27">
                  <c:v>177167.35999999999</c:v>
                </c:pt>
                <c:pt idx="28">
                  <c:v>163377.84</c:v>
                </c:pt>
                <c:pt idx="29">
                  <c:v>156483.08000000002</c:v>
                </c:pt>
                <c:pt idx="30">
                  <c:v>149588.32</c:v>
                </c:pt>
                <c:pt idx="31">
                  <c:v>142693.56</c:v>
                </c:pt>
                <c:pt idx="32">
                  <c:v>142693.56</c:v>
                </c:pt>
                <c:pt idx="33">
                  <c:v>135798.79999999999</c:v>
                </c:pt>
                <c:pt idx="34">
                  <c:v>128904.04000000001</c:v>
                </c:pt>
                <c:pt idx="35">
                  <c:v>128904.04000000001</c:v>
                </c:pt>
                <c:pt idx="36">
                  <c:v>122009.28</c:v>
                </c:pt>
                <c:pt idx="37">
                  <c:v>122009.28</c:v>
                </c:pt>
                <c:pt idx="38">
                  <c:v>122009.28</c:v>
                </c:pt>
                <c:pt idx="39">
                  <c:v>115114.52</c:v>
                </c:pt>
                <c:pt idx="40">
                  <c:v>115114.52</c:v>
                </c:pt>
                <c:pt idx="41">
                  <c:v>115114.52</c:v>
                </c:pt>
                <c:pt idx="42">
                  <c:v>115114.52</c:v>
                </c:pt>
                <c:pt idx="43">
                  <c:v>115114.52</c:v>
                </c:pt>
                <c:pt idx="44">
                  <c:v>108219.76</c:v>
                </c:pt>
                <c:pt idx="45">
                  <c:v>108219.76</c:v>
                </c:pt>
              </c:numCache>
            </c:numRef>
          </c:yVal>
          <c:smooth val="0"/>
          <c:extLst>
            <c:ext xmlns:c16="http://schemas.microsoft.com/office/drawing/2014/chart" uri="{C3380CC4-5D6E-409C-BE32-E72D297353CC}">
              <c16:uniqueId val="{00000005-E371-0448-A892-FFAE2A206D53}"/>
            </c:ext>
          </c:extLst>
        </c:ser>
        <c:ser>
          <c:idx val="4"/>
          <c:order val="4"/>
          <c:tx>
            <c:v>experiment 5</c:v>
          </c:tx>
          <c:spPr>
            <a:ln w="25400" cap="rnd">
              <a:noFill/>
              <a:round/>
            </a:ln>
            <a:effectLst/>
          </c:spPr>
          <c:marker>
            <c:symbol val="circle"/>
            <c:size val="5"/>
            <c:spPr>
              <a:solidFill>
                <a:schemeClr val="accent5"/>
              </a:solidFill>
              <a:ln w="9525">
                <a:solidFill>
                  <a:schemeClr val="accent5"/>
                </a:solidFill>
              </a:ln>
              <a:effectLst/>
            </c:spPr>
          </c:marker>
          <c:xVal>
            <c:numRef>
              <c:f>'Experiment 5'!$B$6:$B$61</c:f>
              <c:numCache>
                <c:formatCode>0</c:formatCode>
                <c:ptCount val="5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numCache>
            </c:numRef>
          </c:xVal>
          <c:yVal>
            <c:numRef>
              <c:f>'Experiment 5'!$E$6:$E$61</c:f>
              <c:numCache>
                <c:formatCode>0</c:formatCode>
                <c:ptCount val="56"/>
                <c:pt idx="0">
                  <c:v>5699870.1200000001</c:v>
                </c:pt>
                <c:pt idx="1">
                  <c:v>5258605.4800000004</c:v>
                </c:pt>
                <c:pt idx="2">
                  <c:v>4500181.88</c:v>
                </c:pt>
                <c:pt idx="3">
                  <c:v>3810705.88</c:v>
                </c:pt>
                <c:pt idx="4">
                  <c:v>3231546.04</c:v>
                </c:pt>
                <c:pt idx="5">
                  <c:v>2735123.3200000003</c:v>
                </c:pt>
                <c:pt idx="6">
                  <c:v>2335227.2400000002</c:v>
                </c:pt>
                <c:pt idx="7">
                  <c:v>1990489.24</c:v>
                </c:pt>
                <c:pt idx="8">
                  <c:v>1721593.6</c:v>
                </c:pt>
                <c:pt idx="9">
                  <c:v>1452697.96</c:v>
                </c:pt>
                <c:pt idx="10">
                  <c:v>1238960.4000000001</c:v>
                </c:pt>
                <c:pt idx="11">
                  <c:v>1094170.44</c:v>
                </c:pt>
                <c:pt idx="12">
                  <c:v>956275.24</c:v>
                </c:pt>
                <c:pt idx="13">
                  <c:v>825274.8</c:v>
                </c:pt>
                <c:pt idx="14">
                  <c:v>680484.84</c:v>
                </c:pt>
                <c:pt idx="15">
                  <c:v>625326.76</c:v>
                </c:pt>
                <c:pt idx="16">
                  <c:v>542589.64</c:v>
                </c:pt>
                <c:pt idx="17">
                  <c:v>473642.04000000004</c:v>
                </c:pt>
                <c:pt idx="18">
                  <c:v>418483.96</c:v>
                </c:pt>
                <c:pt idx="19">
                  <c:v>370220.64</c:v>
                </c:pt>
                <c:pt idx="20">
                  <c:v>328852.08</c:v>
                </c:pt>
                <c:pt idx="21">
                  <c:v>294378.28000000003</c:v>
                </c:pt>
                <c:pt idx="22">
                  <c:v>266799.24</c:v>
                </c:pt>
                <c:pt idx="23">
                  <c:v>246114.96</c:v>
                </c:pt>
                <c:pt idx="24">
                  <c:v>225430.68</c:v>
                </c:pt>
                <c:pt idx="25">
                  <c:v>204746.40000000002</c:v>
                </c:pt>
                <c:pt idx="26">
                  <c:v>190956.88</c:v>
                </c:pt>
                <c:pt idx="27">
                  <c:v>184062.12</c:v>
                </c:pt>
                <c:pt idx="28">
                  <c:v>170272.6</c:v>
                </c:pt>
                <c:pt idx="29">
                  <c:v>163377.84</c:v>
                </c:pt>
                <c:pt idx="30">
                  <c:v>156483.08000000002</c:v>
                </c:pt>
                <c:pt idx="31">
                  <c:v>149588.32</c:v>
                </c:pt>
                <c:pt idx="32">
                  <c:v>142693.56</c:v>
                </c:pt>
                <c:pt idx="33">
                  <c:v>135798.79999999999</c:v>
                </c:pt>
                <c:pt idx="34">
                  <c:v>135798.79999999999</c:v>
                </c:pt>
                <c:pt idx="35">
                  <c:v>128904.04000000001</c:v>
                </c:pt>
                <c:pt idx="36">
                  <c:v>128904.04000000001</c:v>
                </c:pt>
                <c:pt idx="37">
                  <c:v>122009.28</c:v>
                </c:pt>
                <c:pt idx="38">
                  <c:v>122009.28</c:v>
                </c:pt>
                <c:pt idx="39">
                  <c:v>122009.28</c:v>
                </c:pt>
                <c:pt idx="40">
                  <c:v>115114.52</c:v>
                </c:pt>
                <c:pt idx="41">
                  <c:v>115114.52</c:v>
                </c:pt>
                <c:pt idx="42">
                  <c:v>115114.52</c:v>
                </c:pt>
                <c:pt idx="43">
                  <c:v>115114.52</c:v>
                </c:pt>
                <c:pt idx="44">
                  <c:v>115114.52</c:v>
                </c:pt>
                <c:pt idx="45">
                  <c:v>108219.76</c:v>
                </c:pt>
                <c:pt idx="46">
                  <c:v>108219.76</c:v>
                </c:pt>
                <c:pt idx="47">
                  <c:v>108219.76</c:v>
                </c:pt>
                <c:pt idx="48">
                  <c:v>108219.76</c:v>
                </c:pt>
                <c:pt idx="49">
                  <c:v>108219.76</c:v>
                </c:pt>
                <c:pt idx="50">
                  <c:v>108219.76</c:v>
                </c:pt>
                <c:pt idx="51">
                  <c:v>108219.76</c:v>
                </c:pt>
                <c:pt idx="52">
                  <c:v>108219.76</c:v>
                </c:pt>
                <c:pt idx="53">
                  <c:v>108219.76</c:v>
                </c:pt>
                <c:pt idx="54">
                  <c:v>101325</c:v>
                </c:pt>
                <c:pt idx="55">
                  <c:v>101325</c:v>
                </c:pt>
              </c:numCache>
            </c:numRef>
          </c:yVal>
          <c:smooth val="0"/>
          <c:extLst>
            <c:ext xmlns:c16="http://schemas.microsoft.com/office/drawing/2014/chart" uri="{C3380CC4-5D6E-409C-BE32-E72D297353CC}">
              <c16:uniqueId val="{00000006-E371-0448-A892-FFAE2A206D53}"/>
            </c:ext>
          </c:extLst>
        </c:ser>
        <c:ser>
          <c:idx val="5"/>
          <c:order val="5"/>
          <c:tx>
            <c:v>experiment 6</c:v>
          </c:tx>
          <c:spPr>
            <a:ln w="25400" cap="rnd">
              <a:noFill/>
              <a:round/>
            </a:ln>
            <a:effectLst/>
          </c:spPr>
          <c:marker>
            <c:symbol val="circle"/>
            <c:size val="5"/>
            <c:spPr>
              <a:solidFill>
                <a:schemeClr val="accent6"/>
              </a:solidFill>
              <a:ln w="9525">
                <a:solidFill>
                  <a:schemeClr val="accent6"/>
                </a:solidFill>
              </a:ln>
              <a:effectLst/>
            </c:spPr>
          </c:marker>
          <c:xVal>
            <c:numRef>
              <c:f>'Experiment 6'!$B$6:$B$65</c:f>
              <c:numCache>
                <c:formatCode>0</c:formatCode>
                <c:ptCount val="6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numCache>
            </c:numRef>
          </c:xVal>
          <c:yVal>
            <c:numRef>
              <c:f>'Experiment 6'!$E$6:$E$65</c:f>
              <c:numCache>
                <c:formatCode>0</c:formatCode>
                <c:ptCount val="60"/>
                <c:pt idx="0">
                  <c:v>6927137</c:v>
                </c:pt>
                <c:pt idx="1">
                  <c:v>6920243</c:v>
                </c:pt>
                <c:pt idx="2">
                  <c:v>6920243</c:v>
                </c:pt>
                <c:pt idx="3">
                  <c:v>6478978</c:v>
                </c:pt>
                <c:pt idx="4">
                  <c:v>5575764</c:v>
                </c:pt>
                <c:pt idx="5">
                  <c:v>4734604</c:v>
                </c:pt>
                <c:pt idx="6">
                  <c:v>4017549</c:v>
                </c:pt>
                <c:pt idx="7">
                  <c:v>3424599</c:v>
                </c:pt>
                <c:pt idx="8">
                  <c:v>2962650</c:v>
                </c:pt>
                <c:pt idx="9">
                  <c:v>2535175</c:v>
                </c:pt>
                <c:pt idx="10">
                  <c:v>2162858</c:v>
                </c:pt>
                <c:pt idx="11">
                  <c:v>1852594</c:v>
                </c:pt>
                <c:pt idx="12">
                  <c:v>1583698</c:v>
                </c:pt>
                <c:pt idx="13">
                  <c:v>1376856</c:v>
                </c:pt>
                <c:pt idx="14">
                  <c:v>1163118</c:v>
                </c:pt>
                <c:pt idx="15">
                  <c:v>1032118</c:v>
                </c:pt>
                <c:pt idx="16">
                  <c:v>887328</c:v>
                </c:pt>
                <c:pt idx="17">
                  <c:v>790801</c:v>
                </c:pt>
                <c:pt idx="18">
                  <c:v>646011</c:v>
                </c:pt>
                <c:pt idx="19">
                  <c:v>597748</c:v>
                </c:pt>
                <c:pt idx="20">
                  <c:v>521905</c:v>
                </c:pt>
                <c:pt idx="21">
                  <c:v>459853</c:v>
                </c:pt>
                <c:pt idx="22">
                  <c:v>404694</c:v>
                </c:pt>
                <c:pt idx="23">
                  <c:v>356431</c:v>
                </c:pt>
                <c:pt idx="24">
                  <c:v>321957</c:v>
                </c:pt>
                <c:pt idx="25">
                  <c:v>287484</c:v>
                </c:pt>
                <c:pt idx="26">
                  <c:v>259904</c:v>
                </c:pt>
                <c:pt idx="27">
                  <c:v>239220</c:v>
                </c:pt>
                <c:pt idx="28">
                  <c:v>218536</c:v>
                </c:pt>
                <c:pt idx="29">
                  <c:v>204746</c:v>
                </c:pt>
                <c:pt idx="30">
                  <c:v>190957</c:v>
                </c:pt>
                <c:pt idx="31">
                  <c:v>177167</c:v>
                </c:pt>
                <c:pt idx="32">
                  <c:v>170273</c:v>
                </c:pt>
                <c:pt idx="33">
                  <c:v>156483</c:v>
                </c:pt>
                <c:pt idx="34">
                  <c:v>149588</c:v>
                </c:pt>
                <c:pt idx="35">
                  <c:v>142694</c:v>
                </c:pt>
                <c:pt idx="36">
                  <c:v>142694</c:v>
                </c:pt>
                <c:pt idx="37">
                  <c:v>135799</c:v>
                </c:pt>
                <c:pt idx="38">
                  <c:v>128904</c:v>
                </c:pt>
                <c:pt idx="39">
                  <c:v>128904</c:v>
                </c:pt>
                <c:pt idx="40">
                  <c:v>122009</c:v>
                </c:pt>
                <c:pt idx="41">
                  <c:v>122009</c:v>
                </c:pt>
                <c:pt idx="42">
                  <c:v>122009</c:v>
                </c:pt>
                <c:pt idx="43">
                  <c:v>122009</c:v>
                </c:pt>
                <c:pt idx="44">
                  <c:v>115115</c:v>
                </c:pt>
                <c:pt idx="45">
                  <c:v>115115</c:v>
                </c:pt>
                <c:pt idx="46">
                  <c:v>115115</c:v>
                </c:pt>
                <c:pt idx="47">
                  <c:v>115115</c:v>
                </c:pt>
                <c:pt idx="48">
                  <c:v>108220</c:v>
                </c:pt>
                <c:pt idx="49">
                  <c:v>108220</c:v>
                </c:pt>
                <c:pt idx="50">
                  <c:v>108220</c:v>
                </c:pt>
                <c:pt idx="51">
                  <c:v>108220</c:v>
                </c:pt>
                <c:pt idx="52">
                  <c:v>108220</c:v>
                </c:pt>
                <c:pt idx="53">
                  <c:v>108220</c:v>
                </c:pt>
                <c:pt idx="54">
                  <c:v>108220</c:v>
                </c:pt>
                <c:pt idx="55">
                  <c:v>108220</c:v>
                </c:pt>
                <c:pt idx="56">
                  <c:v>108220</c:v>
                </c:pt>
                <c:pt idx="57">
                  <c:v>108220</c:v>
                </c:pt>
                <c:pt idx="58">
                  <c:v>101325</c:v>
                </c:pt>
                <c:pt idx="59">
                  <c:v>101325</c:v>
                </c:pt>
              </c:numCache>
            </c:numRef>
          </c:yVal>
          <c:smooth val="0"/>
          <c:extLst>
            <c:ext xmlns:c16="http://schemas.microsoft.com/office/drawing/2014/chart" uri="{C3380CC4-5D6E-409C-BE32-E72D297353CC}">
              <c16:uniqueId val="{00000007-E371-0448-A892-FFAE2A206D53}"/>
            </c:ext>
          </c:extLst>
        </c:ser>
        <c:dLbls>
          <c:showLegendKey val="0"/>
          <c:showVal val="0"/>
          <c:showCatName val="0"/>
          <c:showSerName val="0"/>
          <c:showPercent val="0"/>
          <c:showBubbleSize val="0"/>
        </c:dLbls>
        <c:axId val="142669184"/>
        <c:axId val="142670832"/>
      </c:scatterChart>
      <c:valAx>
        <c:axId val="142669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sz="2400"/>
                  <a:t>time (s)</a:t>
                </a:r>
              </a:p>
            </c:rich>
          </c:tx>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42670832"/>
        <c:crosses val="autoZero"/>
        <c:crossBetween val="midCat"/>
      </c:valAx>
      <c:valAx>
        <c:axId val="14267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sz="2400"/>
                  <a:t>pressure</a:t>
                </a:r>
                <a:r>
                  <a:rPr lang="en-US" sz="2400" baseline="0"/>
                  <a:t> (Pa)</a:t>
                </a:r>
                <a:endParaRPr lang="en-US" sz="2400"/>
              </a:p>
            </c:rich>
          </c:tx>
          <c:layout>
            <c:manualLayout>
              <c:xMode val="edge"/>
              <c:yMode val="edge"/>
              <c:x val="1.9977580356246988E-2"/>
              <c:y val="0.32505584644559021"/>
            </c:manualLayout>
          </c:layout>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42669184"/>
        <c:crosses val="autoZero"/>
        <c:crossBetween val="midCat"/>
      </c:valAx>
      <c:spPr>
        <a:noFill/>
        <a:ln>
          <a:noFill/>
        </a:ln>
        <a:effectLst/>
      </c:spPr>
    </c:plotArea>
    <c:legend>
      <c:legendPos val="r"/>
      <c:layout>
        <c:manualLayout>
          <c:xMode val="edge"/>
          <c:yMode val="edge"/>
          <c:x val="0.62251886482939622"/>
          <c:y val="0.23502812148481439"/>
          <c:w val="0.12912430366651292"/>
          <c:h val="0.24376217977591286"/>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baseline="0"/>
              <a:t>outlet pressure</a:t>
            </a:r>
          </a:p>
        </c:rich>
      </c:tx>
      <c:layout>
        <c:manualLayout>
          <c:xMode val="edge"/>
          <c:yMode val="edge"/>
          <c:x val="0.46578845447162481"/>
          <c:y val="2.7960217789564441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06321987022"/>
          <c:y val="0.11032862515896853"/>
          <c:w val="0.77556824570471838"/>
          <c:h val="0.75845198473902098"/>
        </c:manualLayout>
      </c:layout>
      <c:scatterChart>
        <c:scatterStyle val="lineMarker"/>
        <c:varyColors val="0"/>
        <c:ser>
          <c:idx val="0"/>
          <c:order val="0"/>
          <c:tx>
            <c:v>experiment 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'Experiment 1'!$B$6:$B$16</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xVal>
          <c:yVal>
            <c:numRef>
              <c:f>'Experiment 1'!$F$6:$F$16</c:f>
              <c:numCache>
                <c:formatCode>0</c:formatCode>
                <c:ptCount val="11"/>
                <c:pt idx="0">
                  <c:v>4293339.08</c:v>
                </c:pt>
                <c:pt idx="1">
                  <c:v>3714179.24</c:v>
                </c:pt>
                <c:pt idx="2">
                  <c:v>1432013.68</c:v>
                </c:pt>
                <c:pt idx="3">
                  <c:v>590852.96</c:v>
                </c:pt>
                <c:pt idx="4">
                  <c:v>301273.04000000004</c:v>
                </c:pt>
                <c:pt idx="5">
                  <c:v>204746.40000000002</c:v>
                </c:pt>
                <c:pt idx="6">
                  <c:v>142693.56</c:v>
                </c:pt>
                <c:pt idx="7">
                  <c:v>122009.28</c:v>
                </c:pt>
                <c:pt idx="8">
                  <c:v>108219.76</c:v>
                </c:pt>
                <c:pt idx="9">
                  <c:v>108219.76</c:v>
                </c:pt>
                <c:pt idx="10">
                  <c:v>108219.76</c:v>
                </c:pt>
              </c:numCache>
            </c:numRef>
          </c:yVal>
          <c:smooth val="0"/>
          <c:extLst>
            <c:ext xmlns:c16="http://schemas.microsoft.com/office/drawing/2014/chart" uri="{C3380CC4-5D6E-409C-BE32-E72D297353CC}">
              <c16:uniqueId val="{00000000-F5C5-8244-AE4D-B1FA25B827E8}"/>
            </c:ext>
          </c:extLst>
        </c:ser>
        <c:ser>
          <c:idx val="1"/>
          <c:order val="1"/>
          <c:tx>
            <c:v>experiment 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'Experiment 2'!$B$6:$B$17</c:f>
              <c:numCache>
                <c:formatCode>0</c:formatCode>
                <c:ptCount val="12"/>
                <c:pt idx="0">
                  <c:v>0</c:v>
                </c:pt>
                <c:pt idx="1">
                  <c:v>1</c:v>
                </c:pt>
                <c:pt idx="2">
                  <c:v>2</c:v>
                </c:pt>
                <c:pt idx="3">
                  <c:v>3</c:v>
                </c:pt>
                <c:pt idx="4">
                  <c:v>4</c:v>
                </c:pt>
                <c:pt idx="5">
                  <c:v>5</c:v>
                </c:pt>
                <c:pt idx="6">
                  <c:v>6</c:v>
                </c:pt>
                <c:pt idx="7">
                  <c:v>7</c:v>
                </c:pt>
                <c:pt idx="8">
                  <c:v>8</c:v>
                </c:pt>
                <c:pt idx="9">
                  <c:v>9</c:v>
                </c:pt>
                <c:pt idx="10">
                  <c:v>10</c:v>
                </c:pt>
                <c:pt idx="11">
                  <c:v>11</c:v>
                </c:pt>
              </c:numCache>
            </c:numRef>
          </c:xVal>
          <c:yVal>
            <c:numRef>
              <c:f>'Experiment 2'!$F$6:$F$17</c:f>
              <c:numCache>
                <c:formatCode>0</c:formatCode>
                <c:ptCount val="12"/>
                <c:pt idx="0">
                  <c:v>5720554.4000000004</c:v>
                </c:pt>
                <c:pt idx="1">
                  <c:v>2866123.7600000002</c:v>
                </c:pt>
                <c:pt idx="2">
                  <c:v>1121749.48</c:v>
                </c:pt>
                <c:pt idx="3">
                  <c:v>473642.04000000004</c:v>
                </c:pt>
                <c:pt idx="4">
                  <c:v>280588.76</c:v>
                </c:pt>
                <c:pt idx="5">
                  <c:v>184062.12</c:v>
                </c:pt>
                <c:pt idx="6">
                  <c:v>135798.79999999999</c:v>
                </c:pt>
                <c:pt idx="7">
                  <c:v>115114.52</c:v>
                </c:pt>
                <c:pt idx="8">
                  <c:v>108219.76</c:v>
                </c:pt>
                <c:pt idx="9">
                  <c:v>108219.76</c:v>
                </c:pt>
                <c:pt idx="10">
                  <c:v>108219.76</c:v>
                </c:pt>
                <c:pt idx="11">
                  <c:v>101325</c:v>
                </c:pt>
              </c:numCache>
            </c:numRef>
          </c:yVal>
          <c:smooth val="0"/>
          <c:extLst>
            <c:ext xmlns:c16="http://schemas.microsoft.com/office/drawing/2014/chart" uri="{C3380CC4-5D6E-409C-BE32-E72D297353CC}">
              <c16:uniqueId val="{00000001-F5C5-8244-AE4D-B1FA25B827E8}"/>
            </c:ext>
          </c:extLst>
        </c:ser>
        <c:ser>
          <c:idx val="2"/>
          <c:order val="2"/>
          <c:tx>
            <c:v>experiment 3</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'Experiment 3'!$B$6:$B$18</c:f>
              <c:numCache>
                <c:formatCode>0</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'Experiment 3'!$F$6:$F$18</c:f>
              <c:numCache>
                <c:formatCode>0</c:formatCode>
                <c:ptCount val="13"/>
                <c:pt idx="0">
                  <c:v>7002979.7599999998</c:v>
                </c:pt>
                <c:pt idx="1">
                  <c:v>7002979.7599999998</c:v>
                </c:pt>
                <c:pt idx="2">
                  <c:v>7002979.7599999998</c:v>
                </c:pt>
                <c:pt idx="3">
                  <c:v>3555599.7600000002</c:v>
                </c:pt>
                <c:pt idx="4">
                  <c:v>1376855.6</c:v>
                </c:pt>
                <c:pt idx="5">
                  <c:v>618432</c:v>
                </c:pt>
                <c:pt idx="6">
                  <c:v>308167.80000000005</c:v>
                </c:pt>
                <c:pt idx="7">
                  <c:v>204746.40000000002</c:v>
                </c:pt>
                <c:pt idx="8">
                  <c:v>142693.56</c:v>
                </c:pt>
                <c:pt idx="9">
                  <c:v>115114.52</c:v>
                </c:pt>
                <c:pt idx="10">
                  <c:v>108219.76</c:v>
                </c:pt>
                <c:pt idx="11">
                  <c:v>108219.76</c:v>
                </c:pt>
                <c:pt idx="12">
                  <c:v>101325</c:v>
                </c:pt>
              </c:numCache>
            </c:numRef>
          </c:yVal>
          <c:smooth val="0"/>
          <c:extLst>
            <c:ext xmlns:c16="http://schemas.microsoft.com/office/drawing/2014/chart" uri="{C3380CC4-5D6E-409C-BE32-E72D297353CC}">
              <c16:uniqueId val="{00000002-F5C5-8244-AE4D-B1FA25B827E8}"/>
            </c:ext>
          </c:extLst>
        </c:ser>
        <c:ser>
          <c:idx val="3"/>
          <c:order val="3"/>
          <c:tx>
            <c:v>experiment 4</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'Experiment 4'!$B$6:$B$17</c:f>
              <c:numCache>
                <c:formatCode>0</c:formatCode>
                <c:ptCount val="12"/>
                <c:pt idx="0">
                  <c:v>0</c:v>
                </c:pt>
                <c:pt idx="1">
                  <c:v>1</c:v>
                </c:pt>
                <c:pt idx="2">
                  <c:v>2</c:v>
                </c:pt>
                <c:pt idx="3">
                  <c:v>3</c:v>
                </c:pt>
                <c:pt idx="4">
                  <c:v>4</c:v>
                </c:pt>
                <c:pt idx="5">
                  <c:v>5</c:v>
                </c:pt>
                <c:pt idx="6">
                  <c:v>6</c:v>
                </c:pt>
                <c:pt idx="7">
                  <c:v>7</c:v>
                </c:pt>
                <c:pt idx="8">
                  <c:v>8</c:v>
                </c:pt>
                <c:pt idx="9">
                  <c:v>9</c:v>
                </c:pt>
                <c:pt idx="10">
                  <c:v>10</c:v>
                </c:pt>
                <c:pt idx="11">
                  <c:v>11</c:v>
                </c:pt>
              </c:numCache>
            </c:numRef>
          </c:xVal>
          <c:yVal>
            <c:numRef>
              <c:f>'Experiment 4'!$F$6:$F$17</c:f>
              <c:numCache>
                <c:formatCode>0</c:formatCode>
                <c:ptCount val="12"/>
                <c:pt idx="0">
                  <c:v>4320918.12</c:v>
                </c:pt>
                <c:pt idx="1">
                  <c:v>4320918.12</c:v>
                </c:pt>
                <c:pt idx="2">
                  <c:v>2245595.36</c:v>
                </c:pt>
                <c:pt idx="3">
                  <c:v>894222.4</c:v>
                </c:pt>
                <c:pt idx="4">
                  <c:v>390904.92</c:v>
                </c:pt>
                <c:pt idx="5">
                  <c:v>239220.2</c:v>
                </c:pt>
                <c:pt idx="6">
                  <c:v>170272.6</c:v>
                </c:pt>
                <c:pt idx="7">
                  <c:v>128904.04000000001</c:v>
                </c:pt>
                <c:pt idx="8">
                  <c:v>115114.52</c:v>
                </c:pt>
                <c:pt idx="9">
                  <c:v>108219.76</c:v>
                </c:pt>
                <c:pt idx="10">
                  <c:v>108219.76</c:v>
                </c:pt>
                <c:pt idx="11">
                  <c:v>101325</c:v>
                </c:pt>
              </c:numCache>
            </c:numRef>
          </c:yVal>
          <c:smooth val="0"/>
          <c:extLst>
            <c:ext xmlns:c16="http://schemas.microsoft.com/office/drawing/2014/chart" uri="{C3380CC4-5D6E-409C-BE32-E72D297353CC}">
              <c16:uniqueId val="{00000003-F5C5-8244-AE4D-B1FA25B827E8}"/>
            </c:ext>
          </c:extLst>
        </c:ser>
        <c:ser>
          <c:idx val="4"/>
          <c:order val="4"/>
          <c:tx>
            <c:v>experiment 5</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'Experiment 5'!$B$6:$B$16</c:f>
              <c:numCache>
                <c:formatCode>0</c:formatCode>
                <c:ptCount val="11"/>
                <c:pt idx="0">
                  <c:v>0</c:v>
                </c:pt>
                <c:pt idx="1">
                  <c:v>1</c:v>
                </c:pt>
                <c:pt idx="2">
                  <c:v>2</c:v>
                </c:pt>
                <c:pt idx="3">
                  <c:v>3</c:v>
                </c:pt>
                <c:pt idx="4">
                  <c:v>4</c:v>
                </c:pt>
                <c:pt idx="5">
                  <c:v>5</c:v>
                </c:pt>
                <c:pt idx="6">
                  <c:v>6</c:v>
                </c:pt>
                <c:pt idx="7">
                  <c:v>7</c:v>
                </c:pt>
                <c:pt idx="8">
                  <c:v>8</c:v>
                </c:pt>
                <c:pt idx="9">
                  <c:v>9</c:v>
                </c:pt>
                <c:pt idx="10">
                  <c:v>10</c:v>
                </c:pt>
              </c:numCache>
            </c:numRef>
          </c:xVal>
          <c:yVal>
            <c:numRef>
              <c:f>'Experiment 5'!$F$6:$F$16</c:f>
              <c:numCache>
                <c:formatCode>0</c:formatCode>
                <c:ptCount val="11"/>
                <c:pt idx="0">
                  <c:v>5699870.1200000001</c:v>
                </c:pt>
                <c:pt idx="1">
                  <c:v>2218016.3200000003</c:v>
                </c:pt>
                <c:pt idx="2">
                  <c:v>880432.88</c:v>
                </c:pt>
                <c:pt idx="3">
                  <c:v>390904.92</c:v>
                </c:pt>
                <c:pt idx="4">
                  <c:v>239220.2</c:v>
                </c:pt>
                <c:pt idx="5">
                  <c:v>163377.84</c:v>
                </c:pt>
                <c:pt idx="6">
                  <c:v>128904.04000000001</c:v>
                </c:pt>
                <c:pt idx="7">
                  <c:v>115114.52</c:v>
                </c:pt>
                <c:pt idx="8">
                  <c:v>108219.76</c:v>
                </c:pt>
                <c:pt idx="9">
                  <c:v>108219.76</c:v>
                </c:pt>
                <c:pt idx="10">
                  <c:v>101325</c:v>
                </c:pt>
              </c:numCache>
            </c:numRef>
          </c:yVal>
          <c:smooth val="0"/>
          <c:extLst>
            <c:ext xmlns:c16="http://schemas.microsoft.com/office/drawing/2014/chart" uri="{C3380CC4-5D6E-409C-BE32-E72D297353CC}">
              <c16:uniqueId val="{00000004-F5C5-8244-AE4D-B1FA25B827E8}"/>
            </c:ext>
          </c:extLst>
        </c:ser>
        <c:ser>
          <c:idx val="5"/>
          <c:order val="5"/>
          <c:tx>
            <c:v>experiment 6</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'Experiment 6'!$B$6:$B$18</c:f>
              <c:numCache>
                <c:formatCode>0</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'Experiment 6'!$F$6:$F$18</c:f>
              <c:numCache>
                <c:formatCode>0</c:formatCode>
                <c:ptCount val="13"/>
                <c:pt idx="0">
                  <c:v>6934032</c:v>
                </c:pt>
                <c:pt idx="1">
                  <c:v>6927137</c:v>
                </c:pt>
                <c:pt idx="2">
                  <c:v>6927137</c:v>
                </c:pt>
                <c:pt idx="3">
                  <c:v>2997124</c:v>
                </c:pt>
                <c:pt idx="4">
                  <c:v>1170013</c:v>
                </c:pt>
                <c:pt idx="5">
                  <c:v>535695</c:v>
                </c:pt>
                <c:pt idx="6">
                  <c:v>253010</c:v>
                </c:pt>
                <c:pt idx="7">
                  <c:v>190957</c:v>
                </c:pt>
                <c:pt idx="8">
                  <c:v>135799</c:v>
                </c:pt>
                <c:pt idx="9">
                  <c:v>115115</c:v>
                </c:pt>
                <c:pt idx="10">
                  <c:v>108220</c:v>
                </c:pt>
                <c:pt idx="11">
                  <c:v>108220</c:v>
                </c:pt>
                <c:pt idx="12">
                  <c:v>101325</c:v>
                </c:pt>
              </c:numCache>
            </c:numRef>
          </c:yVal>
          <c:smooth val="0"/>
          <c:extLst>
            <c:ext xmlns:c16="http://schemas.microsoft.com/office/drawing/2014/chart" uri="{C3380CC4-5D6E-409C-BE32-E72D297353CC}">
              <c16:uniqueId val="{00000005-F5C5-8244-AE4D-B1FA25B827E8}"/>
            </c:ext>
          </c:extLst>
        </c:ser>
        <c:dLbls>
          <c:showLegendKey val="0"/>
          <c:showVal val="0"/>
          <c:showCatName val="0"/>
          <c:showSerName val="0"/>
          <c:showPercent val="0"/>
          <c:showBubbleSize val="0"/>
        </c:dLbls>
        <c:axId val="142669184"/>
        <c:axId val="142670832"/>
      </c:scatterChart>
      <c:valAx>
        <c:axId val="142669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sz="2400"/>
                  <a:t>time (s)</a:t>
                </a:r>
              </a:p>
            </c:rich>
          </c:tx>
          <c:layout>
            <c:manualLayout>
              <c:xMode val="edge"/>
              <c:yMode val="edge"/>
              <c:x val="0.48216025420569986"/>
              <c:y val="0.92137564277278727"/>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42670832"/>
        <c:crosses val="autoZero"/>
        <c:crossBetween val="midCat"/>
      </c:valAx>
      <c:valAx>
        <c:axId val="14267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r>
                  <a:rPr lang="en-US" sz="2400"/>
                  <a:t>pressure</a:t>
                </a:r>
                <a:r>
                  <a:rPr lang="en-US" sz="2400" baseline="0"/>
                  <a:t> (Pa)</a:t>
                </a:r>
                <a:endParaRPr lang="en-US" sz="2400"/>
              </a:p>
            </c:rich>
          </c:tx>
          <c:layout>
            <c:manualLayout>
              <c:xMode val="edge"/>
              <c:yMode val="edge"/>
              <c:x val="1.9977580356246988E-2"/>
              <c:y val="0.32505584644559021"/>
            </c:manualLayout>
          </c:layout>
          <c:overlay val="0"/>
          <c:spPr>
            <a:noFill/>
            <a:ln>
              <a:noFill/>
            </a:ln>
            <a:effectLst/>
          </c:spPr>
          <c:txPr>
            <a:bodyPr rot="-54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42669184"/>
        <c:crosses val="autoZero"/>
        <c:crossBetween val="midCat"/>
        <c:majorUnit val="1000000"/>
      </c:valAx>
      <c:spPr>
        <a:noFill/>
        <a:ln>
          <a:noFill/>
        </a:ln>
        <a:effectLst/>
      </c:spPr>
    </c:plotArea>
    <c:legend>
      <c:legendPos val="r"/>
      <c:layout>
        <c:manualLayout>
          <c:xMode val="edge"/>
          <c:yMode val="edge"/>
          <c:x val="0.62251886482939622"/>
          <c:y val="0.23502812148481439"/>
          <c:w val="0.13346787728767626"/>
          <c:h val="0.2439642398122431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pressure_decay</a:t>
            </a:r>
            <a:endParaRPr lang="en-US" b="1"/>
          </a:p>
        </c:rich>
      </c:tx>
      <c:layout>
        <c:manualLayout>
          <c:xMode val="edge"/>
          <c:yMode val="edge"/>
          <c:x val="0.40452018840909892"/>
          <c:y val="2.79602930181008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76297205948301"/>
          <c:y val="0.11204672710705932"/>
          <c:w val="0.78145075500087358"/>
          <c:h val="0.72759179655100292"/>
        </c:manualLayout>
      </c:layout>
      <c:scatterChart>
        <c:scatterStyle val="lineMarker"/>
        <c:varyColors val="0"/>
        <c:ser>
          <c:idx val="0"/>
          <c:order val="0"/>
          <c:tx>
            <c:v>inlet_pressure</c:v>
          </c:tx>
          <c:spPr>
            <a:ln w="2540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5171"/>
            <c:spPr>
              <a:noFill/>
              <a:ln w="9525" cap="flat" cmpd="sng" algn="ctr">
                <a:solidFill>
                  <a:schemeClr val="tx1">
                    <a:lumMod val="65000"/>
                    <a:lumOff val="35000"/>
                  </a:schemeClr>
                </a:solidFill>
                <a:round/>
              </a:ln>
              <a:effectLst/>
            </c:spPr>
          </c:errBars>
          <c:xVal>
            <c:numRef>
              <c:f>'Experiment 1'!$B$6:$B$34</c:f>
              <c:numCache>
                <c:formatCode>0</c:formatCode>
                <c:ptCount val="2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numCache>
            </c:numRef>
          </c:xVal>
          <c:yVal>
            <c:numRef>
              <c:f>'Experiment 1'!$E$6:$E$34</c:f>
              <c:numCache>
                <c:formatCode>0</c:formatCode>
                <c:ptCount val="29"/>
                <c:pt idx="0">
                  <c:v>4293339.08</c:v>
                </c:pt>
                <c:pt idx="1">
                  <c:v>4196812.4399999995</c:v>
                </c:pt>
                <c:pt idx="2">
                  <c:v>3203967</c:v>
                </c:pt>
                <c:pt idx="3">
                  <c:v>2328332.48</c:v>
                </c:pt>
                <c:pt idx="4">
                  <c:v>1687119.8</c:v>
                </c:pt>
                <c:pt idx="5">
                  <c:v>1238960.4000000001</c:v>
                </c:pt>
                <c:pt idx="6">
                  <c:v>914906.68</c:v>
                </c:pt>
                <c:pt idx="7">
                  <c:v>701169.12</c:v>
                </c:pt>
                <c:pt idx="8">
                  <c:v>521905.36</c:v>
                </c:pt>
                <c:pt idx="9">
                  <c:v>432273.48</c:v>
                </c:pt>
                <c:pt idx="10">
                  <c:v>342641.6</c:v>
                </c:pt>
                <c:pt idx="11">
                  <c:v>273700</c:v>
                </c:pt>
                <c:pt idx="12">
                  <c:v>218540</c:v>
                </c:pt>
                <c:pt idx="13">
                  <c:v>184065</c:v>
                </c:pt>
                <c:pt idx="14">
                  <c:v>156485</c:v>
                </c:pt>
                <c:pt idx="15">
                  <c:v>142695</c:v>
                </c:pt>
                <c:pt idx="16">
                  <c:v>128905</c:v>
                </c:pt>
                <c:pt idx="17">
                  <c:v>122010</c:v>
                </c:pt>
                <c:pt idx="18">
                  <c:v>122010</c:v>
                </c:pt>
                <c:pt idx="19">
                  <c:v>115115</c:v>
                </c:pt>
                <c:pt idx="20">
                  <c:v>115115</c:v>
                </c:pt>
                <c:pt idx="21">
                  <c:v>108220</c:v>
                </c:pt>
                <c:pt idx="22">
                  <c:v>108220</c:v>
                </c:pt>
                <c:pt idx="23">
                  <c:v>108220</c:v>
                </c:pt>
                <c:pt idx="24">
                  <c:v>108220</c:v>
                </c:pt>
                <c:pt idx="25">
                  <c:v>108220</c:v>
                </c:pt>
                <c:pt idx="26">
                  <c:v>108220</c:v>
                </c:pt>
                <c:pt idx="27">
                  <c:v>101325</c:v>
                </c:pt>
                <c:pt idx="28">
                  <c:v>101325</c:v>
                </c:pt>
              </c:numCache>
            </c:numRef>
          </c:yVal>
          <c:smooth val="0"/>
          <c:extLst>
            <c:ext xmlns:c16="http://schemas.microsoft.com/office/drawing/2014/chart" uri="{C3380CC4-5D6E-409C-BE32-E72D297353CC}">
              <c16:uniqueId val="{00000001-7F3E-9E49-A3CD-DE723C6D551B}"/>
            </c:ext>
          </c:extLst>
        </c:ser>
        <c:ser>
          <c:idx val="1"/>
          <c:order val="1"/>
          <c:tx>
            <c:v>outlet_pressure</c:v>
          </c:tx>
          <c:spPr>
            <a:ln w="25400" cap="rnd">
              <a:noFill/>
              <a:round/>
            </a:ln>
            <a:effectLst/>
          </c:spPr>
          <c:marker>
            <c:symbol val="circle"/>
            <c:size val="5"/>
            <c:spPr>
              <a:solidFill>
                <a:schemeClr val="accent2"/>
              </a:solidFill>
              <a:ln w="9525">
                <a:solidFill>
                  <a:schemeClr val="accent2"/>
                </a:solidFill>
              </a:ln>
              <a:effectLst/>
            </c:spPr>
          </c:marker>
          <c:xVal>
            <c:numRef>
              <c:f>'Experiment 1'!$B$6:$B$34</c:f>
              <c:numCache>
                <c:formatCode>0</c:formatCode>
                <c:ptCount val="2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numCache>
            </c:numRef>
          </c:xVal>
          <c:yVal>
            <c:numRef>
              <c:f>'Experiment 1'!$F$6:$F$34</c:f>
              <c:numCache>
                <c:formatCode>0</c:formatCode>
                <c:ptCount val="29"/>
                <c:pt idx="0">
                  <c:v>4293339.08</c:v>
                </c:pt>
                <c:pt idx="1">
                  <c:v>3714179.24</c:v>
                </c:pt>
                <c:pt idx="2">
                  <c:v>1432013.68</c:v>
                </c:pt>
                <c:pt idx="3">
                  <c:v>590852.96</c:v>
                </c:pt>
                <c:pt idx="4">
                  <c:v>301273.04000000004</c:v>
                </c:pt>
                <c:pt idx="5">
                  <c:v>204746.40000000002</c:v>
                </c:pt>
                <c:pt idx="6">
                  <c:v>142693.56</c:v>
                </c:pt>
                <c:pt idx="7">
                  <c:v>122009.28</c:v>
                </c:pt>
                <c:pt idx="8">
                  <c:v>108219.76</c:v>
                </c:pt>
                <c:pt idx="9">
                  <c:v>108219.76</c:v>
                </c:pt>
                <c:pt idx="10">
                  <c:v>108219.76</c:v>
                </c:pt>
                <c:pt idx="11">
                  <c:v>101325</c:v>
                </c:pt>
                <c:pt idx="12">
                  <c:v>101325</c:v>
                </c:pt>
                <c:pt idx="13">
                  <c:v>101325</c:v>
                </c:pt>
                <c:pt idx="14">
                  <c:v>101325</c:v>
                </c:pt>
                <c:pt idx="15">
                  <c:v>101325</c:v>
                </c:pt>
                <c:pt idx="16">
                  <c:v>101325</c:v>
                </c:pt>
                <c:pt idx="17">
                  <c:v>101325</c:v>
                </c:pt>
                <c:pt idx="18">
                  <c:v>101325</c:v>
                </c:pt>
                <c:pt idx="19">
                  <c:v>101325</c:v>
                </c:pt>
                <c:pt idx="20">
                  <c:v>101325</c:v>
                </c:pt>
                <c:pt idx="21">
                  <c:v>101325</c:v>
                </c:pt>
                <c:pt idx="22">
                  <c:v>101325</c:v>
                </c:pt>
                <c:pt idx="23">
                  <c:v>101325</c:v>
                </c:pt>
                <c:pt idx="24">
                  <c:v>101325</c:v>
                </c:pt>
                <c:pt idx="25">
                  <c:v>101325</c:v>
                </c:pt>
                <c:pt idx="26">
                  <c:v>101325</c:v>
                </c:pt>
                <c:pt idx="27">
                  <c:v>101325</c:v>
                </c:pt>
                <c:pt idx="28">
                  <c:v>101325</c:v>
                </c:pt>
              </c:numCache>
            </c:numRef>
          </c:yVal>
          <c:smooth val="0"/>
          <c:extLst>
            <c:ext xmlns:c16="http://schemas.microsoft.com/office/drawing/2014/chart" uri="{C3380CC4-5D6E-409C-BE32-E72D297353CC}">
              <c16:uniqueId val="{00000001-D8BB-C145-8316-4CDBD5BBD418}"/>
            </c:ext>
          </c:extLst>
        </c:ser>
        <c:dLbls>
          <c:showLegendKey val="0"/>
          <c:showVal val="0"/>
          <c:showCatName val="0"/>
          <c:showSerName val="0"/>
          <c:showPercent val="0"/>
          <c:showBubbleSize val="0"/>
        </c:dLbls>
        <c:axId val="142669184"/>
        <c:axId val="142670832"/>
      </c:scatterChart>
      <c:valAx>
        <c:axId val="142669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(s)</a:t>
                </a:r>
                <a:endParaRPr lang="en-US"/>
              </a:p>
            </c:rich>
          </c:tx>
          <c:layout>
            <c:manualLayout>
              <c:xMode val="edge"/>
              <c:yMode val="edge"/>
              <c:x val="0.48708448506184709"/>
              <c:y val="0.912910478979293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70832"/>
        <c:crosses val="autoZero"/>
        <c:crossBetween val="midCat"/>
      </c:valAx>
      <c:valAx>
        <c:axId val="14267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pressure</a:t>
                </a:r>
                <a:r>
                  <a:rPr lang="en-US" baseline="0"/>
                  <a:t> (Pa)</a:t>
                </a:r>
                <a:endParaRPr lang="en-US"/>
              </a:p>
            </c:rich>
          </c:tx>
          <c:layout>
            <c:manualLayout>
              <c:xMode val="edge"/>
              <c:yMode val="edge"/>
              <c:x val="1.1458425050940982E-2"/>
              <c:y val="0.425520859628750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69184"/>
        <c:crosses val="autoZero"/>
        <c:crossBetween val="midCat"/>
      </c:valAx>
      <c:spPr>
        <a:noFill/>
        <a:ln>
          <a:noFill/>
        </a:ln>
        <a:effectLst/>
      </c:spPr>
    </c:plotArea>
    <c:legend>
      <c:legendPos val="r"/>
      <c:layout>
        <c:manualLayout>
          <c:xMode val="edge"/>
          <c:yMode val="edge"/>
          <c:x val="0.51344113738605934"/>
          <c:y val="0.30981861871825017"/>
          <c:w val="0.18499617550033767"/>
          <c:h val="0.125472430215276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delta_pressure_decay</a:t>
            </a:r>
            <a:endParaRPr lang="en-US" b="1"/>
          </a:p>
        </c:rich>
      </c:tx>
      <c:layout>
        <c:manualLayout>
          <c:xMode val="edge"/>
          <c:yMode val="edge"/>
          <c:x val="0.40452018840909892"/>
          <c:y val="2.79602930181008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76297205948301"/>
          <c:y val="0.11204672710705932"/>
          <c:w val="0.78145075500087358"/>
          <c:h val="0.72759179655100292"/>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14410534181820503"/>
                  <c:y val="-0.40466153139702893"/>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errBars>
            <c:errDir val="y"/>
            <c:errBarType val="both"/>
            <c:errValType val="fixedVal"/>
            <c:noEndCap val="0"/>
            <c:val val="5171"/>
            <c:spPr>
              <a:noFill/>
              <a:ln w="9525" cap="flat" cmpd="sng" algn="ctr">
                <a:solidFill>
                  <a:schemeClr val="tx1">
                    <a:lumMod val="65000"/>
                    <a:lumOff val="35000"/>
                  </a:schemeClr>
                </a:solidFill>
                <a:round/>
              </a:ln>
              <a:effectLst/>
            </c:spPr>
          </c:errBars>
          <c:xVal>
            <c:numRef>
              <c:f>'Experiment 1'!$B$17:$B$34</c:f>
              <c:numCache>
                <c:formatCode>0</c:formatCode>
                <c:ptCount val="18"/>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pt idx="15">
                  <c:v>26</c:v>
                </c:pt>
                <c:pt idx="16">
                  <c:v>27</c:v>
                </c:pt>
                <c:pt idx="17">
                  <c:v>28</c:v>
                </c:pt>
              </c:numCache>
            </c:numRef>
          </c:xVal>
          <c:yVal>
            <c:numRef>
              <c:f>'Experiment 1'!$E$17:$E$34</c:f>
              <c:numCache>
                <c:formatCode>0</c:formatCode>
                <c:ptCount val="18"/>
                <c:pt idx="0">
                  <c:v>273700</c:v>
                </c:pt>
                <c:pt idx="1">
                  <c:v>218540</c:v>
                </c:pt>
                <c:pt idx="2">
                  <c:v>184065</c:v>
                </c:pt>
                <c:pt idx="3">
                  <c:v>156485</c:v>
                </c:pt>
                <c:pt idx="4">
                  <c:v>142695</c:v>
                </c:pt>
                <c:pt idx="5">
                  <c:v>128905</c:v>
                </c:pt>
                <c:pt idx="6">
                  <c:v>122010</c:v>
                </c:pt>
                <c:pt idx="7">
                  <c:v>122010</c:v>
                </c:pt>
                <c:pt idx="8">
                  <c:v>115115</c:v>
                </c:pt>
                <c:pt idx="9">
                  <c:v>115115</c:v>
                </c:pt>
                <c:pt idx="10">
                  <c:v>108220</c:v>
                </c:pt>
                <c:pt idx="11">
                  <c:v>108220</c:v>
                </c:pt>
                <c:pt idx="12">
                  <c:v>108220</c:v>
                </c:pt>
                <c:pt idx="13">
                  <c:v>108220</c:v>
                </c:pt>
                <c:pt idx="14">
                  <c:v>108220</c:v>
                </c:pt>
                <c:pt idx="15">
                  <c:v>108220</c:v>
                </c:pt>
                <c:pt idx="16">
                  <c:v>101325</c:v>
                </c:pt>
                <c:pt idx="17">
                  <c:v>101325</c:v>
                </c:pt>
              </c:numCache>
            </c:numRef>
          </c:yVal>
          <c:smooth val="0"/>
          <c:extLst>
            <c:ext xmlns:c16="http://schemas.microsoft.com/office/drawing/2014/chart" uri="{C3380CC4-5D6E-409C-BE32-E72D297353CC}">
              <c16:uniqueId val="{00000000-C80A-5D40-BB80-83254984E2A2}"/>
            </c:ext>
          </c:extLst>
        </c:ser>
        <c:dLbls>
          <c:showLegendKey val="0"/>
          <c:showVal val="0"/>
          <c:showCatName val="0"/>
          <c:showSerName val="0"/>
          <c:showPercent val="0"/>
          <c:showBubbleSize val="0"/>
        </c:dLbls>
        <c:axId val="142669184"/>
        <c:axId val="142670832"/>
      </c:scatterChart>
      <c:valAx>
        <c:axId val="142669184"/>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(s)</a:t>
                </a:r>
                <a:endParaRPr lang="en-US"/>
              </a:p>
            </c:rich>
          </c:tx>
          <c:layout>
            <c:manualLayout>
              <c:xMode val="edge"/>
              <c:yMode val="edge"/>
              <c:x val="0.48708448506184709"/>
              <c:y val="0.912910478979293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70832"/>
        <c:crosses val="autoZero"/>
        <c:crossBetween val="midCat"/>
      </c:valAx>
      <c:valAx>
        <c:axId val="142670832"/>
        <c:scaling>
          <c:orientation val="minMax"/>
          <c:max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pressure</a:t>
                </a:r>
                <a:r>
                  <a:rPr lang="en-US" baseline="0"/>
                  <a:t> (Pa)</a:t>
                </a:r>
                <a:endParaRPr lang="en-US"/>
              </a:p>
            </c:rich>
          </c:tx>
          <c:layout>
            <c:manualLayout>
              <c:xMode val="edge"/>
              <c:yMode val="edge"/>
              <c:x val="1.1458425050940982E-2"/>
              <c:y val="0.425520859628750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69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pressure_decay</a:t>
            </a:r>
            <a:endParaRPr lang="en-US" b="1"/>
          </a:p>
        </c:rich>
      </c:tx>
      <c:layout>
        <c:manualLayout>
          <c:xMode val="edge"/>
          <c:yMode val="edge"/>
          <c:x val="0.40452018840909892"/>
          <c:y val="2.79602930181008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76297205948301"/>
          <c:y val="0.11204672710705932"/>
          <c:w val="0.78145075500087358"/>
          <c:h val="0.72759179655100292"/>
        </c:manualLayout>
      </c:layout>
      <c:scatterChart>
        <c:scatterStyle val="lineMarker"/>
        <c:varyColors val="0"/>
        <c:ser>
          <c:idx val="0"/>
          <c:order val="0"/>
          <c:tx>
            <c:v>experimental</c:v>
          </c:tx>
          <c:spPr>
            <a:ln w="2540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5171"/>
            <c:spPr>
              <a:noFill/>
              <a:ln w="9525" cap="flat" cmpd="sng" algn="ctr">
                <a:solidFill>
                  <a:schemeClr val="tx1">
                    <a:lumMod val="65000"/>
                    <a:lumOff val="35000"/>
                  </a:schemeClr>
                </a:solidFill>
                <a:round/>
              </a:ln>
              <a:effectLst/>
            </c:spPr>
          </c:errBars>
          <c:xVal>
            <c:numRef>
              <c:f>'Experiment 1'!$B$6:$B$34</c:f>
              <c:numCache>
                <c:formatCode>0</c:formatCode>
                <c:ptCount val="2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numCache>
            </c:numRef>
          </c:xVal>
          <c:yVal>
            <c:numRef>
              <c:f>'Experiment 1'!$E$6:$E$34</c:f>
              <c:numCache>
                <c:formatCode>0</c:formatCode>
                <c:ptCount val="29"/>
                <c:pt idx="0">
                  <c:v>4293339.08</c:v>
                </c:pt>
                <c:pt idx="1">
                  <c:v>4196812.4399999995</c:v>
                </c:pt>
                <c:pt idx="2">
                  <c:v>3203967</c:v>
                </c:pt>
                <c:pt idx="3">
                  <c:v>2328332.48</c:v>
                </c:pt>
                <c:pt idx="4">
                  <c:v>1687119.8</c:v>
                </c:pt>
                <c:pt idx="5">
                  <c:v>1238960.4000000001</c:v>
                </c:pt>
                <c:pt idx="6">
                  <c:v>914906.68</c:v>
                </c:pt>
                <c:pt idx="7">
                  <c:v>701169.12</c:v>
                </c:pt>
                <c:pt idx="8">
                  <c:v>521905.36</c:v>
                </c:pt>
                <c:pt idx="9">
                  <c:v>432273.48</c:v>
                </c:pt>
                <c:pt idx="10">
                  <c:v>342641.6</c:v>
                </c:pt>
                <c:pt idx="11">
                  <c:v>273700</c:v>
                </c:pt>
                <c:pt idx="12">
                  <c:v>218540</c:v>
                </c:pt>
                <c:pt idx="13">
                  <c:v>184065</c:v>
                </c:pt>
                <c:pt idx="14">
                  <c:v>156485</c:v>
                </c:pt>
                <c:pt idx="15">
                  <c:v>142695</c:v>
                </c:pt>
                <c:pt idx="16">
                  <c:v>128905</c:v>
                </c:pt>
                <c:pt idx="17">
                  <c:v>122010</c:v>
                </c:pt>
                <c:pt idx="18">
                  <c:v>122010</c:v>
                </c:pt>
                <c:pt idx="19">
                  <c:v>115115</c:v>
                </c:pt>
                <c:pt idx="20">
                  <c:v>115115</c:v>
                </c:pt>
                <c:pt idx="21">
                  <c:v>108220</c:v>
                </c:pt>
                <c:pt idx="22">
                  <c:v>108220</c:v>
                </c:pt>
                <c:pt idx="23">
                  <c:v>108220</c:v>
                </c:pt>
                <c:pt idx="24">
                  <c:v>108220</c:v>
                </c:pt>
                <c:pt idx="25">
                  <c:v>108220</c:v>
                </c:pt>
                <c:pt idx="26">
                  <c:v>108220</c:v>
                </c:pt>
                <c:pt idx="27">
                  <c:v>101325</c:v>
                </c:pt>
                <c:pt idx="28">
                  <c:v>101325</c:v>
                </c:pt>
              </c:numCache>
            </c:numRef>
          </c:yVal>
          <c:smooth val="0"/>
          <c:extLst>
            <c:ext xmlns:c16="http://schemas.microsoft.com/office/drawing/2014/chart" uri="{C3380CC4-5D6E-409C-BE32-E72D297353CC}">
              <c16:uniqueId val="{00000000-4EE2-8B4B-9E4C-03316DD5116A}"/>
            </c:ext>
          </c:extLst>
        </c:ser>
        <c:ser>
          <c:idx val="1"/>
          <c:order val="1"/>
          <c:tx>
            <c:v>theoretical</c:v>
          </c:tx>
          <c:spPr>
            <a:ln w="25400" cap="rnd">
              <a:noFill/>
              <a:round/>
            </a:ln>
            <a:effectLst/>
          </c:spPr>
          <c:marker>
            <c:symbol val="circle"/>
            <c:size val="5"/>
            <c:spPr>
              <a:solidFill>
                <a:schemeClr val="accent2"/>
              </a:solidFill>
              <a:ln w="9525">
                <a:solidFill>
                  <a:schemeClr val="accent2"/>
                </a:solidFill>
              </a:ln>
              <a:effectLst/>
            </c:spPr>
          </c:marker>
          <c:xVal>
            <c:numRef>
              <c:f>'Experiment 1'!$B$58:$B$108</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xVal>
          <c:yVal>
            <c:numRef>
              <c:f>'Experiment 1'!$D$58:$D$108</c:f>
              <c:numCache>
                <c:formatCode>General</c:formatCode>
                <c:ptCount val="51"/>
                <c:pt idx="0">
                  <c:v>4293339</c:v>
                </c:pt>
                <c:pt idx="1">
                  <c:v>4241214.5999999996</c:v>
                </c:pt>
                <c:pt idx="2">
                  <c:v>3796228.1681591002</c:v>
                </c:pt>
                <c:pt idx="3">
                  <c:v>2754816.4420286999</c:v>
                </c:pt>
                <c:pt idx="4">
                  <c:v>1998764.0238288001</c:v>
                </c:pt>
                <c:pt idx="5">
                  <c:v>1502543.733396</c:v>
                </c:pt>
                <c:pt idx="6">
                  <c:v>1144665.0290923</c:v>
                </c:pt>
                <c:pt idx="7">
                  <c:v>883700.44301844004</c:v>
                </c:pt>
                <c:pt idx="8">
                  <c:v>675074.12827643997</c:v>
                </c:pt>
                <c:pt idx="9">
                  <c:v>510099.30249228003</c:v>
                </c:pt>
                <c:pt idx="10">
                  <c:v>381335.13539472001</c:v>
                </c:pt>
                <c:pt idx="11">
                  <c:v>287233.79883218999</c:v>
                </c:pt>
                <c:pt idx="12">
                  <c:v>221268.34008947</c:v>
                </c:pt>
                <c:pt idx="13">
                  <c:v>177755.19630714</c:v>
                </c:pt>
                <c:pt idx="14">
                  <c:v>149702.95061959999</c:v>
                </c:pt>
                <c:pt idx="15">
                  <c:v>131849.21391476999</c:v>
                </c:pt>
                <c:pt idx="16">
                  <c:v>120558.20723045</c:v>
                </c:pt>
                <c:pt idx="17">
                  <c:v>113437.85200463</c:v>
                </c:pt>
                <c:pt idx="18">
                  <c:v>108952.64957482999</c:v>
                </c:pt>
                <c:pt idx="19">
                  <c:v>106128.36553200999</c:v>
                </c:pt>
                <c:pt idx="20">
                  <c:v>104350.02644017999</c:v>
                </c:pt>
                <c:pt idx="21">
                  <c:v>103230.21034582</c:v>
                </c:pt>
                <c:pt idx="22">
                  <c:v>102525.00822324</c:v>
                </c:pt>
                <c:pt idx="23">
                  <c:v>102080.87523026</c:v>
                </c:pt>
                <c:pt idx="24">
                  <c:v>101801.14430764</c:v>
                </c:pt>
                <c:pt idx="25">
                  <c:v>101624.95141335001</c:v>
                </c:pt>
                <c:pt idx="26">
                  <c:v>101513.96630761</c:v>
                </c:pt>
                <c:pt idx="27">
                  <c:v>101444.05261757001</c:v>
                </c:pt>
                <c:pt idx="28">
                  <c:v>101400.00922689</c:v>
                </c:pt>
                <c:pt idx="29">
                  <c:v>101372.26194601999</c:v>
                </c:pt>
                <c:pt idx="30">
                  <c:v>101354.78190433</c:v>
                </c:pt>
                <c:pt idx="31">
                  <c:v>101343.76782581001</c:v>
                </c:pt>
                <c:pt idx="32">
                  <c:v>101336.82756934001</c:v>
                </c:pt>
                <c:pt idx="33">
                  <c:v>101332.45411799</c:v>
                </c:pt>
                <c:pt idx="34">
                  <c:v>101329.69802390999</c:v>
                </c:pt>
                <c:pt idx="35">
                  <c:v>101327.96265051</c:v>
                </c:pt>
                <c:pt idx="36">
                  <c:v>101326.86836289</c:v>
                </c:pt>
                <c:pt idx="37">
                  <c:v>101326.17830086</c:v>
                </c:pt>
                <c:pt idx="38">
                  <c:v>101325.74312822999</c:v>
                </c:pt>
                <c:pt idx="39">
                  <c:v>101325.46868637</c:v>
                </c:pt>
                <c:pt idx="40">
                  <c:v>101325.29716325999</c:v>
                </c:pt>
                <c:pt idx="41">
                  <c:v>101325.18841495999</c:v>
                </c:pt>
                <c:pt idx="42">
                  <c:v>101325.11946525</c:v>
                </c:pt>
                <c:pt idx="43">
                  <c:v>101325.07574817</c:v>
                </c:pt>
                <c:pt idx="44">
                  <c:v>101325.04802921999</c:v>
                </c:pt>
                <c:pt idx="45">
                  <c:v>101325.03205148999</c:v>
                </c:pt>
                <c:pt idx="46">
                  <c:v>101325.02138902</c:v>
                </c:pt>
                <c:pt idx="47">
                  <c:v>101325.01427357001</c:v>
                </c:pt>
                <c:pt idx="48">
                  <c:v>101325.00952516</c:v>
                </c:pt>
                <c:pt idx="49">
                  <c:v>101325.00635638001</c:v>
                </c:pt>
                <c:pt idx="50">
                  <c:v>101325.00424174</c:v>
                </c:pt>
              </c:numCache>
            </c:numRef>
          </c:yVal>
          <c:smooth val="0"/>
          <c:extLst>
            <c:ext xmlns:c16="http://schemas.microsoft.com/office/drawing/2014/chart" uri="{C3380CC4-5D6E-409C-BE32-E72D297353CC}">
              <c16:uniqueId val="{00000003-4EE2-8B4B-9E4C-03316DD5116A}"/>
            </c:ext>
          </c:extLst>
        </c:ser>
        <c:dLbls>
          <c:showLegendKey val="0"/>
          <c:showVal val="0"/>
          <c:showCatName val="0"/>
          <c:showSerName val="0"/>
          <c:showPercent val="0"/>
          <c:showBubbleSize val="0"/>
        </c:dLbls>
        <c:axId val="142669184"/>
        <c:axId val="142670832"/>
      </c:scatterChart>
      <c:valAx>
        <c:axId val="142669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time</a:t>
                </a:r>
                <a:r>
                  <a:rPr lang="en-US" sz="1600" baseline="0"/>
                  <a:t> (s)</a:t>
                </a:r>
                <a:endParaRPr lang="en-US" sz="1600"/>
              </a:p>
            </c:rich>
          </c:tx>
          <c:layout>
            <c:manualLayout>
              <c:xMode val="edge"/>
              <c:yMode val="edge"/>
              <c:x val="0.48708448506184709"/>
              <c:y val="0.9129104789792930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2670832"/>
        <c:crosses val="autoZero"/>
        <c:crossBetween val="midCat"/>
      </c:valAx>
      <c:valAx>
        <c:axId val="14267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pressure</a:t>
                </a:r>
                <a:r>
                  <a:rPr lang="en-US" sz="1600" baseline="0"/>
                  <a:t> (Pa)</a:t>
                </a:r>
                <a:endParaRPr lang="en-US" sz="1600"/>
              </a:p>
            </c:rich>
          </c:tx>
          <c:layout>
            <c:manualLayout>
              <c:xMode val="edge"/>
              <c:yMode val="edge"/>
              <c:x val="1.1458425050940982E-2"/>
              <c:y val="0.4255208596287508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669184"/>
        <c:crosses val="autoZero"/>
        <c:crossBetween val="midCat"/>
      </c:valAx>
      <c:spPr>
        <a:noFill/>
        <a:ln>
          <a:noFill/>
        </a:ln>
        <a:effectLst/>
      </c:spPr>
    </c:plotArea>
    <c:legend>
      <c:legendPos val="r"/>
      <c:layout>
        <c:manualLayout>
          <c:xMode val="edge"/>
          <c:yMode val="edge"/>
          <c:x val="0.51344113738605934"/>
          <c:y val="0.30981861871825017"/>
          <c:w val="0.21295187876768851"/>
          <c:h val="0.13626326812888939"/>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pressure_decay</a:t>
            </a:r>
            <a:endParaRPr lang="en-US" b="1"/>
          </a:p>
        </c:rich>
      </c:tx>
      <c:layout>
        <c:manualLayout>
          <c:xMode val="edge"/>
          <c:yMode val="edge"/>
          <c:x val="0.47122686042518225"/>
          <c:y val="2.796038310411412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76297205948301"/>
          <c:y val="0.11204672710705932"/>
          <c:w val="0.78145075500087358"/>
          <c:h val="0.72759179655100292"/>
        </c:manualLayout>
      </c:layout>
      <c:scatterChart>
        <c:scatterStyle val="lineMarker"/>
        <c:varyColors val="0"/>
        <c:ser>
          <c:idx val="0"/>
          <c:order val="0"/>
          <c:tx>
            <c:v>experimental</c:v>
          </c:tx>
          <c:spPr>
            <a:ln w="2540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5171"/>
            <c:spPr>
              <a:noFill/>
              <a:ln w="9525" cap="flat" cmpd="sng" algn="ctr">
                <a:solidFill>
                  <a:schemeClr val="tx1">
                    <a:lumMod val="65000"/>
                    <a:lumOff val="35000"/>
                  </a:schemeClr>
                </a:solidFill>
                <a:round/>
              </a:ln>
              <a:effectLst/>
            </c:spPr>
          </c:errBars>
          <c:xVal>
            <c:numRef>
              <c:f>'Experiment 2'!$B$6:$B$50</c:f>
              <c:numCache>
                <c:formatCode>0</c:formatCod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numCache>
            </c:numRef>
          </c:xVal>
          <c:yVal>
            <c:numRef>
              <c:f>'Experiment 2'!$E$6:$E$50</c:f>
              <c:numCache>
                <c:formatCode>0</c:formatCode>
                <c:ptCount val="45"/>
                <c:pt idx="0">
                  <c:v>5713659.6400000006</c:v>
                </c:pt>
                <c:pt idx="1">
                  <c:v>5362026.88</c:v>
                </c:pt>
                <c:pt idx="2">
                  <c:v>4445023.8</c:v>
                </c:pt>
                <c:pt idx="3">
                  <c:v>3590073.56</c:v>
                </c:pt>
                <c:pt idx="4">
                  <c:v>2893702.8000000003</c:v>
                </c:pt>
                <c:pt idx="5">
                  <c:v>2335227.2400000002</c:v>
                </c:pt>
                <c:pt idx="6">
                  <c:v>1900857.36</c:v>
                </c:pt>
                <c:pt idx="7">
                  <c:v>1542329.84</c:v>
                </c:pt>
                <c:pt idx="8">
                  <c:v>1280328.96</c:v>
                </c:pt>
                <c:pt idx="9">
                  <c:v>1066591.3999999999</c:v>
                </c:pt>
                <c:pt idx="10">
                  <c:v>880432.88</c:v>
                </c:pt>
                <c:pt idx="11">
                  <c:v>742537.68</c:v>
                </c:pt>
                <c:pt idx="12">
                  <c:v>604642.48</c:v>
                </c:pt>
                <c:pt idx="13">
                  <c:v>515010.60000000003</c:v>
                </c:pt>
                <c:pt idx="14">
                  <c:v>439168.24</c:v>
                </c:pt>
                <c:pt idx="15">
                  <c:v>377115.4</c:v>
                </c:pt>
                <c:pt idx="16">
                  <c:v>321957.32</c:v>
                </c:pt>
                <c:pt idx="17">
                  <c:v>280588.76</c:v>
                </c:pt>
                <c:pt idx="18">
                  <c:v>246114.96</c:v>
                </c:pt>
                <c:pt idx="19">
                  <c:v>218535.91999999998</c:v>
                </c:pt>
                <c:pt idx="20">
                  <c:v>197851.64</c:v>
                </c:pt>
                <c:pt idx="21">
                  <c:v>177167.35999999999</c:v>
                </c:pt>
                <c:pt idx="22">
                  <c:v>163377.84</c:v>
                </c:pt>
                <c:pt idx="23">
                  <c:v>156483.08000000002</c:v>
                </c:pt>
                <c:pt idx="24">
                  <c:v>149588.32</c:v>
                </c:pt>
                <c:pt idx="25">
                  <c:v>135798.79999999999</c:v>
                </c:pt>
                <c:pt idx="26">
                  <c:v>135798.79999999999</c:v>
                </c:pt>
                <c:pt idx="27">
                  <c:v>128904.04000000001</c:v>
                </c:pt>
                <c:pt idx="28">
                  <c:v>128904.04000000001</c:v>
                </c:pt>
                <c:pt idx="29">
                  <c:v>122009.28</c:v>
                </c:pt>
                <c:pt idx="30">
                  <c:v>122009.28</c:v>
                </c:pt>
                <c:pt idx="31">
                  <c:v>115114.52</c:v>
                </c:pt>
                <c:pt idx="32">
                  <c:v>115114.52</c:v>
                </c:pt>
                <c:pt idx="33">
                  <c:v>115114.52</c:v>
                </c:pt>
                <c:pt idx="34">
                  <c:v>115114.52</c:v>
                </c:pt>
                <c:pt idx="35">
                  <c:v>108219.76</c:v>
                </c:pt>
                <c:pt idx="36">
                  <c:v>108219.76</c:v>
                </c:pt>
                <c:pt idx="37">
                  <c:v>108219.76</c:v>
                </c:pt>
                <c:pt idx="38">
                  <c:v>108219.76</c:v>
                </c:pt>
                <c:pt idx="39">
                  <c:v>108219.76</c:v>
                </c:pt>
                <c:pt idx="40">
                  <c:v>108219.76</c:v>
                </c:pt>
                <c:pt idx="41">
                  <c:v>108219.76</c:v>
                </c:pt>
                <c:pt idx="42">
                  <c:v>108219.76</c:v>
                </c:pt>
                <c:pt idx="43">
                  <c:v>101325</c:v>
                </c:pt>
                <c:pt idx="44">
                  <c:v>101325</c:v>
                </c:pt>
              </c:numCache>
            </c:numRef>
          </c:yVal>
          <c:smooth val="0"/>
          <c:extLst>
            <c:ext xmlns:c16="http://schemas.microsoft.com/office/drawing/2014/chart" uri="{C3380CC4-5D6E-409C-BE32-E72D297353CC}">
              <c16:uniqueId val="{00000000-0DEB-BD43-A63B-8E924B892381}"/>
            </c:ext>
          </c:extLst>
        </c:ser>
        <c:ser>
          <c:idx val="1"/>
          <c:order val="1"/>
          <c:tx>
            <c:v>theoretical</c:v>
          </c:tx>
          <c:spPr>
            <a:ln w="25400" cap="rnd">
              <a:noFill/>
              <a:round/>
            </a:ln>
            <a:effectLst/>
          </c:spPr>
          <c:marker>
            <c:symbol val="circle"/>
            <c:size val="5"/>
            <c:spPr>
              <a:solidFill>
                <a:schemeClr val="accent2"/>
              </a:solidFill>
              <a:ln w="9525">
                <a:solidFill>
                  <a:schemeClr val="accent2"/>
                </a:solidFill>
              </a:ln>
              <a:effectLst/>
            </c:spPr>
          </c:marker>
          <c:xVal>
            <c:numRef>
              <c:f>'Experiment 2'!$B$59:$B$109</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xVal>
          <c:yVal>
            <c:numRef>
              <c:f>'Experiment 2'!$D$59:$D$109</c:f>
              <c:numCache>
                <c:formatCode>General</c:formatCode>
                <c:ptCount val="51"/>
                <c:pt idx="0">
                  <c:v>5714280.4960000003</c:v>
                </c:pt>
                <c:pt idx="1">
                  <c:v>5457381.7384000001</c:v>
                </c:pt>
                <c:pt idx="2">
                  <c:v>4285994.1001998996</c:v>
                </c:pt>
                <c:pt idx="3">
                  <c:v>3222088.9332808</c:v>
                </c:pt>
                <c:pt idx="4">
                  <c:v>2537378.9492927999</c:v>
                </c:pt>
                <c:pt idx="5">
                  <c:v>2069050.0347919001</c:v>
                </c:pt>
                <c:pt idx="6">
                  <c:v>1734218.2174575999</c:v>
                </c:pt>
                <c:pt idx="7">
                  <c:v>1477416.5998670999</c:v>
                </c:pt>
                <c:pt idx="8">
                  <c:v>1260328.9646310001</c:v>
                </c:pt>
                <c:pt idx="9">
                  <c:v>1063500.0135057</c:v>
                </c:pt>
                <c:pt idx="10">
                  <c:v>879792.15734310006</c:v>
                </c:pt>
                <c:pt idx="11">
                  <c:v>712248.79466040002</c:v>
                </c:pt>
                <c:pt idx="12">
                  <c:v>569246.77229180001</c:v>
                </c:pt>
                <c:pt idx="13">
                  <c:v>448024.76714457001</c:v>
                </c:pt>
                <c:pt idx="14">
                  <c:v>350522.79082346999</c:v>
                </c:pt>
                <c:pt idx="15">
                  <c:v>276132.55028179003</c:v>
                </c:pt>
                <c:pt idx="16">
                  <c:v>221864.36224756</c:v>
                </c:pt>
                <c:pt idx="17">
                  <c:v>183548.29356168001</c:v>
                </c:pt>
                <c:pt idx="18">
                  <c:v>157060.95818118</c:v>
                </c:pt>
                <c:pt idx="19">
                  <c:v>138978.5670487</c:v>
                </c:pt>
                <c:pt idx="20">
                  <c:v>126719.52196907</c:v>
                </c:pt>
                <c:pt idx="21">
                  <c:v>118438.51986183001</c:v>
                </c:pt>
                <c:pt idx="22">
                  <c:v>112854.54683684</c:v>
                </c:pt>
                <c:pt idx="23">
                  <c:v>109092.11671854999</c:v>
                </c:pt>
                <c:pt idx="24">
                  <c:v>106557.71648189001</c:v>
                </c:pt>
                <c:pt idx="25">
                  <c:v>104850.59137504001</c:v>
                </c:pt>
                <c:pt idx="26">
                  <c:v>103700.62920882</c:v>
                </c:pt>
                <c:pt idx="27">
                  <c:v>102925.90894085</c:v>
                </c:pt>
                <c:pt idx="28">
                  <c:v>102403.93031553</c:v>
                </c:pt>
                <c:pt idx="29">
                  <c:v>102052.20361784</c:v>
                </c:pt>
                <c:pt idx="30">
                  <c:v>101815.17563909999</c:v>
                </c:pt>
                <c:pt idx="31">
                  <c:v>101655.43025342999</c:v>
                </c:pt>
                <c:pt idx="32">
                  <c:v>101547.75941034</c:v>
                </c:pt>
                <c:pt idx="33">
                  <c:v>101475.18216389</c:v>
                </c:pt>
                <c:pt idx="34">
                  <c:v>101426.25691599</c:v>
                </c:pt>
                <c:pt idx="35">
                  <c:v>101393.27365680999</c:v>
                </c:pt>
                <c:pt idx="36">
                  <c:v>101371.0364598</c:v>
                </c:pt>
                <c:pt idx="37">
                  <c:v>101356.04474079001</c:v>
                </c:pt>
                <c:pt idx="38">
                  <c:v>101345.93586374</c:v>
                </c:pt>
                <c:pt idx="39">
                  <c:v>101339.11915586999</c:v>
                </c:pt>
                <c:pt idx="40">
                  <c:v>101334.52225711</c:v>
                </c:pt>
                <c:pt idx="41">
                  <c:v>101331.4221841</c:v>
                </c:pt>
                <c:pt idx="42">
                  <c:v>101329.33147362</c:v>
                </c:pt>
                <c:pt idx="43">
                  <c:v>101327.92271011999</c:v>
                </c:pt>
                <c:pt idx="44">
                  <c:v>101326.97216301</c:v>
                </c:pt>
                <c:pt idx="45">
                  <c:v>101326.33077741999</c:v>
                </c:pt>
                <c:pt idx="46">
                  <c:v>101325.89799143</c:v>
                </c:pt>
                <c:pt idx="47">
                  <c:v>101325.60595698</c:v>
                </c:pt>
                <c:pt idx="48">
                  <c:v>101325.40889608</c:v>
                </c:pt>
                <c:pt idx="49">
                  <c:v>101325.27711877</c:v>
                </c:pt>
                <c:pt idx="50">
                  <c:v>101325.18780976</c:v>
                </c:pt>
              </c:numCache>
            </c:numRef>
          </c:yVal>
          <c:smooth val="0"/>
          <c:extLst>
            <c:ext xmlns:c16="http://schemas.microsoft.com/office/drawing/2014/chart" uri="{C3380CC4-5D6E-409C-BE32-E72D297353CC}">
              <c16:uniqueId val="{00000001-0DEB-BD43-A63B-8E924B892381}"/>
            </c:ext>
          </c:extLst>
        </c:ser>
        <c:dLbls>
          <c:showLegendKey val="0"/>
          <c:showVal val="0"/>
          <c:showCatName val="0"/>
          <c:showSerName val="0"/>
          <c:showPercent val="0"/>
          <c:showBubbleSize val="0"/>
        </c:dLbls>
        <c:axId val="142669184"/>
        <c:axId val="142670832"/>
      </c:scatterChart>
      <c:valAx>
        <c:axId val="142669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time</a:t>
                </a:r>
                <a:r>
                  <a:rPr lang="en-US" sz="1600" baseline="0"/>
                  <a:t> (s)</a:t>
                </a:r>
                <a:endParaRPr lang="en-US" sz="1600"/>
              </a:p>
            </c:rich>
          </c:tx>
          <c:layout>
            <c:manualLayout>
              <c:xMode val="edge"/>
              <c:yMode val="edge"/>
              <c:x val="0.48708448506184709"/>
              <c:y val="0.9129104789792930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2670832"/>
        <c:crosses val="autoZero"/>
        <c:crossBetween val="midCat"/>
      </c:valAx>
      <c:valAx>
        <c:axId val="14267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pressure</a:t>
                </a:r>
                <a:r>
                  <a:rPr lang="en-US" sz="1600" baseline="0"/>
                  <a:t> (Pa)</a:t>
                </a:r>
                <a:endParaRPr lang="en-US" sz="1600"/>
              </a:p>
            </c:rich>
          </c:tx>
          <c:layout>
            <c:manualLayout>
              <c:xMode val="edge"/>
              <c:yMode val="edge"/>
              <c:x val="1.1458425050940982E-2"/>
              <c:y val="0.4255208596287508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669184"/>
        <c:crosses val="autoZero"/>
        <c:crossBetween val="midCat"/>
      </c:valAx>
      <c:spPr>
        <a:noFill/>
        <a:ln>
          <a:noFill/>
        </a:ln>
        <a:effectLst/>
      </c:spPr>
    </c:plotArea>
    <c:legend>
      <c:legendPos val="r"/>
      <c:layout>
        <c:manualLayout>
          <c:xMode val="edge"/>
          <c:yMode val="edge"/>
          <c:x val="0.51344113738605934"/>
          <c:y val="0.30981861871825017"/>
          <c:w val="0.22547277665875365"/>
          <c:h val="0.1388793783088118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pressure_decay</a:t>
            </a:r>
            <a:endParaRPr lang="en-US" b="1"/>
          </a:p>
        </c:rich>
      </c:tx>
      <c:layout>
        <c:manualLayout>
          <c:xMode val="edge"/>
          <c:yMode val="edge"/>
          <c:x val="0.47122686042518225"/>
          <c:y val="2.796038310411412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881502481464772"/>
          <c:y val="0.11204672710705932"/>
          <c:w val="0.80026545275789385"/>
          <c:h val="0.72759179655100292"/>
        </c:manualLayout>
      </c:layout>
      <c:scatterChart>
        <c:scatterStyle val="lineMarker"/>
        <c:varyColors val="0"/>
        <c:ser>
          <c:idx val="0"/>
          <c:order val="0"/>
          <c:tx>
            <c:v>experimental</c:v>
          </c:tx>
          <c:spPr>
            <a:ln w="2540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5171"/>
            <c:spPr>
              <a:noFill/>
              <a:ln w="9525" cap="flat" cmpd="sng" algn="ctr">
                <a:solidFill>
                  <a:schemeClr val="tx1">
                    <a:lumMod val="65000"/>
                    <a:lumOff val="35000"/>
                  </a:schemeClr>
                </a:solidFill>
                <a:round/>
              </a:ln>
              <a:effectLst/>
            </c:spPr>
          </c:errBars>
          <c:xVal>
            <c:numRef>
              <c:f>'Experiment 3'!$B$6:$B$50</c:f>
              <c:numCache>
                <c:formatCode>0</c:formatCod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numCache>
            </c:numRef>
          </c:xVal>
          <c:yVal>
            <c:numRef>
              <c:f>'Experiment 3'!$E$6:$E$50</c:f>
              <c:numCache>
                <c:formatCode>0</c:formatCode>
                <c:ptCount val="45"/>
                <c:pt idx="0">
                  <c:v>6996085</c:v>
                </c:pt>
                <c:pt idx="1">
                  <c:v>6989190.2400000002</c:v>
                </c:pt>
                <c:pt idx="2">
                  <c:v>6989190.2400000002</c:v>
                </c:pt>
                <c:pt idx="3">
                  <c:v>6630662.7200000007</c:v>
                </c:pt>
                <c:pt idx="4">
                  <c:v>5665396.3200000003</c:v>
                </c:pt>
                <c:pt idx="5">
                  <c:v>4727708.96</c:v>
                </c:pt>
                <c:pt idx="6">
                  <c:v>3948601.08</c:v>
                </c:pt>
                <c:pt idx="7">
                  <c:v>3300493.64</c:v>
                </c:pt>
                <c:pt idx="8">
                  <c:v>2797176.16</c:v>
                </c:pt>
                <c:pt idx="9">
                  <c:v>2349016.7600000002</c:v>
                </c:pt>
                <c:pt idx="10">
                  <c:v>1969804.96</c:v>
                </c:pt>
                <c:pt idx="11">
                  <c:v>1652646</c:v>
                </c:pt>
                <c:pt idx="12">
                  <c:v>1390645.12</c:v>
                </c:pt>
                <c:pt idx="13">
                  <c:v>1183802.32</c:v>
                </c:pt>
                <c:pt idx="14">
                  <c:v>970064.76</c:v>
                </c:pt>
                <c:pt idx="15">
                  <c:v>839064.32000000007</c:v>
                </c:pt>
                <c:pt idx="16">
                  <c:v>701169.12</c:v>
                </c:pt>
                <c:pt idx="17">
                  <c:v>611537.24</c:v>
                </c:pt>
                <c:pt idx="18">
                  <c:v>549484.4</c:v>
                </c:pt>
                <c:pt idx="19">
                  <c:v>466747.28</c:v>
                </c:pt>
                <c:pt idx="20">
                  <c:v>404694.44</c:v>
                </c:pt>
                <c:pt idx="21">
                  <c:v>356431.12</c:v>
                </c:pt>
                <c:pt idx="22">
                  <c:v>315062.56</c:v>
                </c:pt>
                <c:pt idx="23">
                  <c:v>280588.76</c:v>
                </c:pt>
                <c:pt idx="24">
                  <c:v>253009.72</c:v>
                </c:pt>
                <c:pt idx="25">
                  <c:v>225430.68</c:v>
                </c:pt>
                <c:pt idx="26">
                  <c:v>204746.40000000002</c:v>
                </c:pt>
                <c:pt idx="27">
                  <c:v>190956.88</c:v>
                </c:pt>
                <c:pt idx="28">
                  <c:v>177167.35999999999</c:v>
                </c:pt>
                <c:pt idx="29">
                  <c:v>163377.84</c:v>
                </c:pt>
                <c:pt idx="30">
                  <c:v>156483.08000000002</c:v>
                </c:pt>
                <c:pt idx="31">
                  <c:v>149588.32</c:v>
                </c:pt>
                <c:pt idx="32">
                  <c:v>142693.56</c:v>
                </c:pt>
                <c:pt idx="33">
                  <c:v>135798.79999999999</c:v>
                </c:pt>
                <c:pt idx="34">
                  <c:v>135798.79999999999</c:v>
                </c:pt>
                <c:pt idx="35">
                  <c:v>128904.04000000001</c:v>
                </c:pt>
                <c:pt idx="36">
                  <c:v>122009.28</c:v>
                </c:pt>
                <c:pt idx="37">
                  <c:v>122009.28</c:v>
                </c:pt>
                <c:pt idx="38">
                  <c:v>122009.28</c:v>
                </c:pt>
                <c:pt idx="39">
                  <c:v>115114.52</c:v>
                </c:pt>
                <c:pt idx="40">
                  <c:v>115114.52</c:v>
                </c:pt>
                <c:pt idx="41">
                  <c:v>115114.52</c:v>
                </c:pt>
                <c:pt idx="42">
                  <c:v>115114.52</c:v>
                </c:pt>
                <c:pt idx="43">
                  <c:v>108219.76</c:v>
                </c:pt>
                <c:pt idx="44">
                  <c:v>108219.76</c:v>
                </c:pt>
              </c:numCache>
            </c:numRef>
          </c:yVal>
          <c:smooth val="0"/>
          <c:extLst>
            <c:ext xmlns:c16="http://schemas.microsoft.com/office/drawing/2014/chart" uri="{C3380CC4-5D6E-409C-BE32-E72D297353CC}">
              <c16:uniqueId val="{00000000-F559-B047-AF8E-95C1014942A0}"/>
            </c:ext>
          </c:extLst>
        </c:ser>
        <c:ser>
          <c:idx val="1"/>
          <c:order val="1"/>
          <c:tx>
            <c:v>theoretical</c:v>
          </c:tx>
          <c:spPr>
            <a:ln w="25400" cap="rnd">
              <a:noFill/>
              <a:round/>
            </a:ln>
            <a:effectLst/>
          </c:spPr>
          <c:marker>
            <c:symbol val="circle"/>
            <c:size val="5"/>
            <c:spPr>
              <a:solidFill>
                <a:schemeClr val="accent2"/>
              </a:solidFill>
              <a:ln w="9525">
                <a:solidFill>
                  <a:schemeClr val="accent2"/>
                </a:solidFill>
              </a:ln>
              <a:effectLst/>
            </c:spPr>
          </c:marker>
          <c:xVal>
            <c:numRef>
              <c:f>'Experiment 3'!$B$60:$B$110</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xVal>
          <c:yVal>
            <c:numRef>
              <c:f>'Experiment 3'!$D$60:$D$110</c:f>
              <c:numCache>
                <c:formatCode>General</c:formatCode>
                <c:ptCount val="51"/>
                <c:pt idx="0">
                  <c:v>7002980</c:v>
                </c:pt>
                <c:pt idx="1">
                  <c:v>7002980</c:v>
                </c:pt>
                <c:pt idx="2">
                  <c:v>7002979.9999999003</c:v>
                </c:pt>
                <c:pt idx="3">
                  <c:v>6692715.7999999002</c:v>
                </c:pt>
                <c:pt idx="4">
                  <c:v>5305467.9555930998</c:v>
                </c:pt>
                <c:pt idx="5">
                  <c:v>4041329.1311038998</c:v>
                </c:pt>
                <c:pt idx="6">
                  <c:v>3205114.1116590998</c:v>
                </c:pt>
                <c:pt idx="7">
                  <c:v>2685998.5866445</c:v>
                </c:pt>
                <c:pt idx="8">
                  <c:v>2313167.2868296001</c:v>
                </c:pt>
                <c:pt idx="9">
                  <c:v>2039699.6697239999</c:v>
                </c:pt>
                <c:pt idx="10">
                  <c:v>1816069.9933144001</c:v>
                </c:pt>
                <c:pt idx="11">
                  <c:v>1608888.7232551</c:v>
                </c:pt>
                <c:pt idx="12">
                  <c:v>1407122.645334</c:v>
                </c:pt>
                <c:pt idx="13">
                  <c:v>1222314.4254848999</c:v>
                </c:pt>
                <c:pt idx="14">
                  <c:v>1045482.5305946</c:v>
                </c:pt>
                <c:pt idx="15">
                  <c:v>878800.88680675998</c:v>
                </c:pt>
                <c:pt idx="16">
                  <c:v>725007.19330951001</c:v>
                </c:pt>
                <c:pt idx="17">
                  <c:v>587269.83984675002</c:v>
                </c:pt>
                <c:pt idx="18">
                  <c:v>468659.46344010002</c:v>
                </c:pt>
                <c:pt idx="19">
                  <c:v>371193.52186993998</c:v>
                </c:pt>
                <c:pt idx="20">
                  <c:v>294916.86347530998</c:v>
                </c:pt>
                <c:pt idx="21">
                  <c:v>237768.24702852001</c:v>
                </c:pt>
                <c:pt idx="22">
                  <c:v>196366.20591362001</c:v>
                </c:pt>
                <c:pt idx="23">
                  <c:v>167053.69467363</c:v>
                </c:pt>
                <c:pt idx="24">
                  <c:v>146596.6488695</c:v>
                </c:pt>
                <c:pt idx="25">
                  <c:v>132439.14531424001</c:v>
                </c:pt>
                <c:pt idx="26">
                  <c:v>122686.53559709</c:v>
                </c:pt>
                <c:pt idx="27">
                  <c:v>115984.37064851</c:v>
                </c:pt>
                <c:pt idx="28">
                  <c:v>111383.75261968</c:v>
                </c:pt>
                <c:pt idx="29">
                  <c:v>108227.16565715001</c:v>
                </c:pt>
                <c:pt idx="30">
                  <c:v>106061.61158933</c:v>
                </c:pt>
                <c:pt idx="31">
                  <c:v>104575.88173859</c:v>
                </c:pt>
                <c:pt idx="32">
                  <c:v>103556.44479618</c:v>
                </c:pt>
                <c:pt idx="33">
                  <c:v>102856.86209915001</c:v>
                </c:pt>
                <c:pt idx="34">
                  <c:v>102376.71338307</c:v>
                </c:pt>
                <c:pt idx="35">
                  <c:v>102047.12899555999</c:v>
                </c:pt>
                <c:pt idx="36">
                  <c:v>101820.86961323</c:v>
                </c:pt>
                <c:pt idx="37">
                  <c:v>101665.5284127</c:v>
                </c:pt>
                <c:pt idx="38">
                  <c:v>101558.86594103</c:v>
                </c:pt>
                <c:pt idx="39">
                  <c:v>101485.62202706</c:v>
                </c:pt>
                <c:pt idx="40">
                  <c:v>101435.32266631001</c:v>
                </c:pt>
                <c:pt idx="41">
                  <c:v>101400.77800871</c:v>
                </c:pt>
                <c:pt idx="42">
                  <c:v>101377.05205781</c:v>
                </c:pt>
                <c:pt idx="43">
                  <c:v>101360.75580535</c:v>
                </c:pt>
                <c:pt idx="44">
                  <c:v>101349.56319301001</c:v>
                </c:pt>
                <c:pt idx="45">
                  <c:v>101341.87457509</c:v>
                </c:pt>
                <c:pt idx="46">
                  <c:v>101336.59281125</c:v>
                </c:pt>
                <c:pt idx="47">
                  <c:v>101332.96435903999</c:v>
                </c:pt>
                <c:pt idx="48">
                  <c:v>101330.47163868</c:v>
                </c:pt>
                <c:pt idx="49">
                  <c:v>101328.75912690999</c:v>
                </c:pt>
                <c:pt idx="50">
                  <c:v>101327.58366489</c:v>
                </c:pt>
              </c:numCache>
            </c:numRef>
          </c:yVal>
          <c:smooth val="0"/>
          <c:extLst>
            <c:ext xmlns:c16="http://schemas.microsoft.com/office/drawing/2014/chart" uri="{C3380CC4-5D6E-409C-BE32-E72D297353CC}">
              <c16:uniqueId val="{00000001-F559-B047-AF8E-95C1014942A0}"/>
            </c:ext>
          </c:extLst>
        </c:ser>
        <c:dLbls>
          <c:showLegendKey val="0"/>
          <c:showVal val="0"/>
          <c:showCatName val="0"/>
          <c:showSerName val="0"/>
          <c:showPercent val="0"/>
          <c:showBubbleSize val="0"/>
        </c:dLbls>
        <c:axId val="142669184"/>
        <c:axId val="142670832"/>
      </c:scatterChart>
      <c:valAx>
        <c:axId val="142669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time</a:t>
                </a:r>
                <a:r>
                  <a:rPr lang="en-US" sz="1600" baseline="0"/>
                  <a:t> (s)</a:t>
                </a:r>
                <a:endParaRPr lang="en-US" sz="1600"/>
              </a:p>
            </c:rich>
          </c:tx>
          <c:layout>
            <c:manualLayout>
              <c:xMode val="edge"/>
              <c:yMode val="edge"/>
              <c:x val="0.48708448506184709"/>
              <c:y val="0.9129104789792930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2670832"/>
        <c:crosses val="autoZero"/>
        <c:crossBetween val="midCat"/>
      </c:valAx>
      <c:valAx>
        <c:axId val="14267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pressure</a:t>
                </a:r>
                <a:r>
                  <a:rPr lang="en-US" sz="1600" baseline="0"/>
                  <a:t> (Pa)</a:t>
                </a:r>
                <a:endParaRPr lang="en-US" sz="1600"/>
              </a:p>
            </c:rich>
          </c:tx>
          <c:layout>
            <c:manualLayout>
              <c:xMode val="edge"/>
              <c:yMode val="edge"/>
              <c:x val="1.1458425050940982E-2"/>
              <c:y val="0.4255208596287508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669184"/>
        <c:crosses val="autoZero"/>
        <c:crossBetween val="midCat"/>
      </c:valAx>
      <c:spPr>
        <a:noFill/>
        <a:ln>
          <a:noFill/>
        </a:ln>
        <a:effectLst/>
      </c:spPr>
    </c:plotArea>
    <c:legend>
      <c:legendPos val="r"/>
      <c:layout>
        <c:manualLayout>
          <c:xMode val="edge"/>
          <c:yMode val="edge"/>
          <c:x val="0.51344113738605934"/>
          <c:y val="0.30981861871825017"/>
          <c:w val="0.22547277665875365"/>
          <c:h val="0.1388793783088118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pressure_decay</a:t>
            </a:r>
            <a:endParaRPr lang="en-US" b="1"/>
          </a:p>
        </c:rich>
      </c:tx>
      <c:layout>
        <c:manualLayout>
          <c:xMode val="edge"/>
          <c:yMode val="edge"/>
          <c:x val="0.47122686042518225"/>
          <c:y val="2.796038310411412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881502481464772"/>
          <c:y val="0.11204672710705932"/>
          <c:w val="0.80026545275789385"/>
          <c:h val="0.72759179655100292"/>
        </c:manualLayout>
      </c:layout>
      <c:scatterChart>
        <c:scatterStyle val="lineMarker"/>
        <c:varyColors val="0"/>
        <c:ser>
          <c:idx val="0"/>
          <c:order val="0"/>
          <c:tx>
            <c:v>experimental</c:v>
          </c:tx>
          <c:spPr>
            <a:ln w="2540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5171"/>
            <c:spPr>
              <a:noFill/>
              <a:ln w="9525" cap="flat" cmpd="sng" algn="ctr">
                <a:solidFill>
                  <a:schemeClr val="tx1">
                    <a:lumMod val="65000"/>
                    <a:lumOff val="35000"/>
                  </a:schemeClr>
                </a:solidFill>
                <a:round/>
              </a:ln>
              <a:effectLst/>
            </c:spPr>
          </c:errBars>
          <c:xVal>
            <c:numRef>
              <c:f>'Experiment 4'!$B$6:$B$51</c:f>
              <c:numCache>
                <c:formatCode>0</c:formatCode>
                <c:ptCount val="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numCache>
            </c:numRef>
          </c:xVal>
          <c:yVal>
            <c:numRef>
              <c:f>'Experiment 4'!$E$6:$E$51</c:f>
              <c:numCache>
                <c:formatCode>0</c:formatCode>
                <c:ptCount val="46"/>
                <c:pt idx="0">
                  <c:v>4320918.12</c:v>
                </c:pt>
                <c:pt idx="1">
                  <c:v>4314023.3600000003</c:v>
                </c:pt>
                <c:pt idx="2">
                  <c:v>4169233.4</c:v>
                </c:pt>
                <c:pt idx="3">
                  <c:v>3569389.2800000003</c:v>
                </c:pt>
                <c:pt idx="4">
                  <c:v>3066071.8000000003</c:v>
                </c:pt>
                <c:pt idx="5">
                  <c:v>2590333.36</c:v>
                </c:pt>
                <c:pt idx="6">
                  <c:v>2204226.8000000003</c:v>
                </c:pt>
                <c:pt idx="7">
                  <c:v>1873278.32</c:v>
                </c:pt>
                <c:pt idx="8">
                  <c:v>1611277.44</c:v>
                </c:pt>
                <c:pt idx="9">
                  <c:v>1335487.04</c:v>
                </c:pt>
                <c:pt idx="10">
                  <c:v>1142433.76</c:v>
                </c:pt>
                <c:pt idx="11">
                  <c:v>1011433.3200000001</c:v>
                </c:pt>
                <c:pt idx="12">
                  <c:v>866643.36</c:v>
                </c:pt>
                <c:pt idx="13">
                  <c:v>770116.72</c:v>
                </c:pt>
                <c:pt idx="14">
                  <c:v>666695.32000000007</c:v>
                </c:pt>
                <c:pt idx="15">
                  <c:v>577063.43999999994</c:v>
                </c:pt>
                <c:pt idx="16">
                  <c:v>508115.84</c:v>
                </c:pt>
                <c:pt idx="17">
                  <c:v>439168.24</c:v>
                </c:pt>
                <c:pt idx="18">
                  <c:v>390904.92</c:v>
                </c:pt>
                <c:pt idx="19">
                  <c:v>342641.6</c:v>
                </c:pt>
                <c:pt idx="20">
                  <c:v>308167.80000000005</c:v>
                </c:pt>
                <c:pt idx="21">
                  <c:v>280588.76</c:v>
                </c:pt>
                <c:pt idx="22">
                  <c:v>253009.72</c:v>
                </c:pt>
                <c:pt idx="23">
                  <c:v>232325.44</c:v>
                </c:pt>
                <c:pt idx="24">
                  <c:v>211641.16</c:v>
                </c:pt>
                <c:pt idx="25">
                  <c:v>197851.64</c:v>
                </c:pt>
                <c:pt idx="26">
                  <c:v>184062.12</c:v>
                </c:pt>
                <c:pt idx="27">
                  <c:v>177167.35999999999</c:v>
                </c:pt>
                <c:pt idx="28">
                  <c:v>163377.84</c:v>
                </c:pt>
                <c:pt idx="29">
                  <c:v>156483.08000000002</c:v>
                </c:pt>
                <c:pt idx="30">
                  <c:v>149588.32</c:v>
                </c:pt>
                <c:pt idx="31">
                  <c:v>142693.56</c:v>
                </c:pt>
                <c:pt idx="32">
                  <c:v>142693.56</c:v>
                </c:pt>
                <c:pt idx="33">
                  <c:v>135798.79999999999</c:v>
                </c:pt>
                <c:pt idx="34">
                  <c:v>128904.04000000001</c:v>
                </c:pt>
                <c:pt idx="35">
                  <c:v>128904.04000000001</c:v>
                </c:pt>
                <c:pt idx="36">
                  <c:v>122009.28</c:v>
                </c:pt>
                <c:pt idx="37">
                  <c:v>122009.28</c:v>
                </c:pt>
                <c:pt idx="38">
                  <c:v>122009.28</c:v>
                </c:pt>
                <c:pt idx="39">
                  <c:v>115114.52</c:v>
                </c:pt>
                <c:pt idx="40">
                  <c:v>115114.52</c:v>
                </c:pt>
                <c:pt idx="41">
                  <c:v>115114.52</c:v>
                </c:pt>
                <c:pt idx="42">
                  <c:v>115114.52</c:v>
                </c:pt>
                <c:pt idx="43">
                  <c:v>115114.52</c:v>
                </c:pt>
                <c:pt idx="44">
                  <c:v>108219.76</c:v>
                </c:pt>
                <c:pt idx="45">
                  <c:v>108219.76</c:v>
                </c:pt>
              </c:numCache>
            </c:numRef>
          </c:yVal>
          <c:smooth val="0"/>
          <c:extLst>
            <c:ext xmlns:c16="http://schemas.microsoft.com/office/drawing/2014/chart" uri="{C3380CC4-5D6E-409C-BE32-E72D297353CC}">
              <c16:uniqueId val="{00000000-7F64-2F46-BA69-44C8B72756AB}"/>
            </c:ext>
          </c:extLst>
        </c:ser>
        <c:ser>
          <c:idx val="1"/>
          <c:order val="1"/>
          <c:tx>
            <c:v>theoretical</c:v>
          </c:tx>
          <c:spPr>
            <a:ln w="25400" cap="rnd">
              <a:noFill/>
              <a:round/>
            </a:ln>
            <a:effectLst/>
          </c:spPr>
          <c:marker>
            <c:symbol val="circle"/>
            <c:size val="5"/>
            <c:spPr>
              <a:solidFill>
                <a:schemeClr val="accent2"/>
              </a:solidFill>
              <a:ln w="9525">
                <a:solidFill>
                  <a:schemeClr val="accent2"/>
                </a:solidFill>
              </a:ln>
              <a:effectLst/>
            </c:spPr>
          </c:marker>
          <c:xVal>
            <c:numRef>
              <c:f>'Experiment 4'!$B$61:$B$111</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xVal>
          <c:yVal>
            <c:numRef>
              <c:f>'Experiment 4'!$D$61:$D$111</c:f>
              <c:numCache>
                <c:formatCode>General</c:formatCode>
                <c:ptCount val="51"/>
                <c:pt idx="0">
                  <c:v>4446885.2759999996</c:v>
                </c:pt>
                <c:pt idx="1">
                  <c:v>4189986.5183999999</c:v>
                </c:pt>
                <c:pt idx="2">
                  <c:v>3579797.7615566999</c:v>
                </c:pt>
                <c:pt idx="3">
                  <c:v>2844710.7839708999</c:v>
                </c:pt>
                <c:pt idx="4">
                  <c:v>2349600.5484810001</c:v>
                </c:pt>
                <c:pt idx="5">
                  <c:v>2004328.8404834</c:v>
                </c:pt>
                <c:pt idx="6">
                  <c:v>1754445.7938808</c:v>
                </c:pt>
                <c:pt idx="7">
                  <c:v>1561123.3993476001</c:v>
                </c:pt>
                <c:pt idx="8">
                  <c:v>1395920.6946985</c:v>
                </c:pt>
                <c:pt idx="9">
                  <c:v>1243405.5470328999</c:v>
                </c:pt>
                <c:pt idx="10">
                  <c:v>1096433.3102656</c:v>
                </c:pt>
                <c:pt idx="11">
                  <c:v>955568.34446147003</c:v>
                </c:pt>
                <c:pt idx="12">
                  <c:v>828189.56912212004</c:v>
                </c:pt>
                <c:pt idx="13">
                  <c:v>709190.58068722999</c:v>
                </c:pt>
                <c:pt idx="14">
                  <c:v>600164.29158326006</c:v>
                </c:pt>
                <c:pt idx="15">
                  <c:v>502683.86034504999</c:v>
                </c:pt>
                <c:pt idx="16">
                  <c:v>418016.02535240998</c:v>
                </c:pt>
                <c:pt idx="17">
                  <c:v>346775.96892203001</c:v>
                </c:pt>
                <c:pt idx="18">
                  <c:v>288698.59641848999</c:v>
                </c:pt>
                <c:pt idx="19">
                  <c:v>242675.45979892</c:v>
                </c:pt>
                <c:pt idx="20">
                  <c:v>207037.11210498001</c:v>
                </c:pt>
                <c:pt idx="21">
                  <c:v>179914.26734567</c:v>
                </c:pt>
                <c:pt idx="22">
                  <c:v>159522.26789053</c:v>
                </c:pt>
                <c:pt idx="23">
                  <c:v>144315.42666115999</c:v>
                </c:pt>
                <c:pt idx="24">
                  <c:v>133034.77252572001</c:v>
                </c:pt>
                <c:pt idx="25">
                  <c:v>124693.96492585</c:v>
                </c:pt>
                <c:pt idx="26">
                  <c:v>118538.97371631001</c:v>
                </c:pt>
                <c:pt idx="27">
                  <c:v>114002.13420566</c:v>
                </c:pt>
                <c:pt idx="28">
                  <c:v>110660.11206149</c:v>
                </c:pt>
                <c:pt idx="29">
                  <c:v>108199.01301471</c:v>
                </c:pt>
                <c:pt idx="30">
                  <c:v>106386.87833494</c:v>
                </c:pt>
                <c:pt idx="31">
                  <c:v>105052.63040172</c:v>
                </c:pt>
                <c:pt idx="32">
                  <c:v>104070.22348633999</c:v>
                </c:pt>
                <c:pt idx="33">
                  <c:v>103346.84403887</c:v>
                </c:pt>
                <c:pt idx="34">
                  <c:v>102814.16450107</c:v>
                </c:pt>
                <c:pt idx="35">
                  <c:v>102421.88755371999</c:v>
                </c:pt>
                <c:pt idx="36">
                  <c:v>102132.98817052</c:v>
                </c:pt>
                <c:pt idx="37">
                  <c:v>101920.21011616</c:v>
                </c:pt>
                <c:pt idx="38">
                  <c:v>101763.48722024</c:v>
                </c:pt>
                <c:pt idx="39">
                  <c:v>101648.04665459</c:v>
                </c:pt>
                <c:pt idx="40">
                  <c:v>101563.0086767</c:v>
                </c:pt>
                <c:pt idx="41">
                  <c:v>101500.3632335</c:v>
                </c:pt>
                <c:pt idx="42">
                  <c:v>101454.21160095</c:v>
                </c:pt>
                <c:pt idx="43">
                  <c:v>101420.20958753</c:v>
                </c:pt>
                <c:pt idx="44">
                  <c:v>101395.15765877</c:v>
                </c:pt>
                <c:pt idx="45">
                  <c:v>101376.60919030001</c:v>
                </c:pt>
                <c:pt idx="46">
                  <c:v>101362.68368271001</c:v>
                </c:pt>
                <c:pt idx="47">
                  <c:v>101352.48879495999</c:v>
                </c:pt>
                <c:pt idx="48">
                  <c:v>101344.99044846999</c:v>
                </c:pt>
                <c:pt idx="49">
                  <c:v>101339.46847370001</c:v>
                </c:pt>
                <c:pt idx="50">
                  <c:v>101335.40009015</c:v>
                </c:pt>
              </c:numCache>
            </c:numRef>
          </c:yVal>
          <c:smooth val="0"/>
          <c:extLst>
            <c:ext xmlns:c16="http://schemas.microsoft.com/office/drawing/2014/chart" uri="{C3380CC4-5D6E-409C-BE32-E72D297353CC}">
              <c16:uniqueId val="{00000001-7F64-2F46-BA69-44C8B72756AB}"/>
            </c:ext>
          </c:extLst>
        </c:ser>
        <c:dLbls>
          <c:showLegendKey val="0"/>
          <c:showVal val="0"/>
          <c:showCatName val="0"/>
          <c:showSerName val="0"/>
          <c:showPercent val="0"/>
          <c:showBubbleSize val="0"/>
        </c:dLbls>
        <c:axId val="142669184"/>
        <c:axId val="142670832"/>
      </c:scatterChart>
      <c:valAx>
        <c:axId val="142669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time</a:t>
                </a:r>
                <a:r>
                  <a:rPr lang="en-US" sz="1600" baseline="0"/>
                  <a:t> (s)</a:t>
                </a:r>
                <a:endParaRPr lang="en-US" sz="1600"/>
              </a:p>
            </c:rich>
          </c:tx>
          <c:layout>
            <c:manualLayout>
              <c:xMode val="edge"/>
              <c:yMode val="edge"/>
              <c:x val="0.48708448506184709"/>
              <c:y val="0.9129104789792930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2670832"/>
        <c:crosses val="autoZero"/>
        <c:crossBetween val="midCat"/>
      </c:valAx>
      <c:valAx>
        <c:axId val="14267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pressure</a:t>
                </a:r>
                <a:r>
                  <a:rPr lang="en-US" sz="1600" baseline="0"/>
                  <a:t> (Pa)</a:t>
                </a:r>
                <a:endParaRPr lang="en-US" sz="1600"/>
              </a:p>
            </c:rich>
          </c:tx>
          <c:layout>
            <c:manualLayout>
              <c:xMode val="edge"/>
              <c:yMode val="edge"/>
              <c:x val="1.1458425050940982E-2"/>
              <c:y val="0.4255208596287508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669184"/>
        <c:crosses val="autoZero"/>
        <c:crossBetween val="midCat"/>
      </c:valAx>
      <c:spPr>
        <a:noFill/>
        <a:ln>
          <a:noFill/>
        </a:ln>
        <a:effectLst/>
      </c:spPr>
    </c:plotArea>
    <c:legend>
      <c:legendPos val="r"/>
      <c:layout>
        <c:manualLayout>
          <c:xMode val="edge"/>
          <c:yMode val="edge"/>
          <c:x val="0.51344106341295725"/>
          <c:y val="0.32482982409344907"/>
          <c:w val="0.28106224123391887"/>
          <c:h val="0.17640731741623389"/>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pressure_decay</a:t>
            </a:r>
            <a:endParaRPr lang="en-US" b="1"/>
          </a:p>
        </c:rich>
      </c:tx>
      <c:layout>
        <c:manualLayout>
          <c:xMode val="edge"/>
          <c:yMode val="edge"/>
          <c:x val="0.47122686042518225"/>
          <c:y val="2.796038310411412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881502481464772"/>
          <c:y val="0.11204672710705932"/>
          <c:w val="0.80026545275789385"/>
          <c:h val="0.72759179655100292"/>
        </c:manualLayout>
      </c:layout>
      <c:scatterChart>
        <c:scatterStyle val="lineMarker"/>
        <c:varyColors val="0"/>
        <c:ser>
          <c:idx val="0"/>
          <c:order val="0"/>
          <c:tx>
            <c:v>experimental</c:v>
          </c:tx>
          <c:spPr>
            <a:ln w="2540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5171"/>
            <c:spPr>
              <a:noFill/>
              <a:ln w="9525" cap="flat" cmpd="sng" algn="ctr">
                <a:solidFill>
                  <a:schemeClr val="tx1">
                    <a:lumMod val="65000"/>
                    <a:lumOff val="35000"/>
                  </a:schemeClr>
                </a:solidFill>
                <a:round/>
              </a:ln>
              <a:effectLst/>
            </c:spPr>
          </c:errBars>
          <c:xVal>
            <c:numRef>
              <c:f>'Experiment 5'!$B$6:$B$61</c:f>
              <c:numCache>
                <c:formatCode>0</c:formatCode>
                <c:ptCount val="5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numCache>
            </c:numRef>
          </c:xVal>
          <c:yVal>
            <c:numRef>
              <c:f>'Experiment 5'!$E$6:$E$61</c:f>
              <c:numCache>
                <c:formatCode>0</c:formatCode>
                <c:ptCount val="56"/>
                <c:pt idx="0">
                  <c:v>5699870.1200000001</c:v>
                </c:pt>
                <c:pt idx="1">
                  <c:v>5258605.4800000004</c:v>
                </c:pt>
                <c:pt idx="2">
                  <c:v>4500181.88</c:v>
                </c:pt>
                <c:pt idx="3">
                  <c:v>3810705.88</c:v>
                </c:pt>
                <c:pt idx="4">
                  <c:v>3231546.04</c:v>
                </c:pt>
                <c:pt idx="5">
                  <c:v>2735123.3200000003</c:v>
                </c:pt>
                <c:pt idx="6">
                  <c:v>2335227.2400000002</c:v>
                </c:pt>
                <c:pt idx="7">
                  <c:v>1990489.24</c:v>
                </c:pt>
                <c:pt idx="8">
                  <c:v>1721593.6</c:v>
                </c:pt>
                <c:pt idx="9">
                  <c:v>1452697.96</c:v>
                </c:pt>
                <c:pt idx="10">
                  <c:v>1238960.4000000001</c:v>
                </c:pt>
                <c:pt idx="11">
                  <c:v>1094170.44</c:v>
                </c:pt>
                <c:pt idx="12">
                  <c:v>956275.24</c:v>
                </c:pt>
                <c:pt idx="13">
                  <c:v>825274.8</c:v>
                </c:pt>
                <c:pt idx="14">
                  <c:v>680484.84</c:v>
                </c:pt>
                <c:pt idx="15">
                  <c:v>625326.76</c:v>
                </c:pt>
                <c:pt idx="16">
                  <c:v>542589.64</c:v>
                </c:pt>
                <c:pt idx="17">
                  <c:v>473642.04000000004</c:v>
                </c:pt>
                <c:pt idx="18">
                  <c:v>418483.96</c:v>
                </c:pt>
                <c:pt idx="19">
                  <c:v>370220.64</c:v>
                </c:pt>
                <c:pt idx="20">
                  <c:v>328852.08</c:v>
                </c:pt>
                <c:pt idx="21">
                  <c:v>294378.28000000003</c:v>
                </c:pt>
                <c:pt idx="22">
                  <c:v>266799.24</c:v>
                </c:pt>
                <c:pt idx="23">
                  <c:v>246114.96</c:v>
                </c:pt>
                <c:pt idx="24">
                  <c:v>225430.68</c:v>
                </c:pt>
                <c:pt idx="25">
                  <c:v>204746.40000000002</c:v>
                </c:pt>
                <c:pt idx="26">
                  <c:v>190956.88</c:v>
                </c:pt>
                <c:pt idx="27">
                  <c:v>184062.12</c:v>
                </c:pt>
                <c:pt idx="28">
                  <c:v>170272.6</c:v>
                </c:pt>
                <c:pt idx="29">
                  <c:v>163377.84</c:v>
                </c:pt>
                <c:pt idx="30">
                  <c:v>156483.08000000002</c:v>
                </c:pt>
                <c:pt idx="31">
                  <c:v>149588.32</c:v>
                </c:pt>
                <c:pt idx="32">
                  <c:v>142693.56</c:v>
                </c:pt>
                <c:pt idx="33">
                  <c:v>135798.79999999999</c:v>
                </c:pt>
                <c:pt idx="34">
                  <c:v>135798.79999999999</c:v>
                </c:pt>
                <c:pt idx="35">
                  <c:v>128904.04000000001</c:v>
                </c:pt>
                <c:pt idx="36">
                  <c:v>128904.04000000001</c:v>
                </c:pt>
                <c:pt idx="37">
                  <c:v>122009.28</c:v>
                </c:pt>
                <c:pt idx="38">
                  <c:v>122009.28</c:v>
                </c:pt>
                <c:pt idx="39">
                  <c:v>122009.28</c:v>
                </c:pt>
                <c:pt idx="40">
                  <c:v>115114.52</c:v>
                </c:pt>
                <c:pt idx="41">
                  <c:v>115114.52</c:v>
                </c:pt>
                <c:pt idx="42">
                  <c:v>115114.52</c:v>
                </c:pt>
                <c:pt idx="43">
                  <c:v>115114.52</c:v>
                </c:pt>
                <c:pt idx="44">
                  <c:v>115114.52</c:v>
                </c:pt>
                <c:pt idx="45">
                  <c:v>108219.76</c:v>
                </c:pt>
                <c:pt idx="46">
                  <c:v>108219.76</c:v>
                </c:pt>
                <c:pt idx="47">
                  <c:v>108219.76</c:v>
                </c:pt>
                <c:pt idx="48">
                  <c:v>108219.76</c:v>
                </c:pt>
                <c:pt idx="49">
                  <c:v>108219.76</c:v>
                </c:pt>
                <c:pt idx="50">
                  <c:v>108219.76</c:v>
                </c:pt>
                <c:pt idx="51">
                  <c:v>108219.76</c:v>
                </c:pt>
                <c:pt idx="52">
                  <c:v>108219.76</c:v>
                </c:pt>
                <c:pt idx="53">
                  <c:v>108219.76</c:v>
                </c:pt>
                <c:pt idx="54">
                  <c:v>101325</c:v>
                </c:pt>
                <c:pt idx="55">
                  <c:v>101325</c:v>
                </c:pt>
              </c:numCache>
            </c:numRef>
          </c:yVal>
          <c:smooth val="0"/>
          <c:extLst>
            <c:ext xmlns:c16="http://schemas.microsoft.com/office/drawing/2014/chart" uri="{C3380CC4-5D6E-409C-BE32-E72D297353CC}">
              <c16:uniqueId val="{00000000-FE17-024C-968E-1B7C26EFD553}"/>
            </c:ext>
          </c:extLst>
        </c:ser>
        <c:ser>
          <c:idx val="1"/>
          <c:order val="1"/>
          <c:tx>
            <c:v>theoretical</c:v>
          </c:tx>
          <c:spPr>
            <a:ln w="25400" cap="rnd">
              <a:noFill/>
              <a:round/>
            </a:ln>
            <a:effectLst/>
          </c:spPr>
          <c:marker>
            <c:symbol val="circle"/>
            <c:size val="5"/>
            <c:spPr>
              <a:solidFill>
                <a:schemeClr val="accent2"/>
              </a:solidFill>
              <a:ln w="9525">
                <a:solidFill>
                  <a:schemeClr val="accent2"/>
                </a:solidFill>
              </a:ln>
              <a:effectLst/>
            </c:spPr>
          </c:marker>
          <c:xVal>
            <c:numRef>
              <c:f>'Experiment 5'!$B$71:$B$121</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xVal>
          <c:yVal>
            <c:numRef>
              <c:f>'Experiment 5'!$D$71:$D$121</c:f>
              <c:numCache>
                <c:formatCode>General</c:formatCode>
                <c:ptCount val="51"/>
                <c:pt idx="0">
                  <c:v>5699870</c:v>
                </c:pt>
                <c:pt idx="1">
                  <c:v>5386503.1399999997</c:v>
                </c:pt>
                <c:pt idx="2">
                  <c:v>4153875.4118817998</c:v>
                </c:pt>
                <c:pt idx="3">
                  <c:v>3231075.7282836</c:v>
                </c:pt>
                <c:pt idx="4">
                  <c:v>2660525.7426009001</c:v>
                </c:pt>
                <c:pt idx="5">
                  <c:v>2267880.6075204001</c:v>
                </c:pt>
                <c:pt idx="6">
                  <c:v>1981903.3133113999</c:v>
                </c:pt>
                <c:pt idx="7">
                  <c:v>1751332.0402301</c:v>
                </c:pt>
                <c:pt idx="8">
                  <c:v>1546449.6156121001</c:v>
                </c:pt>
                <c:pt idx="9">
                  <c:v>1357574.3339317001</c:v>
                </c:pt>
                <c:pt idx="10">
                  <c:v>1175254.9772248</c:v>
                </c:pt>
                <c:pt idx="11">
                  <c:v>1009626.2657914</c:v>
                </c:pt>
                <c:pt idx="12">
                  <c:v>853537.11268612999</c:v>
                </c:pt>
                <c:pt idx="13">
                  <c:v>709402.37174603995</c:v>
                </c:pt>
                <c:pt idx="14">
                  <c:v>579953.77870725002</c:v>
                </c:pt>
                <c:pt idx="15">
                  <c:v>467807.08613051998</c:v>
                </c:pt>
                <c:pt idx="16">
                  <c:v>374704.19361757999</c:v>
                </c:pt>
                <c:pt idx="17">
                  <c:v>300781.06341055001</c:v>
                </c:pt>
                <c:pt idx="18">
                  <c:v>244415.63736115</c:v>
                </c:pt>
                <c:pt idx="19">
                  <c:v>202795.74811625999</c:v>
                </c:pt>
                <c:pt idx="20">
                  <c:v>172754.33826851001</c:v>
                </c:pt>
                <c:pt idx="21">
                  <c:v>151387.80311702</c:v>
                </c:pt>
                <c:pt idx="22">
                  <c:v>136326.93764577</c:v>
                </c:pt>
                <c:pt idx="23">
                  <c:v>125765.68308459999</c:v>
                </c:pt>
                <c:pt idx="24">
                  <c:v>118380.72824108999</c:v>
                </c:pt>
                <c:pt idx="25">
                  <c:v>113224.33894954</c:v>
                </c:pt>
                <c:pt idx="26">
                  <c:v>109626.45617794</c:v>
                </c:pt>
                <c:pt idx="27">
                  <c:v>107116.68535791</c:v>
                </c:pt>
                <c:pt idx="28">
                  <c:v>105366.03253993001</c:v>
                </c:pt>
                <c:pt idx="29">
                  <c:v>104144.82708174</c:v>
                </c:pt>
                <c:pt idx="30">
                  <c:v>103292.86604614</c:v>
                </c:pt>
                <c:pt idx="31">
                  <c:v>102698.43933525</c:v>
                </c:pt>
                <c:pt idx="32">
                  <c:v>102283.65298869</c:v>
                </c:pt>
                <c:pt idx="33">
                  <c:v>101994.18825712999</c:v>
                </c:pt>
                <c:pt idx="34">
                  <c:v>101792.161622</c:v>
                </c:pt>
                <c:pt idx="35">
                  <c:v>101651.14962439</c:v>
                </c:pt>
                <c:pt idx="36">
                  <c:v>101552.71582831</c:v>
                </c:pt>
                <c:pt idx="37">
                  <c:v>101483.99877142999</c:v>
                </c:pt>
                <c:pt idx="38">
                  <c:v>101436.02385110001</c:v>
                </c:pt>
                <c:pt idx="39">
                  <c:v>101402.52801505</c:v>
                </c:pt>
                <c:pt idx="40">
                  <c:v>101379.14008120001</c:v>
                </c:pt>
                <c:pt idx="41">
                  <c:v>101362.81046232001</c:v>
                </c:pt>
                <c:pt idx="42">
                  <c:v>101351.40700996001</c:v>
                </c:pt>
                <c:pt idx="43">
                  <c:v>101343.4433118</c:v>
                </c:pt>
                <c:pt idx="44">
                  <c:v>101337.88158746</c:v>
                </c:pt>
                <c:pt idx="45">
                  <c:v>101333.99723577</c:v>
                </c:pt>
                <c:pt idx="46">
                  <c:v>101331.28429501</c:v>
                </c:pt>
                <c:pt idx="47">
                  <c:v>101329.38945255001</c:v>
                </c:pt>
                <c:pt idx="48">
                  <c:v>101328.06716999</c:v>
                </c:pt>
                <c:pt idx="49">
                  <c:v>101327.14323124</c:v>
                </c:pt>
                <c:pt idx="50">
                  <c:v>101326.49762371001</c:v>
                </c:pt>
              </c:numCache>
            </c:numRef>
          </c:yVal>
          <c:smooth val="0"/>
          <c:extLst>
            <c:ext xmlns:c16="http://schemas.microsoft.com/office/drawing/2014/chart" uri="{C3380CC4-5D6E-409C-BE32-E72D297353CC}">
              <c16:uniqueId val="{00000001-FE17-024C-968E-1B7C26EFD553}"/>
            </c:ext>
          </c:extLst>
        </c:ser>
        <c:dLbls>
          <c:showLegendKey val="0"/>
          <c:showVal val="0"/>
          <c:showCatName val="0"/>
          <c:showSerName val="0"/>
          <c:showPercent val="0"/>
          <c:showBubbleSize val="0"/>
        </c:dLbls>
        <c:axId val="142669184"/>
        <c:axId val="142670832"/>
      </c:scatterChart>
      <c:valAx>
        <c:axId val="142669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time</a:t>
                </a:r>
                <a:r>
                  <a:rPr lang="en-US" sz="1600" baseline="0"/>
                  <a:t> (s)</a:t>
                </a:r>
                <a:endParaRPr lang="en-US" sz="1600"/>
              </a:p>
            </c:rich>
          </c:tx>
          <c:layout>
            <c:manualLayout>
              <c:xMode val="edge"/>
              <c:yMode val="edge"/>
              <c:x val="0.48708448506184709"/>
              <c:y val="0.9129104789792930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2670832"/>
        <c:crosses val="autoZero"/>
        <c:crossBetween val="midCat"/>
      </c:valAx>
      <c:valAx>
        <c:axId val="14267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pressure</a:t>
                </a:r>
                <a:r>
                  <a:rPr lang="en-US" sz="1600" baseline="0"/>
                  <a:t> (Pa)</a:t>
                </a:r>
                <a:endParaRPr lang="en-US" sz="1600"/>
              </a:p>
            </c:rich>
          </c:tx>
          <c:layout>
            <c:manualLayout>
              <c:xMode val="edge"/>
              <c:yMode val="edge"/>
              <c:x val="1.1458425050940982E-2"/>
              <c:y val="0.4255208596287508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669184"/>
        <c:crosses val="autoZero"/>
        <c:crossBetween val="midCat"/>
      </c:valAx>
      <c:spPr>
        <a:noFill/>
        <a:ln>
          <a:noFill/>
        </a:ln>
        <a:effectLst/>
      </c:spPr>
    </c:plotArea>
    <c:legend>
      <c:legendPos val="r"/>
      <c:layout>
        <c:manualLayout>
          <c:xMode val="edge"/>
          <c:yMode val="edge"/>
          <c:x val="0.51344113738605934"/>
          <c:y val="0.30981861871825017"/>
          <c:w val="0.22547277665875365"/>
          <c:h val="0.1388793783088118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pressure_decay</a:t>
            </a:r>
            <a:endParaRPr lang="en-US" b="1"/>
          </a:p>
        </c:rich>
      </c:tx>
      <c:layout>
        <c:manualLayout>
          <c:xMode val="edge"/>
          <c:yMode val="edge"/>
          <c:x val="0.47122686042518225"/>
          <c:y val="2.796038310411412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881502481464772"/>
          <c:y val="0.11204672710705932"/>
          <c:w val="0.80026545275789385"/>
          <c:h val="0.72759179655100292"/>
        </c:manualLayout>
      </c:layout>
      <c:scatterChart>
        <c:scatterStyle val="lineMarker"/>
        <c:varyColors val="0"/>
        <c:ser>
          <c:idx val="0"/>
          <c:order val="0"/>
          <c:tx>
            <c:v>experimental</c:v>
          </c:tx>
          <c:spPr>
            <a:ln w="25400" cap="rnd">
              <a:noFill/>
              <a:round/>
            </a:ln>
            <a:effectLst/>
          </c:spPr>
          <c:marker>
            <c:symbol val="circle"/>
            <c:size val="5"/>
            <c:spPr>
              <a:solidFill>
                <a:schemeClr val="accent1"/>
              </a:solidFill>
              <a:ln w="9525">
                <a:solidFill>
                  <a:schemeClr val="accent1"/>
                </a:solidFill>
              </a:ln>
              <a:effectLst/>
            </c:spPr>
          </c:marker>
          <c:errBars>
            <c:errDir val="y"/>
            <c:errBarType val="both"/>
            <c:errValType val="fixedVal"/>
            <c:noEndCap val="0"/>
            <c:val val="5171"/>
            <c:spPr>
              <a:noFill/>
              <a:ln w="9525" cap="flat" cmpd="sng" algn="ctr">
                <a:solidFill>
                  <a:schemeClr val="tx1">
                    <a:lumMod val="65000"/>
                    <a:lumOff val="35000"/>
                  </a:schemeClr>
                </a:solidFill>
                <a:round/>
              </a:ln>
              <a:effectLst/>
            </c:spPr>
          </c:errBars>
          <c:xVal>
            <c:numRef>
              <c:f>'Experiment 6'!$B$6:$B$65</c:f>
              <c:numCache>
                <c:formatCode>0</c:formatCode>
                <c:ptCount val="6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numCache>
            </c:numRef>
          </c:xVal>
          <c:yVal>
            <c:numRef>
              <c:f>'Experiment 6'!$E$6:$E$65</c:f>
              <c:numCache>
                <c:formatCode>0</c:formatCode>
                <c:ptCount val="60"/>
                <c:pt idx="0">
                  <c:v>6927137</c:v>
                </c:pt>
                <c:pt idx="1">
                  <c:v>6920243</c:v>
                </c:pt>
                <c:pt idx="2">
                  <c:v>6920243</c:v>
                </c:pt>
                <c:pt idx="3">
                  <c:v>6478978</c:v>
                </c:pt>
                <c:pt idx="4">
                  <c:v>5575764</c:v>
                </c:pt>
                <c:pt idx="5">
                  <c:v>4734604</c:v>
                </c:pt>
                <c:pt idx="6">
                  <c:v>4017549</c:v>
                </c:pt>
                <c:pt idx="7">
                  <c:v>3424599</c:v>
                </c:pt>
                <c:pt idx="8">
                  <c:v>2962650</c:v>
                </c:pt>
                <c:pt idx="9">
                  <c:v>2535175</c:v>
                </c:pt>
                <c:pt idx="10">
                  <c:v>2162858</c:v>
                </c:pt>
                <c:pt idx="11">
                  <c:v>1852594</c:v>
                </c:pt>
                <c:pt idx="12">
                  <c:v>1583698</c:v>
                </c:pt>
                <c:pt idx="13">
                  <c:v>1376856</c:v>
                </c:pt>
                <c:pt idx="14">
                  <c:v>1163118</c:v>
                </c:pt>
                <c:pt idx="15">
                  <c:v>1032118</c:v>
                </c:pt>
                <c:pt idx="16">
                  <c:v>887328</c:v>
                </c:pt>
                <c:pt idx="17">
                  <c:v>790801</c:v>
                </c:pt>
                <c:pt idx="18">
                  <c:v>646011</c:v>
                </c:pt>
                <c:pt idx="19">
                  <c:v>597748</c:v>
                </c:pt>
                <c:pt idx="20">
                  <c:v>521905</c:v>
                </c:pt>
                <c:pt idx="21">
                  <c:v>459853</c:v>
                </c:pt>
                <c:pt idx="22">
                  <c:v>404694</c:v>
                </c:pt>
                <c:pt idx="23">
                  <c:v>356431</c:v>
                </c:pt>
                <c:pt idx="24">
                  <c:v>321957</c:v>
                </c:pt>
                <c:pt idx="25">
                  <c:v>287484</c:v>
                </c:pt>
                <c:pt idx="26">
                  <c:v>259904</c:v>
                </c:pt>
                <c:pt idx="27">
                  <c:v>239220</c:v>
                </c:pt>
                <c:pt idx="28">
                  <c:v>218536</c:v>
                </c:pt>
                <c:pt idx="29">
                  <c:v>204746</c:v>
                </c:pt>
                <c:pt idx="30">
                  <c:v>190957</c:v>
                </c:pt>
                <c:pt idx="31">
                  <c:v>177167</c:v>
                </c:pt>
                <c:pt idx="32">
                  <c:v>170273</c:v>
                </c:pt>
                <c:pt idx="33">
                  <c:v>156483</c:v>
                </c:pt>
                <c:pt idx="34">
                  <c:v>149588</c:v>
                </c:pt>
                <c:pt idx="35">
                  <c:v>142694</c:v>
                </c:pt>
                <c:pt idx="36">
                  <c:v>142694</c:v>
                </c:pt>
                <c:pt idx="37">
                  <c:v>135799</c:v>
                </c:pt>
                <c:pt idx="38">
                  <c:v>128904</c:v>
                </c:pt>
                <c:pt idx="39">
                  <c:v>128904</c:v>
                </c:pt>
                <c:pt idx="40">
                  <c:v>122009</c:v>
                </c:pt>
                <c:pt idx="41">
                  <c:v>122009</c:v>
                </c:pt>
                <c:pt idx="42">
                  <c:v>122009</c:v>
                </c:pt>
                <c:pt idx="43">
                  <c:v>122009</c:v>
                </c:pt>
                <c:pt idx="44">
                  <c:v>115115</c:v>
                </c:pt>
                <c:pt idx="45">
                  <c:v>115115</c:v>
                </c:pt>
                <c:pt idx="46">
                  <c:v>115115</c:v>
                </c:pt>
                <c:pt idx="47">
                  <c:v>115115</c:v>
                </c:pt>
                <c:pt idx="48">
                  <c:v>108220</c:v>
                </c:pt>
                <c:pt idx="49">
                  <c:v>108220</c:v>
                </c:pt>
                <c:pt idx="50">
                  <c:v>108220</c:v>
                </c:pt>
                <c:pt idx="51">
                  <c:v>108220</c:v>
                </c:pt>
                <c:pt idx="52">
                  <c:v>108220</c:v>
                </c:pt>
                <c:pt idx="53">
                  <c:v>108220</c:v>
                </c:pt>
                <c:pt idx="54">
                  <c:v>108220</c:v>
                </c:pt>
                <c:pt idx="55">
                  <c:v>108220</c:v>
                </c:pt>
                <c:pt idx="56">
                  <c:v>108220</c:v>
                </c:pt>
                <c:pt idx="57">
                  <c:v>108220</c:v>
                </c:pt>
                <c:pt idx="58">
                  <c:v>101325</c:v>
                </c:pt>
                <c:pt idx="59">
                  <c:v>101325</c:v>
                </c:pt>
              </c:numCache>
            </c:numRef>
          </c:yVal>
          <c:smooth val="0"/>
          <c:extLst>
            <c:ext xmlns:c16="http://schemas.microsoft.com/office/drawing/2014/chart" uri="{C3380CC4-5D6E-409C-BE32-E72D297353CC}">
              <c16:uniqueId val="{00000000-6BBB-414F-B1E9-8771FBD0B59D}"/>
            </c:ext>
          </c:extLst>
        </c:ser>
        <c:ser>
          <c:idx val="1"/>
          <c:order val="1"/>
          <c:tx>
            <c:v>theoretical</c:v>
          </c:tx>
          <c:spPr>
            <a:ln w="25400" cap="rnd">
              <a:noFill/>
              <a:round/>
            </a:ln>
            <a:effectLst/>
          </c:spPr>
          <c:marker>
            <c:symbol val="circle"/>
            <c:size val="5"/>
            <c:spPr>
              <a:solidFill>
                <a:schemeClr val="accent2"/>
              </a:solidFill>
              <a:ln w="9525">
                <a:solidFill>
                  <a:schemeClr val="accent2"/>
                </a:solidFill>
              </a:ln>
              <a:effectLst/>
            </c:spPr>
          </c:marker>
          <c:xVal>
            <c:numRef>
              <c:f>'Experiment 6'!$B$75:$B$125</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xVal>
          <c:yVal>
            <c:numRef>
              <c:f>'Experiment 6'!$D$75:$D$125</c:f>
              <c:numCache>
                <c:formatCode>General</c:formatCode>
                <c:ptCount val="51"/>
                <c:pt idx="0">
                  <c:v>6934032</c:v>
                </c:pt>
                <c:pt idx="1">
                  <c:v>6933411.4500000002</c:v>
                </c:pt>
                <c:pt idx="2">
                  <c:v>6930937.7511657001</c:v>
                </c:pt>
                <c:pt idx="3">
                  <c:v>6575971.8788575996</c:v>
                </c:pt>
                <c:pt idx="4">
                  <c:v>5129012.2173378998</c:v>
                </c:pt>
                <c:pt idx="5">
                  <c:v>3973687.0700824</c:v>
                </c:pt>
                <c:pt idx="6">
                  <c:v>3227722.2713739998</c:v>
                </c:pt>
                <c:pt idx="7">
                  <c:v>2794587.0916432999</c:v>
                </c:pt>
                <c:pt idx="8">
                  <c:v>2454091.5435067001</c:v>
                </c:pt>
                <c:pt idx="9">
                  <c:v>2201657.1867714999</c:v>
                </c:pt>
                <c:pt idx="10">
                  <c:v>1986248.8781024001</c:v>
                </c:pt>
                <c:pt idx="11">
                  <c:v>1785951.9352734</c:v>
                </c:pt>
                <c:pt idx="12">
                  <c:v>1589530.8928956999</c:v>
                </c:pt>
                <c:pt idx="13">
                  <c:v>1408402.0419349</c:v>
                </c:pt>
                <c:pt idx="14">
                  <c:v>1232904.1630289</c:v>
                </c:pt>
                <c:pt idx="15">
                  <c:v>1064426.1004961999</c:v>
                </c:pt>
                <c:pt idx="16">
                  <c:v>904769.33540125005</c:v>
                </c:pt>
                <c:pt idx="17">
                  <c:v>756206.55588024005</c:v>
                </c:pt>
                <c:pt idx="18">
                  <c:v>621412.19251935999</c:v>
                </c:pt>
                <c:pt idx="19">
                  <c:v>503130.74249615002</c:v>
                </c:pt>
                <c:pt idx="20">
                  <c:v>403500.59484765999</c:v>
                </c:pt>
                <c:pt idx="21">
                  <c:v>323248.06046270998</c:v>
                </c:pt>
                <c:pt idx="22">
                  <c:v>261295.30332641001</c:v>
                </c:pt>
                <c:pt idx="23">
                  <c:v>215122.55352883</c:v>
                </c:pt>
                <c:pt idx="24">
                  <c:v>181585.15991297999</c:v>
                </c:pt>
                <c:pt idx="25">
                  <c:v>157638.98852017999</c:v>
                </c:pt>
                <c:pt idx="26">
                  <c:v>140721.40622408999</c:v>
                </c:pt>
                <c:pt idx="27">
                  <c:v>128843.30032281</c:v>
                </c:pt>
                <c:pt idx="28">
                  <c:v>120532.10504999</c:v>
                </c:pt>
                <c:pt idx="29">
                  <c:v>114727.08258669999</c:v>
                </c:pt>
                <c:pt idx="30">
                  <c:v>110675.93591026</c:v>
                </c:pt>
                <c:pt idx="31">
                  <c:v>107849.69491073</c:v>
                </c:pt>
                <c:pt idx="32">
                  <c:v>105878.12108924999</c:v>
                </c:pt>
                <c:pt idx="33">
                  <c:v>104502.67244027001</c:v>
                </c:pt>
                <c:pt idx="34">
                  <c:v>103542.99046751</c:v>
                </c:pt>
                <c:pt idx="35">
                  <c:v>102873.308926</c:v>
                </c:pt>
                <c:pt idx="36">
                  <c:v>102405.93261477</c:v>
                </c:pt>
                <c:pt idx="37">
                  <c:v>102079.70662927</c:v>
                </c:pt>
                <c:pt idx="38">
                  <c:v>101851.97732368</c:v>
                </c:pt>
                <c:pt idx="39">
                  <c:v>101692.9899177</c:v>
                </c:pt>
                <c:pt idx="40">
                  <c:v>101581.98524853001</c:v>
                </c:pt>
                <c:pt idx="41">
                  <c:v>101504.47491629</c:v>
                </c:pt>
                <c:pt idx="42">
                  <c:v>101450.34863422</c:v>
                </c:pt>
                <c:pt idx="43">
                  <c:v>101412.54936253</c:v>
                </c:pt>
                <c:pt idx="44">
                  <c:v>101386.15069361</c:v>
                </c:pt>
                <c:pt idx="45">
                  <c:v>101367.71323740001</c:v>
                </c:pt>
                <c:pt idx="46">
                  <c:v>101354.83671675999</c:v>
                </c:pt>
                <c:pt idx="47">
                  <c:v>101345.84242139</c:v>
                </c:pt>
                <c:pt idx="48">
                  <c:v>101339.55968876</c:v>
                </c:pt>
                <c:pt idx="49">
                  <c:v>101335.17094027001</c:v>
                </c:pt>
                <c:pt idx="50">
                  <c:v>101332.10515654999</c:v>
                </c:pt>
              </c:numCache>
            </c:numRef>
          </c:yVal>
          <c:smooth val="0"/>
          <c:extLst>
            <c:ext xmlns:c16="http://schemas.microsoft.com/office/drawing/2014/chart" uri="{C3380CC4-5D6E-409C-BE32-E72D297353CC}">
              <c16:uniqueId val="{00000001-6BBB-414F-B1E9-8771FBD0B59D}"/>
            </c:ext>
          </c:extLst>
        </c:ser>
        <c:dLbls>
          <c:showLegendKey val="0"/>
          <c:showVal val="0"/>
          <c:showCatName val="0"/>
          <c:showSerName val="0"/>
          <c:showPercent val="0"/>
          <c:showBubbleSize val="0"/>
        </c:dLbls>
        <c:axId val="142669184"/>
        <c:axId val="142670832"/>
      </c:scatterChart>
      <c:valAx>
        <c:axId val="142669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time</a:t>
                </a:r>
                <a:r>
                  <a:rPr lang="en-US" sz="1600" baseline="0"/>
                  <a:t> (s)</a:t>
                </a:r>
                <a:endParaRPr lang="en-US" sz="1600"/>
              </a:p>
            </c:rich>
          </c:tx>
          <c:layout>
            <c:manualLayout>
              <c:xMode val="edge"/>
              <c:yMode val="edge"/>
              <c:x val="0.48708448506184709"/>
              <c:y val="0.91291047897929301"/>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2670832"/>
        <c:crosses val="autoZero"/>
        <c:crossBetween val="midCat"/>
      </c:valAx>
      <c:valAx>
        <c:axId val="14267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pressure</a:t>
                </a:r>
                <a:r>
                  <a:rPr lang="en-US" sz="1600" baseline="0"/>
                  <a:t> (Pa)</a:t>
                </a:r>
                <a:endParaRPr lang="en-US" sz="1600"/>
              </a:p>
            </c:rich>
          </c:tx>
          <c:layout>
            <c:manualLayout>
              <c:xMode val="edge"/>
              <c:yMode val="edge"/>
              <c:x val="1.1458425050940982E-2"/>
              <c:y val="0.4255208596287508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669184"/>
        <c:crosses val="autoZero"/>
        <c:crossBetween val="midCat"/>
      </c:valAx>
      <c:spPr>
        <a:noFill/>
        <a:ln>
          <a:noFill/>
        </a:ln>
        <a:effectLst/>
      </c:spPr>
    </c:plotArea>
    <c:legend>
      <c:legendPos val="r"/>
      <c:layout>
        <c:manualLayout>
          <c:xMode val="edge"/>
          <c:yMode val="edge"/>
          <c:x val="0.51344113738605934"/>
          <c:y val="0.30981861871825017"/>
          <c:w val="0.22547277665875365"/>
          <c:h val="0.1388793783088118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0</xdr:colOff>
      <xdr:row>166</xdr:row>
      <xdr:rowOff>0</xdr:rowOff>
    </xdr:from>
    <xdr:to>
      <xdr:col>12</xdr:col>
      <xdr:colOff>876795</xdr:colOff>
      <xdr:row>192</xdr:row>
      <xdr:rowOff>42097</xdr:rowOff>
    </xdr:to>
    <xdr:graphicFrame macro="">
      <xdr:nvGraphicFramePr>
        <xdr:cNvPr id="7" name="Chart 6">
          <a:extLst>
            <a:ext uri="{FF2B5EF4-FFF2-40B4-BE49-F238E27FC236}">
              <a16:creationId xmlns:a16="http://schemas.microsoft.com/office/drawing/2014/main" id="{4215D0AC-5EC3-9F41-A899-C22189723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1203825</xdr:colOff>
      <xdr:row>34</xdr:row>
      <xdr:rowOff>93809</xdr:rowOff>
    </xdr:from>
    <xdr:to>
      <xdr:col>8</xdr:col>
      <xdr:colOff>2369841</xdr:colOff>
      <xdr:row>52</xdr:row>
      <xdr:rowOff>5834</xdr:rowOff>
    </xdr:to>
    <xdr:graphicFrame macro="">
      <xdr:nvGraphicFramePr>
        <xdr:cNvPr id="2" name="Chart 1">
          <a:extLst>
            <a:ext uri="{FF2B5EF4-FFF2-40B4-BE49-F238E27FC236}">
              <a16:creationId xmlns:a16="http://schemas.microsoft.com/office/drawing/2014/main" id="{790363B7-0550-3147-8FE8-4BA8E1FEB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864377</xdr:colOff>
      <xdr:row>35</xdr:row>
      <xdr:rowOff>94822</xdr:rowOff>
    </xdr:from>
    <xdr:to>
      <xdr:col>14</xdr:col>
      <xdr:colOff>94074</xdr:colOff>
      <xdr:row>53</xdr:row>
      <xdr:rowOff>8947</xdr:rowOff>
    </xdr:to>
    <xdr:graphicFrame macro="">
      <xdr:nvGraphicFramePr>
        <xdr:cNvPr id="3" name="Chart 2">
          <a:extLst>
            <a:ext uri="{FF2B5EF4-FFF2-40B4-BE49-F238E27FC236}">
              <a16:creationId xmlns:a16="http://schemas.microsoft.com/office/drawing/2014/main" id="{C7A4AF96-A426-E846-A2D4-8724115B2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265374</xdr:colOff>
      <xdr:row>36</xdr:row>
      <xdr:rowOff>123210</xdr:rowOff>
    </xdr:from>
    <xdr:to>
      <xdr:col>5</xdr:col>
      <xdr:colOff>169660</xdr:colOff>
      <xdr:row>48</xdr:row>
      <xdr:rowOff>94767</xdr:rowOff>
    </xdr:to>
    <xdr:grpSp>
      <xdr:nvGrpSpPr>
        <xdr:cNvPr id="5" name="Group 4">
          <a:extLst>
            <a:ext uri="{FF2B5EF4-FFF2-40B4-BE49-F238E27FC236}">
              <a16:creationId xmlns:a16="http://schemas.microsoft.com/office/drawing/2014/main" id="{60DE68C1-E9D4-9043-3C19-C1367D23C500}"/>
            </a:ext>
          </a:extLst>
        </xdr:cNvPr>
        <xdr:cNvGrpSpPr/>
      </xdr:nvGrpSpPr>
      <xdr:grpSpPr>
        <a:xfrm>
          <a:off x="1088522" y="6884784"/>
          <a:ext cx="4749101" cy="2229335"/>
          <a:chOff x="6540217" y="1822103"/>
          <a:chExt cx="2984488" cy="1401387"/>
        </a:xfrm>
      </xdr:grpSpPr>
      <xdr:sp macro="" textlink="">
        <xdr:nvSpPr>
          <xdr:cNvPr id="6" name="Rectangle 5">
            <a:extLst>
              <a:ext uri="{FF2B5EF4-FFF2-40B4-BE49-F238E27FC236}">
                <a16:creationId xmlns:a16="http://schemas.microsoft.com/office/drawing/2014/main" id="{0F3C9B92-92EC-618E-849B-219C4A39BE8F}"/>
              </a:ext>
            </a:extLst>
          </xdr:cNvPr>
          <xdr:cNvSpPr/>
        </xdr:nvSpPr>
        <xdr:spPr>
          <a:xfrm>
            <a:off x="7208551" y="2633148"/>
            <a:ext cx="577042" cy="5903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ectangle 6">
            <a:extLst>
              <a:ext uri="{FF2B5EF4-FFF2-40B4-BE49-F238E27FC236}">
                <a16:creationId xmlns:a16="http://schemas.microsoft.com/office/drawing/2014/main" id="{C16D5D7A-7A16-8E79-CE37-180A3199F224}"/>
              </a:ext>
            </a:extLst>
          </xdr:cNvPr>
          <xdr:cNvSpPr/>
        </xdr:nvSpPr>
        <xdr:spPr>
          <a:xfrm>
            <a:off x="7785593" y="2795860"/>
            <a:ext cx="1562583" cy="218986"/>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Rectangle 7">
            <a:extLst>
              <a:ext uri="{FF2B5EF4-FFF2-40B4-BE49-F238E27FC236}">
                <a16:creationId xmlns:a16="http://schemas.microsoft.com/office/drawing/2014/main" id="{19E86845-6C4B-253D-D584-8A8BF46EF084}"/>
              </a:ext>
            </a:extLst>
          </xdr:cNvPr>
          <xdr:cNvSpPr/>
        </xdr:nvSpPr>
        <xdr:spPr>
          <a:xfrm>
            <a:off x="7863722" y="2823546"/>
            <a:ext cx="235527" cy="1708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ectangle 8">
            <a:extLst>
              <a:ext uri="{FF2B5EF4-FFF2-40B4-BE49-F238E27FC236}">
                <a16:creationId xmlns:a16="http://schemas.microsoft.com/office/drawing/2014/main" id="{9925DC17-6D01-EF44-BFA1-87FF4F653234}"/>
              </a:ext>
            </a:extLst>
          </xdr:cNvPr>
          <xdr:cNvSpPr/>
        </xdr:nvSpPr>
        <xdr:spPr>
          <a:xfrm>
            <a:off x="8122572" y="2823546"/>
            <a:ext cx="235527" cy="1708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a:extLst>
              <a:ext uri="{FF2B5EF4-FFF2-40B4-BE49-F238E27FC236}">
                <a16:creationId xmlns:a16="http://schemas.microsoft.com/office/drawing/2014/main" id="{62AE275E-4A60-FC6F-87DB-FD5505645086}"/>
              </a:ext>
            </a:extLst>
          </xdr:cNvPr>
          <xdr:cNvSpPr/>
        </xdr:nvSpPr>
        <xdr:spPr>
          <a:xfrm>
            <a:off x="8385363" y="2823546"/>
            <a:ext cx="235527" cy="1708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Rectangle 10">
            <a:extLst>
              <a:ext uri="{FF2B5EF4-FFF2-40B4-BE49-F238E27FC236}">
                <a16:creationId xmlns:a16="http://schemas.microsoft.com/office/drawing/2014/main" id="{2A5D7D8E-6339-83F2-6192-D37C9A9F3581}"/>
              </a:ext>
            </a:extLst>
          </xdr:cNvPr>
          <xdr:cNvSpPr/>
        </xdr:nvSpPr>
        <xdr:spPr>
          <a:xfrm>
            <a:off x="8648154" y="2823545"/>
            <a:ext cx="235527" cy="1708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2" name="Straight Connector 11">
            <a:extLst>
              <a:ext uri="{FF2B5EF4-FFF2-40B4-BE49-F238E27FC236}">
                <a16:creationId xmlns:a16="http://schemas.microsoft.com/office/drawing/2014/main" id="{88466F72-846D-BF0D-A1AA-61F8123CCEA1}"/>
              </a:ext>
            </a:extLst>
          </xdr:cNvPr>
          <xdr:cNvCxnSpPr>
            <a:cxnSpLocks/>
            <a:stCxn id="6" idx="1"/>
          </xdr:cNvCxnSpPr>
        </xdr:nvCxnSpPr>
        <xdr:spPr>
          <a:xfrm flipH="1">
            <a:off x="6866214" y="2928319"/>
            <a:ext cx="342337" cy="0"/>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28647FF3-510E-158C-01EE-E0CD6A72C5EA}"/>
              </a:ext>
            </a:extLst>
          </xdr:cNvPr>
          <xdr:cNvCxnSpPr>
            <a:cxnSpLocks/>
            <a:endCxn id="14" idx="4"/>
          </xdr:cNvCxnSpPr>
        </xdr:nvCxnSpPr>
        <xdr:spPr>
          <a:xfrm flipV="1">
            <a:off x="6866214" y="2340615"/>
            <a:ext cx="6394" cy="59034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Oval 13">
            <a:extLst>
              <a:ext uri="{FF2B5EF4-FFF2-40B4-BE49-F238E27FC236}">
                <a16:creationId xmlns:a16="http://schemas.microsoft.com/office/drawing/2014/main" id="{0399CCD1-ECB6-1743-6D50-061EA1A482E2}"/>
              </a:ext>
            </a:extLst>
          </xdr:cNvPr>
          <xdr:cNvSpPr/>
        </xdr:nvSpPr>
        <xdr:spPr>
          <a:xfrm>
            <a:off x="6717899" y="2025297"/>
            <a:ext cx="309418" cy="31531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5" name="Straight Arrow Connector 14">
            <a:extLst>
              <a:ext uri="{FF2B5EF4-FFF2-40B4-BE49-F238E27FC236}">
                <a16:creationId xmlns:a16="http://schemas.microsoft.com/office/drawing/2014/main" id="{C2A1F497-2634-8480-1BEE-1D9DFD5834B7}"/>
              </a:ext>
            </a:extLst>
          </xdr:cNvPr>
          <xdr:cNvCxnSpPr>
            <a:cxnSpLocks/>
          </xdr:cNvCxnSpPr>
        </xdr:nvCxnSpPr>
        <xdr:spPr>
          <a:xfrm flipV="1">
            <a:off x="6717899" y="2015173"/>
            <a:ext cx="383560" cy="325442"/>
          </a:xfrm>
          <a:prstGeom prst="straightConnector1">
            <a:avLst/>
          </a:prstGeom>
          <a:ln w="28575">
            <a:solidFill>
              <a:schemeClr val="accent1">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 name="Triangle 15">
            <a:extLst>
              <a:ext uri="{FF2B5EF4-FFF2-40B4-BE49-F238E27FC236}">
                <a16:creationId xmlns:a16="http://schemas.microsoft.com/office/drawing/2014/main" id="{83BA2210-49F5-EAA6-FA08-5FC6C10D40D3}"/>
              </a:ext>
            </a:extLst>
          </xdr:cNvPr>
          <xdr:cNvSpPr/>
        </xdr:nvSpPr>
        <xdr:spPr>
          <a:xfrm>
            <a:off x="6828737" y="2036408"/>
            <a:ext cx="87742" cy="98527"/>
          </a:xfrm>
          <a:prstGeom prst="triangle">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mc:AlternateContent xmlns:mc="http://schemas.openxmlformats.org/markup-compatibility/2006" xmlns:a14="http://schemas.microsoft.com/office/drawing/2010/main">
        <mc:Choice Requires="a14">
          <xdr:sp macro="" textlink="">
            <xdr:nvSpPr>
              <xdr:cNvPr id="17" name="TextBox 34">
                <a:extLst>
                  <a:ext uri="{FF2B5EF4-FFF2-40B4-BE49-F238E27FC236}">
                    <a16:creationId xmlns:a16="http://schemas.microsoft.com/office/drawing/2014/main" id="{8BC4F841-49B2-4AE1-851B-3CF6E8ABF022}"/>
                  </a:ext>
                </a:extLst>
              </xdr:cNvPr>
              <xdr:cNvSpPr txBox="1"/>
            </xdr:nvSpPr>
            <xdr:spPr>
              <a:xfrm>
                <a:off x="7148935" y="2661402"/>
                <a:ext cx="687523" cy="51845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t>Manifold of known volume</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b="0" i="1">
                              <a:latin typeface="Cambria Math" panose="02040503050406030204" pitchFamily="18" charset="0"/>
                            </a:rPr>
                            <m:t>𝑉</m:t>
                          </m:r>
                        </m:e>
                        <m:sub>
                          <m:r>
                            <a:rPr lang="en-US" sz="1200" i="1">
                              <a:latin typeface="Cambria Math" panose="02040503050406030204" pitchFamily="18" charset="0"/>
                            </a:rPr>
                            <m:t>2</m:t>
                          </m:r>
                        </m:sub>
                      </m:sSub>
                      <m:r>
                        <a:rPr lang="en-US" sz="1200" b="0" i="1">
                          <a:latin typeface="Cambria Math" panose="02040503050406030204" pitchFamily="18" charset="0"/>
                        </a:rPr>
                        <m:t>,</m:t>
                      </m:r>
                      <m:r>
                        <a:rPr lang="en-US" sz="1200" i="1">
                          <a:latin typeface="Cambria Math" panose="02040503050406030204" pitchFamily="18" charset="0"/>
                        </a:rPr>
                        <m:t> </m:t>
                      </m:r>
                      <m:sSub>
                        <m:sSubPr>
                          <m:ctrlPr>
                            <a:rPr lang="en-US" sz="1200" i="1">
                              <a:latin typeface="Cambria Math" panose="02040503050406030204" pitchFamily="18" charset="0"/>
                            </a:rPr>
                          </m:ctrlPr>
                        </m:sSubPr>
                        <m:e>
                          <m:r>
                            <a:rPr lang="en-US" sz="1200" b="0" i="1">
                              <a:latin typeface="Cambria Math" panose="02040503050406030204" pitchFamily="18" charset="0"/>
                            </a:rPr>
                            <m:t>𝑃</m:t>
                          </m:r>
                        </m:e>
                        <m:sub>
                          <m:r>
                            <a:rPr lang="en-US" sz="1200" b="0" i="1">
                              <a:latin typeface="Cambria Math" panose="02040503050406030204" pitchFamily="18" charset="0"/>
                            </a:rPr>
                            <m:t>2</m:t>
                          </m:r>
                        </m:sub>
                      </m:sSub>
                    </m:oMath>
                  </m:oMathPara>
                </a14:m>
                <a:endParaRPr lang="en-US" sz="1200"/>
              </a:p>
            </xdr:txBody>
          </xdr:sp>
        </mc:Choice>
        <mc:Fallback xmlns="">
          <xdr:sp macro="" textlink="">
            <xdr:nvSpPr>
              <xdr:cNvPr id="17" name="TextBox 34">
                <a:extLst>
                  <a:ext uri="{FF2B5EF4-FFF2-40B4-BE49-F238E27FC236}">
                    <a16:creationId xmlns:a16="http://schemas.microsoft.com/office/drawing/2014/main" id="{8BC4F841-49B2-4AE1-851B-3CF6E8ABF022}"/>
                  </a:ext>
                </a:extLst>
              </xdr:cNvPr>
              <xdr:cNvSpPr txBox="1"/>
            </xdr:nvSpPr>
            <xdr:spPr>
              <a:xfrm>
                <a:off x="7148935" y="2661402"/>
                <a:ext cx="687523" cy="51845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t>Manifold of known volume</a:t>
                </a:r>
              </a:p>
              <a:p>
                <a:pPr algn="ctr"/>
                <a:r>
                  <a:rPr lang="en-US" sz="1200" b="0" i="0">
                    <a:latin typeface="Cambria Math" panose="02040503050406030204" pitchFamily="18" charset="0"/>
                  </a:rPr>
                  <a:t>𝑉_</a:t>
                </a:r>
                <a:r>
                  <a:rPr lang="en-US" sz="1200" i="0">
                    <a:latin typeface="Cambria Math" panose="02040503050406030204" pitchFamily="18" charset="0"/>
                  </a:rPr>
                  <a:t>2</a:t>
                </a:r>
                <a:r>
                  <a:rPr lang="en-US" sz="1200" b="0" i="0">
                    <a:latin typeface="Cambria Math" panose="02040503050406030204" pitchFamily="18" charset="0"/>
                  </a:rPr>
                  <a:t>,</a:t>
                </a:r>
                <a:r>
                  <a:rPr lang="en-US" sz="1200" i="0">
                    <a:latin typeface="Cambria Math" panose="02040503050406030204" pitchFamily="18" charset="0"/>
                  </a:rPr>
                  <a:t> </a:t>
                </a:r>
                <a:r>
                  <a:rPr lang="en-US" sz="1200" b="0" i="0">
                    <a:latin typeface="Cambria Math" panose="02040503050406030204" pitchFamily="18" charset="0"/>
                  </a:rPr>
                  <a:t>𝑃_2</a:t>
                </a:r>
                <a:endParaRPr lang="en-US" sz="1200"/>
              </a:p>
            </xdr:txBody>
          </xdr:sp>
        </mc:Fallback>
      </mc:AlternateContent>
      <xdr:sp macro="" textlink="">
        <xdr:nvSpPr>
          <xdr:cNvPr id="18" name="TextBox 35">
            <a:extLst>
              <a:ext uri="{FF2B5EF4-FFF2-40B4-BE49-F238E27FC236}">
                <a16:creationId xmlns:a16="http://schemas.microsoft.com/office/drawing/2014/main" id="{CAC172D9-2DEE-601B-6F4E-96AFA36EFFCC}"/>
              </a:ext>
            </a:extLst>
          </xdr:cNvPr>
          <xdr:cNvSpPr txBox="1"/>
        </xdr:nvSpPr>
        <xdr:spPr>
          <a:xfrm>
            <a:off x="6540217" y="1822103"/>
            <a:ext cx="577041" cy="17281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t>Pump</a:t>
            </a:r>
            <a:endParaRPr lang="en-US" sz="900"/>
          </a:p>
        </xdr:txBody>
      </xdr:sp>
      <xdr:sp macro="" textlink="">
        <xdr:nvSpPr>
          <xdr:cNvPr id="19" name="TextBox 36">
            <a:extLst>
              <a:ext uri="{FF2B5EF4-FFF2-40B4-BE49-F238E27FC236}">
                <a16:creationId xmlns:a16="http://schemas.microsoft.com/office/drawing/2014/main" id="{9A8AC2FC-20E7-1111-2261-72D35CC1BD07}"/>
              </a:ext>
            </a:extLst>
          </xdr:cNvPr>
          <xdr:cNvSpPr txBox="1"/>
        </xdr:nvSpPr>
        <xdr:spPr>
          <a:xfrm>
            <a:off x="8789541" y="3012527"/>
            <a:ext cx="689535" cy="16321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100"/>
              <a:t>Rodlet</a:t>
            </a:r>
            <a:endParaRPr lang="en-US" sz="1400"/>
          </a:p>
        </xdr:txBody>
      </xdr:sp>
      <xdr:sp macro="" textlink="">
        <xdr:nvSpPr>
          <xdr:cNvPr id="20" name="TextBox 42">
            <a:extLst>
              <a:ext uri="{FF2B5EF4-FFF2-40B4-BE49-F238E27FC236}">
                <a16:creationId xmlns:a16="http://schemas.microsoft.com/office/drawing/2014/main" id="{C4107717-225B-A651-4A8C-861A31421B80}"/>
              </a:ext>
            </a:extLst>
          </xdr:cNvPr>
          <xdr:cNvSpPr txBox="1"/>
        </xdr:nvSpPr>
        <xdr:spPr>
          <a:xfrm>
            <a:off x="8634289" y="1884324"/>
            <a:ext cx="890416" cy="2880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t>Pressure Transducer</a:t>
            </a:r>
          </a:p>
        </xdr:txBody>
      </xdr:sp>
      <xdr:cxnSp macro="">
        <xdr:nvCxnSpPr>
          <xdr:cNvPr id="21" name="Straight Connector 20">
            <a:extLst>
              <a:ext uri="{FF2B5EF4-FFF2-40B4-BE49-F238E27FC236}">
                <a16:creationId xmlns:a16="http://schemas.microsoft.com/office/drawing/2014/main" id="{62004144-6D3B-58AC-0484-1161D80FFC6C}"/>
              </a:ext>
            </a:extLst>
          </xdr:cNvPr>
          <xdr:cNvCxnSpPr>
            <a:cxnSpLocks/>
            <a:stCxn id="6" idx="0"/>
            <a:endCxn id="22" idx="4"/>
          </xdr:cNvCxnSpPr>
        </xdr:nvCxnSpPr>
        <xdr:spPr>
          <a:xfrm flipH="1" flipV="1">
            <a:off x="7495605" y="2376709"/>
            <a:ext cx="1467" cy="256439"/>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Oval 21">
            <a:extLst>
              <a:ext uri="{FF2B5EF4-FFF2-40B4-BE49-F238E27FC236}">
                <a16:creationId xmlns:a16="http://schemas.microsoft.com/office/drawing/2014/main" id="{95438F62-E324-F6E9-B0F4-F6F5FCC70D5F}"/>
              </a:ext>
            </a:extLst>
          </xdr:cNvPr>
          <xdr:cNvSpPr/>
        </xdr:nvSpPr>
        <xdr:spPr>
          <a:xfrm>
            <a:off x="7363616" y="2108599"/>
            <a:ext cx="263976" cy="26811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23" name="Straight Arrow Connector 22">
            <a:extLst>
              <a:ext uri="{FF2B5EF4-FFF2-40B4-BE49-F238E27FC236}">
                <a16:creationId xmlns:a16="http://schemas.microsoft.com/office/drawing/2014/main" id="{0C92FF02-5E97-F200-0DA4-865B4356A669}"/>
              </a:ext>
            </a:extLst>
          </xdr:cNvPr>
          <xdr:cNvCxnSpPr>
            <a:cxnSpLocks/>
          </xdr:cNvCxnSpPr>
        </xdr:nvCxnSpPr>
        <xdr:spPr>
          <a:xfrm flipV="1">
            <a:off x="7363616" y="2080461"/>
            <a:ext cx="302604" cy="280515"/>
          </a:xfrm>
          <a:prstGeom prst="straightConnector1">
            <a:avLst/>
          </a:prstGeom>
          <a:ln w="12700">
            <a:solidFill>
              <a:schemeClr val="accent1">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TextBox 66">
            <a:extLst>
              <a:ext uri="{FF2B5EF4-FFF2-40B4-BE49-F238E27FC236}">
                <a16:creationId xmlns:a16="http://schemas.microsoft.com/office/drawing/2014/main" id="{210D9B68-7CA6-3407-0DEF-2258766DE625}"/>
              </a:ext>
            </a:extLst>
          </xdr:cNvPr>
          <xdr:cNvSpPr txBox="1"/>
        </xdr:nvSpPr>
        <xdr:spPr>
          <a:xfrm>
            <a:off x="7531102" y="1990997"/>
            <a:ext cx="890416" cy="2880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t>Pressure Transducer</a:t>
            </a:r>
          </a:p>
        </xdr:txBody>
      </xdr:sp>
      <xdr:cxnSp macro="">
        <xdr:nvCxnSpPr>
          <xdr:cNvPr id="25" name="Straight Connector 24">
            <a:extLst>
              <a:ext uri="{FF2B5EF4-FFF2-40B4-BE49-F238E27FC236}">
                <a16:creationId xmlns:a16="http://schemas.microsoft.com/office/drawing/2014/main" id="{05361594-1FA6-B8F2-9316-084C70EB5A35}"/>
              </a:ext>
            </a:extLst>
          </xdr:cNvPr>
          <xdr:cNvCxnSpPr>
            <a:cxnSpLocks/>
            <a:endCxn id="26" idx="4"/>
          </xdr:cNvCxnSpPr>
        </xdr:nvCxnSpPr>
        <xdr:spPr>
          <a:xfrm flipH="1" flipV="1">
            <a:off x="9114995" y="2538139"/>
            <a:ext cx="1467" cy="256439"/>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 name="Oval 25">
            <a:extLst>
              <a:ext uri="{FF2B5EF4-FFF2-40B4-BE49-F238E27FC236}">
                <a16:creationId xmlns:a16="http://schemas.microsoft.com/office/drawing/2014/main" id="{D39EF2F7-6318-C913-E744-DAF6802792DD}"/>
              </a:ext>
            </a:extLst>
          </xdr:cNvPr>
          <xdr:cNvSpPr/>
        </xdr:nvSpPr>
        <xdr:spPr>
          <a:xfrm>
            <a:off x="8983007" y="2270029"/>
            <a:ext cx="263976" cy="26811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27" name="Straight Arrow Connector 26">
            <a:extLst>
              <a:ext uri="{FF2B5EF4-FFF2-40B4-BE49-F238E27FC236}">
                <a16:creationId xmlns:a16="http://schemas.microsoft.com/office/drawing/2014/main" id="{5C20A0C3-C9A9-EDF5-DDEA-2C488F7AC7DB}"/>
              </a:ext>
            </a:extLst>
          </xdr:cNvPr>
          <xdr:cNvCxnSpPr>
            <a:cxnSpLocks/>
          </xdr:cNvCxnSpPr>
        </xdr:nvCxnSpPr>
        <xdr:spPr>
          <a:xfrm flipV="1">
            <a:off x="8983007" y="2241891"/>
            <a:ext cx="302604" cy="280515"/>
          </a:xfrm>
          <a:prstGeom prst="straightConnector1">
            <a:avLst/>
          </a:prstGeom>
          <a:ln w="12700">
            <a:solidFill>
              <a:schemeClr val="accent1">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mc:AlternateContent xmlns:mc="http://schemas.openxmlformats.org/markup-compatibility/2006" xmlns:a14="http://schemas.microsoft.com/office/drawing/2010/main">
        <mc:Choice Requires="a14">
          <xdr:sp macro="" textlink="">
            <xdr:nvSpPr>
              <xdr:cNvPr id="28" name="TextBox 6">
                <a:extLst>
                  <a:ext uri="{FF2B5EF4-FFF2-40B4-BE49-F238E27FC236}">
                    <a16:creationId xmlns:a16="http://schemas.microsoft.com/office/drawing/2014/main" id="{7746B1A1-EFE7-F00E-6E9C-D74272B117EE}"/>
                  </a:ext>
                </a:extLst>
              </xdr:cNvPr>
              <xdr:cNvSpPr txBox="1"/>
            </xdr:nvSpPr>
            <xdr:spPr>
              <a:xfrm>
                <a:off x="8788169" y="2815639"/>
                <a:ext cx="689535" cy="17281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b="0" i="1">
                              <a:latin typeface="Cambria Math" panose="02040503050406030204" pitchFamily="18" charset="0"/>
                            </a:rPr>
                            <m:t>𝑃</m:t>
                          </m:r>
                        </m:e>
                        <m:sub>
                          <m:r>
                            <a:rPr lang="en-US" sz="1200" b="0" i="1">
                              <a:latin typeface="Cambria Math" panose="02040503050406030204" pitchFamily="18" charset="0"/>
                            </a:rPr>
                            <m:t>1</m:t>
                          </m:r>
                        </m:sub>
                      </m:sSub>
                    </m:oMath>
                  </m:oMathPara>
                </a14:m>
                <a:endParaRPr lang="en-US" sz="1200"/>
              </a:p>
            </xdr:txBody>
          </xdr:sp>
        </mc:Choice>
        <mc:Fallback xmlns="">
          <xdr:sp macro="" textlink="">
            <xdr:nvSpPr>
              <xdr:cNvPr id="28" name="TextBox 6">
                <a:extLst>
                  <a:ext uri="{FF2B5EF4-FFF2-40B4-BE49-F238E27FC236}">
                    <a16:creationId xmlns:a16="http://schemas.microsoft.com/office/drawing/2014/main" id="{7746B1A1-EFE7-F00E-6E9C-D74272B117EE}"/>
                  </a:ext>
                </a:extLst>
              </xdr:cNvPr>
              <xdr:cNvSpPr txBox="1"/>
            </xdr:nvSpPr>
            <xdr:spPr>
              <a:xfrm>
                <a:off x="8788169" y="2815639"/>
                <a:ext cx="689535" cy="17281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b="0" i="0">
                    <a:latin typeface="Cambria Math" panose="02040503050406030204" pitchFamily="18" charset="0"/>
                  </a:rPr>
                  <a:t>𝑃_1</a:t>
                </a:r>
                <a:endParaRPr lang="en-US" sz="1200"/>
              </a:p>
            </xdr:txBody>
          </xdr:sp>
        </mc:Fallback>
      </mc:AlternateContent>
    </xdr:grpSp>
    <xdr:clientData/>
  </xdr:twoCellAnchor>
  <xdr:twoCellAnchor editAs="oneCell">
    <xdr:from>
      <xdr:col>11</xdr:col>
      <xdr:colOff>756420</xdr:colOff>
      <xdr:row>3</xdr:row>
      <xdr:rowOff>10234</xdr:rowOff>
    </xdr:from>
    <xdr:to>
      <xdr:col>14</xdr:col>
      <xdr:colOff>1103762</xdr:colOff>
      <xdr:row>23</xdr:row>
      <xdr:rowOff>152800</xdr:rowOff>
    </xdr:to>
    <xdr:pic>
      <xdr:nvPicPr>
        <xdr:cNvPr id="31" name="Picture 30">
          <a:extLst>
            <a:ext uri="{FF2B5EF4-FFF2-40B4-BE49-F238E27FC236}">
              <a16:creationId xmlns:a16="http://schemas.microsoft.com/office/drawing/2014/main" id="{7A17A395-255C-E735-7F2D-CF5AA84B253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223883" y="578891"/>
          <a:ext cx="4744954" cy="39294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171515</xdr:colOff>
      <xdr:row>54</xdr:row>
      <xdr:rowOff>99443</xdr:rowOff>
    </xdr:from>
    <xdr:to>
      <xdr:col>11</xdr:col>
      <xdr:colOff>437976</xdr:colOff>
      <xdr:row>81</xdr:row>
      <xdr:rowOff>16988</xdr:rowOff>
    </xdr:to>
    <xdr:graphicFrame macro="">
      <xdr:nvGraphicFramePr>
        <xdr:cNvPr id="32" name="Chart 31">
          <a:extLst>
            <a:ext uri="{FF2B5EF4-FFF2-40B4-BE49-F238E27FC236}">
              <a16:creationId xmlns:a16="http://schemas.microsoft.com/office/drawing/2014/main" id="{6343190B-2281-C641-8999-FDAD95BEA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768144</xdr:colOff>
      <xdr:row>24</xdr:row>
      <xdr:rowOff>153628</xdr:rowOff>
    </xdr:from>
    <xdr:to>
      <xdr:col>11</xdr:col>
      <xdr:colOff>962387</xdr:colOff>
      <xdr:row>50</xdr:row>
      <xdr:rowOff>170330</xdr:rowOff>
    </xdr:to>
    <xdr:graphicFrame macro="">
      <xdr:nvGraphicFramePr>
        <xdr:cNvPr id="3" name="Chart 2">
          <a:extLst>
            <a:ext uri="{FF2B5EF4-FFF2-40B4-BE49-F238E27FC236}">
              <a16:creationId xmlns:a16="http://schemas.microsoft.com/office/drawing/2014/main" id="{DECC6AA7-70C6-2443-85CA-3B9D7E03A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266291</xdr:colOff>
      <xdr:row>24</xdr:row>
      <xdr:rowOff>143389</xdr:rowOff>
    </xdr:from>
    <xdr:to>
      <xdr:col>11</xdr:col>
      <xdr:colOff>1791986</xdr:colOff>
      <xdr:row>50</xdr:row>
      <xdr:rowOff>160090</xdr:rowOff>
    </xdr:to>
    <xdr:graphicFrame macro="">
      <xdr:nvGraphicFramePr>
        <xdr:cNvPr id="3" name="Chart 2">
          <a:extLst>
            <a:ext uri="{FF2B5EF4-FFF2-40B4-BE49-F238E27FC236}">
              <a16:creationId xmlns:a16="http://schemas.microsoft.com/office/drawing/2014/main" id="{98AF303B-CA78-C04A-B0AF-0E741AD74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225322</xdr:colOff>
      <xdr:row>23</xdr:row>
      <xdr:rowOff>184354</xdr:rowOff>
    </xdr:from>
    <xdr:to>
      <xdr:col>11</xdr:col>
      <xdr:colOff>1751017</xdr:colOff>
      <xdr:row>50</xdr:row>
      <xdr:rowOff>6460</xdr:rowOff>
    </xdr:to>
    <xdr:graphicFrame macro="">
      <xdr:nvGraphicFramePr>
        <xdr:cNvPr id="3" name="Chart 2">
          <a:extLst>
            <a:ext uri="{FF2B5EF4-FFF2-40B4-BE49-F238E27FC236}">
              <a16:creationId xmlns:a16="http://schemas.microsoft.com/office/drawing/2014/main" id="{18D84901-4FFE-C640-8C8F-FE43F7BD0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655484</xdr:colOff>
      <xdr:row>76</xdr:row>
      <xdr:rowOff>10242</xdr:rowOff>
    </xdr:from>
    <xdr:to>
      <xdr:col>11</xdr:col>
      <xdr:colOff>1423629</xdr:colOff>
      <xdr:row>84</xdr:row>
      <xdr:rowOff>133146</xdr:rowOff>
    </xdr:to>
    <xdr:sp macro="" textlink="">
      <xdr:nvSpPr>
        <xdr:cNvPr id="4" name="TextBox 3">
          <a:extLst>
            <a:ext uri="{FF2B5EF4-FFF2-40B4-BE49-F238E27FC236}">
              <a16:creationId xmlns:a16="http://schemas.microsoft.com/office/drawing/2014/main" id="{2B4AE409-0641-41E9-25FC-04C0C03F36C5}"/>
            </a:ext>
          </a:extLst>
        </xdr:cNvPr>
        <xdr:cNvSpPr txBox="1"/>
      </xdr:nvSpPr>
      <xdr:spPr>
        <a:xfrm>
          <a:off x="8736371" y="14840565"/>
          <a:ext cx="6012016" cy="16796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Mesh</a:t>
          </a:r>
          <a:r>
            <a:rPr lang="en-US" sz="1100" baseline="0"/>
            <a:t> refinement sensitivity analysis was performed by comparing the inlet pressure at t = 20s, when the valve is completely open and the the pressure decay is no more influenced by the outlet pressure decay, and it is only given by the flow through the fragmented fuel pellet.300</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757904</xdr:colOff>
      <xdr:row>27</xdr:row>
      <xdr:rowOff>51209</xdr:rowOff>
    </xdr:from>
    <xdr:to>
      <xdr:col>11</xdr:col>
      <xdr:colOff>1454002</xdr:colOff>
      <xdr:row>53</xdr:row>
      <xdr:rowOff>67911</xdr:rowOff>
    </xdr:to>
    <xdr:graphicFrame macro="">
      <xdr:nvGraphicFramePr>
        <xdr:cNvPr id="3" name="Chart 2">
          <a:extLst>
            <a:ext uri="{FF2B5EF4-FFF2-40B4-BE49-F238E27FC236}">
              <a16:creationId xmlns:a16="http://schemas.microsoft.com/office/drawing/2014/main" id="{F9B6AB52-73D6-E24D-9B81-6E57B3EBF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276532</xdr:colOff>
      <xdr:row>36</xdr:row>
      <xdr:rowOff>92177</xdr:rowOff>
    </xdr:from>
    <xdr:to>
      <xdr:col>11</xdr:col>
      <xdr:colOff>1802227</xdr:colOff>
      <xdr:row>62</xdr:row>
      <xdr:rowOff>108879</xdr:rowOff>
    </xdr:to>
    <xdr:graphicFrame macro="">
      <xdr:nvGraphicFramePr>
        <xdr:cNvPr id="3" name="Chart 2">
          <a:extLst>
            <a:ext uri="{FF2B5EF4-FFF2-40B4-BE49-F238E27FC236}">
              <a16:creationId xmlns:a16="http://schemas.microsoft.com/office/drawing/2014/main" id="{09D30877-0992-124F-A92F-88EAB4734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511098</xdr:colOff>
      <xdr:row>5</xdr:row>
      <xdr:rowOff>154878</xdr:rowOff>
    </xdr:from>
    <xdr:to>
      <xdr:col>15</xdr:col>
      <xdr:colOff>331129</xdr:colOff>
      <xdr:row>52</xdr:row>
      <xdr:rowOff>96024</xdr:rowOff>
    </xdr:to>
    <xdr:graphicFrame macro="">
      <xdr:nvGraphicFramePr>
        <xdr:cNvPr id="2" name="Chart 1">
          <a:extLst>
            <a:ext uri="{FF2B5EF4-FFF2-40B4-BE49-F238E27FC236}">
              <a16:creationId xmlns:a16="http://schemas.microsoft.com/office/drawing/2014/main" id="{238058D1-C194-0D48-8C2F-452C3205D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329580</xdr:colOff>
      <xdr:row>62</xdr:row>
      <xdr:rowOff>59473</xdr:rowOff>
    </xdr:from>
    <xdr:to>
      <xdr:col>13</xdr:col>
      <xdr:colOff>250592</xdr:colOff>
      <xdr:row>81</xdr:row>
      <xdr:rowOff>181828</xdr:rowOff>
    </xdr:to>
    <xdr:sp macro="" textlink="">
      <xdr:nvSpPr>
        <xdr:cNvPr id="4" name="TextBox 3">
          <a:extLst>
            <a:ext uri="{FF2B5EF4-FFF2-40B4-BE49-F238E27FC236}">
              <a16:creationId xmlns:a16="http://schemas.microsoft.com/office/drawing/2014/main" id="{1D6FBDB8-78BB-F8F7-D14F-C486EEED90F6}"/>
            </a:ext>
          </a:extLst>
        </xdr:cNvPr>
        <xdr:cNvSpPr txBox="1"/>
      </xdr:nvSpPr>
      <xdr:spPr>
        <a:xfrm>
          <a:off x="1150434" y="11582400"/>
          <a:ext cx="9771256" cy="3653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t>Comments:</a:t>
          </a:r>
        </a:p>
        <a:p>
          <a:r>
            <a:rPr lang="en-US" sz="1800" baseline="0"/>
            <a:t>1) two experiments per pressure levels were performed</a:t>
          </a:r>
        </a:p>
        <a:p>
          <a:r>
            <a:rPr lang="en-US" sz="1800" baseline="0"/>
            <a:t>2) the reason why the trend is not exactly the same even if the applied intial pressure is equal is because of the valve opening. </a:t>
          </a:r>
        </a:p>
        <a:p>
          <a:r>
            <a:rPr lang="en-US" sz="1800" baseline="0"/>
            <a:t>3) such deviation is much more pronounced for lower pressure levels --&gt; ask for higher pressure levels in the upcoming experiments</a:t>
          </a:r>
        </a:p>
        <a:p>
          <a:r>
            <a:rPr lang="en-US" sz="1800" baseline="0"/>
            <a:t>4) @ t = 10s the outlet reaches atmospheric pressure, but in the experiments where a lower intial pressure is applied, the inlet pressure assumes very different values because of the different pressure ducay at the outlet. </a:t>
          </a:r>
        </a:p>
      </xdr:txBody>
    </xdr:sp>
    <xdr:clientData/>
  </xdr:twoCellAnchor>
  <xdr:twoCellAnchor>
    <xdr:from>
      <xdr:col>15</xdr:col>
      <xdr:colOff>1014761</xdr:colOff>
      <xdr:row>9</xdr:row>
      <xdr:rowOff>3345</xdr:rowOff>
    </xdr:from>
    <xdr:to>
      <xdr:col>29</xdr:col>
      <xdr:colOff>516487</xdr:colOff>
      <xdr:row>55</xdr:row>
      <xdr:rowOff>123159</xdr:rowOff>
    </xdr:to>
    <xdr:graphicFrame macro="">
      <xdr:nvGraphicFramePr>
        <xdr:cNvPr id="8" name="Chart 7">
          <a:extLst>
            <a:ext uri="{FF2B5EF4-FFF2-40B4-BE49-F238E27FC236}">
              <a16:creationId xmlns:a16="http://schemas.microsoft.com/office/drawing/2014/main" id="{89BB1085-8222-F346-A8F3-5607DDE51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96"/>
  <sheetViews>
    <sheetView workbookViewId="0">
      <selection activeCell="C8" sqref="C8"/>
    </sheetView>
  </sheetViews>
  <sheetFormatPr baseColWidth="10" defaultColWidth="8.6640625" defaultRowHeight="15" x14ac:dyDescent="0.2"/>
  <cols>
    <col min="1" max="1" width="8.6640625" style="1"/>
    <col min="2" max="2" width="20.6640625" style="8" customWidth="1"/>
    <col min="3" max="4" width="20.6640625" style="5" customWidth="1"/>
    <col min="5" max="8" width="20.6640625" style="2" customWidth="1"/>
    <col min="9" max="11" width="20.6640625" style="1" customWidth="1"/>
    <col min="12" max="12" width="19.1640625" style="1" customWidth="1"/>
    <col min="13" max="13" width="19" style="1" customWidth="1"/>
    <col min="14" max="14" width="30.6640625" style="1" customWidth="1"/>
    <col min="15" max="28" width="20.6640625" style="1" customWidth="1"/>
    <col min="29" max="16384" width="8.6640625" style="1"/>
  </cols>
  <sheetData>
    <row r="1" spans="1:16" x14ac:dyDescent="0.2">
      <c r="B1" s="117" t="s">
        <v>0</v>
      </c>
      <c r="C1" s="117"/>
      <c r="D1" s="117"/>
    </row>
    <row r="2" spans="1:16" x14ac:dyDescent="0.2">
      <c r="B2" s="118" t="s">
        <v>1</v>
      </c>
      <c r="C2" s="118"/>
      <c r="D2" s="3" t="s">
        <v>2</v>
      </c>
      <c r="E2" s="4" t="s">
        <v>3</v>
      </c>
      <c r="F2" s="4"/>
      <c r="G2" s="4"/>
    </row>
    <row r="3" spans="1:16" x14ac:dyDescent="0.2">
      <c r="B3" s="116" t="s">
        <v>4</v>
      </c>
      <c r="C3" s="116"/>
      <c r="D3" s="5" t="s">
        <v>5</v>
      </c>
      <c r="E3" s="2" t="s">
        <v>6</v>
      </c>
    </row>
    <row r="4" spans="1:16" x14ac:dyDescent="0.2">
      <c r="B4" s="116" t="s">
        <v>7</v>
      </c>
      <c r="C4" s="116"/>
      <c r="D4" s="5" t="s">
        <v>5</v>
      </c>
      <c r="E4" s="2" t="s">
        <v>6</v>
      </c>
    </row>
    <row r="5" spans="1:16" x14ac:dyDescent="0.2">
      <c r="B5" s="116" t="s">
        <v>8</v>
      </c>
      <c r="C5" s="116"/>
      <c r="D5" s="5" t="s">
        <v>9</v>
      </c>
      <c r="E5" s="2" t="s">
        <v>10</v>
      </c>
    </row>
    <row r="6" spans="1:16" x14ac:dyDescent="0.2">
      <c r="B6" s="116" t="s">
        <v>11</v>
      </c>
      <c r="C6" s="116"/>
      <c r="D6" s="5" t="s">
        <v>9</v>
      </c>
      <c r="E6" s="2" t="s">
        <v>10</v>
      </c>
    </row>
    <row r="8" spans="1:16" ht="16" thickBot="1" x14ac:dyDescent="0.25">
      <c r="A8" s="113" t="s">
        <v>12</v>
      </c>
      <c r="B8" s="114" t="s">
        <v>13</v>
      </c>
      <c r="C8" s="11" t="s">
        <v>34</v>
      </c>
      <c r="D8" s="14" t="s">
        <v>4</v>
      </c>
      <c r="E8" s="15" t="s">
        <v>7</v>
      </c>
      <c r="F8" s="14" t="s">
        <v>4</v>
      </c>
      <c r="G8" s="15" t="s">
        <v>7</v>
      </c>
      <c r="H8" s="6" t="s">
        <v>83</v>
      </c>
      <c r="I8" s="7"/>
    </row>
    <row r="9" spans="1:16" ht="16" thickBot="1" x14ac:dyDescent="0.25">
      <c r="A9" s="113"/>
      <c r="B9" s="114"/>
      <c r="C9" s="115" t="s">
        <v>35</v>
      </c>
      <c r="D9" s="16" t="s">
        <v>5</v>
      </c>
      <c r="E9" s="16" t="s">
        <v>5</v>
      </c>
      <c r="F9" s="16" t="s">
        <v>36</v>
      </c>
      <c r="G9" s="16" t="s">
        <v>36</v>
      </c>
      <c r="H9" s="4"/>
      <c r="I9" s="4"/>
      <c r="N9" s="110" t="s">
        <v>40</v>
      </c>
      <c r="O9" s="111"/>
      <c r="P9" s="112"/>
    </row>
    <row r="10" spans="1:16" x14ac:dyDescent="0.2">
      <c r="A10" s="113"/>
      <c r="B10" s="114"/>
      <c r="C10" s="115"/>
      <c r="D10" s="16" t="s">
        <v>14</v>
      </c>
      <c r="E10" s="16" t="s">
        <v>14</v>
      </c>
      <c r="F10" s="16" t="s">
        <v>14</v>
      </c>
      <c r="G10" s="16" t="s">
        <v>14</v>
      </c>
      <c r="H10" s="4"/>
      <c r="I10" s="4"/>
      <c r="N10" s="25" t="s">
        <v>21</v>
      </c>
      <c r="O10" s="26">
        <f xml:space="preserve"> 0.328*25.4*10^(-3)/2</f>
        <v>4.1655999999999993E-3</v>
      </c>
      <c r="P10" s="27" t="s">
        <v>28</v>
      </c>
    </row>
    <row r="11" spans="1:16" x14ac:dyDescent="0.2">
      <c r="A11" s="54" t="s">
        <v>15</v>
      </c>
      <c r="B11" s="76">
        <v>44783.497870370367</v>
      </c>
      <c r="C11" s="11">
        <v>0</v>
      </c>
      <c r="D11" s="11">
        <v>1</v>
      </c>
      <c r="E11" s="11">
        <v>1</v>
      </c>
      <c r="F11" s="11">
        <f>D11*6894.76 +101325</f>
        <v>108219.76</v>
      </c>
      <c r="G11" s="11">
        <f>E11*6894.76 +101325</f>
        <v>108219.76</v>
      </c>
      <c r="H11" s="2">
        <f>G11-F11</f>
        <v>0</v>
      </c>
      <c r="I11" s="2"/>
      <c r="N11" s="20" t="s">
        <v>22</v>
      </c>
      <c r="O11" s="18">
        <f xml:space="preserve"> 7.94*10^(-3)</f>
        <v>7.9400000000000009E-3</v>
      </c>
      <c r="P11" s="21" t="s">
        <v>28</v>
      </c>
    </row>
    <row r="12" spans="1:16" x14ac:dyDescent="0.2">
      <c r="A12" s="54" t="s">
        <v>15</v>
      </c>
      <c r="B12" s="76">
        <v>44783.497881944444</v>
      </c>
      <c r="C12" s="11">
        <f>C11+1</f>
        <v>1</v>
      </c>
      <c r="D12" s="11">
        <v>1</v>
      </c>
      <c r="E12" s="11">
        <v>1</v>
      </c>
      <c r="F12" s="11">
        <f t="shared" ref="F12:F75" si="0">D12*6894.76 +101325</f>
        <v>108219.76</v>
      </c>
      <c r="G12" s="11">
        <f t="shared" ref="G12:G75" si="1">E12*6894.76 +101325</f>
        <v>108219.76</v>
      </c>
      <c r="H12" s="2">
        <f t="shared" ref="H12:H75" si="2">G12-F12</f>
        <v>0</v>
      </c>
      <c r="I12" s="2"/>
      <c r="N12" s="20" t="s">
        <v>23</v>
      </c>
      <c r="O12" s="18">
        <f>O11*PI()*O10^2</f>
        <v>4.3283812240392796E-7</v>
      </c>
      <c r="P12" s="21" t="s">
        <v>27</v>
      </c>
    </row>
    <row r="13" spans="1:16" x14ac:dyDescent="0.2">
      <c r="A13" s="54" t="s">
        <v>15</v>
      </c>
      <c r="B13" s="76">
        <v>44783.497893518521</v>
      </c>
      <c r="C13" s="11">
        <f t="shared" ref="C13:C76" si="3">C12+1</f>
        <v>2</v>
      </c>
      <c r="D13" s="11">
        <v>19</v>
      </c>
      <c r="E13" s="11">
        <v>11</v>
      </c>
      <c r="F13" s="11">
        <f t="shared" si="0"/>
        <v>232325.44</v>
      </c>
      <c r="G13" s="11">
        <f t="shared" si="1"/>
        <v>177167.35999999999</v>
      </c>
      <c r="H13" s="2">
        <f t="shared" si="2"/>
        <v>-55158.080000000016</v>
      </c>
      <c r="I13" s="2"/>
      <c r="N13" s="20" t="s">
        <v>24</v>
      </c>
      <c r="O13" s="18">
        <f>25.08*10^(-9)/4</f>
        <v>6.2700000000000001E-9</v>
      </c>
      <c r="P13" s="21" t="s">
        <v>27</v>
      </c>
    </row>
    <row r="14" spans="1:16" x14ac:dyDescent="0.2">
      <c r="A14" s="54" t="s">
        <v>15</v>
      </c>
      <c r="B14" s="76">
        <v>44783.49790509259</v>
      </c>
      <c r="C14" s="11">
        <f t="shared" si="3"/>
        <v>3</v>
      </c>
      <c r="D14" s="11">
        <v>56</v>
      </c>
      <c r="E14" s="11">
        <v>54</v>
      </c>
      <c r="F14" s="11">
        <f t="shared" si="0"/>
        <v>487431.56</v>
      </c>
      <c r="G14" s="11">
        <f t="shared" si="1"/>
        <v>473642.04000000004</v>
      </c>
      <c r="H14" s="2">
        <f t="shared" si="2"/>
        <v>-13789.51999999996</v>
      </c>
      <c r="I14" s="2"/>
      <c r="N14" s="20" t="s">
        <v>25</v>
      </c>
      <c r="O14" s="18">
        <f>O13/O12</f>
        <v>1.4485785044018804E-2</v>
      </c>
      <c r="P14" s="21" t="s">
        <v>26</v>
      </c>
    </row>
    <row r="15" spans="1:16" x14ac:dyDescent="0.2">
      <c r="A15" s="54" t="s">
        <v>15</v>
      </c>
      <c r="B15" s="76">
        <v>44783.497916666667</v>
      </c>
      <c r="C15" s="11">
        <f t="shared" si="3"/>
        <v>4</v>
      </c>
      <c r="D15" s="11">
        <v>85</v>
      </c>
      <c r="E15" s="11">
        <v>81</v>
      </c>
      <c r="F15" s="11">
        <f t="shared" si="0"/>
        <v>687379.6</v>
      </c>
      <c r="G15" s="11">
        <f t="shared" si="1"/>
        <v>659800.56000000006</v>
      </c>
      <c r="H15" s="2">
        <f t="shared" si="2"/>
        <v>-27579.039999999921</v>
      </c>
      <c r="I15" s="2"/>
      <c r="L15" s="1">
        <f>4293339/(8.314*300)</f>
        <v>1721.329083473659</v>
      </c>
      <c r="N15" s="20" t="s">
        <v>39</v>
      </c>
      <c r="O15" s="18">
        <f>O10^2*PI()</f>
        <v>5.4513617431225171E-5</v>
      </c>
      <c r="P15" s="21" t="s">
        <v>41</v>
      </c>
    </row>
    <row r="16" spans="1:16" x14ac:dyDescent="0.2">
      <c r="A16" s="54" t="s">
        <v>15</v>
      </c>
      <c r="B16" s="76">
        <v>44783.497928240744</v>
      </c>
      <c r="C16" s="11">
        <f t="shared" si="3"/>
        <v>5</v>
      </c>
      <c r="D16" s="11">
        <v>98</v>
      </c>
      <c r="E16" s="11">
        <v>101</v>
      </c>
      <c r="F16" s="11">
        <f t="shared" si="0"/>
        <v>777011.48</v>
      </c>
      <c r="G16" s="11">
        <f t="shared" si="1"/>
        <v>797695.76</v>
      </c>
      <c r="H16" s="2">
        <f t="shared" si="2"/>
        <v>20684.280000000028</v>
      </c>
      <c r="I16" s="2"/>
      <c r="M16" s="17"/>
      <c r="N16" s="20" t="s">
        <v>37</v>
      </c>
      <c r="O16" s="18">
        <f>7.94*4*0.001</f>
        <v>3.1760000000000004E-2</v>
      </c>
      <c r="P16" s="21" t="s">
        <v>28</v>
      </c>
    </row>
    <row r="17" spans="1:16" x14ac:dyDescent="0.2">
      <c r="A17" s="54" t="s">
        <v>15</v>
      </c>
      <c r="B17" s="76">
        <v>44783.497939814813</v>
      </c>
      <c r="C17" s="11">
        <f t="shared" si="3"/>
        <v>6</v>
      </c>
      <c r="D17" s="11">
        <v>118</v>
      </c>
      <c r="E17" s="11">
        <v>120</v>
      </c>
      <c r="F17" s="11">
        <f t="shared" si="0"/>
        <v>914906.68</v>
      </c>
      <c r="G17" s="11">
        <f t="shared" si="1"/>
        <v>928696.20000000007</v>
      </c>
      <c r="H17" s="2">
        <f t="shared" si="2"/>
        <v>13789.520000000019</v>
      </c>
      <c r="I17" s="2"/>
      <c r="M17" s="17"/>
      <c r="N17" s="20" t="s">
        <v>38</v>
      </c>
      <c r="O17" s="18">
        <f>2.54*0.01*6</f>
        <v>0.15240000000000001</v>
      </c>
      <c r="P17" s="21" t="s">
        <v>28</v>
      </c>
    </row>
    <row r="18" spans="1:16" x14ac:dyDescent="0.2">
      <c r="A18" s="54" t="s">
        <v>15</v>
      </c>
      <c r="B18" s="76">
        <v>44783.49795138889</v>
      </c>
      <c r="C18" s="11">
        <f t="shared" si="3"/>
        <v>7</v>
      </c>
      <c r="D18" s="11">
        <v>140</v>
      </c>
      <c r="E18" s="11">
        <v>134</v>
      </c>
      <c r="F18" s="11">
        <f t="shared" si="0"/>
        <v>1066591.3999999999</v>
      </c>
      <c r="G18" s="11">
        <f t="shared" si="1"/>
        <v>1025222.8400000001</v>
      </c>
      <c r="H18" s="2">
        <f t="shared" si="2"/>
        <v>-41368.559999999823</v>
      </c>
      <c r="I18" s="2"/>
      <c r="M18" s="17"/>
      <c r="N18" s="20" t="s">
        <v>30</v>
      </c>
      <c r="O18" s="18">
        <f>1.79*10^(-5)</f>
        <v>1.7900000000000001E-5</v>
      </c>
      <c r="P18" s="21" t="s">
        <v>31</v>
      </c>
    </row>
    <row r="19" spans="1:16" x14ac:dyDescent="0.2">
      <c r="A19" s="54" t="s">
        <v>15</v>
      </c>
      <c r="B19" s="76">
        <v>44783.49796296296</v>
      </c>
      <c r="C19" s="11">
        <f t="shared" si="3"/>
        <v>8</v>
      </c>
      <c r="D19" s="11">
        <v>163</v>
      </c>
      <c r="E19" s="11">
        <v>162</v>
      </c>
      <c r="F19" s="11">
        <f t="shared" si="0"/>
        <v>1225170.8800000001</v>
      </c>
      <c r="G19" s="11">
        <f t="shared" si="1"/>
        <v>1218276.1200000001</v>
      </c>
      <c r="H19" s="2">
        <f t="shared" si="2"/>
        <v>-6894.7600000000093</v>
      </c>
      <c r="I19" s="2"/>
      <c r="N19" s="20" t="s">
        <v>33</v>
      </c>
      <c r="O19" s="18">
        <v>1.1839999999999999</v>
      </c>
      <c r="P19" s="21" t="s">
        <v>32</v>
      </c>
    </row>
    <row r="20" spans="1:16" x14ac:dyDescent="0.2">
      <c r="A20" s="54" t="s">
        <v>15</v>
      </c>
      <c r="B20" s="76">
        <v>44783.497974537036</v>
      </c>
      <c r="C20" s="11">
        <f t="shared" si="3"/>
        <v>9</v>
      </c>
      <c r="D20" s="11">
        <v>184</v>
      </c>
      <c r="E20" s="11">
        <v>184</v>
      </c>
      <c r="F20" s="11">
        <f t="shared" si="0"/>
        <v>1369960.84</v>
      </c>
      <c r="G20" s="11">
        <f t="shared" si="1"/>
        <v>1369960.84</v>
      </c>
      <c r="H20" s="2">
        <f t="shared" si="2"/>
        <v>0</v>
      </c>
      <c r="I20" s="2"/>
      <c r="N20" s="20" t="s">
        <v>42</v>
      </c>
      <c r="O20" s="18">
        <f>12.5*10^(-6)</f>
        <v>1.2499999999999999E-5</v>
      </c>
      <c r="P20" s="21" t="s">
        <v>27</v>
      </c>
    </row>
    <row r="21" spans="1:16" x14ac:dyDescent="0.2">
      <c r="A21" s="54" t="s">
        <v>15</v>
      </c>
      <c r="B21" s="76">
        <v>44783.497986111113</v>
      </c>
      <c r="C21" s="11">
        <f t="shared" si="3"/>
        <v>10</v>
      </c>
      <c r="D21" s="11">
        <v>198</v>
      </c>
      <c r="E21" s="11">
        <v>204</v>
      </c>
      <c r="F21" s="11">
        <f t="shared" si="0"/>
        <v>1466487.48</v>
      </c>
      <c r="G21" s="11">
        <f t="shared" si="1"/>
        <v>1507856.04</v>
      </c>
      <c r="H21" s="2">
        <f t="shared" si="2"/>
        <v>41368.560000000056</v>
      </c>
      <c r="I21" s="2"/>
      <c r="N21" s="20" t="s">
        <v>43</v>
      </c>
      <c r="O21" s="19">
        <v>4293339</v>
      </c>
      <c r="P21" s="21" t="s">
        <v>36</v>
      </c>
    </row>
    <row r="22" spans="1:16" x14ac:dyDescent="0.2">
      <c r="A22" s="54" t="s">
        <v>15</v>
      </c>
      <c r="B22" s="76">
        <v>44783.497997685183</v>
      </c>
      <c r="C22" s="11">
        <f t="shared" si="3"/>
        <v>11</v>
      </c>
      <c r="D22" s="11">
        <v>226</v>
      </c>
      <c r="E22" s="11">
        <v>225</v>
      </c>
      <c r="F22" s="11">
        <f t="shared" si="0"/>
        <v>1659540.76</v>
      </c>
      <c r="G22" s="11">
        <f t="shared" si="1"/>
        <v>1652646</v>
      </c>
      <c r="H22" s="2">
        <f t="shared" si="2"/>
        <v>-6894.7600000000093</v>
      </c>
      <c r="I22" s="2"/>
      <c r="N22" s="20" t="s">
        <v>44</v>
      </c>
      <c r="O22" s="18">
        <v>101325</v>
      </c>
      <c r="P22" s="21" t="s">
        <v>36</v>
      </c>
    </row>
    <row r="23" spans="1:16" x14ac:dyDescent="0.2">
      <c r="A23" s="54" t="s">
        <v>15</v>
      </c>
      <c r="B23" s="76">
        <v>44783.49800925926</v>
      </c>
      <c r="C23" s="11">
        <f t="shared" si="3"/>
        <v>12</v>
      </c>
      <c r="D23" s="11">
        <v>244</v>
      </c>
      <c r="E23" s="11">
        <v>245</v>
      </c>
      <c r="F23" s="11">
        <f t="shared" si="0"/>
        <v>1783646.44</v>
      </c>
      <c r="G23" s="11">
        <f t="shared" si="1"/>
        <v>1790541.2</v>
      </c>
      <c r="H23" s="2">
        <f t="shared" si="2"/>
        <v>6894.7600000000093</v>
      </c>
      <c r="I23" s="2"/>
      <c r="N23" s="20" t="s">
        <v>45</v>
      </c>
      <c r="O23" s="18">
        <v>0.18309300000000001</v>
      </c>
      <c r="P23" s="21"/>
    </row>
    <row r="24" spans="1:16" x14ac:dyDescent="0.2">
      <c r="A24" s="54" t="s">
        <v>15</v>
      </c>
      <c r="B24" s="76">
        <v>44783.498020833336</v>
      </c>
      <c r="C24" s="11">
        <f t="shared" si="3"/>
        <v>13</v>
      </c>
      <c r="D24" s="11">
        <v>275</v>
      </c>
      <c r="E24" s="11">
        <v>276</v>
      </c>
      <c r="F24" s="11">
        <f t="shared" si="0"/>
        <v>1997384</v>
      </c>
      <c r="G24" s="11">
        <f t="shared" si="1"/>
        <v>2004278.76</v>
      </c>
      <c r="H24" s="2">
        <f t="shared" si="2"/>
        <v>6894.7600000000093</v>
      </c>
      <c r="I24" s="2"/>
      <c r="N24" s="22" t="s">
        <v>29</v>
      </c>
      <c r="O24" s="23">
        <f>O23*O18*O20*O16/(PI()*O10^2*(O21-O22))</f>
        <v>5.6936078556533719E-15</v>
      </c>
      <c r="P24" s="24" t="s">
        <v>41</v>
      </c>
    </row>
    <row r="25" spans="1:16" x14ac:dyDescent="0.2">
      <c r="A25" s="54" t="s">
        <v>15</v>
      </c>
      <c r="B25" s="76">
        <v>44783.498032407406</v>
      </c>
      <c r="C25" s="11">
        <f t="shared" si="3"/>
        <v>14</v>
      </c>
      <c r="D25" s="11">
        <v>302</v>
      </c>
      <c r="E25" s="11">
        <v>306</v>
      </c>
      <c r="F25" s="11">
        <f t="shared" si="0"/>
        <v>2183542.52</v>
      </c>
      <c r="G25" s="11">
        <f t="shared" si="1"/>
        <v>2211121.56</v>
      </c>
      <c r="H25" s="2">
        <f t="shared" si="2"/>
        <v>27579.040000000037</v>
      </c>
      <c r="I25" s="2"/>
    </row>
    <row r="26" spans="1:16" x14ac:dyDescent="0.2">
      <c r="A26" s="54" t="s">
        <v>15</v>
      </c>
      <c r="B26" s="76">
        <v>44783.498043981483</v>
      </c>
      <c r="C26" s="11">
        <f t="shared" si="3"/>
        <v>15</v>
      </c>
      <c r="D26" s="11">
        <v>340</v>
      </c>
      <c r="E26" s="11">
        <v>337</v>
      </c>
      <c r="F26" s="11">
        <f t="shared" si="0"/>
        <v>2445543.4</v>
      </c>
      <c r="G26" s="11">
        <f t="shared" si="1"/>
        <v>2424859.12</v>
      </c>
      <c r="H26" s="2">
        <f t="shared" si="2"/>
        <v>-20684.279999999795</v>
      </c>
      <c r="I26" s="2"/>
    </row>
    <row r="27" spans="1:16" x14ac:dyDescent="0.2">
      <c r="A27" s="54" t="s">
        <v>15</v>
      </c>
      <c r="B27" s="76">
        <v>44783.498055555552</v>
      </c>
      <c r="C27" s="11">
        <f t="shared" si="3"/>
        <v>16</v>
      </c>
      <c r="D27" s="11">
        <v>360</v>
      </c>
      <c r="E27" s="11">
        <v>366</v>
      </c>
      <c r="F27" s="11">
        <f t="shared" si="0"/>
        <v>2583438.6</v>
      </c>
      <c r="G27" s="11">
        <f t="shared" si="1"/>
        <v>2624807.16</v>
      </c>
      <c r="H27" s="2">
        <f t="shared" si="2"/>
        <v>41368.560000000056</v>
      </c>
      <c r="I27" s="2"/>
    </row>
    <row r="28" spans="1:16" x14ac:dyDescent="0.2">
      <c r="A28" s="54" t="s">
        <v>15</v>
      </c>
      <c r="B28" s="76">
        <v>44783.498067129629</v>
      </c>
      <c r="C28" s="11">
        <f t="shared" si="3"/>
        <v>17</v>
      </c>
      <c r="D28" s="11">
        <v>396</v>
      </c>
      <c r="E28" s="11">
        <v>398</v>
      </c>
      <c r="F28" s="11">
        <f t="shared" si="0"/>
        <v>2831649.96</v>
      </c>
      <c r="G28" s="11">
        <f t="shared" si="1"/>
        <v>2845439.48</v>
      </c>
      <c r="H28" s="2">
        <f t="shared" si="2"/>
        <v>13789.520000000019</v>
      </c>
      <c r="I28" s="2"/>
    </row>
    <row r="29" spans="1:16" x14ac:dyDescent="0.2">
      <c r="A29" s="54" t="s">
        <v>15</v>
      </c>
      <c r="B29" s="76">
        <v>44783.498078703706</v>
      </c>
      <c r="C29" s="11">
        <f t="shared" si="3"/>
        <v>18</v>
      </c>
      <c r="D29" s="11">
        <v>423</v>
      </c>
      <c r="E29" s="11">
        <v>419</v>
      </c>
      <c r="F29" s="11">
        <f t="shared" si="0"/>
        <v>3017808.48</v>
      </c>
      <c r="G29" s="11">
        <f t="shared" si="1"/>
        <v>2990229.44</v>
      </c>
      <c r="H29" s="2">
        <f t="shared" si="2"/>
        <v>-27579.040000000037</v>
      </c>
      <c r="I29" s="2"/>
    </row>
    <row r="30" spans="1:16" x14ac:dyDescent="0.2">
      <c r="A30" s="54" t="s">
        <v>15</v>
      </c>
      <c r="B30" s="76">
        <v>44783.498090277775</v>
      </c>
      <c r="C30" s="11">
        <f t="shared" si="3"/>
        <v>19</v>
      </c>
      <c r="D30" s="11">
        <v>452</v>
      </c>
      <c r="E30" s="11">
        <v>450</v>
      </c>
      <c r="F30" s="11">
        <f t="shared" si="0"/>
        <v>3217756.52</v>
      </c>
      <c r="G30" s="11">
        <f t="shared" si="1"/>
        <v>3203967</v>
      </c>
      <c r="H30" s="2">
        <f t="shared" si="2"/>
        <v>-13789.520000000019</v>
      </c>
      <c r="I30" s="2"/>
    </row>
    <row r="31" spans="1:16" x14ac:dyDescent="0.2">
      <c r="A31" s="54" t="s">
        <v>15</v>
      </c>
      <c r="B31" s="76">
        <v>44783.498101851852</v>
      </c>
      <c r="C31" s="11">
        <f t="shared" si="3"/>
        <v>20</v>
      </c>
      <c r="D31" s="11">
        <v>484</v>
      </c>
      <c r="E31" s="11">
        <v>482</v>
      </c>
      <c r="F31" s="11">
        <f t="shared" si="0"/>
        <v>3438388.8400000003</v>
      </c>
      <c r="G31" s="11">
        <f t="shared" si="1"/>
        <v>3424599.3200000003</v>
      </c>
      <c r="H31" s="2">
        <f t="shared" si="2"/>
        <v>-13789.520000000019</v>
      </c>
      <c r="I31" s="2"/>
    </row>
    <row r="32" spans="1:16" x14ac:dyDescent="0.2">
      <c r="A32" s="54" t="s">
        <v>15</v>
      </c>
      <c r="B32" s="76">
        <v>44783.498113425929</v>
      </c>
      <c r="C32" s="11">
        <f t="shared" si="3"/>
        <v>21</v>
      </c>
      <c r="D32" s="11">
        <v>496</v>
      </c>
      <c r="E32" s="11">
        <v>497</v>
      </c>
      <c r="F32" s="11">
        <f t="shared" si="0"/>
        <v>3521125.96</v>
      </c>
      <c r="G32" s="11">
        <f t="shared" si="1"/>
        <v>3528020.72</v>
      </c>
      <c r="H32" s="2">
        <f t="shared" si="2"/>
        <v>6894.7600000002421</v>
      </c>
      <c r="I32" s="2"/>
    </row>
    <row r="33" spans="1:9" x14ac:dyDescent="0.2">
      <c r="A33" s="54" t="s">
        <v>15</v>
      </c>
      <c r="B33" s="76">
        <v>44783.498124999998</v>
      </c>
      <c r="C33" s="11">
        <f t="shared" si="3"/>
        <v>22</v>
      </c>
      <c r="D33" s="11">
        <v>505</v>
      </c>
      <c r="E33" s="11">
        <v>506</v>
      </c>
      <c r="F33" s="11">
        <f t="shared" si="0"/>
        <v>3583178.8000000003</v>
      </c>
      <c r="G33" s="11">
        <f t="shared" si="1"/>
        <v>3590073.56</v>
      </c>
      <c r="H33" s="2">
        <f t="shared" si="2"/>
        <v>6894.7599999997765</v>
      </c>
      <c r="I33" s="2"/>
    </row>
    <row r="34" spans="1:9" x14ac:dyDescent="0.2">
      <c r="A34" s="54" t="s">
        <v>15</v>
      </c>
      <c r="B34" s="76">
        <v>44783.498136574075</v>
      </c>
      <c r="C34" s="11">
        <f t="shared" si="3"/>
        <v>23</v>
      </c>
      <c r="D34" s="11">
        <v>517</v>
      </c>
      <c r="E34" s="11">
        <v>518</v>
      </c>
      <c r="F34" s="11">
        <f t="shared" si="0"/>
        <v>3665915.92</v>
      </c>
      <c r="G34" s="11">
        <f t="shared" si="1"/>
        <v>3672810.68</v>
      </c>
      <c r="H34" s="2">
        <f t="shared" si="2"/>
        <v>6894.7600000002421</v>
      </c>
      <c r="I34" s="2"/>
    </row>
    <row r="35" spans="1:9" x14ac:dyDescent="0.2">
      <c r="A35" s="54" t="s">
        <v>15</v>
      </c>
      <c r="B35" s="76">
        <v>44783.498148148145</v>
      </c>
      <c r="C35" s="11">
        <f t="shared" si="3"/>
        <v>24</v>
      </c>
      <c r="D35" s="11">
        <v>526</v>
      </c>
      <c r="E35" s="11">
        <v>526</v>
      </c>
      <c r="F35" s="11">
        <f t="shared" si="0"/>
        <v>3727968.7600000002</v>
      </c>
      <c r="G35" s="11">
        <f t="shared" si="1"/>
        <v>3727968.7600000002</v>
      </c>
      <c r="H35" s="2">
        <f t="shared" si="2"/>
        <v>0</v>
      </c>
      <c r="I35" s="2"/>
    </row>
    <row r="36" spans="1:9" x14ac:dyDescent="0.2">
      <c r="A36" s="54" t="s">
        <v>15</v>
      </c>
      <c r="B36" s="76">
        <v>44783.498159722221</v>
      </c>
      <c r="C36" s="11">
        <f t="shared" si="3"/>
        <v>25</v>
      </c>
      <c r="D36" s="11">
        <v>529</v>
      </c>
      <c r="E36" s="11">
        <v>530</v>
      </c>
      <c r="F36" s="11">
        <f t="shared" si="0"/>
        <v>3748653.04</v>
      </c>
      <c r="G36" s="11">
        <f t="shared" si="1"/>
        <v>3755547.8000000003</v>
      </c>
      <c r="H36" s="2">
        <f t="shared" si="2"/>
        <v>6894.7600000002421</v>
      </c>
      <c r="I36" s="2"/>
    </row>
    <row r="37" spans="1:9" x14ac:dyDescent="0.2">
      <c r="A37" s="54" t="s">
        <v>15</v>
      </c>
      <c r="B37" s="76">
        <v>44783.498171296298</v>
      </c>
      <c r="C37" s="11">
        <f t="shared" si="3"/>
        <v>26</v>
      </c>
      <c r="D37" s="11">
        <v>532</v>
      </c>
      <c r="E37" s="11">
        <v>533</v>
      </c>
      <c r="F37" s="11">
        <f t="shared" si="0"/>
        <v>3769337.3200000003</v>
      </c>
      <c r="G37" s="11">
        <f t="shared" si="1"/>
        <v>3776232.08</v>
      </c>
      <c r="H37" s="2">
        <f t="shared" si="2"/>
        <v>6894.7599999997765</v>
      </c>
      <c r="I37" s="2"/>
    </row>
    <row r="38" spans="1:9" x14ac:dyDescent="0.2">
      <c r="A38" s="54" t="s">
        <v>15</v>
      </c>
      <c r="B38" s="76">
        <v>44783.498182870368</v>
      </c>
      <c r="C38" s="11">
        <f t="shared" si="3"/>
        <v>27</v>
      </c>
      <c r="D38" s="11">
        <v>535</v>
      </c>
      <c r="E38" s="11">
        <v>536</v>
      </c>
      <c r="F38" s="11">
        <f t="shared" si="0"/>
        <v>3790021.6</v>
      </c>
      <c r="G38" s="11">
        <f t="shared" si="1"/>
        <v>3796916.3600000003</v>
      </c>
      <c r="H38" s="2">
        <f t="shared" si="2"/>
        <v>6894.7600000002421</v>
      </c>
      <c r="I38" s="2"/>
    </row>
    <row r="39" spans="1:9" x14ac:dyDescent="0.2">
      <c r="A39" s="54" t="s">
        <v>15</v>
      </c>
      <c r="B39" s="76">
        <v>44783.498194444444</v>
      </c>
      <c r="C39" s="11">
        <f t="shared" si="3"/>
        <v>28</v>
      </c>
      <c r="D39" s="11">
        <v>539</v>
      </c>
      <c r="E39" s="11">
        <v>539</v>
      </c>
      <c r="F39" s="11">
        <f t="shared" si="0"/>
        <v>3817600.64</v>
      </c>
      <c r="G39" s="11">
        <f t="shared" si="1"/>
        <v>3817600.64</v>
      </c>
      <c r="H39" s="2">
        <f t="shared" si="2"/>
        <v>0</v>
      </c>
      <c r="I39" s="2"/>
    </row>
    <row r="40" spans="1:9" x14ac:dyDescent="0.2">
      <c r="A40" s="54" t="s">
        <v>15</v>
      </c>
      <c r="B40" s="76">
        <v>44783.498206018521</v>
      </c>
      <c r="C40" s="11">
        <f t="shared" si="3"/>
        <v>29</v>
      </c>
      <c r="D40" s="11">
        <v>542</v>
      </c>
      <c r="E40" s="11">
        <v>543</v>
      </c>
      <c r="F40" s="11">
        <f t="shared" si="0"/>
        <v>3838284.92</v>
      </c>
      <c r="G40" s="11">
        <f t="shared" si="1"/>
        <v>3845179.68</v>
      </c>
      <c r="H40" s="2">
        <f t="shared" si="2"/>
        <v>6894.7600000002421</v>
      </c>
      <c r="I40" s="2"/>
    </row>
    <row r="41" spans="1:9" x14ac:dyDescent="0.2">
      <c r="A41" s="54" t="s">
        <v>15</v>
      </c>
      <c r="B41" s="76">
        <v>44783.498217592591</v>
      </c>
      <c r="C41" s="11">
        <f t="shared" si="3"/>
        <v>30</v>
      </c>
      <c r="D41" s="11">
        <v>546</v>
      </c>
      <c r="E41" s="11">
        <v>547</v>
      </c>
      <c r="F41" s="11">
        <f t="shared" si="0"/>
        <v>3865863.96</v>
      </c>
      <c r="G41" s="11">
        <f t="shared" si="1"/>
        <v>3872758.72</v>
      </c>
      <c r="H41" s="2">
        <f t="shared" si="2"/>
        <v>6894.7600000002421</v>
      </c>
      <c r="I41" s="2"/>
    </row>
    <row r="42" spans="1:9" x14ac:dyDescent="0.2">
      <c r="A42" s="54" t="s">
        <v>15</v>
      </c>
      <c r="B42" s="76">
        <v>44783.498229166667</v>
      </c>
      <c r="C42" s="11">
        <f t="shared" si="3"/>
        <v>31</v>
      </c>
      <c r="D42" s="11">
        <v>550</v>
      </c>
      <c r="E42" s="11">
        <v>551</v>
      </c>
      <c r="F42" s="11">
        <f t="shared" si="0"/>
        <v>3893443</v>
      </c>
      <c r="G42" s="11">
        <f t="shared" si="1"/>
        <v>3900337.7600000002</v>
      </c>
      <c r="H42" s="2">
        <f t="shared" si="2"/>
        <v>6894.7600000002421</v>
      </c>
      <c r="I42" s="2"/>
    </row>
    <row r="43" spans="1:9" x14ac:dyDescent="0.2">
      <c r="A43" s="54" t="s">
        <v>15</v>
      </c>
      <c r="B43" s="76">
        <v>44783.498240740744</v>
      </c>
      <c r="C43" s="11">
        <f t="shared" si="3"/>
        <v>32</v>
      </c>
      <c r="D43" s="11">
        <v>554</v>
      </c>
      <c r="E43" s="11">
        <v>555</v>
      </c>
      <c r="F43" s="11">
        <f t="shared" si="0"/>
        <v>3921022.04</v>
      </c>
      <c r="G43" s="11">
        <f t="shared" si="1"/>
        <v>3927916.8000000003</v>
      </c>
      <c r="H43" s="2">
        <f t="shared" si="2"/>
        <v>6894.7600000002421</v>
      </c>
      <c r="I43" s="2"/>
    </row>
    <row r="44" spans="1:9" x14ac:dyDescent="0.2">
      <c r="A44" s="54" t="s">
        <v>15</v>
      </c>
      <c r="B44" s="76">
        <v>44783.498252314814</v>
      </c>
      <c r="C44" s="11">
        <f t="shared" si="3"/>
        <v>33</v>
      </c>
      <c r="D44" s="11">
        <v>558</v>
      </c>
      <c r="E44" s="11">
        <v>559</v>
      </c>
      <c r="F44" s="11">
        <f t="shared" si="0"/>
        <v>3948601.08</v>
      </c>
      <c r="G44" s="11">
        <f t="shared" si="1"/>
        <v>3955495.8400000003</v>
      </c>
      <c r="H44" s="2">
        <f t="shared" si="2"/>
        <v>6894.7600000002421</v>
      </c>
      <c r="I44" s="2"/>
    </row>
    <row r="45" spans="1:9" x14ac:dyDescent="0.2">
      <c r="A45" s="54" t="s">
        <v>15</v>
      </c>
      <c r="B45" s="76">
        <v>44783.498263888891</v>
      </c>
      <c r="C45" s="11">
        <f t="shared" si="3"/>
        <v>34</v>
      </c>
      <c r="D45" s="11">
        <v>563</v>
      </c>
      <c r="E45" s="11">
        <v>564</v>
      </c>
      <c r="F45" s="11">
        <f t="shared" si="0"/>
        <v>3983074.8800000004</v>
      </c>
      <c r="G45" s="11">
        <f t="shared" si="1"/>
        <v>3989969.64</v>
      </c>
      <c r="H45" s="2">
        <f t="shared" si="2"/>
        <v>6894.7599999997765</v>
      </c>
      <c r="I45" s="2"/>
    </row>
    <row r="46" spans="1:9" x14ac:dyDescent="0.2">
      <c r="A46" s="54" t="s">
        <v>15</v>
      </c>
      <c r="B46" s="76">
        <v>44783.49827546296</v>
      </c>
      <c r="C46" s="11">
        <f t="shared" si="3"/>
        <v>35</v>
      </c>
      <c r="D46" s="11">
        <v>565</v>
      </c>
      <c r="E46" s="11">
        <v>566</v>
      </c>
      <c r="F46" s="11">
        <f t="shared" si="0"/>
        <v>3996864.4</v>
      </c>
      <c r="G46" s="11">
        <f t="shared" si="1"/>
        <v>4003759.16</v>
      </c>
      <c r="H46" s="2">
        <f t="shared" si="2"/>
        <v>6894.7600000002421</v>
      </c>
      <c r="I46" s="2"/>
    </row>
    <row r="47" spans="1:9" x14ac:dyDescent="0.2">
      <c r="A47" s="54" t="s">
        <v>15</v>
      </c>
      <c r="B47" s="76">
        <v>44783.498287037037</v>
      </c>
      <c r="C47" s="11">
        <f t="shared" si="3"/>
        <v>36</v>
      </c>
      <c r="D47" s="11">
        <v>568</v>
      </c>
      <c r="E47" s="11">
        <v>569</v>
      </c>
      <c r="F47" s="11">
        <f t="shared" si="0"/>
        <v>4017548.68</v>
      </c>
      <c r="G47" s="11">
        <f t="shared" si="1"/>
        <v>4024443.44</v>
      </c>
      <c r="H47" s="2">
        <f t="shared" si="2"/>
        <v>6894.7599999997765</v>
      </c>
      <c r="I47" s="2"/>
    </row>
    <row r="48" spans="1:9" x14ac:dyDescent="0.2">
      <c r="A48" s="54" t="s">
        <v>15</v>
      </c>
      <c r="B48" s="76">
        <v>44783.498298611114</v>
      </c>
      <c r="C48" s="11">
        <f t="shared" si="3"/>
        <v>37</v>
      </c>
      <c r="D48" s="11">
        <v>574</v>
      </c>
      <c r="E48" s="11">
        <v>575</v>
      </c>
      <c r="F48" s="11">
        <f t="shared" si="0"/>
        <v>4058917.24</v>
      </c>
      <c r="G48" s="11">
        <f t="shared" si="1"/>
        <v>4065812</v>
      </c>
      <c r="H48" s="2">
        <f t="shared" si="2"/>
        <v>6894.7599999997765</v>
      </c>
      <c r="I48" s="2"/>
    </row>
    <row r="49" spans="1:9" x14ac:dyDescent="0.2">
      <c r="A49" s="54" t="s">
        <v>15</v>
      </c>
      <c r="B49" s="76">
        <v>44783.498310185183</v>
      </c>
      <c r="C49" s="11">
        <f t="shared" si="3"/>
        <v>38</v>
      </c>
      <c r="D49" s="11">
        <v>580</v>
      </c>
      <c r="E49" s="11">
        <v>580</v>
      </c>
      <c r="F49" s="11">
        <f t="shared" si="0"/>
        <v>4100285.8000000003</v>
      </c>
      <c r="G49" s="11">
        <f t="shared" si="1"/>
        <v>4100285.8000000003</v>
      </c>
      <c r="H49" s="2">
        <f t="shared" si="2"/>
        <v>0</v>
      </c>
      <c r="I49" s="2"/>
    </row>
    <row r="50" spans="1:9" x14ac:dyDescent="0.2">
      <c r="A50" s="54" t="s">
        <v>15</v>
      </c>
      <c r="B50" s="76">
        <v>44783.49832175926</v>
      </c>
      <c r="C50" s="11">
        <f t="shared" si="3"/>
        <v>39</v>
      </c>
      <c r="D50" s="11">
        <v>584</v>
      </c>
      <c r="E50" s="11">
        <v>585</v>
      </c>
      <c r="F50" s="11">
        <f t="shared" si="0"/>
        <v>4127864.8400000003</v>
      </c>
      <c r="G50" s="11">
        <f t="shared" si="1"/>
        <v>4134759.6</v>
      </c>
      <c r="H50" s="2">
        <f t="shared" si="2"/>
        <v>6894.7599999997765</v>
      </c>
      <c r="I50" s="2"/>
    </row>
    <row r="51" spans="1:9" x14ac:dyDescent="0.2">
      <c r="A51" s="54" t="s">
        <v>15</v>
      </c>
      <c r="B51" s="76">
        <v>44783.498333333337</v>
      </c>
      <c r="C51" s="11">
        <f t="shared" si="3"/>
        <v>40</v>
      </c>
      <c r="D51" s="11">
        <v>590</v>
      </c>
      <c r="E51" s="11">
        <v>591</v>
      </c>
      <c r="F51" s="11">
        <f t="shared" si="0"/>
        <v>4169233.4</v>
      </c>
      <c r="G51" s="11">
        <f t="shared" si="1"/>
        <v>4176128.16</v>
      </c>
      <c r="H51" s="2">
        <f t="shared" si="2"/>
        <v>6894.7600000002421</v>
      </c>
      <c r="I51" s="2"/>
    </row>
    <row r="52" spans="1:9" x14ac:dyDescent="0.2">
      <c r="A52" s="54" t="s">
        <v>15</v>
      </c>
      <c r="B52" s="76">
        <v>44783.498344907406</v>
      </c>
      <c r="C52" s="11">
        <f t="shared" si="3"/>
        <v>41</v>
      </c>
      <c r="D52" s="11">
        <v>597</v>
      </c>
      <c r="E52" s="11">
        <v>598</v>
      </c>
      <c r="F52" s="11">
        <f t="shared" si="0"/>
        <v>4217496.7200000007</v>
      </c>
      <c r="G52" s="11">
        <f t="shared" si="1"/>
        <v>4224391.4800000004</v>
      </c>
      <c r="H52" s="2">
        <f t="shared" si="2"/>
        <v>6894.7599999997765</v>
      </c>
      <c r="I52" s="2"/>
    </row>
    <row r="53" spans="1:9" x14ac:dyDescent="0.2">
      <c r="A53" s="54" t="s">
        <v>15</v>
      </c>
      <c r="B53" s="76">
        <v>44783.498356481483</v>
      </c>
      <c r="C53" s="11">
        <f t="shared" si="3"/>
        <v>42</v>
      </c>
      <c r="D53" s="11">
        <v>604</v>
      </c>
      <c r="E53" s="11">
        <v>605</v>
      </c>
      <c r="F53" s="11">
        <f t="shared" si="0"/>
        <v>4265760.04</v>
      </c>
      <c r="G53" s="11">
        <f t="shared" si="1"/>
        <v>4272654.8000000007</v>
      </c>
      <c r="H53" s="2">
        <f t="shared" si="2"/>
        <v>6894.7600000007078</v>
      </c>
      <c r="I53" s="2"/>
    </row>
    <row r="54" spans="1:9" x14ac:dyDescent="0.2">
      <c r="A54" s="54" t="s">
        <v>15</v>
      </c>
      <c r="B54" s="76">
        <v>44783.498368055552</v>
      </c>
      <c r="C54" s="11">
        <f t="shared" si="3"/>
        <v>43</v>
      </c>
      <c r="D54" s="11">
        <v>608</v>
      </c>
      <c r="E54" s="11">
        <v>609</v>
      </c>
      <c r="F54" s="11">
        <f t="shared" si="0"/>
        <v>4293339.08</v>
      </c>
      <c r="G54" s="11">
        <f t="shared" si="1"/>
        <v>4300233.84</v>
      </c>
      <c r="H54" s="2">
        <f t="shared" si="2"/>
        <v>6894.7599999997765</v>
      </c>
      <c r="I54" s="2"/>
    </row>
    <row r="55" spans="1:9" x14ac:dyDescent="0.2">
      <c r="A55" s="54" t="s">
        <v>15</v>
      </c>
      <c r="B55" s="76">
        <v>44783.498379629629</v>
      </c>
      <c r="C55" s="11">
        <f t="shared" si="3"/>
        <v>44</v>
      </c>
      <c r="D55" s="11">
        <v>610</v>
      </c>
      <c r="E55" s="11">
        <v>610</v>
      </c>
      <c r="F55" s="11">
        <f t="shared" si="0"/>
        <v>4307128.6000000006</v>
      </c>
      <c r="G55" s="11">
        <f t="shared" si="1"/>
        <v>4307128.6000000006</v>
      </c>
      <c r="H55" s="2">
        <f t="shared" si="2"/>
        <v>0</v>
      </c>
      <c r="I55" s="2"/>
    </row>
    <row r="56" spans="1:9" x14ac:dyDescent="0.2">
      <c r="A56" s="54" t="s">
        <v>15</v>
      </c>
      <c r="B56" s="76">
        <v>44783.498391203706</v>
      </c>
      <c r="C56" s="11">
        <f t="shared" si="3"/>
        <v>45</v>
      </c>
      <c r="D56" s="11">
        <v>610</v>
      </c>
      <c r="E56" s="11">
        <v>611</v>
      </c>
      <c r="F56" s="11">
        <f t="shared" si="0"/>
        <v>4307128.6000000006</v>
      </c>
      <c r="G56" s="11">
        <f t="shared" si="1"/>
        <v>4314023.3600000003</v>
      </c>
      <c r="H56" s="2">
        <f t="shared" si="2"/>
        <v>6894.7599999997765</v>
      </c>
      <c r="I56" s="2"/>
    </row>
    <row r="57" spans="1:9" x14ac:dyDescent="0.2">
      <c r="A57" s="54" t="s">
        <v>15</v>
      </c>
      <c r="B57" s="76">
        <v>44783.498402777775</v>
      </c>
      <c r="C57" s="11">
        <f t="shared" si="3"/>
        <v>46</v>
      </c>
      <c r="D57" s="11">
        <v>611</v>
      </c>
      <c r="E57" s="11">
        <v>611</v>
      </c>
      <c r="F57" s="11">
        <f t="shared" si="0"/>
        <v>4314023.3600000003</v>
      </c>
      <c r="G57" s="11">
        <f t="shared" si="1"/>
        <v>4314023.3600000003</v>
      </c>
      <c r="H57" s="2">
        <f t="shared" si="2"/>
        <v>0</v>
      </c>
      <c r="I57" s="2"/>
    </row>
    <row r="58" spans="1:9" x14ac:dyDescent="0.2">
      <c r="A58" s="54" t="s">
        <v>15</v>
      </c>
      <c r="B58" s="76">
        <v>44783.498414351852</v>
      </c>
      <c r="C58" s="11">
        <f t="shared" si="3"/>
        <v>47</v>
      </c>
      <c r="D58" s="11">
        <v>611</v>
      </c>
      <c r="E58" s="11">
        <v>612</v>
      </c>
      <c r="F58" s="11">
        <f t="shared" si="0"/>
        <v>4314023.3600000003</v>
      </c>
      <c r="G58" s="11">
        <f t="shared" si="1"/>
        <v>4320918.12</v>
      </c>
      <c r="H58" s="2">
        <f t="shared" si="2"/>
        <v>6894.7599999997765</v>
      </c>
      <c r="I58" s="2"/>
    </row>
    <row r="59" spans="1:9" x14ac:dyDescent="0.2">
      <c r="A59" s="54" t="s">
        <v>15</v>
      </c>
      <c r="B59" s="76">
        <v>44783.498425925929</v>
      </c>
      <c r="C59" s="11">
        <f t="shared" si="3"/>
        <v>48</v>
      </c>
      <c r="D59" s="11">
        <v>611</v>
      </c>
      <c r="E59" s="11">
        <v>612</v>
      </c>
      <c r="F59" s="11">
        <f t="shared" si="0"/>
        <v>4314023.3600000003</v>
      </c>
      <c r="G59" s="11">
        <f t="shared" si="1"/>
        <v>4320918.12</v>
      </c>
      <c r="H59" s="2">
        <f t="shared" si="2"/>
        <v>6894.7599999997765</v>
      </c>
      <c r="I59" s="2"/>
    </row>
    <row r="60" spans="1:9" x14ac:dyDescent="0.2">
      <c r="A60" s="54" t="s">
        <v>15</v>
      </c>
      <c r="B60" s="76">
        <v>44783.498437499999</v>
      </c>
      <c r="C60" s="11">
        <f t="shared" si="3"/>
        <v>49</v>
      </c>
      <c r="D60" s="11">
        <v>610</v>
      </c>
      <c r="E60" s="11">
        <v>611</v>
      </c>
      <c r="F60" s="11">
        <f t="shared" si="0"/>
        <v>4307128.6000000006</v>
      </c>
      <c r="G60" s="11">
        <f t="shared" si="1"/>
        <v>4314023.3600000003</v>
      </c>
      <c r="H60" s="2">
        <f t="shared" si="2"/>
        <v>6894.7599999997765</v>
      </c>
      <c r="I60" s="2"/>
    </row>
    <row r="61" spans="1:9" x14ac:dyDescent="0.2">
      <c r="A61" s="54" t="s">
        <v>15</v>
      </c>
      <c r="B61" s="76">
        <v>44783.498449074075</v>
      </c>
      <c r="C61" s="11">
        <f t="shared" si="3"/>
        <v>50</v>
      </c>
      <c r="D61" s="11">
        <v>609</v>
      </c>
      <c r="E61" s="11">
        <v>610</v>
      </c>
      <c r="F61" s="11">
        <f t="shared" si="0"/>
        <v>4300233.84</v>
      </c>
      <c r="G61" s="11">
        <f t="shared" si="1"/>
        <v>4307128.6000000006</v>
      </c>
      <c r="H61" s="2">
        <f t="shared" si="2"/>
        <v>6894.7600000007078</v>
      </c>
      <c r="I61" s="2"/>
    </row>
    <row r="62" spans="1:9" x14ac:dyDescent="0.2">
      <c r="A62" s="54" t="s">
        <v>15</v>
      </c>
      <c r="B62" s="76">
        <v>44783.498460648145</v>
      </c>
      <c r="C62" s="11">
        <f t="shared" si="3"/>
        <v>51</v>
      </c>
      <c r="D62" s="11">
        <v>608</v>
      </c>
      <c r="E62" s="11">
        <v>609</v>
      </c>
      <c r="F62" s="11">
        <f t="shared" si="0"/>
        <v>4293339.08</v>
      </c>
      <c r="G62" s="11">
        <f t="shared" si="1"/>
        <v>4300233.84</v>
      </c>
      <c r="H62" s="2">
        <f t="shared" si="2"/>
        <v>6894.7599999997765</v>
      </c>
      <c r="I62" s="2"/>
    </row>
    <row r="63" spans="1:9" x14ac:dyDescent="0.2">
      <c r="A63" s="54" t="s">
        <v>15</v>
      </c>
      <c r="B63" s="76">
        <v>44783.498472222222</v>
      </c>
      <c r="C63" s="11">
        <f t="shared" si="3"/>
        <v>52</v>
      </c>
      <c r="D63" s="11">
        <v>608</v>
      </c>
      <c r="E63" s="11">
        <v>609</v>
      </c>
      <c r="F63" s="11">
        <f t="shared" si="0"/>
        <v>4293339.08</v>
      </c>
      <c r="G63" s="11">
        <f t="shared" si="1"/>
        <v>4300233.84</v>
      </c>
      <c r="H63" s="2">
        <f t="shared" si="2"/>
        <v>6894.7599999997765</v>
      </c>
      <c r="I63" s="2"/>
    </row>
    <row r="64" spans="1:9" x14ac:dyDescent="0.2">
      <c r="A64" s="54" t="s">
        <v>15</v>
      </c>
      <c r="B64" s="76">
        <v>44783.498483796298</v>
      </c>
      <c r="C64" s="11">
        <f t="shared" si="3"/>
        <v>53</v>
      </c>
      <c r="D64" s="11">
        <v>608</v>
      </c>
      <c r="E64" s="11">
        <v>609</v>
      </c>
      <c r="F64" s="11">
        <f t="shared" si="0"/>
        <v>4293339.08</v>
      </c>
      <c r="G64" s="11">
        <f t="shared" si="1"/>
        <v>4300233.84</v>
      </c>
      <c r="H64" s="2">
        <f t="shared" si="2"/>
        <v>6894.7599999997765</v>
      </c>
      <c r="I64" s="2"/>
    </row>
    <row r="65" spans="1:9" x14ac:dyDescent="0.2">
      <c r="A65" s="54" t="s">
        <v>15</v>
      </c>
      <c r="B65" s="76">
        <v>44783.498495370368</v>
      </c>
      <c r="C65" s="11">
        <f t="shared" si="3"/>
        <v>54</v>
      </c>
      <c r="D65" s="11">
        <v>608</v>
      </c>
      <c r="E65" s="11">
        <v>609</v>
      </c>
      <c r="F65" s="11">
        <f t="shared" si="0"/>
        <v>4293339.08</v>
      </c>
      <c r="G65" s="11">
        <f t="shared" si="1"/>
        <v>4300233.84</v>
      </c>
      <c r="H65" s="2">
        <f t="shared" si="2"/>
        <v>6894.7599999997765</v>
      </c>
      <c r="I65" s="2"/>
    </row>
    <row r="66" spans="1:9" x14ac:dyDescent="0.2">
      <c r="A66" s="54" t="s">
        <v>15</v>
      </c>
      <c r="B66" s="76">
        <v>44783.498506944445</v>
      </c>
      <c r="C66" s="11">
        <f t="shared" si="3"/>
        <v>55</v>
      </c>
      <c r="D66" s="11">
        <v>608</v>
      </c>
      <c r="E66" s="11">
        <v>609</v>
      </c>
      <c r="F66" s="11">
        <f t="shared" si="0"/>
        <v>4293339.08</v>
      </c>
      <c r="G66" s="11">
        <f t="shared" si="1"/>
        <v>4300233.84</v>
      </c>
      <c r="H66" s="2">
        <f t="shared" si="2"/>
        <v>6894.7599999997765</v>
      </c>
      <c r="I66" s="2"/>
    </row>
    <row r="67" spans="1:9" x14ac:dyDescent="0.2">
      <c r="A67" s="54" t="s">
        <v>15</v>
      </c>
      <c r="B67" s="76">
        <v>44783.498518518521</v>
      </c>
      <c r="C67" s="11">
        <f t="shared" si="3"/>
        <v>56</v>
      </c>
      <c r="D67" s="11">
        <v>608</v>
      </c>
      <c r="E67" s="11">
        <v>608</v>
      </c>
      <c r="F67" s="11">
        <f t="shared" si="0"/>
        <v>4293339.08</v>
      </c>
      <c r="G67" s="11">
        <f t="shared" si="1"/>
        <v>4293339.08</v>
      </c>
      <c r="H67" s="2">
        <f t="shared" si="2"/>
        <v>0</v>
      </c>
      <c r="I67" s="2"/>
    </row>
    <row r="68" spans="1:9" x14ac:dyDescent="0.2">
      <c r="A68" s="54" t="s">
        <v>15</v>
      </c>
      <c r="B68" s="76">
        <v>44783.498530092591</v>
      </c>
      <c r="C68" s="11">
        <f t="shared" si="3"/>
        <v>57</v>
      </c>
      <c r="D68" s="11">
        <v>608</v>
      </c>
      <c r="E68" s="11">
        <v>608</v>
      </c>
      <c r="F68" s="11">
        <f t="shared" si="0"/>
        <v>4293339.08</v>
      </c>
      <c r="G68" s="11">
        <f t="shared" si="1"/>
        <v>4293339.08</v>
      </c>
      <c r="H68" s="2">
        <f t="shared" si="2"/>
        <v>0</v>
      </c>
      <c r="I68" s="2"/>
    </row>
    <row r="69" spans="1:9" x14ac:dyDescent="0.2">
      <c r="A69" s="54" t="s">
        <v>15</v>
      </c>
      <c r="B69" s="76">
        <v>44783.498541666668</v>
      </c>
      <c r="C69" s="11">
        <f t="shared" si="3"/>
        <v>58</v>
      </c>
      <c r="D69" s="11">
        <v>608</v>
      </c>
      <c r="E69" s="11">
        <v>608</v>
      </c>
      <c r="F69" s="11">
        <f t="shared" si="0"/>
        <v>4293339.08</v>
      </c>
      <c r="G69" s="11">
        <f t="shared" si="1"/>
        <v>4293339.08</v>
      </c>
      <c r="H69" s="2">
        <f t="shared" si="2"/>
        <v>0</v>
      </c>
      <c r="I69" s="2"/>
    </row>
    <row r="70" spans="1:9" x14ac:dyDescent="0.2">
      <c r="A70" s="77">
        <v>1</v>
      </c>
      <c r="B70" s="78">
        <v>44783.498553240737</v>
      </c>
      <c r="C70" s="56">
        <v>0</v>
      </c>
      <c r="D70" s="56">
        <v>608</v>
      </c>
      <c r="E70" s="56">
        <v>608</v>
      </c>
      <c r="F70" s="56">
        <f t="shared" si="0"/>
        <v>4293339.08</v>
      </c>
      <c r="G70" s="56">
        <f t="shared" si="1"/>
        <v>4293339.08</v>
      </c>
      <c r="H70" s="2">
        <f t="shared" si="2"/>
        <v>0</v>
      </c>
      <c r="I70" s="2"/>
    </row>
    <row r="71" spans="1:9" x14ac:dyDescent="0.2">
      <c r="A71" s="77">
        <v>1</v>
      </c>
      <c r="B71" s="78">
        <v>44783.498564814814</v>
      </c>
      <c r="C71" s="56">
        <f t="shared" si="3"/>
        <v>1</v>
      </c>
      <c r="D71" s="56">
        <v>594</v>
      </c>
      <c r="E71" s="56">
        <v>524</v>
      </c>
      <c r="F71" s="56">
        <f t="shared" si="0"/>
        <v>4196812.4399999995</v>
      </c>
      <c r="G71" s="56">
        <f t="shared" si="1"/>
        <v>3714179.24</v>
      </c>
      <c r="H71" s="2">
        <f t="shared" si="2"/>
        <v>-482633.19999999925</v>
      </c>
      <c r="I71" s="2"/>
    </row>
    <row r="72" spans="1:9" x14ac:dyDescent="0.2">
      <c r="A72" s="77">
        <v>1</v>
      </c>
      <c r="B72" s="78">
        <v>44783.498576388891</v>
      </c>
      <c r="C72" s="56">
        <f t="shared" si="3"/>
        <v>2</v>
      </c>
      <c r="D72" s="56">
        <v>450</v>
      </c>
      <c r="E72" s="56">
        <v>193</v>
      </c>
      <c r="F72" s="56">
        <f t="shared" si="0"/>
        <v>3203967</v>
      </c>
      <c r="G72" s="56">
        <f t="shared" si="1"/>
        <v>1432013.68</v>
      </c>
      <c r="H72" s="2">
        <f t="shared" si="2"/>
        <v>-1771953.32</v>
      </c>
      <c r="I72" s="2"/>
    </row>
    <row r="73" spans="1:9" x14ac:dyDescent="0.2">
      <c r="A73" s="77">
        <v>1</v>
      </c>
      <c r="B73" s="78">
        <v>44783.49858796296</v>
      </c>
      <c r="C73" s="56">
        <f t="shared" si="3"/>
        <v>3</v>
      </c>
      <c r="D73" s="56">
        <v>323</v>
      </c>
      <c r="E73" s="56">
        <v>71</v>
      </c>
      <c r="F73" s="56">
        <f t="shared" si="0"/>
        <v>2328332.48</v>
      </c>
      <c r="G73" s="56">
        <f t="shared" si="1"/>
        <v>590852.96</v>
      </c>
      <c r="H73" s="2">
        <f t="shared" si="2"/>
        <v>-1737479.52</v>
      </c>
      <c r="I73" s="2"/>
    </row>
    <row r="74" spans="1:9" x14ac:dyDescent="0.2">
      <c r="A74" s="77">
        <v>1</v>
      </c>
      <c r="B74" s="78">
        <v>44783.498599537037</v>
      </c>
      <c r="C74" s="56">
        <f t="shared" si="3"/>
        <v>4</v>
      </c>
      <c r="D74" s="56">
        <v>230</v>
      </c>
      <c r="E74" s="56">
        <v>29</v>
      </c>
      <c r="F74" s="56">
        <f t="shared" si="0"/>
        <v>1687119.8</v>
      </c>
      <c r="G74" s="56">
        <f t="shared" si="1"/>
        <v>301273.04000000004</v>
      </c>
      <c r="H74" s="2">
        <f t="shared" si="2"/>
        <v>-1385846.76</v>
      </c>
      <c r="I74" s="2"/>
    </row>
    <row r="75" spans="1:9" x14ac:dyDescent="0.2">
      <c r="A75" s="77">
        <v>1</v>
      </c>
      <c r="B75" s="78">
        <v>44783.498611111114</v>
      </c>
      <c r="C75" s="56">
        <f t="shared" si="3"/>
        <v>5</v>
      </c>
      <c r="D75" s="56">
        <v>165</v>
      </c>
      <c r="E75" s="56">
        <v>15</v>
      </c>
      <c r="F75" s="56">
        <f t="shared" si="0"/>
        <v>1238960.4000000001</v>
      </c>
      <c r="G75" s="56">
        <f t="shared" si="1"/>
        <v>204746.40000000002</v>
      </c>
      <c r="H75" s="2">
        <f t="shared" si="2"/>
        <v>-1034214.0000000001</v>
      </c>
      <c r="I75" s="2"/>
    </row>
    <row r="76" spans="1:9" x14ac:dyDescent="0.2">
      <c r="A76" s="77">
        <v>1</v>
      </c>
      <c r="B76" s="78">
        <v>44783.498622685183</v>
      </c>
      <c r="C76" s="56">
        <f t="shared" si="3"/>
        <v>6</v>
      </c>
      <c r="D76" s="56">
        <v>118</v>
      </c>
      <c r="E76" s="56">
        <v>6</v>
      </c>
      <c r="F76" s="56">
        <f t="shared" ref="F76:F81" si="4">D76*6894.76 +101325</f>
        <v>914906.68</v>
      </c>
      <c r="G76" s="56">
        <f t="shared" ref="G76:G139" si="5">E76*6894.76 +101325</f>
        <v>142693.56</v>
      </c>
      <c r="H76" s="2">
        <f t="shared" ref="H76:H139" si="6">G76-F76</f>
        <v>-772213.12000000011</v>
      </c>
      <c r="I76" s="2"/>
    </row>
    <row r="77" spans="1:9" x14ac:dyDescent="0.2">
      <c r="A77" s="77">
        <v>1</v>
      </c>
      <c r="B77" s="78">
        <v>44783.49863425926</v>
      </c>
      <c r="C77" s="56">
        <f t="shared" ref="C77:C98" si="7">C76+1</f>
        <v>7</v>
      </c>
      <c r="D77" s="56">
        <v>87</v>
      </c>
      <c r="E77" s="56">
        <v>3</v>
      </c>
      <c r="F77" s="56">
        <f t="shared" si="4"/>
        <v>701169.12</v>
      </c>
      <c r="G77" s="56">
        <f t="shared" si="5"/>
        <v>122009.28</v>
      </c>
      <c r="H77" s="2">
        <f t="shared" si="6"/>
        <v>-579159.84</v>
      </c>
      <c r="I77" s="2"/>
    </row>
    <row r="78" spans="1:9" x14ac:dyDescent="0.2">
      <c r="A78" s="77">
        <v>1</v>
      </c>
      <c r="B78" s="78">
        <v>44783.498645833337</v>
      </c>
      <c r="C78" s="56">
        <f t="shared" si="7"/>
        <v>8</v>
      </c>
      <c r="D78" s="56">
        <v>61</v>
      </c>
      <c r="E78" s="56">
        <v>1</v>
      </c>
      <c r="F78" s="56">
        <f t="shared" si="4"/>
        <v>521905.36</v>
      </c>
      <c r="G78" s="56">
        <f t="shared" si="5"/>
        <v>108219.76</v>
      </c>
      <c r="H78" s="2">
        <f t="shared" si="6"/>
        <v>-413685.6</v>
      </c>
      <c r="I78" s="2"/>
    </row>
    <row r="79" spans="1:9" x14ac:dyDescent="0.2">
      <c r="A79" s="77">
        <v>1</v>
      </c>
      <c r="B79" s="78">
        <v>44783.498657407406</v>
      </c>
      <c r="C79" s="56">
        <f t="shared" si="7"/>
        <v>9</v>
      </c>
      <c r="D79" s="56">
        <v>48</v>
      </c>
      <c r="E79" s="56">
        <v>1</v>
      </c>
      <c r="F79" s="56">
        <f t="shared" si="4"/>
        <v>432273.48</v>
      </c>
      <c r="G79" s="56">
        <f t="shared" si="5"/>
        <v>108219.76</v>
      </c>
      <c r="H79" s="2">
        <f t="shared" si="6"/>
        <v>-324053.71999999997</v>
      </c>
      <c r="I79" s="2"/>
    </row>
    <row r="80" spans="1:9" x14ac:dyDescent="0.2">
      <c r="A80" s="77">
        <v>1</v>
      </c>
      <c r="B80" s="78">
        <v>44783.498668981483</v>
      </c>
      <c r="C80" s="56">
        <f t="shared" si="7"/>
        <v>10</v>
      </c>
      <c r="D80" s="56">
        <v>35</v>
      </c>
      <c r="E80" s="56">
        <v>1</v>
      </c>
      <c r="F80" s="56">
        <f t="shared" si="4"/>
        <v>342641.6</v>
      </c>
      <c r="G80" s="56">
        <f t="shared" si="5"/>
        <v>108219.76</v>
      </c>
      <c r="H80" s="2">
        <f t="shared" si="6"/>
        <v>-234421.83999999997</v>
      </c>
      <c r="I80" s="2"/>
    </row>
    <row r="81" spans="1:9" x14ac:dyDescent="0.2">
      <c r="A81" s="77">
        <v>1</v>
      </c>
      <c r="B81" s="78">
        <v>44783.498680555553</v>
      </c>
      <c r="C81" s="56">
        <f t="shared" si="7"/>
        <v>11</v>
      </c>
      <c r="D81" s="56">
        <v>25</v>
      </c>
      <c r="E81" s="56">
        <v>0</v>
      </c>
      <c r="F81" s="56">
        <f t="shared" si="4"/>
        <v>273694</v>
      </c>
      <c r="G81" s="56">
        <f t="shared" si="5"/>
        <v>101325</v>
      </c>
      <c r="H81" s="2">
        <f t="shared" si="6"/>
        <v>-172369</v>
      </c>
      <c r="I81" s="2"/>
    </row>
    <row r="82" spans="1:9" x14ac:dyDescent="0.2">
      <c r="A82" s="77">
        <v>1</v>
      </c>
      <c r="B82" s="78">
        <v>44783.498692129629</v>
      </c>
      <c r="C82" s="56">
        <f t="shared" si="7"/>
        <v>12</v>
      </c>
      <c r="D82" s="56">
        <v>17</v>
      </c>
      <c r="E82" s="56">
        <v>0</v>
      </c>
      <c r="F82" s="56">
        <f t="shared" ref="F82:F145" si="8">D82*6894.76 +101325</f>
        <v>218535.91999999998</v>
      </c>
      <c r="G82" s="56">
        <f t="shared" si="5"/>
        <v>101325</v>
      </c>
      <c r="H82" s="2">
        <f t="shared" si="6"/>
        <v>-117210.91999999998</v>
      </c>
      <c r="I82" s="2"/>
    </row>
    <row r="83" spans="1:9" x14ac:dyDescent="0.2">
      <c r="A83" s="77">
        <v>1</v>
      </c>
      <c r="B83" s="78">
        <v>44783.498703703706</v>
      </c>
      <c r="C83" s="56">
        <f t="shared" si="7"/>
        <v>13</v>
      </c>
      <c r="D83" s="56">
        <v>12</v>
      </c>
      <c r="E83" s="56">
        <v>0</v>
      </c>
      <c r="F83" s="56">
        <f t="shared" si="8"/>
        <v>184062.12</v>
      </c>
      <c r="G83" s="56">
        <f t="shared" si="5"/>
        <v>101325</v>
      </c>
      <c r="H83" s="2">
        <f t="shared" si="6"/>
        <v>-82737.119999999995</v>
      </c>
      <c r="I83" s="2"/>
    </row>
    <row r="84" spans="1:9" x14ac:dyDescent="0.2">
      <c r="A84" s="77">
        <v>1</v>
      </c>
      <c r="B84" s="78">
        <v>44783.498715277776</v>
      </c>
      <c r="C84" s="56">
        <f t="shared" si="7"/>
        <v>14</v>
      </c>
      <c r="D84" s="56">
        <v>8</v>
      </c>
      <c r="E84" s="56">
        <v>0</v>
      </c>
      <c r="F84" s="56">
        <f t="shared" si="8"/>
        <v>156483.08000000002</v>
      </c>
      <c r="G84" s="56">
        <f t="shared" si="5"/>
        <v>101325</v>
      </c>
      <c r="H84" s="2">
        <f t="shared" si="6"/>
        <v>-55158.080000000016</v>
      </c>
      <c r="I84" s="2"/>
    </row>
    <row r="85" spans="1:9" x14ac:dyDescent="0.2">
      <c r="A85" s="77">
        <v>1</v>
      </c>
      <c r="B85" s="78">
        <v>44783.498726851853</v>
      </c>
      <c r="C85" s="56">
        <f t="shared" si="7"/>
        <v>15</v>
      </c>
      <c r="D85" s="56">
        <v>6</v>
      </c>
      <c r="E85" s="56">
        <v>0</v>
      </c>
      <c r="F85" s="56">
        <f t="shared" si="8"/>
        <v>142693.56</v>
      </c>
      <c r="G85" s="56">
        <f t="shared" si="5"/>
        <v>101325</v>
      </c>
      <c r="H85" s="2">
        <f t="shared" si="6"/>
        <v>-41368.559999999998</v>
      </c>
      <c r="I85" s="2"/>
    </row>
    <row r="86" spans="1:9" x14ac:dyDescent="0.2">
      <c r="A86" s="77">
        <v>1</v>
      </c>
      <c r="B86" s="78">
        <v>44783.498738425929</v>
      </c>
      <c r="C86" s="56">
        <f t="shared" si="7"/>
        <v>16</v>
      </c>
      <c r="D86" s="56">
        <v>4</v>
      </c>
      <c r="E86" s="56">
        <v>0</v>
      </c>
      <c r="F86" s="56">
        <f t="shared" si="8"/>
        <v>128904.04000000001</v>
      </c>
      <c r="G86" s="56">
        <f t="shared" si="5"/>
        <v>101325</v>
      </c>
      <c r="H86" s="2">
        <f t="shared" si="6"/>
        <v>-27579.040000000008</v>
      </c>
      <c r="I86" s="2"/>
    </row>
    <row r="87" spans="1:9" x14ac:dyDescent="0.2">
      <c r="A87" s="77">
        <v>1</v>
      </c>
      <c r="B87" s="78">
        <v>44783.498749999999</v>
      </c>
      <c r="C87" s="56">
        <f t="shared" si="7"/>
        <v>17</v>
      </c>
      <c r="D87" s="56">
        <v>3</v>
      </c>
      <c r="E87" s="56">
        <v>0</v>
      </c>
      <c r="F87" s="56">
        <f t="shared" si="8"/>
        <v>122009.28</v>
      </c>
      <c r="G87" s="56">
        <f t="shared" si="5"/>
        <v>101325</v>
      </c>
      <c r="H87" s="2">
        <f t="shared" si="6"/>
        <v>-20684.28</v>
      </c>
      <c r="I87" s="2"/>
    </row>
    <row r="88" spans="1:9" x14ac:dyDescent="0.2">
      <c r="A88" s="77">
        <v>1</v>
      </c>
      <c r="B88" s="78">
        <v>44783.498761574076</v>
      </c>
      <c r="C88" s="56">
        <f t="shared" si="7"/>
        <v>18</v>
      </c>
      <c r="D88" s="56">
        <v>3</v>
      </c>
      <c r="E88" s="56">
        <v>0</v>
      </c>
      <c r="F88" s="56">
        <f t="shared" si="8"/>
        <v>122009.28</v>
      </c>
      <c r="G88" s="56">
        <f t="shared" si="5"/>
        <v>101325</v>
      </c>
      <c r="H88" s="2">
        <f t="shared" si="6"/>
        <v>-20684.28</v>
      </c>
      <c r="I88" s="2"/>
    </row>
    <row r="89" spans="1:9" x14ac:dyDescent="0.2">
      <c r="A89" s="77">
        <v>1</v>
      </c>
      <c r="B89" s="78">
        <v>44783.498773148145</v>
      </c>
      <c r="C89" s="56">
        <f t="shared" si="7"/>
        <v>19</v>
      </c>
      <c r="D89" s="56">
        <v>2</v>
      </c>
      <c r="E89" s="56">
        <v>0</v>
      </c>
      <c r="F89" s="56">
        <f t="shared" si="8"/>
        <v>115114.52</v>
      </c>
      <c r="G89" s="56">
        <f t="shared" si="5"/>
        <v>101325</v>
      </c>
      <c r="H89" s="2">
        <f t="shared" si="6"/>
        <v>-13789.520000000004</v>
      </c>
      <c r="I89" s="2"/>
    </row>
    <row r="90" spans="1:9" x14ac:dyDescent="0.2">
      <c r="A90" s="77">
        <v>1</v>
      </c>
      <c r="B90" s="78">
        <v>44783.498784722222</v>
      </c>
      <c r="C90" s="56">
        <f t="shared" si="7"/>
        <v>20</v>
      </c>
      <c r="D90" s="56">
        <v>2</v>
      </c>
      <c r="E90" s="56">
        <v>0</v>
      </c>
      <c r="F90" s="56">
        <f t="shared" si="8"/>
        <v>115114.52</v>
      </c>
      <c r="G90" s="56">
        <f t="shared" si="5"/>
        <v>101325</v>
      </c>
      <c r="H90" s="2">
        <f t="shared" si="6"/>
        <v>-13789.520000000004</v>
      </c>
      <c r="I90" s="2"/>
    </row>
    <row r="91" spans="1:9" x14ac:dyDescent="0.2">
      <c r="A91" s="77">
        <v>1</v>
      </c>
      <c r="B91" s="78">
        <v>44783.498796296299</v>
      </c>
      <c r="C91" s="56">
        <f t="shared" si="7"/>
        <v>21</v>
      </c>
      <c r="D91" s="56">
        <v>1</v>
      </c>
      <c r="E91" s="56">
        <v>0</v>
      </c>
      <c r="F91" s="56">
        <f t="shared" si="8"/>
        <v>108219.76</v>
      </c>
      <c r="G91" s="56">
        <f t="shared" si="5"/>
        <v>101325</v>
      </c>
      <c r="H91" s="2">
        <f t="shared" si="6"/>
        <v>-6894.7599999999948</v>
      </c>
      <c r="I91" s="2"/>
    </row>
    <row r="92" spans="1:9" x14ac:dyDescent="0.2">
      <c r="A92" s="77">
        <v>1</v>
      </c>
      <c r="B92" s="78">
        <v>44783.498807870368</v>
      </c>
      <c r="C92" s="56">
        <f t="shared" si="7"/>
        <v>22</v>
      </c>
      <c r="D92" s="56">
        <v>1</v>
      </c>
      <c r="E92" s="56">
        <v>0</v>
      </c>
      <c r="F92" s="56">
        <f t="shared" si="8"/>
        <v>108219.76</v>
      </c>
      <c r="G92" s="56">
        <f t="shared" si="5"/>
        <v>101325</v>
      </c>
      <c r="H92" s="2">
        <f t="shared" si="6"/>
        <v>-6894.7599999999948</v>
      </c>
      <c r="I92" s="2"/>
    </row>
    <row r="93" spans="1:9" x14ac:dyDescent="0.2">
      <c r="A93" s="77">
        <v>1</v>
      </c>
      <c r="B93" s="78">
        <v>44783.498819444445</v>
      </c>
      <c r="C93" s="56">
        <f t="shared" si="7"/>
        <v>23</v>
      </c>
      <c r="D93" s="56">
        <v>1</v>
      </c>
      <c r="E93" s="56">
        <v>0</v>
      </c>
      <c r="F93" s="56">
        <f t="shared" si="8"/>
        <v>108219.76</v>
      </c>
      <c r="G93" s="56">
        <f t="shared" si="5"/>
        <v>101325</v>
      </c>
      <c r="H93" s="2">
        <f t="shared" si="6"/>
        <v>-6894.7599999999948</v>
      </c>
      <c r="I93" s="2"/>
    </row>
    <row r="94" spans="1:9" x14ac:dyDescent="0.2">
      <c r="A94" s="77">
        <v>1</v>
      </c>
      <c r="B94" s="78">
        <v>44783.498831018522</v>
      </c>
      <c r="C94" s="56">
        <f t="shared" si="7"/>
        <v>24</v>
      </c>
      <c r="D94" s="56">
        <v>1</v>
      </c>
      <c r="E94" s="56">
        <v>0</v>
      </c>
      <c r="F94" s="56">
        <f t="shared" si="8"/>
        <v>108219.76</v>
      </c>
      <c r="G94" s="56">
        <f t="shared" si="5"/>
        <v>101325</v>
      </c>
      <c r="H94" s="2">
        <f t="shared" si="6"/>
        <v>-6894.7599999999948</v>
      </c>
      <c r="I94" s="2"/>
    </row>
    <row r="95" spans="1:9" x14ac:dyDescent="0.2">
      <c r="A95" s="77">
        <v>1</v>
      </c>
      <c r="B95" s="78">
        <v>44783.498842592591</v>
      </c>
      <c r="C95" s="56">
        <f t="shared" si="7"/>
        <v>25</v>
      </c>
      <c r="D95" s="56">
        <v>1</v>
      </c>
      <c r="E95" s="56">
        <v>0</v>
      </c>
      <c r="F95" s="56">
        <f t="shared" si="8"/>
        <v>108219.76</v>
      </c>
      <c r="G95" s="56">
        <f t="shared" si="5"/>
        <v>101325</v>
      </c>
      <c r="H95" s="2">
        <f t="shared" si="6"/>
        <v>-6894.7599999999948</v>
      </c>
      <c r="I95" s="2"/>
    </row>
    <row r="96" spans="1:9" x14ac:dyDescent="0.2">
      <c r="A96" s="77">
        <v>1</v>
      </c>
      <c r="B96" s="78">
        <v>44783.498854166668</v>
      </c>
      <c r="C96" s="56">
        <f t="shared" si="7"/>
        <v>26</v>
      </c>
      <c r="D96" s="56">
        <v>1</v>
      </c>
      <c r="E96" s="56">
        <v>0</v>
      </c>
      <c r="F96" s="56">
        <f t="shared" si="8"/>
        <v>108219.76</v>
      </c>
      <c r="G96" s="56">
        <f t="shared" si="5"/>
        <v>101325</v>
      </c>
      <c r="H96" s="2">
        <f t="shared" si="6"/>
        <v>-6894.7599999999948</v>
      </c>
      <c r="I96" s="2"/>
    </row>
    <row r="97" spans="1:9" x14ac:dyDescent="0.2">
      <c r="A97" s="77">
        <v>1</v>
      </c>
      <c r="B97" s="78">
        <v>44783.498865740738</v>
      </c>
      <c r="C97" s="56">
        <f t="shared" si="7"/>
        <v>27</v>
      </c>
      <c r="D97" s="56">
        <v>0</v>
      </c>
      <c r="E97" s="56">
        <v>0</v>
      </c>
      <c r="F97" s="56">
        <f t="shared" si="8"/>
        <v>101325</v>
      </c>
      <c r="G97" s="56">
        <f t="shared" si="5"/>
        <v>101325</v>
      </c>
      <c r="H97" s="2">
        <f t="shared" si="6"/>
        <v>0</v>
      </c>
      <c r="I97" s="2"/>
    </row>
    <row r="98" spans="1:9" x14ac:dyDescent="0.2">
      <c r="A98" s="77">
        <v>1</v>
      </c>
      <c r="B98" s="78">
        <v>44783.498877314814</v>
      </c>
      <c r="C98" s="56">
        <f t="shared" si="7"/>
        <v>28</v>
      </c>
      <c r="D98" s="56">
        <v>0</v>
      </c>
      <c r="E98" s="56">
        <v>0</v>
      </c>
      <c r="F98" s="56">
        <f t="shared" si="8"/>
        <v>101325</v>
      </c>
      <c r="G98" s="56">
        <f t="shared" si="5"/>
        <v>101325</v>
      </c>
      <c r="H98" s="2">
        <f t="shared" si="6"/>
        <v>0</v>
      </c>
      <c r="I98" s="2"/>
    </row>
    <row r="99" spans="1:9" x14ac:dyDescent="0.2">
      <c r="A99" s="1" t="s">
        <v>16</v>
      </c>
      <c r="B99" s="8">
        <v>44783.505370370367</v>
      </c>
      <c r="C99" s="5">
        <v>0</v>
      </c>
      <c r="D99" s="5">
        <v>2</v>
      </c>
      <c r="E99" s="5">
        <v>2</v>
      </c>
      <c r="F99" s="5">
        <f t="shared" si="8"/>
        <v>115114.52</v>
      </c>
      <c r="G99" s="11">
        <f t="shared" si="5"/>
        <v>115114.52</v>
      </c>
      <c r="H99" s="2">
        <f t="shared" si="6"/>
        <v>0</v>
      </c>
      <c r="I99" s="2"/>
    </row>
    <row r="100" spans="1:9" x14ac:dyDescent="0.2">
      <c r="A100" s="1" t="s">
        <v>16</v>
      </c>
      <c r="B100" s="8">
        <v>44783.505381944444</v>
      </c>
      <c r="C100" s="5">
        <f t="shared" ref="C100:C140" si="9">C99+1</f>
        <v>1</v>
      </c>
      <c r="D100" s="5">
        <v>11</v>
      </c>
      <c r="E100" s="5">
        <v>2</v>
      </c>
      <c r="F100" s="5">
        <f t="shared" si="8"/>
        <v>177167.35999999999</v>
      </c>
      <c r="G100" s="11">
        <f t="shared" si="5"/>
        <v>115114.52</v>
      </c>
      <c r="H100" s="2">
        <f t="shared" si="6"/>
        <v>-62052.839999999982</v>
      </c>
      <c r="I100" s="2"/>
    </row>
    <row r="101" spans="1:9" x14ac:dyDescent="0.2">
      <c r="A101" s="1" t="s">
        <v>16</v>
      </c>
      <c r="B101" s="8">
        <v>44783.505393518521</v>
      </c>
      <c r="C101" s="5">
        <f t="shared" si="9"/>
        <v>2</v>
      </c>
      <c r="D101" s="5">
        <v>55</v>
      </c>
      <c r="E101" s="5">
        <v>5</v>
      </c>
      <c r="F101" s="5">
        <f t="shared" si="8"/>
        <v>480536.8</v>
      </c>
      <c r="G101" s="11">
        <f t="shared" si="5"/>
        <v>135798.79999999999</v>
      </c>
      <c r="H101" s="2">
        <f t="shared" si="6"/>
        <v>-344738</v>
      </c>
      <c r="I101" s="2"/>
    </row>
    <row r="102" spans="1:9" x14ac:dyDescent="0.2">
      <c r="A102" s="1" t="s">
        <v>16</v>
      </c>
      <c r="B102" s="8">
        <v>44783.50540509259</v>
      </c>
      <c r="C102" s="5">
        <f t="shared" si="9"/>
        <v>3</v>
      </c>
      <c r="D102" s="5">
        <v>93</v>
      </c>
      <c r="E102" s="5">
        <v>34</v>
      </c>
      <c r="F102" s="5">
        <f t="shared" si="8"/>
        <v>742537.68</v>
      </c>
      <c r="G102" s="11">
        <f t="shared" si="5"/>
        <v>335746.83999999997</v>
      </c>
      <c r="H102" s="2">
        <f t="shared" si="6"/>
        <v>-406790.84000000008</v>
      </c>
      <c r="I102" s="2"/>
    </row>
    <row r="103" spans="1:9" x14ac:dyDescent="0.2">
      <c r="A103" s="1" t="s">
        <v>16</v>
      </c>
      <c r="B103" s="8">
        <v>44783.505416666667</v>
      </c>
      <c r="C103" s="5">
        <f t="shared" si="9"/>
        <v>4</v>
      </c>
      <c r="D103" s="5">
        <v>113</v>
      </c>
      <c r="E103" s="5">
        <v>62</v>
      </c>
      <c r="F103" s="5">
        <f t="shared" si="8"/>
        <v>880432.88</v>
      </c>
      <c r="G103" s="11">
        <f t="shared" si="5"/>
        <v>528800.12</v>
      </c>
      <c r="H103" s="2">
        <f t="shared" si="6"/>
        <v>-351632.76</v>
      </c>
      <c r="I103" s="2"/>
    </row>
    <row r="104" spans="1:9" x14ac:dyDescent="0.2">
      <c r="A104" s="1" t="s">
        <v>16</v>
      </c>
      <c r="B104" s="8">
        <v>44783.505428240744</v>
      </c>
      <c r="C104" s="5">
        <f t="shared" si="9"/>
        <v>5</v>
      </c>
      <c r="D104" s="5">
        <v>135</v>
      </c>
      <c r="E104" s="5">
        <v>90</v>
      </c>
      <c r="F104" s="5">
        <f t="shared" si="8"/>
        <v>1032117.6</v>
      </c>
      <c r="G104" s="11">
        <f t="shared" si="5"/>
        <v>721853.4</v>
      </c>
      <c r="H104" s="2">
        <f t="shared" si="6"/>
        <v>-310264.19999999995</v>
      </c>
      <c r="I104" s="2"/>
    </row>
    <row r="105" spans="1:9" x14ac:dyDescent="0.2">
      <c r="A105" s="1" t="s">
        <v>16</v>
      </c>
      <c r="B105" s="8">
        <v>44783.505439814813</v>
      </c>
      <c r="C105" s="5">
        <f t="shared" si="9"/>
        <v>6</v>
      </c>
      <c r="D105" s="5">
        <v>167</v>
      </c>
      <c r="E105" s="5">
        <v>132</v>
      </c>
      <c r="F105" s="5">
        <f t="shared" si="8"/>
        <v>1252749.92</v>
      </c>
      <c r="G105" s="11">
        <f t="shared" si="5"/>
        <v>1011433.3200000001</v>
      </c>
      <c r="H105" s="2">
        <f t="shared" si="6"/>
        <v>-241316.59999999986</v>
      </c>
      <c r="I105" s="2"/>
    </row>
    <row r="106" spans="1:9" x14ac:dyDescent="0.2">
      <c r="A106" s="1" t="s">
        <v>16</v>
      </c>
      <c r="B106" s="8">
        <v>44783.50545138889</v>
      </c>
      <c r="C106" s="5">
        <f t="shared" si="9"/>
        <v>7</v>
      </c>
      <c r="D106" s="5">
        <v>198</v>
      </c>
      <c r="E106" s="5">
        <v>165</v>
      </c>
      <c r="F106" s="5">
        <f t="shared" si="8"/>
        <v>1466487.48</v>
      </c>
      <c r="G106" s="11">
        <f t="shared" si="5"/>
        <v>1238960.4000000001</v>
      </c>
      <c r="H106" s="2">
        <f t="shared" si="6"/>
        <v>-227527.07999999984</v>
      </c>
      <c r="I106" s="2"/>
    </row>
    <row r="107" spans="1:9" x14ac:dyDescent="0.2">
      <c r="A107" s="1" t="s">
        <v>16</v>
      </c>
      <c r="B107" s="8">
        <v>44783.505462962959</v>
      </c>
      <c r="C107" s="5">
        <f t="shared" si="9"/>
        <v>8</v>
      </c>
      <c r="D107" s="5">
        <v>236</v>
      </c>
      <c r="E107" s="5">
        <v>199</v>
      </c>
      <c r="F107" s="5">
        <f t="shared" si="8"/>
        <v>1728488.36</v>
      </c>
      <c r="G107" s="11">
        <f t="shared" si="5"/>
        <v>1473382.24</v>
      </c>
      <c r="H107" s="2">
        <f t="shared" si="6"/>
        <v>-255106.12000000011</v>
      </c>
      <c r="I107" s="2"/>
    </row>
    <row r="108" spans="1:9" x14ac:dyDescent="0.2">
      <c r="A108" s="1" t="s">
        <v>16</v>
      </c>
      <c r="B108" s="8">
        <v>44783.505474537036</v>
      </c>
      <c r="C108" s="5">
        <f t="shared" si="9"/>
        <v>9</v>
      </c>
      <c r="D108" s="5">
        <v>268</v>
      </c>
      <c r="E108" s="5">
        <v>245</v>
      </c>
      <c r="F108" s="5">
        <f t="shared" si="8"/>
        <v>1949120.6800000002</v>
      </c>
      <c r="G108" s="11">
        <f t="shared" si="5"/>
        <v>1790541.2</v>
      </c>
      <c r="H108" s="2">
        <f t="shared" si="6"/>
        <v>-158579.48000000021</v>
      </c>
      <c r="I108" s="2"/>
    </row>
    <row r="109" spans="1:9" x14ac:dyDescent="0.2">
      <c r="A109" s="1" t="s">
        <v>16</v>
      </c>
      <c r="B109" s="8">
        <v>44783.505486111113</v>
      </c>
      <c r="C109" s="5">
        <f t="shared" si="9"/>
        <v>10</v>
      </c>
      <c r="D109" s="5">
        <v>305</v>
      </c>
      <c r="E109" s="5">
        <v>283</v>
      </c>
      <c r="F109" s="5">
        <f t="shared" si="8"/>
        <v>2204226.8000000003</v>
      </c>
      <c r="G109" s="11">
        <f t="shared" si="5"/>
        <v>2052542.08</v>
      </c>
      <c r="H109" s="2">
        <f t="shared" si="6"/>
        <v>-151684.7200000002</v>
      </c>
      <c r="I109" s="2"/>
    </row>
    <row r="110" spans="1:9" x14ac:dyDescent="0.2">
      <c r="A110" s="1" t="s">
        <v>16</v>
      </c>
      <c r="B110" s="8">
        <v>44783.505497685182</v>
      </c>
      <c r="C110" s="5">
        <f t="shared" si="9"/>
        <v>11</v>
      </c>
      <c r="D110" s="5">
        <v>335</v>
      </c>
      <c r="E110" s="5">
        <v>315</v>
      </c>
      <c r="F110" s="5">
        <f t="shared" si="8"/>
        <v>2411069.6</v>
      </c>
      <c r="G110" s="11">
        <f t="shared" si="5"/>
        <v>2273174.4</v>
      </c>
      <c r="H110" s="2">
        <f t="shared" si="6"/>
        <v>-137895.20000000019</v>
      </c>
      <c r="I110" s="2"/>
    </row>
    <row r="111" spans="1:9" x14ac:dyDescent="0.2">
      <c r="A111" s="1" t="s">
        <v>16</v>
      </c>
      <c r="B111" s="8">
        <v>44783.505509259259</v>
      </c>
      <c r="C111" s="5">
        <f t="shared" si="9"/>
        <v>12</v>
      </c>
      <c r="D111" s="5">
        <v>375</v>
      </c>
      <c r="E111" s="5">
        <v>356</v>
      </c>
      <c r="F111" s="5">
        <f t="shared" si="8"/>
        <v>2686860</v>
      </c>
      <c r="G111" s="11">
        <f t="shared" si="5"/>
        <v>2555859.56</v>
      </c>
      <c r="H111" s="2">
        <f t="shared" si="6"/>
        <v>-131000.43999999994</v>
      </c>
      <c r="I111" s="2"/>
    </row>
    <row r="112" spans="1:9" x14ac:dyDescent="0.2">
      <c r="A112" s="1" t="s">
        <v>16</v>
      </c>
      <c r="B112" s="8">
        <v>44783.505520833336</v>
      </c>
      <c r="C112" s="5">
        <f t="shared" si="9"/>
        <v>13</v>
      </c>
      <c r="D112" s="5">
        <v>414</v>
      </c>
      <c r="E112" s="5">
        <v>390</v>
      </c>
      <c r="F112" s="5">
        <f t="shared" si="8"/>
        <v>2955755.64</v>
      </c>
      <c r="G112" s="11">
        <f t="shared" si="5"/>
        <v>2790281.4</v>
      </c>
      <c r="H112" s="2">
        <f t="shared" si="6"/>
        <v>-165474.24000000022</v>
      </c>
      <c r="I112" s="2"/>
    </row>
    <row r="113" spans="1:9" x14ac:dyDescent="0.2">
      <c r="A113" s="1" t="s">
        <v>16</v>
      </c>
      <c r="B113" s="8">
        <v>44783.505532407406</v>
      </c>
      <c r="C113" s="5">
        <f t="shared" si="9"/>
        <v>14</v>
      </c>
      <c r="D113" s="5">
        <v>454</v>
      </c>
      <c r="E113" s="5">
        <v>438</v>
      </c>
      <c r="F113" s="5">
        <f t="shared" si="8"/>
        <v>3231546.04</v>
      </c>
      <c r="G113" s="11">
        <f t="shared" si="5"/>
        <v>3121229.88</v>
      </c>
      <c r="H113" s="2">
        <f t="shared" si="6"/>
        <v>-110316.16000000015</v>
      </c>
      <c r="I113" s="2"/>
    </row>
    <row r="114" spans="1:9" x14ac:dyDescent="0.2">
      <c r="A114" s="1" t="s">
        <v>16</v>
      </c>
      <c r="B114" s="8">
        <v>44783.505543981482</v>
      </c>
      <c r="C114" s="5">
        <f t="shared" si="9"/>
        <v>15</v>
      </c>
      <c r="D114" s="5">
        <v>496</v>
      </c>
      <c r="E114" s="5">
        <v>476</v>
      </c>
      <c r="F114" s="5">
        <f t="shared" si="8"/>
        <v>3521125.96</v>
      </c>
      <c r="G114" s="11">
        <f t="shared" si="5"/>
        <v>3383230.7600000002</v>
      </c>
      <c r="H114" s="2">
        <f t="shared" si="6"/>
        <v>-137895.19999999972</v>
      </c>
      <c r="I114" s="2"/>
    </row>
    <row r="115" spans="1:9" x14ac:dyDescent="0.2">
      <c r="A115" s="1" t="s">
        <v>16</v>
      </c>
      <c r="B115" s="8">
        <v>44783.505555555559</v>
      </c>
      <c r="C115" s="5">
        <f t="shared" si="9"/>
        <v>16</v>
      </c>
      <c r="D115" s="5">
        <v>536</v>
      </c>
      <c r="E115" s="5">
        <v>518</v>
      </c>
      <c r="F115" s="5">
        <f t="shared" si="8"/>
        <v>3796916.3600000003</v>
      </c>
      <c r="G115" s="11">
        <f t="shared" si="5"/>
        <v>3672810.68</v>
      </c>
      <c r="H115" s="2">
        <f t="shared" si="6"/>
        <v>-124105.68000000017</v>
      </c>
      <c r="I115" s="2"/>
    </row>
    <row r="116" spans="1:9" x14ac:dyDescent="0.2">
      <c r="A116" s="1" t="s">
        <v>16</v>
      </c>
      <c r="B116" s="8">
        <v>44783.505567129629</v>
      </c>
      <c r="C116" s="5">
        <f t="shared" si="9"/>
        <v>17</v>
      </c>
      <c r="D116" s="5">
        <v>574</v>
      </c>
      <c r="E116" s="5">
        <v>558</v>
      </c>
      <c r="F116" s="5">
        <f t="shared" si="8"/>
        <v>4058917.24</v>
      </c>
      <c r="G116" s="11">
        <f t="shared" si="5"/>
        <v>3948601.08</v>
      </c>
      <c r="H116" s="2">
        <f t="shared" si="6"/>
        <v>-110316.16000000015</v>
      </c>
      <c r="I116" s="2"/>
    </row>
    <row r="117" spans="1:9" x14ac:dyDescent="0.2">
      <c r="A117" s="1" t="s">
        <v>16</v>
      </c>
      <c r="B117" s="8">
        <v>44783.505578703705</v>
      </c>
      <c r="C117" s="5">
        <f t="shared" si="9"/>
        <v>18</v>
      </c>
      <c r="D117" s="5">
        <v>605</v>
      </c>
      <c r="E117" s="5">
        <v>596</v>
      </c>
      <c r="F117" s="5">
        <f t="shared" si="8"/>
        <v>4272654.8000000007</v>
      </c>
      <c r="G117" s="11">
        <f t="shared" si="5"/>
        <v>4210601.96</v>
      </c>
      <c r="H117" s="2">
        <f t="shared" si="6"/>
        <v>-62052.840000000782</v>
      </c>
      <c r="I117" s="2"/>
    </row>
    <row r="118" spans="1:9" x14ac:dyDescent="0.2">
      <c r="A118" s="1" t="s">
        <v>16</v>
      </c>
      <c r="B118" s="8">
        <v>44783.505590277775</v>
      </c>
      <c r="C118" s="5">
        <f t="shared" si="9"/>
        <v>19</v>
      </c>
      <c r="D118" s="5">
        <v>614</v>
      </c>
      <c r="E118" s="5">
        <v>609</v>
      </c>
      <c r="F118" s="5">
        <f t="shared" si="8"/>
        <v>4334707.6400000006</v>
      </c>
      <c r="G118" s="11">
        <f t="shared" si="5"/>
        <v>4300233.84</v>
      </c>
      <c r="H118" s="2">
        <f t="shared" si="6"/>
        <v>-34473.800000000745</v>
      </c>
      <c r="I118" s="2"/>
    </row>
    <row r="119" spans="1:9" x14ac:dyDescent="0.2">
      <c r="A119" s="1" t="s">
        <v>16</v>
      </c>
      <c r="B119" s="8">
        <v>44783.505601851852</v>
      </c>
      <c r="C119" s="5">
        <f t="shared" si="9"/>
        <v>20</v>
      </c>
      <c r="D119" s="5">
        <v>638</v>
      </c>
      <c r="E119" s="5">
        <v>632</v>
      </c>
      <c r="F119" s="5">
        <f t="shared" si="8"/>
        <v>4500181.88</v>
      </c>
      <c r="G119" s="11">
        <f t="shared" si="5"/>
        <v>4458813.32</v>
      </c>
      <c r="H119" s="2">
        <f t="shared" si="6"/>
        <v>-41368.55999999959</v>
      </c>
      <c r="I119" s="2"/>
    </row>
    <row r="120" spans="1:9" x14ac:dyDescent="0.2">
      <c r="A120" s="1" t="s">
        <v>16</v>
      </c>
      <c r="B120" s="8">
        <v>44783.505613425928</v>
      </c>
      <c r="C120" s="5">
        <f t="shared" si="9"/>
        <v>21</v>
      </c>
      <c r="D120" s="5">
        <v>650</v>
      </c>
      <c r="E120" s="5">
        <v>653</v>
      </c>
      <c r="F120" s="5">
        <f t="shared" si="8"/>
        <v>4582919</v>
      </c>
      <c r="G120" s="11">
        <f t="shared" si="5"/>
        <v>4603603.28</v>
      </c>
      <c r="H120" s="2">
        <f t="shared" si="6"/>
        <v>20684.280000000261</v>
      </c>
      <c r="I120" s="2"/>
    </row>
    <row r="121" spans="1:9" x14ac:dyDescent="0.2">
      <c r="A121" s="1" t="s">
        <v>16</v>
      </c>
      <c r="B121" s="8">
        <v>44783.505624999998</v>
      </c>
      <c r="C121" s="5">
        <f t="shared" si="9"/>
        <v>22</v>
      </c>
      <c r="D121" s="5">
        <v>666</v>
      </c>
      <c r="E121" s="5">
        <v>664</v>
      </c>
      <c r="F121" s="5">
        <f t="shared" si="8"/>
        <v>4693235.16</v>
      </c>
      <c r="G121" s="11">
        <f t="shared" si="5"/>
        <v>4679445.6400000006</v>
      </c>
      <c r="H121" s="2">
        <f t="shared" si="6"/>
        <v>-13789.519999999553</v>
      </c>
      <c r="I121" s="2"/>
    </row>
    <row r="122" spans="1:9" x14ac:dyDescent="0.2">
      <c r="A122" s="1" t="s">
        <v>16</v>
      </c>
      <c r="B122" s="8">
        <v>44783.505636574075</v>
      </c>
      <c r="C122" s="5">
        <f t="shared" si="9"/>
        <v>23</v>
      </c>
      <c r="D122" s="5">
        <v>688</v>
      </c>
      <c r="E122" s="5">
        <v>685</v>
      </c>
      <c r="F122" s="5">
        <f t="shared" si="8"/>
        <v>4844919.88</v>
      </c>
      <c r="G122" s="11">
        <f t="shared" si="5"/>
        <v>4824235.6000000006</v>
      </c>
      <c r="H122" s="2">
        <f t="shared" si="6"/>
        <v>-20684.279999999329</v>
      </c>
      <c r="I122" s="2"/>
    </row>
    <row r="123" spans="1:9" x14ac:dyDescent="0.2">
      <c r="A123" s="1" t="s">
        <v>16</v>
      </c>
      <c r="B123" s="8">
        <v>44783.505648148152</v>
      </c>
      <c r="C123" s="5">
        <f t="shared" si="9"/>
        <v>24</v>
      </c>
      <c r="D123" s="5">
        <v>698</v>
      </c>
      <c r="E123" s="5">
        <v>696</v>
      </c>
      <c r="F123" s="5">
        <f t="shared" si="8"/>
        <v>4913867.4800000004</v>
      </c>
      <c r="G123" s="11">
        <f t="shared" si="5"/>
        <v>4900077.96</v>
      </c>
      <c r="H123" s="2">
        <f t="shared" si="6"/>
        <v>-13789.520000000484</v>
      </c>
      <c r="I123" s="2"/>
    </row>
    <row r="124" spans="1:9" x14ac:dyDescent="0.2">
      <c r="A124" s="1" t="s">
        <v>16</v>
      </c>
      <c r="B124" s="8">
        <v>44783.505659722221</v>
      </c>
      <c r="C124" s="5">
        <f t="shared" si="9"/>
        <v>25</v>
      </c>
      <c r="D124" s="5">
        <v>703</v>
      </c>
      <c r="E124" s="5">
        <v>703</v>
      </c>
      <c r="F124" s="5">
        <f t="shared" si="8"/>
        <v>4948341.28</v>
      </c>
      <c r="G124" s="11">
        <f t="shared" si="5"/>
        <v>4948341.28</v>
      </c>
      <c r="H124" s="2">
        <f t="shared" si="6"/>
        <v>0</v>
      </c>
      <c r="I124" s="2"/>
    </row>
    <row r="125" spans="1:9" x14ac:dyDescent="0.2">
      <c r="A125" s="1" t="s">
        <v>16</v>
      </c>
      <c r="B125" s="8">
        <v>44783.505671296298</v>
      </c>
      <c r="C125" s="5">
        <f t="shared" si="9"/>
        <v>26</v>
      </c>
      <c r="D125" s="5">
        <v>715</v>
      </c>
      <c r="E125" s="5">
        <v>714</v>
      </c>
      <c r="F125" s="5">
        <f t="shared" si="8"/>
        <v>5031078.4000000004</v>
      </c>
      <c r="G125" s="11">
        <f t="shared" si="5"/>
        <v>5024183.6400000006</v>
      </c>
      <c r="H125" s="2">
        <f t="shared" si="6"/>
        <v>-6894.7599999997765</v>
      </c>
      <c r="I125" s="2"/>
    </row>
    <row r="126" spans="1:9" x14ac:dyDescent="0.2">
      <c r="A126" s="1" t="s">
        <v>16</v>
      </c>
      <c r="B126" s="8">
        <v>44783.505682870367</v>
      </c>
      <c r="C126" s="5">
        <f t="shared" si="9"/>
        <v>27</v>
      </c>
      <c r="D126" s="5">
        <v>722</v>
      </c>
      <c r="E126" s="5">
        <v>722</v>
      </c>
      <c r="F126" s="5">
        <f t="shared" si="8"/>
        <v>5079341.72</v>
      </c>
      <c r="G126" s="11">
        <f t="shared" si="5"/>
        <v>5079341.72</v>
      </c>
      <c r="H126" s="2">
        <f t="shared" si="6"/>
        <v>0</v>
      </c>
      <c r="I126" s="2"/>
    </row>
    <row r="127" spans="1:9" x14ac:dyDescent="0.2">
      <c r="A127" s="1" t="s">
        <v>16</v>
      </c>
      <c r="B127" s="8">
        <v>44783.505694444444</v>
      </c>
      <c r="C127" s="5">
        <f t="shared" si="9"/>
        <v>28</v>
      </c>
      <c r="D127" s="5">
        <v>725</v>
      </c>
      <c r="E127" s="5">
        <v>726</v>
      </c>
      <c r="F127" s="5">
        <f t="shared" si="8"/>
        <v>5100026</v>
      </c>
      <c r="G127" s="11">
        <f t="shared" si="5"/>
        <v>5106920.76</v>
      </c>
      <c r="H127" s="2">
        <f t="shared" si="6"/>
        <v>6894.7599999997765</v>
      </c>
      <c r="I127" s="2"/>
    </row>
    <row r="128" spans="1:9" x14ac:dyDescent="0.2">
      <c r="A128" s="1" t="s">
        <v>16</v>
      </c>
      <c r="B128" s="8">
        <v>44783.505706018521</v>
      </c>
      <c r="C128" s="5">
        <f t="shared" si="9"/>
        <v>29</v>
      </c>
      <c r="D128" s="5">
        <v>728</v>
      </c>
      <c r="E128" s="5">
        <v>729</v>
      </c>
      <c r="F128" s="5">
        <f t="shared" si="8"/>
        <v>5120710.28</v>
      </c>
      <c r="G128" s="11">
        <f t="shared" si="5"/>
        <v>5127605.04</v>
      </c>
      <c r="H128" s="2">
        <f t="shared" si="6"/>
        <v>6894.7599999997765</v>
      </c>
      <c r="I128" s="2"/>
    </row>
    <row r="129" spans="1:9" x14ac:dyDescent="0.2">
      <c r="A129" s="1" t="s">
        <v>16</v>
      </c>
      <c r="B129" s="8">
        <v>44783.50571759259</v>
      </c>
      <c r="C129" s="5">
        <f t="shared" si="9"/>
        <v>30</v>
      </c>
      <c r="D129" s="5">
        <v>732</v>
      </c>
      <c r="E129" s="5">
        <v>733</v>
      </c>
      <c r="F129" s="5">
        <f t="shared" si="8"/>
        <v>5148289.32</v>
      </c>
      <c r="G129" s="11">
        <f t="shared" si="5"/>
        <v>5155184.08</v>
      </c>
      <c r="H129" s="2">
        <f t="shared" si="6"/>
        <v>6894.7599999997765</v>
      </c>
      <c r="I129" s="2"/>
    </row>
    <row r="130" spans="1:9" x14ac:dyDescent="0.2">
      <c r="A130" s="1" t="s">
        <v>16</v>
      </c>
      <c r="B130" s="8">
        <v>44783.505729166667</v>
      </c>
      <c r="C130" s="5">
        <f t="shared" si="9"/>
        <v>31</v>
      </c>
      <c r="D130" s="5">
        <v>736</v>
      </c>
      <c r="E130" s="5">
        <v>736</v>
      </c>
      <c r="F130" s="5">
        <f t="shared" si="8"/>
        <v>5175868.3600000003</v>
      </c>
      <c r="G130" s="11">
        <f t="shared" si="5"/>
        <v>5175868.3600000003</v>
      </c>
      <c r="H130" s="2">
        <f t="shared" si="6"/>
        <v>0</v>
      </c>
      <c r="I130" s="2"/>
    </row>
    <row r="131" spans="1:9" x14ac:dyDescent="0.2">
      <c r="A131" s="1" t="s">
        <v>16</v>
      </c>
      <c r="B131" s="8">
        <v>44783.505740740744</v>
      </c>
      <c r="C131" s="5">
        <f t="shared" si="9"/>
        <v>32</v>
      </c>
      <c r="D131" s="5">
        <v>740</v>
      </c>
      <c r="E131" s="5">
        <v>741</v>
      </c>
      <c r="F131" s="5">
        <f t="shared" si="8"/>
        <v>5203447.4000000004</v>
      </c>
      <c r="G131" s="11">
        <f t="shared" si="5"/>
        <v>5210342.16</v>
      </c>
      <c r="H131" s="2">
        <f t="shared" si="6"/>
        <v>6894.7599999997765</v>
      </c>
      <c r="I131" s="2"/>
    </row>
    <row r="132" spans="1:9" x14ac:dyDescent="0.2">
      <c r="A132" s="1" t="s">
        <v>16</v>
      </c>
      <c r="B132" s="8">
        <v>44783.505752314813</v>
      </c>
      <c r="C132" s="5">
        <f t="shared" si="9"/>
        <v>33</v>
      </c>
      <c r="D132" s="5">
        <v>746</v>
      </c>
      <c r="E132" s="5">
        <v>746</v>
      </c>
      <c r="F132" s="5">
        <f t="shared" si="8"/>
        <v>5244815.96</v>
      </c>
      <c r="G132" s="11">
        <f t="shared" si="5"/>
        <v>5244815.96</v>
      </c>
      <c r="H132" s="2">
        <f t="shared" si="6"/>
        <v>0</v>
      </c>
      <c r="I132" s="2"/>
    </row>
    <row r="133" spans="1:9" x14ac:dyDescent="0.2">
      <c r="A133" s="1" t="s">
        <v>16</v>
      </c>
      <c r="B133" s="8">
        <v>44783.50576388889</v>
      </c>
      <c r="C133" s="5">
        <f t="shared" si="9"/>
        <v>34</v>
      </c>
      <c r="D133" s="5">
        <v>753</v>
      </c>
      <c r="E133" s="5">
        <v>753</v>
      </c>
      <c r="F133" s="5">
        <f t="shared" si="8"/>
        <v>5293079.28</v>
      </c>
      <c r="G133" s="11">
        <f t="shared" si="5"/>
        <v>5293079.28</v>
      </c>
      <c r="H133" s="2">
        <f t="shared" si="6"/>
        <v>0</v>
      </c>
      <c r="I133" s="2"/>
    </row>
    <row r="134" spans="1:9" x14ac:dyDescent="0.2">
      <c r="A134" s="1" t="s">
        <v>16</v>
      </c>
      <c r="B134" s="8">
        <v>44783.50577546296</v>
      </c>
      <c r="C134" s="5">
        <f t="shared" si="9"/>
        <v>35</v>
      </c>
      <c r="D134" s="5">
        <v>758</v>
      </c>
      <c r="E134" s="5">
        <v>758</v>
      </c>
      <c r="F134" s="5">
        <f t="shared" si="8"/>
        <v>5327553.08</v>
      </c>
      <c r="G134" s="11">
        <f t="shared" si="5"/>
        <v>5327553.08</v>
      </c>
      <c r="H134" s="2">
        <f t="shared" si="6"/>
        <v>0</v>
      </c>
      <c r="I134" s="2"/>
    </row>
    <row r="135" spans="1:9" x14ac:dyDescent="0.2">
      <c r="A135" s="1" t="s">
        <v>16</v>
      </c>
      <c r="B135" s="8">
        <v>44783.505787037036</v>
      </c>
      <c r="C135" s="5">
        <f t="shared" si="9"/>
        <v>36</v>
      </c>
      <c r="D135" s="5">
        <v>762</v>
      </c>
      <c r="E135" s="5">
        <v>763</v>
      </c>
      <c r="F135" s="5">
        <f t="shared" si="8"/>
        <v>5355132.12</v>
      </c>
      <c r="G135" s="11">
        <f t="shared" si="5"/>
        <v>5362026.88</v>
      </c>
      <c r="H135" s="2">
        <f t="shared" si="6"/>
        <v>6894.7599999997765</v>
      </c>
      <c r="I135" s="2"/>
    </row>
    <row r="136" spans="1:9" x14ac:dyDescent="0.2">
      <c r="A136" s="1" t="s">
        <v>16</v>
      </c>
      <c r="B136" s="8">
        <v>44783.505798611113</v>
      </c>
      <c r="C136" s="5">
        <f t="shared" si="9"/>
        <v>37</v>
      </c>
      <c r="D136" s="5">
        <v>768</v>
      </c>
      <c r="E136" s="5">
        <v>769</v>
      </c>
      <c r="F136" s="5">
        <f t="shared" si="8"/>
        <v>5396500.6799999997</v>
      </c>
      <c r="G136" s="11">
        <f t="shared" si="5"/>
        <v>5403395.4400000004</v>
      </c>
      <c r="H136" s="2">
        <f t="shared" si="6"/>
        <v>6894.7600000007078</v>
      </c>
      <c r="I136" s="2"/>
    </row>
    <row r="137" spans="1:9" x14ac:dyDescent="0.2">
      <c r="A137" s="1" t="s">
        <v>16</v>
      </c>
      <c r="B137" s="8">
        <v>44783.505810185183</v>
      </c>
      <c r="C137" s="5">
        <f t="shared" si="9"/>
        <v>38</v>
      </c>
      <c r="D137" s="5">
        <v>775</v>
      </c>
      <c r="E137" s="5">
        <v>775</v>
      </c>
      <c r="F137" s="5">
        <f t="shared" si="8"/>
        <v>5444764</v>
      </c>
      <c r="G137" s="11">
        <f t="shared" si="5"/>
        <v>5444764</v>
      </c>
      <c r="H137" s="2">
        <f t="shared" si="6"/>
        <v>0</v>
      </c>
      <c r="I137" s="2"/>
    </row>
    <row r="138" spans="1:9" x14ac:dyDescent="0.2">
      <c r="A138" s="1" t="s">
        <v>16</v>
      </c>
      <c r="B138" s="8">
        <v>44783.50582175926</v>
      </c>
      <c r="C138" s="5">
        <f t="shared" si="9"/>
        <v>39</v>
      </c>
      <c r="D138" s="5">
        <v>781</v>
      </c>
      <c r="E138" s="5">
        <v>782</v>
      </c>
      <c r="F138" s="5">
        <f t="shared" si="8"/>
        <v>5486132.5600000005</v>
      </c>
      <c r="G138" s="11">
        <f t="shared" si="5"/>
        <v>5493027.3200000003</v>
      </c>
      <c r="H138" s="2">
        <f t="shared" si="6"/>
        <v>6894.7599999997765</v>
      </c>
      <c r="I138" s="2"/>
    </row>
    <row r="139" spans="1:9" x14ac:dyDescent="0.2">
      <c r="A139" s="1" t="s">
        <v>16</v>
      </c>
      <c r="B139" s="8">
        <v>44783.505833333336</v>
      </c>
      <c r="C139" s="5">
        <f t="shared" si="9"/>
        <v>40</v>
      </c>
      <c r="D139" s="5">
        <v>788</v>
      </c>
      <c r="E139" s="5">
        <v>788</v>
      </c>
      <c r="F139" s="5">
        <f t="shared" si="8"/>
        <v>5534395.8799999999</v>
      </c>
      <c r="G139" s="11">
        <f t="shared" si="5"/>
        <v>5534395.8799999999</v>
      </c>
      <c r="H139" s="2">
        <f t="shared" si="6"/>
        <v>0</v>
      </c>
      <c r="I139" s="2"/>
    </row>
    <row r="140" spans="1:9" x14ac:dyDescent="0.2">
      <c r="A140" s="1" t="s">
        <v>16</v>
      </c>
      <c r="B140" s="8">
        <v>44783.505844907406</v>
      </c>
      <c r="C140" s="5">
        <f t="shared" si="9"/>
        <v>41</v>
      </c>
      <c r="D140" s="5">
        <v>798</v>
      </c>
      <c r="E140" s="5">
        <v>797</v>
      </c>
      <c r="F140" s="5">
        <f t="shared" si="8"/>
        <v>5603343.4800000004</v>
      </c>
      <c r="G140" s="11">
        <f t="shared" ref="G140:G203" si="10">E140*6894.76 +101325</f>
        <v>5596448.7199999997</v>
      </c>
      <c r="H140" s="2">
        <f t="shared" ref="H140:H203" si="11">G140-F140</f>
        <v>-6894.7600000007078</v>
      </c>
      <c r="I140" s="2"/>
    </row>
    <row r="141" spans="1:9" x14ac:dyDescent="0.2">
      <c r="A141" s="1" t="s">
        <v>16</v>
      </c>
      <c r="B141" s="8">
        <v>44783.505856481483</v>
      </c>
      <c r="C141" s="5">
        <f t="shared" ref="C141:C204" si="12">C140+1</f>
        <v>42</v>
      </c>
      <c r="D141" s="5">
        <v>809</v>
      </c>
      <c r="E141" s="5">
        <v>808</v>
      </c>
      <c r="F141" s="5">
        <f t="shared" si="8"/>
        <v>5679185.8399999999</v>
      </c>
      <c r="G141" s="11">
        <f t="shared" si="10"/>
        <v>5672291.0800000001</v>
      </c>
      <c r="H141" s="2">
        <f t="shared" si="11"/>
        <v>-6894.7599999997765</v>
      </c>
      <c r="I141" s="2"/>
    </row>
    <row r="142" spans="1:9" x14ac:dyDescent="0.2">
      <c r="A142" s="1" t="s">
        <v>16</v>
      </c>
      <c r="B142" s="8">
        <v>44783.505868055552</v>
      </c>
      <c r="C142" s="5">
        <f t="shared" si="12"/>
        <v>43</v>
      </c>
      <c r="D142" s="5">
        <v>817</v>
      </c>
      <c r="E142" s="5">
        <v>817</v>
      </c>
      <c r="F142" s="5">
        <f t="shared" si="8"/>
        <v>5734343.9199999999</v>
      </c>
      <c r="G142" s="11">
        <f t="shared" si="10"/>
        <v>5734343.9199999999</v>
      </c>
      <c r="H142" s="2">
        <f t="shared" si="11"/>
        <v>0</v>
      </c>
      <c r="I142" s="2"/>
    </row>
    <row r="143" spans="1:9" x14ac:dyDescent="0.2">
      <c r="A143" s="1" t="s">
        <v>16</v>
      </c>
      <c r="B143" s="8">
        <v>44783.505879629629</v>
      </c>
      <c r="C143" s="5">
        <f t="shared" si="12"/>
        <v>44</v>
      </c>
      <c r="D143" s="5">
        <v>820</v>
      </c>
      <c r="E143" s="5">
        <v>821</v>
      </c>
      <c r="F143" s="5">
        <f t="shared" si="8"/>
        <v>5755028.2000000002</v>
      </c>
      <c r="G143" s="11">
        <f t="shared" si="10"/>
        <v>5761922.96</v>
      </c>
      <c r="H143" s="2">
        <f t="shared" si="11"/>
        <v>6894.7599999997765</v>
      </c>
      <c r="I143" s="2"/>
    </row>
    <row r="144" spans="1:9" x14ac:dyDescent="0.2">
      <c r="A144" s="1" t="s">
        <v>16</v>
      </c>
      <c r="B144" s="8">
        <v>44783.505891203706</v>
      </c>
      <c r="C144" s="5">
        <f t="shared" si="12"/>
        <v>45</v>
      </c>
      <c r="D144" s="5">
        <v>821</v>
      </c>
      <c r="E144" s="5">
        <v>822</v>
      </c>
      <c r="F144" s="5">
        <f t="shared" si="8"/>
        <v>5761922.96</v>
      </c>
      <c r="G144" s="11">
        <f t="shared" si="10"/>
        <v>5768817.7199999997</v>
      </c>
      <c r="H144" s="2">
        <f t="shared" si="11"/>
        <v>6894.7599999997765</v>
      </c>
      <c r="I144" s="2"/>
    </row>
    <row r="145" spans="1:9" x14ac:dyDescent="0.2">
      <c r="A145" s="1" t="s">
        <v>16</v>
      </c>
      <c r="B145" s="8">
        <v>44783.505902777775</v>
      </c>
      <c r="C145" s="5">
        <f t="shared" si="12"/>
        <v>46</v>
      </c>
      <c r="D145" s="5">
        <v>821</v>
      </c>
      <c r="E145" s="5">
        <v>822</v>
      </c>
      <c r="F145" s="5">
        <f t="shared" si="8"/>
        <v>5761922.96</v>
      </c>
      <c r="G145" s="11">
        <f t="shared" si="10"/>
        <v>5768817.7199999997</v>
      </c>
      <c r="H145" s="2">
        <f t="shared" si="11"/>
        <v>6894.7599999997765</v>
      </c>
      <c r="I145" s="2"/>
    </row>
    <row r="146" spans="1:9" x14ac:dyDescent="0.2">
      <c r="A146" s="1" t="s">
        <v>16</v>
      </c>
      <c r="B146" s="8">
        <v>44783.505914351852</v>
      </c>
      <c r="C146" s="5">
        <f t="shared" si="12"/>
        <v>47</v>
      </c>
      <c r="D146" s="5">
        <v>820</v>
      </c>
      <c r="E146" s="5">
        <v>821</v>
      </c>
      <c r="F146" s="5">
        <f t="shared" ref="F146:F209" si="13">D146*6894.76 +101325</f>
        <v>5755028.2000000002</v>
      </c>
      <c r="G146" s="11">
        <f t="shared" si="10"/>
        <v>5761922.96</v>
      </c>
      <c r="H146" s="2">
        <f t="shared" si="11"/>
        <v>6894.7599999997765</v>
      </c>
      <c r="I146" s="2"/>
    </row>
    <row r="147" spans="1:9" x14ac:dyDescent="0.2">
      <c r="A147" s="1" t="s">
        <v>16</v>
      </c>
      <c r="B147" s="8">
        <v>44783.505925925929</v>
      </c>
      <c r="C147" s="5">
        <f t="shared" si="12"/>
        <v>48</v>
      </c>
      <c r="D147" s="5">
        <v>818</v>
      </c>
      <c r="E147" s="5">
        <v>819</v>
      </c>
      <c r="F147" s="5">
        <f t="shared" si="13"/>
        <v>5741238.6800000006</v>
      </c>
      <c r="G147" s="11">
        <f t="shared" si="10"/>
        <v>5748133.4400000004</v>
      </c>
      <c r="H147" s="2">
        <f t="shared" si="11"/>
        <v>6894.7599999997765</v>
      </c>
      <c r="I147" s="2"/>
    </row>
    <row r="148" spans="1:9" x14ac:dyDescent="0.2">
      <c r="A148" s="1" t="s">
        <v>16</v>
      </c>
      <c r="B148" s="8">
        <v>44783.505937499998</v>
      </c>
      <c r="C148" s="5">
        <f t="shared" si="12"/>
        <v>49</v>
      </c>
      <c r="D148" s="5">
        <v>816</v>
      </c>
      <c r="E148" s="5">
        <v>817</v>
      </c>
      <c r="F148" s="5">
        <f t="shared" si="13"/>
        <v>5727449.1600000001</v>
      </c>
      <c r="G148" s="11">
        <f t="shared" si="10"/>
        <v>5734343.9199999999</v>
      </c>
      <c r="H148" s="2">
        <f t="shared" si="11"/>
        <v>6894.7599999997765</v>
      </c>
      <c r="I148" s="2"/>
    </row>
    <row r="149" spans="1:9" x14ac:dyDescent="0.2">
      <c r="A149" s="1" t="s">
        <v>16</v>
      </c>
      <c r="B149" s="8">
        <v>44783.505949074075</v>
      </c>
      <c r="C149" s="5">
        <f t="shared" si="12"/>
        <v>50</v>
      </c>
      <c r="D149" s="5">
        <v>815</v>
      </c>
      <c r="E149" s="5">
        <v>816</v>
      </c>
      <c r="F149" s="5">
        <f t="shared" si="13"/>
        <v>5720554.4000000004</v>
      </c>
      <c r="G149" s="11">
        <f t="shared" si="10"/>
        <v>5727449.1600000001</v>
      </c>
      <c r="H149" s="2">
        <f t="shared" si="11"/>
        <v>6894.7599999997765</v>
      </c>
      <c r="I149" s="2"/>
    </row>
    <row r="150" spans="1:9" x14ac:dyDescent="0.2">
      <c r="A150" s="1" t="s">
        <v>16</v>
      </c>
      <c r="B150" s="8">
        <v>44783.505960648145</v>
      </c>
      <c r="C150" s="5">
        <f t="shared" si="12"/>
        <v>51</v>
      </c>
      <c r="D150" s="5">
        <v>815</v>
      </c>
      <c r="E150" s="5">
        <v>816</v>
      </c>
      <c r="F150" s="5">
        <f t="shared" si="13"/>
        <v>5720554.4000000004</v>
      </c>
      <c r="G150" s="11">
        <f t="shared" si="10"/>
        <v>5727449.1600000001</v>
      </c>
      <c r="H150" s="2">
        <f t="shared" si="11"/>
        <v>6894.7599999997765</v>
      </c>
      <c r="I150" s="2"/>
    </row>
    <row r="151" spans="1:9" x14ac:dyDescent="0.2">
      <c r="A151" s="1" t="s">
        <v>16</v>
      </c>
      <c r="B151" s="8">
        <v>44783.505972222221</v>
      </c>
      <c r="C151" s="5">
        <f t="shared" si="12"/>
        <v>52</v>
      </c>
      <c r="D151" s="5">
        <v>814</v>
      </c>
      <c r="E151" s="5">
        <v>815</v>
      </c>
      <c r="F151" s="5">
        <f t="shared" si="13"/>
        <v>5713659.6400000006</v>
      </c>
      <c r="G151" s="11">
        <f t="shared" si="10"/>
        <v>5720554.4000000004</v>
      </c>
      <c r="H151" s="2">
        <f t="shared" si="11"/>
        <v>6894.7599999997765</v>
      </c>
      <c r="I151" s="2"/>
    </row>
    <row r="152" spans="1:9" x14ac:dyDescent="0.2">
      <c r="A152" s="1" t="s">
        <v>16</v>
      </c>
      <c r="B152" s="8">
        <v>44783.505983796298</v>
      </c>
      <c r="C152" s="5">
        <f t="shared" si="12"/>
        <v>53</v>
      </c>
      <c r="D152" s="5">
        <v>814</v>
      </c>
      <c r="E152" s="5">
        <v>815</v>
      </c>
      <c r="F152" s="5">
        <f t="shared" si="13"/>
        <v>5713659.6400000006</v>
      </c>
      <c r="G152" s="11">
        <f t="shared" si="10"/>
        <v>5720554.4000000004</v>
      </c>
      <c r="H152" s="2">
        <f t="shared" si="11"/>
        <v>6894.7599999997765</v>
      </c>
      <c r="I152" s="2"/>
    </row>
    <row r="153" spans="1:9" x14ac:dyDescent="0.2">
      <c r="A153" s="82">
        <v>2</v>
      </c>
      <c r="B153" s="83">
        <v>44783.505995370368</v>
      </c>
      <c r="C153" s="84">
        <f t="shared" si="12"/>
        <v>54</v>
      </c>
      <c r="D153" s="84">
        <v>814</v>
      </c>
      <c r="E153" s="84">
        <v>815</v>
      </c>
      <c r="F153" s="84">
        <f t="shared" si="13"/>
        <v>5713659.6400000006</v>
      </c>
      <c r="G153" s="84">
        <f t="shared" si="10"/>
        <v>5720554.4000000004</v>
      </c>
      <c r="H153" s="2">
        <f t="shared" si="11"/>
        <v>6894.7599999997765</v>
      </c>
      <c r="I153" s="2"/>
    </row>
    <row r="154" spans="1:9" x14ac:dyDescent="0.2">
      <c r="A154" s="82">
        <v>2</v>
      </c>
      <c r="B154" s="83">
        <v>44783.506006944444</v>
      </c>
      <c r="C154" s="84">
        <f t="shared" si="12"/>
        <v>55</v>
      </c>
      <c r="D154" s="84">
        <v>763</v>
      </c>
      <c r="E154" s="84">
        <v>401</v>
      </c>
      <c r="F154" s="84">
        <f t="shared" si="13"/>
        <v>5362026.88</v>
      </c>
      <c r="G154" s="84">
        <f t="shared" si="10"/>
        <v>2866123.7600000002</v>
      </c>
      <c r="H154" s="2">
        <f t="shared" si="11"/>
        <v>-2495903.1199999996</v>
      </c>
      <c r="I154" s="2"/>
    </row>
    <row r="155" spans="1:9" x14ac:dyDescent="0.2">
      <c r="A155" s="82">
        <v>2</v>
      </c>
      <c r="B155" s="83">
        <v>44783.506018518521</v>
      </c>
      <c r="C155" s="84">
        <f t="shared" si="12"/>
        <v>56</v>
      </c>
      <c r="D155" s="84">
        <v>630</v>
      </c>
      <c r="E155" s="84">
        <v>148</v>
      </c>
      <c r="F155" s="84">
        <f t="shared" si="13"/>
        <v>4445023.8</v>
      </c>
      <c r="G155" s="84">
        <f t="shared" si="10"/>
        <v>1121749.48</v>
      </c>
      <c r="H155" s="2">
        <f t="shared" si="11"/>
        <v>-3323274.32</v>
      </c>
      <c r="I155" s="2"/>
    </row>
    <row r="156" spans="1:9" x14ac:dyDescent="0.2">
      <c r="A156" s="82">
        <v>2</v>
      </c>
      <c r="B156" s="83">
        <v>44783.506030092591</v>
      </c>
      <c r="C156" s="84">
        <f t="shared" si="12"/>
        <v>57</v>
      </c>
      <c r="D156" s="84">
        <v>506</v>
      </c>
      <c r="E156" s="84">
        <v>54</v>
      </c>
      <c r="F156" s="84">
        <f t="shared" si="13"/>
        <v>3590073.56</v>
      </c>
      <c r="G156" s="84">
        <f t="shared" si="10"/>
        <v>473642.04000000004</v>
      </c>
      <c r="H156" s="2">
        <f t="shared" si="11"/>
        <v>-3116431.52</v>
      </c>
      <c r="I156" s="2"/>
    </row>
    <row r="157" spans="1:9" x14ac:dyDescent="0.2">
      <c r="A157" s="82">
        <v>2</v>
      </c>
      <c r="B157" s="83">
        <v>44783.506041666667</v>
      </c>
      <c r="C157" s="84">
        <f t="shared" si="12"/>
        <v>58</v>
      </c>
      <c r="D157" s="84">
        <v>405</v>
      </c>
      <c r="E157" s="84">
        <v>26</v>
      </c>
      <c r="F157" s="84">
        <f t="shared" si="13"/>
        <v>2893702.8000000003</v>
      </c>
      <c r="G157" s="84">
        <f t="shared" si="10"/>
        <v>280588.76</v>
      </c>
      <c r="H157" s="2">
        <f t="shared" si="11"/>
        <v>-2613114.04</v>
      </c>
      <c r="I157" s="2"/>
    </row>
    <row r="158" spans="1:9" x14ac:dyDescent="0.2">
      <c r="A158" s="82">
        <v>2</v>
      </c>
      <c r="B158" s="83">
        <v>44783.506053240744</v>
      </c>
      <c r="C158" s="84">
        <f t="shared" si="12"/>
        <v>59</v>
      </c>
      <c r="D158" s="84">
        <v>324</v>
      </c>
      <c r="E158" s="84">
        <v>12</v>
      </c>
      <c r="F158" s="84">
        <f t="shared" si="13"/>
        <v>2335227.2400000002</v>
      </c>
      <c r="G158" s="84">
        <f t="shared" si="10"/>
        <v>184062.12</v>
      </c>
      <c r="H158" s="2">
        <f t="shared" si="11"/>
        <v>-2151165.12</v>
      </c>
      <c r="I158" s="2"/>
    </row>
    <row r="159" spans="1:9" x14ac:dyDescent="0.2">
      <c r="A159" s="82">
        <v>2</v>
      </c>
      <c r="B159" s="83">
        <v>44783.506064814814</v>
      </c>
      <c r="C159" s="84">
        <f t="shared" si="12"/>
        <v>60</v>
      </c>
      <c r="D159" s="84">
        <v>261</v>
      </c>
      <c r="E159" s="84">
        <v>5</v>
      </c>
      <c r="F159" s="84">
        <f t="shared" si="13"/>
        <v>1900857.36</v>
      </c>
      <c r="G159" s="84">
        <f t="shared" si="10"/>
        <v>135798.79999999999</v>
      </c>
      <c r="H159" s="2">
        <f t="shared" si="11"/>
        <v>-1765058.5600000001</v>
      </c>
      <c r="I159" s="2"/>
    </row>
    <row r="160" spans="1:9" x14ac:dyDescent="0.2">
      <c r="A160" s="82">
        <v>2</v>
      </c>
      <c r="B160" s="83">
        <v>44783.506076388891</v>
      </c>
      <c r="C160" s="84">
        <f t="shared" si="12"/>
        <v>61</v>
      </c>
      <c r="D160" s="84">
        <v>209</v>
      </c>
      <c r="E160" s="84">
        <v>2</v>
      </c>
      <c r="F160" s="84">
        <f t="shared" si="13"/>
        <v>1542329.84</v>
      </c>
      <c r="G160" s="84">
        <f t="shared" si="10"/>
        <v>115114.52</v>
      </c>
      <c r="H160" s="2">
        <f t="shared" si="11"/>
        <v>-1427215.32</v>
      </c>
      <c r="I160" s="2"/>
    </row>
    <row r="161" spans="1:9" x14ac:dyDescent="0.2">
      <c r="A161" s="82">
        <v>2</v>
      </c>
      <c r="B161" s="83">
        <v>44783.50608796296</v>
      </c>
      <c r="C161" s="84">
        <f t="shared" si="12"/>
        <v>62</v>
      </c>
      <c r="D161" s="84">
        <v>171</v>
      </c>
      <c r="E161" s="84">
        <v>1</v>
      </c>
      <c r="F161" s="84">
        <f t="shared" si="13"/>
        <v>1280328.96</v>
      </c>
      <c r="G161" s="84">
        <f t="shared" si="10"/>
        <v>108219.76</v>
      </c>
      <c r="H161" s="2">
        <f t="shared" si="11"/>
        <v>-1172109.2</v>
      </c>
      <c r="I161" s="2"/>
    </row>
    <row r="162" spans="1:9" x14ac:dyDescent="0.2">
      <c r="A162" s="82">
        <v>2</v>
      </c>
      <c r="B162" s="83">
        <v>44783.506099537037</v>
      </c>
      <c r="C162" s="84">
        <f t="shared" si="12"/>
        <v>63</v>
      </c>
      <c r="D162" s="84">
        <v>140</v>
      </c>
      <c r="E162" s="84">
        <v>1</v>
      </c>
      <c r="F162" s="84">
        <f t="shared" si="13"/>
        <v>1066591.3999999999</v>
      </c>
      <c r="G162" s="84">
        <f t="shared" si="10"/>
        <v>108219.76</v>
      </c>
      <c r="H162" s="2">
        <f t="shared" si="11"/>
        <v>-958371.6399999999</v>
      </c>
      <c r="I162" s="2"/>
    </row>
    <row r="163" spans="1:9" x14ac:dyDescent="0.2">
      <c r="A163" s="82">
        <v>2</v>
      </c>
      <c r="B163" s="83">
        <v>44783.506111111114</v>
      </c>
      <c r="C163" s="84">
        <f t="shared" si="12"/>
        <v>64</v>
      </c>
      <c r="D163" s="84">
        <v>113</v>
      </c>
      <c r="E163" s="84">
        <v>1</v>
      </c>
      <c r="F163" s="84">
        <f t="shared" si="13"/>
        <v>880432.88</v>
      </c>
      <c r="G163" s="84">
        <f t="shared" si="10"/>
        <v>108219.76</v>
      </c>
      <c r="H163" s="2">
        <f t="shared" si="11"/>
        <v>-772213.12</v>
      </c>
      <c r="I163" s="2"/>
    </row>
    <row r="164" spans="1:9" x14ac:dyDescent="0.2">
      <c r="A164" s="82">
        <v>2</v>
      </c>
      <c r="B164" s="83">
        <v>44783.506122685183</v>
      </c>
      <c r="C164" s="84">
        <v>0</v>
      </c>
      <c r="D164" s="84">
        <v>93</v>
      </c>
      <c r="E164" s="84">
        <v>0</v>
      </c>
      <c r="F164" s="84">
        <f t="shared" si="13"/>
        <v>742537.68</v>
      </c>
      <c r="G164" s="84">
        <f t="shared" si="10"/>
        <v>101325</v>
      </c>
      <c r="H164" s="2">
        <f t="shared" si="11"/>
        <v>-641212.68000000005</v>
      </c>
      <c r="I164" s="2"/>
    </row>
    <row r="165" spans="1:9" x14ac:dyDescent="0.2">
      <c r="A165" s="82">
        <v>2</v>
      </c>
      <c r="B165" s="83">
        <v>44783.50613425926</v>
      </c>
      <c r="C165" s="84">
        <f t="shared" si="12"/>
        <v>1</v>
      </c>
      <c r="D165" s="84">
        <v>73</v>
      </c>
      <c r="E165" s="84">
        <v>0</v>
      </c>
      <c r="F165" s="84">
        <f t="shared" si="13"/>
        <v>604642.48</v>
      </c>
      <c r="G165" s="84">
        <f t="shared" si="10"/>
        <v>101325</v>
      </c>
      <c r="H165" s="2">
        <f t="shared" si="11"/>
        <v>-503317.48</v>
      </c>
      <c r="I165" s="2"/>
    </row>
    <row r="166" spans="1:9" x14ac:dyDescent="0.2">
      <c r="A166" s="82">
        <v>2</v>
      </c>
      <c r="B166" s="83">
        <v>44783.506145833337</v>
      </c>
      <c r="C166" s="84">
        <f t="shared" si="12"/>
        <v>2</v>
      </c>
      <c r="D166" s="84">
        <v>60</v>
      </c>
      <c r="E166" s="84">
        <v>0</v>
      </c>
      <c r="F166" s="84">
        <f t="shared" si="13"/>
        <v>515010.60000000003</v>
      </c>
      <c r="G166" s="84">
        <f t="shared" si="10"/>
        <v>101325</v>
      </c>
      <c r="H166" s="2">
        <f t="shared" si="11"/>
        <v>-413685.60000000003</v>
      </c>
      <c r="I166" s="2"/>
    </row>
    <row r="167" spans="1:9" x14ac:dyDescent="0.2">
      <c r="A167" s="82">
        <v>2</v>
      </c>
      <c r="B167" s="83">
        <v>44783.506157407406</v>
      </c>
      <c r="C167" s="84">
        <f t="shared" si="12"/>
        <v>3</v>
      </c>
      <c r="D167" s="84">
        <v>49</v>
      </c>
      <c r="E167" s="84">
        <v>0</v>
      </c>
      <c r="F167" s="84">
        <f t="shared" si="13"/>
        <v>439168.24</v>
      </c>
      <c r="G167" s="84">
        <f t="shared" si="10"/>
        <v>101325</v>
      </c>
      <c r="H167" s="2">
        <f t="shared" si="11"/>
        <v>-337843.24</v>
      </c>
      <c r="I167" s="2"/>
    </row>
    <row r="168" spans="1:9" x14ac:dyDescent="0.2">
      <c r="A168" s="82">
        <v>2</v>
      </c>
      <c r="B168" s="83">
        <v>44783.506168981483</v>
      </c>
      <c r="C168" s="84">
        <f t="shared" si="12"/>
        <v>4</v>
      </c>
      <c r="D168" s="84">
        <v>40</v>
      </c>
      <c r="E168" s="84">
        <v>0</v>
      </c>
      <c r="F168" s="84">
        <f t="shared" si="13"/>
        <v>377115.4</v>
      </c>
      <c r="G168" s="84">
        <f t="shared" si="10"/>
        <v>101325</v>
      </c>
      <c r="H168" s="2">
        <f t="shared" si="11"/>
        <v>-275790.40000000002</v>
      </c>
      <c r="I168" s="2"/>
    </row>
    <row r="169" spans="1:9" x14ac:dyDescent="0.2">
      <c r="A169" s="82">
        <v>2</v>
      </c>
      <c r="B169" s="83">
        <v>44783.506180555552</v>
      </c>
      <c r="C169" s="84">
        <f t="shared" si="12"/>
        <v>5</v>
      </c>
      <c r="D169" s="84">
        <v>32</v>
      </c>
      <c r="E169" s="84">
        <v>0</v>
      </c>
      <c r="F169" s="84">
        <f t="shared" si="13"/>
        <v>321957.32</v>
      </c>
      <c r="G169" s="84">
        <f t="shared" si="10"/>
        <v>101325</v>
      </c>
      <c r="H169" s="2">
        <f t="shared" si="11"/>
        <v>-220632.32000000001</v>
      </c>
      <c r="I169" s="2"/>
    </row>
    <row r="170" spans="1:9" x14ac:dyDescent="0.2">
      <c r="A170" s="82">
        <v>2</v>
      </c>
      <c r="B170" s="83">
        <v>44783.506192129629</v>
      </c>
      <c r="C170" s="84">
        <f t="shared" si="12"/>
        <v>6</v>
      </c>
      <c r="D170" s="84">
        <v>26</v>
      </c>
      <c r="E170" s="84">
        <v>0</v>
      </c>
      <c r="F170" s="84">
        <f t="shared" si="13"/>
        <v>280588.76</v>
      </c>
      <c r="G170" s="84">
        <f t="shared" si="10"/>
        <v>101325</v>
      </c>
      <c r="H170" s="2">
        <f t="shared" si="11"/>
        <v>-179263.76</v>
      </c>
      <c r="I170" s="2"/>
    </row>
    <row r="171" spans="1:9" x14ac:dyDescent="0.2">
      <c r="A171" s="82">
        <v>2</v>
      </c>
      <c r="B171" s="83">
        <v>44783.506203703706</v>
      </c>
      <c r="C171" s="84">
        <f t="shared" si="12"/>
        <v>7</v>
      </c>
      <c r="D171" s="84">
        <v>21</v>
      </c>
      <c r="E171" s="84">
        <v>0</v>
      </c>
      <c r="F171" s="84">
        <f t="shared" si="13"/>
        <v>246114.96</v>
      </c>
      <c r="G171" s="84">
        <f t="shared" si="10"/>
        <v>101325</v>
      </c>
      <c r="H171" s="2">
        <f t="shared" si="11"/>
        <v>-144789.96</v>
      </c>
      <c r="I171" s="2"/>
    </row>
    <row r="172" spans="1:9" x14ac:dyDescent="0.2">
      <c r="A172" s="82">
        <v>2</v>
      </c>
      <c r="B172" s="83">
        <v>44783.506215277775</v>
      </c>
      <c r="C172" s="84">
        <f t="shared" si="12"/>
        <v>8</v>
      </c>
      <c r="D172" s="84">
        <v>17</v>
      </c>
      <c r="E172" s="84">
        <v>0</v>
      </c>
      <c r="F172" s="84">
        <f t="shared" si="13"/>
        <v>218535.91999999998</v>
      </c>
      <c r="G172" s="84">
        <f t="shared" si="10"/>
        <v>101325</v>
      </c>
      <c r="H172" s="2">
        <f t="shared" si="11"/>
        <v>-117210.91999999998</v>
      </c>
      <c r="I172" s="2"/>
    </row>
    <row r="173" spans="1:9" x14ac:dyDescent="0.2">
      <c r="A173" s="82">
        <v>2</v>
      </c>
      <c r="B173" s="83">
        <v>44783.506226851852</v>
      </c>
      <c r="C173" s="84">
        <f t="shared" si="12"/>
        <v>9</v>
      </c>
      <c r="D173" s="84">
        <v>14</v>
      </c>
      <c r="E173" s="84">
        <v>0</v>
      </c>
      <c r="F173" s="84">
        <f t="shared" si="13"/>
        <v>197851.64</v>
      </c>
      <c r="G173" s="84">
        <f t="shared" si="10"/>
        <v>101325</v>
      </c>
      <c r="H173" s="2">
        <f t="shared" si="11"/>
        <v>-96526.640000000014</v>
      </c>
      <c r="I173" s="2"/>
    </row>
    <row r="174" spans="1:9" x14ac:dyDescent="0.2">
      <c r="A174" s="82">
        <v>2</v>
      </c>
      <c r="B174" s="83">
        <v>44783.506238425929</v>
      </c>
      <c r="C174" s="84">
        <f t="shared" si="12"/>
        <v>10</v>
      </c>
      <c r="D174" s="84">
        <v>11</v>
      </c>
      <c r="E174" s="84">
        <v>0</v>
      </c>
      <c r="F174" s="84">
        <f t="shared" si="13"/>
        <v>177167.35999999999</v>
      </c>
      <c r="G174" s="84">
        <f t="shared" si="10"/>
        <v>101325</v>
      </c>
      <c r="H174" s="2">
        <f t="shared" si="11"/>
        <v>-75842.359999999986</v>
      </c>
      <c r="I174" s="2"/>
    </row>
    <row r="175" spans="1:9" x14ac:dyDescent="0.2">
      <c r="A175" s="82">
        <v>2</v>
      </c>
      <c r="B175" s="83">
        <v>44783.506249999999</v>
      </c>
      <c r="C175" s="84">
        <f t="shared" si="12"/>
        <v>11</v>
      </c>
      <c r="D175" s="84">
        <v>9</v>
      </c>
      <c r="E175" s="84">
        <v>0</v>
      </c>
      <c r="F175" s="84">
        <f t="shared" si="13"/>
        <v>163377.84</v>
      </c>
      <c r="G175" s="84">
        <f t="shared" si="10"/>
        <v>101325</v>
      </c>
      <c r="H175" s="2">
        <f t="shared" si="11"/>
        <v>-62052.84</v>
      </c>
      <c r="I175" s="2"/>
    </row>
    <row r="176" spans="1:9" x14ac:dyDescent="0.2">
      <c r="A176" s="82">
        <v>2</v>
      </c>
      <c r="B176" s="83">
        <v>44783.506261574075</v>
      </c>
      <c r="C176" s="84">
        <f t="shared" si="12"/>
        <v>12</v>
      </c>
      <c r="D176" s="84">
        <v>8</v>
      </c>
      <c r="E176" s="84">
        <v>0</v>
      </c>
      <c r="F176" s="84">
        <f t="shared" si="13"/>
        <v>156483.08000000002</v>
      </c>
      <c r="G176" s="84">
        <f t="shared" si="10"/>
        <v>101325</v>
      </c>
      <c r="H176" s="2">
        <f t="shared" si="11"/>
        <v>-55158.080000000016</v>
      </c>
      <c r="I176" s="2"/>
    </row>
    <row r="177" spans="1:9" x14ac:dyDescent="0.2">
      <c r="A177" s="82">
        <v>2</v>
      </c>
      <c r="B177" s="83">
        <v>44783.506273148145</v>
      </c>
      <c r="C177" s="84">
        <f t="shared" si="12"/>
        <v>13</v>
      </c>
      <c r="D177" s="84">
        <v>7</v>
      </c>
      <c r="E177" s="84">
        <v>0</v>
      </c>
      <c r="F177" s="84">
        <f t="shared" si="13"/>
        <v>149588.32</v>
      </c>
      <c r="G177" s="84">
        <f t="shared" si="10"/>
        <v>101325</v>
      </c>
      <c r="H177" s="2">
        <f t="shared" si="11"/>
        <v>-48263.320000000007</v>
      </c>
      <c r="I177" s="2"/>
    </row>
    <row r="178" spans="1:9" x14ac:dyDescent="0.2">
      <c r="A178" s="82">
        <v>2</v>
      </c>
      <c r="B178" s="83">
        <v>44783.506284722222</v>
      </c>
      <c r="C178" s="84">
        <f t="shared" si="12"/>
        <v>14</v>
      </c>
      <c r="D178" s="84">
        <v>5</v>
      </c>
      <c r="E178" s="84">
        <v>0</v>
      </c>
      <c r="F178" s="84">
        <f t="shared" si="13"/>
        <v>135798.79999999999</v>
      </c>
      <c r="G178" s="84">
        <f t="shared" si="10"/>
        <v>101325</v>
      </c>
      <c r="H178" s="2">
        <f t="shared" si="11"/>
        <v>-34473.799999999988</v>
      </c>
      <c r="I178" s="2"/>
    </row>
    <row r="179" spans="1:9" x14ac:dyDescent="0.2">
      <c r="A179" s="82">
        <v>2</v>
      </c>
      <c r="B179" s="83">
        <v>44783.506296296298</v>
      </c>
      <c r="C179" s="84">
        <f t="shared" si="12"/>
        <v>15</v>
      </c>
      <c r="D179" s="84">
        <v>5</v>
      </c>
      <c r="E179" s="84">
        <v>0</v>
      </c>
      <c r="F179" s="84">
        <f t="shared" si="13"/>
        <v>135798.79999999999</v>
      </c>
      <c r="G179" s="84">
        <f t="shared" si="10"/>
        <v>101325</v>
      </c>
      <c r="H179" s="2">
        <f t="shared" si="11"/>
        <v>-34473.799999999988</v>
      </c>
      <c r="I179" s="2"/>
    </row>
    <row r="180" spans="1:9" x14ac:dyDescent="0.2">
      <c r="A180" s="82">
        <v>2</v>
      </c>
      <c r="B180" s="83">
        <v>44783.506307870368</v>
      </c>
      <c r="C180" s="84">
        <f t="shared" si="12"/>
        <v>16</v>
      </c>
      <c r="D180" s="84">
        <v>4</v>
      </c>
      <c r="E180" s="84">
        <v>0</v>
      </c>
      <c r="F180" s="84">
        <f t="shared" si="13"/>
        <v>128904.04000000001</v>
      </c>
      <c r="G180" s="84">
        <f t="shared" si="10"/>
        <v>101325</v>
      </c>
      <c r="H180" s="2">
        <f t="shared" si="11"/>
        <v>-27579.040000000008</v>
      </c>
      <c r="I180" s="2"/>
    </row>
    <row r="181" spans="1:9" x14ac:dyDescent="0.2">
      <c r="A181" s="82">
        <v>2</v>
      </c>
      <c r="B181" s="83">
        <v>44783.506319444445</v>
      </c>
      <c r="C181" s="84">
        <f t="shared" si="12"/>
        <v>17</v>
      </c>
      <c r="D181" s="84">
        <v>4</v>
      </c>
      <c r="E181" s="84">
        <v>0</v>
      </c>
      <c r="F181" s="84">
        <f t="shared" si="13"/>
        <v>128904.04000000001</v>
      </c>
      <c r="G181" s="84">
        <f t="shared" si="10"/>
        <v>101325</v>
      </c>
      <c r="H181" s="2">
        <f t="shared" si="11"/>
        <v>-27579.040000000008</v>
      </c>
      <c r="I181" s="2"/>
    </row>
    <row r="182" spans="1:9" x14ac:dyDescent="0.2">
      <c r="A182" s="82">
        <v>2</v>
      </c>
      <c r="B182" s="83">
        <v>44783.506331018521</v>
      </c>
      <c r="C182" s="84">
        <f t="shared" si="12"/>
        <v>18</v>
      </c>
      <c r="D182" s="84">
        <v>3</v>
      </c>
      <c r="E182" s="84">
        <v>0</v>
      </c>
      <c r="F182" s="84">
        <f t="shared" si="13"/>
        <v>122009.28</v>
      </c>
      <c r="G182" s="84">
        <f t="shared" si="10"/>
        <v>101325</v>
      </c>
      <c r="H182" s="2">
        <f t="shared" si="11"/>
        <v>-20684.28</v>
      </c>
      <c r="I182" s="2"/>
    </row>
    <row r="183" spans="1:9" x14ac:dyDescent="0.2">
      <c r="A183" s="82">
        <v>2</v>
      </c>
      <c r="B183" s="83">
        <v>44783.506342592591</v>
      </c>
      <c r="C183" s="84">
        <f t="shared" si="12"/>
        <v>19</v>
      </c>
      <c r="D183" s="84">
        <v>3</v>
      </c>
      <c r="E183" s="84">
        <v>0</v>
      </c>
      <c r="F183" s="84">
        <f t="shared" si="13"/>
        <v>122009.28</v>
      </c>
      <c r="G183" s="84">
        <f t="shared" si="10"/>
        <v>101325</v>
      </c>
      <c r="H183" s="2">
        <f t="shared" si="11"/>
        <v>-20684.28</v>
      </c>
      <c r="I183" s="2"/>
    </row>
    <row r="184" spans="1:9" x14ac:dyDescent="0.2">
      <c r="A184" s="82">
        <v>2</v>
      </c>
      <c r="B184" s="83">
        <v>44783.506354166668</v>
      </c>
      <c r="C184" s="84">
        <f t="shared" si="12"/>
        <v>20</v>
      </c>
      <c r="D184" s="84">
        <v>2</v>
      </c>
      <c r="E184" s="84">
        <v>0</v>
      </c>
      <c r="F184" s="84">
        <f t="shared" si="13"/>
        <v>115114.52</v>
      </c>
      <c r="G184" s="84">
        <f t="shared" si="10"/>
        <v>101325</v>
      </c>
      <c r="H184" s="2">
        <f t="shared" si="11"/>
        <v>-13789.520000000004</v>
      </c>
      <c r="I184" s="2"/>
    </row>
    <row r="185" spans="1:9" x14ac:dyDescent="0.2">
      <c r="A185" s="82">
        <v>2</v>
      </c>
      <c r="B185" s="83">
        <v>44783.506365740737</v>
      </c>
      <c r="C185" s="84">
        <f t="shared" si="12"/>
        <v>21</v>
      </c>
      <c r="D185" s="84">
        <v>2</v>
      </c>
      <c r="E185" s="84">
        <v>0</v>
      </c>
      <c r="F185" s="84">
        <f t="shared" si="13"/>
        <v>115114.52</v>
      </c>
      <c r="G185" s="84">
        <f t="shared" si="10"/>
        <v>101325</v>
      </c>
      <c r="H185" s="2">
        <f t="shared" si="11"/>
        <v>-13789.520000000004</v>
      </c>
      <c r="I185" s="2"/>
    </row>
    <row r="186" spans="1:9" x14ac:dyDescent="0.2">
      <c r="A186" s="82">
        <v>2</v>
      </c>
      <c r="B186" s="83">
        <v>44783.506377314814</v>
      </c>
      <c r="C186" s="84">
        <f t="shared" si="12"/>
        <v>22</v>
      </c>
      <c r="D186" s="84">
        <v>2</v>
      </c>
      <c r="E186" s="84">
        <v>0</v>
      </c>
      <c r="F186" s="84">
        <f t="shared" si="13"/>
        <v>115114.52</v>
      </c>
      <c r="G186" s="84">
        <f t="shared" si="10"/>
        <v>101325</v>
      </c>
      <c r="H186" s="2">
        <f t="shared" si="11"/>
        <v>-13789.520000000004</v>
      </c>
      <c r="I186" s="2"/>
    </row>
    <row r="187" spans="1:9" x14ac:dyDescent="0.2">
      <c r="A187" s="82">
        <v>2</v>
      </c>
      <c r="B187" s="83">
        <v>44783.506388888891</v>
      </c>
      <c r="C187" s="84">
        <f t="shared" si="12"/>
        <v>23</v>
      </c>
      <c r="D187" s="84">
        <v>2</v>
      </c>
      <c r="E187" s="84">
        <v>0</v>
      </c>
      <c r="F187" s="84">
        <f t="shared" si="13"/>
        <v>115114.52</v>
      </c>
      <c r="G187" s="84">
        <f t="shared" si="10"/>
        <v>101325</v>
      </c>
      <c r="H187" s="2">
        <f t="shared" si="11"/>
        <v>-13789.520000000004</v>
      </c>
      <c r="I187" s="2"/>
    </row>
    <row r="188" spans="1:9" x14ac:dyDescent="0.2">
      <c r="A188" s="82">
        <v>2</v>
      </c>
      <c r="B188" s="83">
        <v>44783.50640046296</v>
      </c>
      <c r="C188" s="84">
        <f t="shared" si="12"/>
        <v>24</v>
      </c>
      <c r="D188" s="84">
        <v>1</v>
      </c>
      <c r="E188" s="84">
        <v>0</v>
      </c>
      <c r="F188" s="84">
        <f t="shared" si="13"/>
        <v>108219.76</v>
      </c>
      <c r="G188" s="84">
        <f t="shared" si="10"/>
        <v>101325</v>
      </c>
      <c r="H188" s="2">
        <f t="shared" si="11"/>
        <v>-6894.7599999999948</v>
      </c>
      <c r="I188" s="2"/>
    </row>
    <row r="189" spans="1:9" x14ac:dyDescent="0.2">
      <c r="A189" s="82">
        <v>2</v>
      </c>
      <c r="B189" s="83">
        <v>44783.506412037037</v>
      </c>
      <c r="C189" s="84">
        <f t="shared" si="12"/>
        <v>25</v>
      </c>
      <c r="D189" s="84">
        <v>1</v>
      </c>
      <c r="E189" s="84">
        <v>0</v>
      </c>
      <c r="F189" s="84">
        <f t="shared" si="13"/>
        <v>108219.76</v>
      </c>
      <c r="G189" s="84">
        <f t="shared" si="10"/>
        <v>101325</v>
      </c>
      <c r="H189" s="2">
        <f t="shared" si="11"/>
        <v>-6894.7599999999948</v>
      </c>
      <c r="I189" s="2"/>
    </row>
    <row r="190" spans="1:9" x14ac:dyDescent="0.2">
      <c r="A190" s="82">
        <v>2</v>
      </c>
      <c r="B190" s="83">
        <v>44783.506423611114</v>
      </c>
      <c r="C190" s="84">
        <f t="shared" si="12"/>
        <v>26</v>
      </c>
      <c r="D190" s="84">
        <v>1</v>
      </c>
      <c r="E190" s="84">
        <v>0</v>
      </c>
      <c r="F190" s="84">
        <f t="shared" si="13"/>
        <v>108219.76</v>
      </c>
      <c r="G190" s="84">
        <f t="shared" si="10"/>
        <v>101325</v>
      </c>
      <c r="H190" s="2">
        <f t="shared" si="11"/>
        <v>-6894.7599999999948</v>
      </c>
      <c r="I190" s="2"/>
    </row>
    <row r="191" spans="1:9" x14ac:dyDescent="0.2">
      <c r="A191" s="82">
        <v>2</v>
      </c>
      <c r="B191" s="83">
        <v>44783.506435185183</v>
      </c>
      <c r="C191" s="84">
        <f t="shared" si="12"/>
        <v>27</v>
      </c>
      <c r="D191" s="84">
        <v>1</v>
      </c>
      <c r="E191" s="84">
        <v>0</v>
      </c>
      <c r="F191" s="84">
        <f t="shared" si="13"/>
        <v>108219.76</v>
      </c>
      <c r="G191" s="84">
        <f t="shared" si="10"/>
        <v>101325</v>
      </c>
      <c r="H191" s="2">
        <f t="shared" si="11"/>
        <v>-6894.7599999999948</v>
      </c>
      <c r="I191" s="2"/>
    </row>
    <row r="192" spans="1:9" x14ac:dyDescent="0.2">
      <c r="A192" s="82">
        <v>2</v>
      </c>
      <c r="B192" s="83">
        <v>44783.50644675926</v>
      </c>
      <c r="C192" s="84">
        <f t="shared" si="12"/>
        <v>28</v>
      </c>
      <c r="D192" s="84">
        <v>1</v>
      </c>
      <c r="E192" s="84">
        <v>0</v>
      </c>
      <c r="F192" s="84">
        <f t="shared" si="13"/>
        <v>108219.76</v>
      </c>
      <c r="G192" s="84">
        <f t="shared" si="10"/>
        <v>101325</v>
      </c>
      <c r="H192" s="2">
        <f t="shared" si="11"/>
        <v>-6894.7599999999948</v>
      </c>
      <c r="I192" s="2"/>
    </row>
    <row r="193" spans="1:9" x14ac:dyDescent="0.2">
      <c r="A193" s="82">
        <v>2</v>
      </c>
      <c r="B193" s="83">
        <v>44783.506458333337</v>
      </c>
      <c r="C193" s="84">
        <f t="shared" si="12"/>
        <v>29</v>
      </c>
      <c r="D193" s="84">
        <v>1</v>
      </c>
      <c r="E193" s="84">
        <v>0</v>
      </c>
      <c r="F193" s="84">
        <f t="shared" si="13"/>
        <v>108219.76</v>
      </c>
      <c r="G193" s="84">
        <f t="shared" si="10"/>
        <v>101325</v>
      </c>
      <c r="H193" s="2">
        <f t="shared" si="11"/>
        <v>-6894.7599999999948</v>
      </c>
      <c r="I193" s="2"/>
    </row>
    <row r="194" spans="1:9" x14ac:dyDescent="0.2">
      <c r="A194" s="82">
        <v>2</v>
      </c>
      <c r="B194" s="83">
        <v>44783.506469907406</v>
      </c>
      <c r="C194" s="84">
        <f t="shared" si="12"/>
        <v>30</v>
      </c>
      <c r="D194" s="84">
        <v>1</v>
      </c>
      <c r="E194" s="84">
        <v>0</v>
      </c>
      <c r="F194" s="84">
        <f t="shared" si="13"/>
        <v>108219.76</v>
      </c>
      <c r="G194" s="84">
        <f t="shared" si="10"/>
        <v>101325</v>
      </c>
      <c r="H194" s="2">
        <f t="shared" si="11"/>
        <v>-6894.7599999999948</v>
      </c>
      <c r="I194" s="2"/>
    </row>
    <row r="195" spans="1:9" x14ac:dyDescent="0.2">
      <c r="A195" s="82">
        <v>2</v>
      </c>
      <c r="B195" s="83">
        <v>44783.506481481483</v>
      </c>
      <c r="C195" s="84">
        <f t="shared" si="12"/>
        <v>31</v>
      </c>
      <c r="D195" s="84">
        <v>1</v>
      </c>
      <c r="E195" s="84">
        <v>0</v>
      </c>
      <c r="F195" s="84">
        <f t="shared" si="13"/>
        <v>108219.76</v>
      </c>
      <c r="G195" s="84">
        <f t="shared" si="10"/>
        <v>101325</v>
      </c>
      <c r="H195" s="2">
        <f t="shared" si="11"/>
        <v>-6894.7599999999948</v>
      </c>
      <c r="I195" s="2"/>
    </row>
    <row r="196" spans="1:9" x14ac:dyDescent="0.2">
      <c r="A196" s="82">
        <v>2</v>
      </c>
      <c r="B196" s="83">
        <v>44783.506493055553</v>
      </c>
      <c r="C196" s="84">
        <f t="shared" si="12"/>
        <v>32</v>
      </c>
      <c r="D196" s="84">
        <v>0</v>
      </c>
      <c r="E196" s="84">
        <v>0</v>
      </c>
      <c r="F196" s="84">
        <f t="shared" si="13"/>
        <v>101325</v>
      </c>
      <c r="G196" s="84">
        <f t="shared" si="10"/>
        <v>101325</v>
      </c>
      <c r="H196" s="2">
        <f t="shared" si="11"/>
        <v>0</v>
      </c>
      <c r="I196" s="2"/>
    </row>
    <row r="197" spans="1:9" x14ac:dyDescent="0.2">
      <c r="A197" s="82">
        <v>2</v>
      </c>
      <c r="B197" s="83">
        <v>44783.506504629629</v>
      </c>
      <c r="C197" s="84">
        <f t="shared" si="12"/>
        <v>33</v>
      </c>
      <c r="D197" s="84">
        <v>0</v>
      </c>
      <c r="E197" s="84">
        <v>0</v>
      </c>
      <c r="F197" s="84">
        <f t="shared" si="13"/>
        <v>101325</v>
      </c>
      <c r="G197" s="84">
        <f t="shared" si="10"/>
        <v>101325</v>
      </c>
      <c r="H197" s="2">
        <f t="shared" si="11"/>
        <v>0</v>
      </c>
      <c r="I197" s="2"/>
    </row>
    <row r="198" spans="1:9" x14ac:dyDescent="0.2">
      <c r="A198" s="1" t="s">
        <v>17</v>
      </c>
      <c r="B198" s="8">
        <v>44783.508715277778</v>
      </c>
      <c r="C198" s="5">
        <f t="shared" si="12"/>
        <v>34</v>
      </c>
      <c r="D198" s="5">
        <v>1</v>
      </c>
      <c r="E198" s="5">
        <v>1</v>
      </c>
      <c r="F198" s="5">
        <f t="shared" si="13"/>
        <v>108219.76</v>
      </c>
      <c r="G198" s="11">
        <f t="shared" si="10"/>
        <v>108219.76</v>
      </c>
      <c r="H198" s="2">
        <f t="shared" si="11"/>
        <v>0</v>
      </c>
      <c r="I198" s="2"/>
    </row>
    <row r="199" spans="1:9" x14ac:dyDescent="0.2">
      <c r="A199" s="1" t="s">
        <v>17</v>
      </c>
      <c r="B199" s="8">
        <v>44783.508726851855</v>
      </c>
      <c r="C199" s="5">
        <f t="shared" si="12"/>
        <v>35</v>
      </c>
      <c r="D199" s="5">
        <v>1</v>
      </c>
      <c r="E199" s="5">
        <v>1</v>
      </c>
      <c r="F199" s="5">
        <f t="shared" si="13"/>
        <v>108219.76</v>
      </c>
      <c r="G199" s="11">
        <f t="shared" si="10"/>
        <v>108219.76</v>
      </c>
      <c r="H199" s="2">
        <f t="shared" si="11"/>
        <v>0</v>
      </c>
      <c r="I199" s="2"/>
    </row>
    <row r="200" spans="1:9" x14ac:dyDescent="0.2">
      <c r="A200" s="1" t="s">
        <v>17</v>
      </c>
      <c r="B200" s="8">
        <v>44783.508738425924</v>
      </c>
      <c r="C200" s="5">
        <f t="shared" si="12"/>
        <v>36</v>
      </c>
      <c r="D200" s="5">
        <v>3</v>
      </c>
      <c r="E200" s="5">
        <v>2</v>
      </c>
      <c r="F200" s="5">
        <f t="shared" si="13"/>
        <v>122009.28</v>
      </c>
      <c r="G200" s="11">
        <f t="shared" si="10"/>
        <v>115114.52</v>
      </c>
      <c r="H200" s="2">
        <f t="shared" si="11"/>
        <v>-6894.7599999999948</v>
      </c>
      <c r="I200" s="2"/>
    </row>
    <row r="201" spans="1:9" x14ac:dyDescent="0.2">
      <c r="A201" s="1" t="s">
        <v>17</v>
      </c>
      <c r="B201" s="8">
        <v>44783.508750000001</v>
      </c>
      <c r="C201" s="5">
        <f t="shared" si="12"/>
        <v>37</v>
      </c>
      <c r="D201" s="5">
        <v>64</v>
      </c>
      <c r="E201" s="5">
        <v>4</v>
      </c>
      <c r="F201" s="5">
        <f t="shared" si="13"/>
        <v>542589.64</v>
      </c>
      <c r="G201" s="11">
        <f t="shared" si="10"/>
        <v>128904.04000000001</v>
      </c>
      <c r="H201" s="2">
        <f t="shared" si="11"/>
        <v>-413685.6</v>
      </c>
      <c r="I201" s="2"/>
    </row>
    <row r="202" spans="1:9" x14ac:dyDescent="0.2">
      <c r="A202" s="1" t="s">
        <v>17</v>
      </c>
      <c r="B202" s="8">
        <v>44783.508761574078</v>
      </c>
      <c r="C202" s="5">
        <f t="shared" si="12"/>
        <v>38</v>
      </c>
      <c r="D202" s="5">
        <v>144</v>
      </c>
      <c r="E202" s="5">
        <v>36</v>
      </c>
      <c r="F202" s="5">
        <f t="shared" si="13"/>
        <v>1094170.44</v>
      </c>
      <c r="G202" s="11">
        <f t="shared" si="10"/>
        <v>349536.36</v>
      </c>
      <c r="H202" s="2">
        <f t="shared" si="11"/>
        <v>-744634.08</v>
      </c>
      <c r="I202" s="2"/>
    </row>
    <row r="203" spans="1:9" x14ac:dyDescent="0.2">
      <c r="A203" s="1" t="s">
        <v>17</v>
      </c>
      <c r="B203" s="8">
        <v>44783.508773148147</v>
      </c>
      <c r="C203" s="5">
        <f t="shared" si="12"/>
        <v>39</v>
      </c>
      <c r="D203" s="5">
        <v>215</v>
      </c>
      <c r="E203" s="5">
        <v>89</v>
      </c>
      <c r="F203" s="5">
        <f t="shared" si="13"/>
        <v>1583698.4000000001</v>
      </c>
      <c r="G203" s="11">
        <f t="shared" si="10"/>
        <v>714958.64</v>
      </c>
      <c r="H203" s="2">
        <f t="shared" si="11"/>
        <v>-868739.76000000013</v>
      </c>
      <c r="I203" s="2"/>
    </row>
    <row r="204" spans="1:9" x14ac:dyDescent="0.2">
      <c r="A204" s="1" t="s">
        <v>17</v>
      </c>
      <c r="B204" s="8">
        <v>44783.508784722224</v>
      </c>
      <c r="C204" s="5">
        <f t="shared" si="12"/>
        <v>40</v>
      </c>
      <c r="D204" s="5">
        <v>296</v>
      </c>
      <c r="E204" s="5">
        <v>166</v>
      </c>
      <c r="F204" s="5">
        <f t="shared" si="13"/>
        <v>2142173.96</v>
      </c>
      <c r="G204" s="11">
        <f t="shared" ref="G204:G267" si="14">E204*6894.76 +101325</f>
        <v>1245855.1600000001</v>
      </c>
      <c r="H204" s="2">
        <f t="shared" ref="H204:H267" si="15">G204-F204</f>
        <v>-896318.79999999981</v>
      </c>
      <c r="I204" s="2"/>
    </row>
    <row r="205" spans="1:9" x14ac:dyDescent="0.2">
      <c r="A205" s="1" t="s">
        <v>17</v>
      </c>
      <c r="B205" s="8">
        <v>44783.508796296293</v>
      </c>
      <c r="C205" s="5">
        <f t="shared" ref="C205:C268" si="16">C204+1</f>
        <v>41</v>
      </c>
      <c r="D205" s="5">
        <v>374</v>
      </c>
      <c r="E205" s="5">
        <v>254</v>
      </c>
      <c r="F205" s="5">
        <f t="shared" si="13"/>
        <v>2679965.2400000002</v>
      </c>
      <c r="G205" s="11">
        <f t="shared" si="14"/>
        <v>1852594.04</v>
      </c>
      <c r="H205" s="2">
        <f t="shared" si="15"/>
        <v>-827371.20000000019</v>
      </c>
      <c r="I205" s="2"/>
    </row>
    <row r="206" spans="1:9" x14ac:dyDescent="0.2">
      <c r="A206" s="1" t="s">
        <v>17</v>
      </c>
      <c r="B206" s="8">
        <v>44783.50880787037</v>
      </c>
      <c r="C206" s="5">
        <f t="shared" si="16"/>
        <v>42</v>
      </c>
      <c r="D206" s="5">
        <v>459</v>
      </c>
      <c r="E206" s="5">
        <v>353</v>
      </c>
      <c r="F206" s="5">
        <f t="shared" si="13"/>
        <v>3266019.8400000003</v>
      </c>
      <c r="G206" s="11">
        <f t="shared" si="14"/>
        <v>2535175.2800000003</v>
      </c>
      <c r="H206" s="2">
        <f t="shared" si="15"/>
        <v>-730844.56</v>
      </c>
      <c r="I206" s="2"/>
    </row>
    <row r="207" spans="1:9" x14ac:dyDescent="0.2">
      <c r="A207" s="1" t="s">
        <v>17</v>
      </c>
      <c r="B207" s="8">
        <v>44783.508819444447</v>
      </c>
      <c r="C207" s="5">
        <f t="shared" si="16"/>
        <v>43</v>
      </c>
      <c r="D207" s="5">
        <v>517</v>
      </c>
      <c r="E207" s="5">
        <v>442</v>
      </c>
      <c r="F207" s="5">
        <f t="shared" si="13"/>
        <v>3665915.92</v>
      </c>
      <c r="G207" s="11">
        <f t="shared" si="14"/>
        <v>3148808.92</v>
      </c>
      <c r="H207" s="2">
        <f t="shared" si="15"/>
        <v>-517107</v>
      </c>
      <c r="I207" s="2"/>
    </row>
    <row r="208" spans="1:9" x14ac:dyDescent="0.2">
      <c r="A208" s="1" t="s">
        <v>17</v>
      </c>
      <c r="B208" s="8">
        <v>44783.508831018517</v>
      </c>
      <c r="C208" s="5">
        <f t="shared" si="16"/>
        <v>44</v>
      </c>
      <c r="D208" s="5">
        <v>563</v>
      </c>
      <c r="E208" s="5">
        <v>516</v>
      </c>
      <c r="F208" s="5">
        <f t="shared" si="13"/>
        <v>3983074.8800000004</v>
      </c>
      <c r="G208" s="11">
        <f t="shared" si="14"/>
        <v>3659021.16</v>
      </c>
      <c r="H208" s="2">
        <f t="shared" si="15"/>
        <v>-324053.7200000002</v>
      </c>
      <c r="I208" s="2"/>
    </row>
    <row r="209" spans="1:9" x14ac:dyDescent="0.2">
      <c r="A209" s="1" t="s">
        <v>17</v>
      </c>
      <c r="B209" s="8">
        <v>44783.508842592593</v>
      </c>
      <c r="C209" s="5">
        <f t="shared" si="16"/>
        <v>45</v>
      </c>
      <c r="D209" s="5">
        <v>617</v>
      </c>
      <c r="E209" s="5">
        <v>580</v>
      </c>
      <c r="F209" s="5">
        <f t="shared" si="13"/>
        <v>4355391.92</v>
      </c>
      <c r="G209" s="11">
        <f t="shared" si="14"/>
        <v>4100285.8000000003</v>
      </c>
      <c r="H209" s="2">
        <f t="shared" si="15"/>
        <v>-255106.11999999965</v>
      </c>
      <c r="I209" s="2"/>
    </row>
    <row r="210" spans="1:9" x14ac:dyDescent="0.2">
      <c r="A210" s="1" t="s">
        <v>17</v>
      </c>
      <c r="B210" s="8">
        <v>44783.50885416667</v>
      </c>
      <c r="C210" s="5">
        <f t="shared" si="16"/>
        <v>46</v>
      </c>
      <c r="D210" s="5">
        <v>654</v>
      </c>
      <c r="E210" s="5">
        <v>633</v>
      </c>
      <c r="F210" s="5">
        <f t="shared" ref="F210:F273" si="17">D210*6894.76 +101325</f>
        <v>4610498.04</v>
      </c>
      <c r="G210" s="11">
        <f t="shared" si="14"/>
        <v>4465708.08</v>
      </c>
      <c r="H210" s="2">
        <f t="shared" si="15"/>
        <v>-144789.95999999996</v>
      </c>
      <c r="I210" s="2"/>
    </row>
    <row r="211" spans="1:9" x14ac:dyDescent="0.2">
      <c r="A211" s="1" t="s">
        <v>17</v>
      </c>
      <c r="B211" s="8">
        <v>44783.50886574074</v>
      </c>
      <c r="C211" s="5">
        <f t="shared" si="16"/>
        <v>47</v>
      </c>
      <c r="D211" s="5">
        <v>700</v>
      </c>
      <c r="E211" s="5">
        <v>685</v>
      </c>
      <c r="F211" s="5">
        <f t="shared" si="17"/>
        <v>4927657</v>
      </c>
      <c r="G211" s="11">
        <f t="shared" si="14"/>
        <v>4824235.6000000006</v>
      </c>
      <c r="H211" s="2">
        <f t="shared" si="15"/>
        <v>-103421.39999999944</v>
      </c>
      <c r="I211" s="2"/>
    </row>
    <row r="212" spans="1:9" x14ac:dyDescent="0.2">
      <c r="A212" s="1" t="s">
        <v>17</v>
      </c>
      <c r="B212" s="8">
        <v>44783.508877314816</v>
      </c>
      <c r="C212" s="5">
        <f t="shared" si="16"/>
        <v>48</v>
      </c>
      <c r="D212" s="5">
        <v>740</v>
      </c>
      <c r="E212" s="5">
        <v>722</v>
      </c>
      <c r="F212" s="5">
        <f t="shared" si="17"/>
        <v>5203447.4000000004</v>
      </c>
      <c r="G212" s="11">
        <f t="shared" si="14"/>
        <v>5079341.72</v>
      </c>
      <c r="H212" s="2">
        <f t="shared" si="15"/>
        <v>-124105.68000000063</v>
      </c>
      <c r="I212" s="2"/>
    </row>
    <row r="213" spans="1:9" x14ac:dyDescent="0.2">
      <c r="A213" s="1" t="s">
        <v>17</v>
      </c>
      <c r="B213" s="8">
        <v>44783.508888888886</v>
      </c>
      <c r="C213" s="5">
        <f t="shared" si="16"/>
        <v>49</v>
      </c>
      <c r="D213" s="5">
        <v>787</v>
      </c>
      <c r="E213" s="5">
        <v>774</v>
      </c>
      <c r="F213" s="5">
        <f t="shared" si="17"/>
        <v>5527501.1200000001</v>
      </c>
      <c r="G213" s="11">
        <f t="shared" si="14"/>
        <v>5437869.2400000002</v>
      </c>
      <c r="H213" s="2">
        <f t="shared" si="15"/>
        <v>-89631.879999999888</v>
      </c>
      <c r="I213" s="2"/>
    </row>
    <row r="214" spans="1:9" x14ac:dyDescent="0.2">
      <c r="A214" s="1" t="s">
        <v>17</v>
      </c>
      <c r="B214" s="8">
        <v>44783.508900462963</v>
      </c>
      <c r="C214" s="5">
        <f t="shared" si="16"/>
        <v>50</v>
      </c>
      <c r="D214" s="5">
        <v>824</v>
      </c>
      <c r="E214" s="5">
        <v>813</v>
      </c>
      <c r="F214" s="5">
        <f t="shared" si="17"/>
        <v>5782607.2400000002</v>
      </c>
      <c r="G214" s="11">
        <f t="shared" si="14"/>
        <v>5706764.8799999999</v>
      </c>
      <c r="H214" s="2">
        <f t="shared" si="15"/>
        <v>-75842.360000000335</v>
      </c>
      <c r="I214" s="2"/>
    </row>
    <row r="215" spans="1:9" x14ac:dyDescent="0.2">
      <c r="A215" s="1" t="s">
        <v>17</v>
      </c>
      <c r="B215" s="8">
        <v>44783.508912037039</v>
      </c>
      <c r="C215" s="5">
        <f t="shared" si="16"/>
        <v>51</v>
      </c>
      <c r="D215" s="5">
        <v>876</v>
      </c>
      <c r="E215" s="5">
        <v>863</v>
      </c>
      <c r="F215" s="5">
        <f t="shared" si="17"/>
        <v>6141134.7599999998</v>
      </c>
      <c r="G215" s="11">
        <f t="shared" si="14"/>
        <v>6051502.8799999999</v>
      </c>
      <c r="H215" s="2">
        <f t="shared" si="15"/>
        <v>-89631.879999999888</v>
      </c>
      <c r="I215" s="2"/>
    </row>
    <row r="216" spans="1:9" x14ac:dyDescent="0.2">
      <c r="A216" s="1" t="s">
        <v>17</v>
      </c>
      <c r="B216" s="8">
        <v>44783.508923611109</v>
      </c>
      <c r="C216" s="5">
        <f t="shared" si="16"/>
        <v>52</v>
      </c>
      <c r="D216" s="5">
        <v>888</v>
      </c>
      <c r="E216" s="5">
        <v>884</v>
      </c>
      <c r="F216" s="5">
        <f t="shared" si="17"/>
        <v>6223871.8799999999</v>
      </c>
      <c r="G216" s="11">
        <f t="shared" si="14"/>
        <v>6196292.8399999999</v>
      </c>
      <c r="H216" s="2">
        <f t="shared" si="15"/>
        <v>-27579.040000000037</v>
      </c>
      <c r="I216" s="2"/>
    </row>
    <row r="217" spans="1:9" x14ac:dyDescent="0.2">
      <c r="A217" s="1" t="s">
        <v>17</v>
      </c>
      <c r="B217" s="8">
        <v>44783.508935185186</v>
      </c>
      <c r="C217" s="5">
        <f t="shared" si="16"/>
        <v>53</v>
      </c>
      <c r="D217" s="5">
        <v>918</v>
      </c>
      <c r="E217" s="5">
        <v>907</v>
      </c>
      <c r="F217" s="5">
        <f t="shared" si="17"/>
        <v>6430714.6800000006</v>
      </c>
      <c r="G217" s="11">
        <f t="shared" si="14"/>
        <v>6354872.3200000003</v>
      </c>
      <c r="H217" s="2">
        <f t="shared" si="15"/>
        <v>-75842.360000000335</v>
      </c>
      <c r="I217" s="2"/>
    </row>
    <row r="218" spans="1:9" x14ac:dyDescent="0.2">
      <c r="A218" s="1" t="s">
        <v>17</v>
      </c>
      <c r="B218" s="8">
        <v>44783.508946759262</v>
      </c>
      <c r="C218" s="5">
        <f t="shared" si="16"/>
        <v>54</v>
      </c>
      <c r="D218" s="5">
        <v>938</v>
      </c>
      <c r="E218" s="5">
        <v>937</v>
      </c>
      <c r="F218" s="5">
        <f t="shared" si="17"/>
        <v>6568609.8799999999</v>
      </c>
      <c r="G218" s="11">
        <f t="shared" si="14"/>
        <v>6561715.1200000001</v>
      </c>
      <c r="H218" s="2">
        <f t="shared" si="15"/>
        <v>-6894.7599999997765</v>
      </c>
      <c r="I218" s="2"/>
    </row>
    <row r="219" spans="1:9" x14ac:dyDescent="0.2">
      <c r="A219" s="1" t="s">
        <v>17</v>
      </c>
      <c r="B219" s="8">
        <v>44783.508958333332</v>
      </c>
      <c r="C219" s="5">
        <f t="shared" si="16"/>
        <v>55</v>
      </c>
      <c r="D219" s="5">
        <v>959</v>
      </c>
      <c r="E219" s="5">
        <v>955</v>
      </c>
      <c r="F219" s="5">
        <f t="shared" si="17"/>
        <v>6713399.8399999999</v>
      </c>
      <c r="G219" s="11">
        <f t="shared" si="14"/>
        <v>6685820.7999999998</v>
      </c>
      <c r="H219" s="2">
        <f t="shared" si="15"/>
        <v>-27579.040000000037</v>
      </c>
      <c r="I219" s="2"/>
    </row>
    <row r="220" spans="1:9" x14ac:dyDescent="0.2">
      <c r="A220" s="1" t="s">
        <v>17</v>
      </c>
      <c r="B220" s="8">
        <v>44783.508969907409</v>
      </c>
      <c r="C220" s="5">
        <f t="shared" si="16"/>
        <v>56</v>
      </c>
      <c r="D220" s="5">
        <v>964</v>
      </c>
      <c r="E220" s="5">
        <v>963</v>
      </c>
      <c r="F220" s="5">
        <f t="shared" si="17"/>
        <v>6747873.6400000006</v>
      </c>
      <c r="G220" s="11">
        <f t="shared" si="14"/>
        <v>6740978.8799999999</v>
      </c>
      <c r="H220" s="2">
        <f t="shared" si="15"/>
        <v>-6894.7600000007078</v>
      </c>
      <c r="I220" s="2"/>
    </row>
    <row r="221" spans="1:9" x14ac:dyDescent="0.2">
      <c r="A221" s="1" t="s">
        <v>17</v>
      </c>
      <c r="B221" s="8">
        <v>44783.508981481478</v>
      </c>
      <c r="C221" s="5">
        <f t="shared" si="16"/>
        <v>57</v>
      </c>
      <c r="D221" s="5">
        <v>968</v>
      </c>
      <c r="E221" s="5">
        <v>968</v>
      </c>
      <c r="F221" s="5">
        <f t="shared" si="17"/>
        <v>6775452.6800000006</v>
      </c>
      <c r="G221" s="11">
        <f t="shared" si="14"/>
        <v>6775452.6800000006</v>
      </c>
      <c r="H221" s="2">
        <f t="shared" si="15"/>
        <v>0</v>
      </c>
      <c r="I221" s="2"/>
    </row>
    <row r="222" spans="1:9" x14ac:dyDescent="0.2">
      <c r="A222" s="1" t="s">
        <v>17</v>
      </c>
      <c r="B222" s="8">
        <v>44783.508993055555</v>
      </c>
      <c r="C222" s="5">
        <f t="shared" si="16"/>
        <v>58</v>
      </c>
      <c r="D222" s="5">
        <v>969</v>
      </c>
      <c r="E222" s="5">
        <v>969</v>
      </c>
      <c r="F222" s="5">
        <f t="shared" si="17"/>
        <v>6782347.4400000004</v>
      </c>
      <c r="G222" s="11">
        <f t="shared" si="14"/>
        <v>6782347.4400000004</v>
      </c>
      <c r="H222" s="2">
        <f t="shared" si="15"/>
        <v>0</v>
      </c>
      <c r="I222" s="2"/>
    </row>
    <row r="223" spans="1:9" x14ac:dyDescent="0.2">
      <c r="A223" s="1" t="s">
        <v>17</v>
      </c>
      <c r="B223" s="8">
        <v>44783.509004629632</v>
      </c>
      <c r="C223" s="5">
        <f t="shared" si="16"/>
        <v>59</v>
      </c>
      <c r="D223" s="5">
        <v>969</v>
      </c>
      <c r="E223" s="5">
        <v>969</v>
      </c>
      <c r="F223" s="5">
        <f t="shared" si="17"/>
        <v>6782347.4400000004</v>
      </c>
      <c r="G223" s="11">
        <f t="shared" si="14"/>
        <v>6782347.4400000004</v>
      </c>
      <c r="H223" s="2">
        <f t="shared" si="15"/>
        <v>0</v>
      </c>
      <c r="I223" s="2"/>
    </row>
    <row r="224" spans="1:9" x14ac:dyDescent="0.2">
      <c r="A224" s="1" t="s">
        <v>17</v>
      </c>
      <c r="B224" s="8">
        <v>44783.509016203701</v>
      </c>
      <c r="C224" s="5">
        <f t="shared" si="16"/>
        <v>60</v>
      </c>
      <c r="D224" s="5">
        <v>969</v>
      </c>
      <c r="E224" s="5">
        <v>969</v>
      </c>
      <c r="F224" s="5">
        <f t="shared" si="17"/>
        <v>6782347.4400000004</v>
      </c>
      <c r="G224" s="11">
        <f t="shared" si="14"/>
        <v>6782347.4400000004</v>
      </c>
      <c r="H224" s="2">
        <f t="shared" si="15"/>
        <v>0</v>
      </c>
      <c r="I224" s="2"/>
    </row>
    <row r="225" spans="1:9" x14ac:dyDescent="0.2">
      <c r="A225" s="1" t="s">
        <v>17</v>
      </c>
      <c r="B225" s="8">
        <v>44783.509027777778</v>
      </c>
      <c r="C225" s="5">
        <f t="shared" si="16"/>
        <v>61</v>
      </c>
      <c r="D225" s="5">
        <v>971</v>
      </c>
      <c r="E225" s="5">
        <v>972</v>
      </c>
      <c r="F225" s="5">
        <f t="shared" si="17"/>
        <v>6796136.96</v>
      </c>
      <c r="G225" s="11">
        <f t="shared" si="14"/>
        <v>6803031.7200000007</v>
      </c>
      <c r="H225" s="2">
        <f t="shared" si="15"/>
        <v>6894.7600000007078</v>
      </c>
      <c r="I225" s="2"/>
    </row>
    <row r="226" spans="1:9" x14ac:dyDescent="0.2">
      <c r="A226" s="1" t="s">
        <v>17</v>
      </c>
      <c r="B226" s="8">
        <v>44783.509039351855</v>
      </c>
      <c r="C226" s="5">
        <f t="shared" si="16"/>
        <v>62</v>
      </c>
      <c r="D226" s="5">
        <v>977</v>
      </c>
      <c r="E226" s="5">
        <v>978</v>
      </c>
      <c r="F226" s="5">
        <f t="shared" si="17"/>
        <v>6837505.5200000005</v>
      </c>
      <c r="G226" s="11">
        <f t="shared" si="14"/>
        <v>6844400.2800000003</v>
      </c>
      <c r="H226" s="2">
        <f t="shared" si="15"/>
        <v>6894.7599999997765</v>
      </c>
      <c r="I226" s="2"/>
    </row>
    <row r="227" spans="1:9" x14ac:dyDescent="0.2">
      <c r="A227" s="1" t="s">
        <v>17</v>
      </c>
      <c r="B227" s="8">
        <v>44783.509050925924</v>
      </c>
      <c r="C227" s="5">
        <f t="shared" si="16"/>
        <v>63</v>
      </c>
      <c r="D227" s="5">
        <v>983</v>
      </c>
      <c r="E227" s="5">
        <v>983</v>
      </c>
      <c r="F227" s="5">
        <f t="shared" si="17"/>
        <v>6878874.0800000001</v>
      </c>
      <c r="G227" s="11">
        <f t="shared" si="14"/>
        <v>6878874.0800000001</v>
      </c>
      <c r="H227" s="2">
        <f t="shared" si="15"/>
        <v>0</v>
      </c>
      <c r="I227" s="2"/>
    </row>
    <row r="228" spans="1:9" x14ac:dyDescent="0.2">
      <c r="A228" s="1" t="s">
        <v>17</v>
      </c>
      <c r="B228" s="8">
        <v>44783.509062500001</v>
      </c>
      <c r="C228" s="5">
        <f t="shared" si="16"/>
        <v>64</v>
      </c>
      <c r="D228" s="5">
        <v>987</v>
      </c>
      <c r="E228" s="5">
        <v>988</v>
      </c>
      <c r="F228" s="5">
        <f t="shared" si="17"/>
        <v>6906453.1200000001</v>
      </c>
      <c r="G228" s="11">
        <f t="shared" si="14"/>
        <v>6913347.8799999999</v>
      </c>
      <c r="H228" s="2">
        <f t="shared" si="15"/>
        <v>6894.7599999997765</v>
      </c>
      <c r="I228" s="2"/>
    </row>
    <row r="229" spans="1:9" x14ac:dyDescent="0.2">
      <c r="A229" s="1" t="s">
        <v>17</v>
      </c>
      <c r="B229" s="8">
        <v>44783.509074074071</v>
      </c>
      <c r="C229" s="5">
        <f t="shared" si="16"/>
        <v>65</v>
      </c>
      <c r="D229" s="5">
        <v>990</v>
      </c>
      <c r="E229" s="5">
        <v>991</v>
      </c>
      <c r="F229" s="5">
        <f t="shared" si="17"/>
        <v>6927137.4000000004</v>
      </c>
      <c r="G229" s="11">
        <f t="shared" si="14"/>
        <v>6934032.1600000001</v>
      </c>
      <c r="H229" s="2">
        <f t="shared" si="15"/>
        <v>6894.7599999997765</v>
      </c>
      <c r="I229" s="2"/>
    </row>
    <row r="230" spans="1:9" x14ac:dyDescent="0.2">
      <c r="A230" s="1" t="s">
        <v>17</v>
      </c>
      <c r="B230" s="8">
        <v>44783.509085648147</v>
      </c>
      <c r="C230" s="5">
        <f t="shared" si="16"/>
        <v>66</v>
      </c>
      <c r="D230" s="5">
        <v>991</v>
      </c>
      <c r="E230" s="5">
        <v>993</v>
      </c>
      <c r="F230" s="5">
        <f t="shared" si="17"/>
        <v>6934032.1600000001</v>
      </c>
      <c r="G230" s="11">
        <f t="shared" si="14"/>
        <v>6947821.6800000006</v>
      </c>
      <c r="H230" s="2">
        <f t="shared" si="15"/>
        <v>13789.520000000484</v>
      </c>
      <c r="I230" s="2"/>
    </row>
    <row r="231" spans="1:9" x14ac:dyDescent="0.2">
      <c r="A231" s="1" t="s">
        <v>17</v>
      </c>
      <c r="B231" s="8">
        <v>44783.509097222224</v>
      </c>
      <c r="C231" s="5">
        <f t="shared" si="16"/>
        <v>67</v>
      </c>
      <c r="D231" s="5">
        <v>993</v>
      </c>
      <c r="E231" s="5">
        <v>994</v>
      </c>
      <c r="F231" s="5">
        <f t="shared" si="17"/>
        <v>6947821.6800000006</v>
      </c>
      <c r="G231" s="11">
        <f t="shared" si="14"/>
        <v>6954716.4400000004</v>
      </c>
      <c r="H231" s="2">
        <f t="shared" si="15"/>
        <v>6894.7599999997765</v>
      </c>
      <c r="I231" s="2"/>
    </row>
    <row r="232" spans="1:9" x14ac:dyDescent="0.2">
      <c r="A232" s="1" t="s">
        <v>17</v>
      </c>
      <c r="B232" s="8">
        <v>44783.509108796294</v>
      </c>
      <c r="C232" s="5">
        <f t="shared" si="16"/>
        <v>68</v>
      </c>
      <c r="D232" s="5">
        <v>994</v>
      </c>
      <c r="E232" s="5">
        <v>995</v>
      </c>
      <c r="F232" s="5">
        <f t="shared" si="17"/>
        <v>6954716.4400000004</v>
      </c>
      <c r="G232" s="11">
        <f t="shared" si="14"/>
        <v>6961611.2000000002</v>
      </c>
      <c r="H232" s="2">
        <f t="shared" si="15"/>
        <v>6894.7599999997765</v>
      </c>
      <c r="I232" s="2"/>
    </row>
    <row r="233" spans="1:9" x14ac:dyDescent="0.2">
      <c r="A233" s="1" t="s">
        <v>17</v>
      </c>
      <c r="B233" s="8">
        <v>44783.509120370371</v>
      </c>
      <c r="C233" s="5">
        <f t="shared" si="16"/>
        <v>69</v>
      </c>
      <c r="D233" s="5">
        <v>994</v>
      </c>
      <c r="E233" s="5">
        <v>996</v>
      </c>
      <c r="F233" s="5">
        <f t="shared" si="17"/>
        <v>6954716.4400000004</v>
      </c>
      <c r="G233" s="11">
        <f t="shared" si="14"/>
        <v>6968505.96</v>
      </c>
      <c r="H233" s="2">
        <f t="shared" si="15"/>
        <v>13789.519999999553</v>
      </c>
      <c r="I233" s="2"/>
    </row>
    <row r="234" spans="1:9" x14ac:dyDescent="0.2">
      <c r="A234" s="1" t="s">
        <v>17</v>
      </c>
      <c r="B234" s="8">
        <v>44783.509131944447</v>
      </c>
      <c r="C234" s="5">
        <f t="shared" si="16"/>
        <v>70</v>
      </c>
      <c r="D234" s="5">
        <v>995</v>
      </c>
      <c r="E234" s="5">
        <v>996</v>
      </c>
      <c r="F234" s="5">
        <f t="shared" si="17"/>
        <v>6961611.2000000002</v>
      </c>
      <c r="G234" s="11">
        <f t="shared" si="14"/>
        <v>6968505.96</v>
      </c>
      <c r="H234" s="2">
        <f t="shared" si="15"/>
        <v>6894.7599999997765</v>
      </c>
      <c r="I234" s="2"/>
    </row>
    <row r="235" spans="1:9" x14ac:dyDescent="0.2">
      <c r="A235" s="1" t="s">
        <v>17</v>
      </c>
      <c r="B235" s="8">
        <v>44783.509143518517</v>
      </c>
      <c r="C235" s="5">
        <f t="shared" si="16"/>
        <v>71</v>
      </c>
      <c r="D235" s="5">
        <v>995</v>
      </c>
      <c r="E235" s="5">
        <v>996</v>
      </c>
      <c r="F235" s="5">
        <f t="shared" si="17"/>
        <v>6961611.2000000002</v>
      </c>
      <c r="G235" s="11">
        <f t="shared" si="14"/>
        <v>6968505.96</v>
      </c>
      <c r="H235" s="2">
        <f t="shared" si="15"/>
        <v>6894.7599999997765</v>
      </c>
      <c r="I235" s="2"/>
    </row>
    <row r="236" spans="1:9" x14ac:dyDescent="0.2">
      <c r="A236" s="1" t="s">
        <v>17</v>
      </c>
      <c r="B236" s="8">
        <v>44783.509155092594</v>
      </c>
      <c r="C236" s="5">
        <f t="shared" si="16"/>
        <v>72</v>
      </c>
      <c r="D236" s="5">
        <v>996</v>
      </c>
      <c r="E236" s="5">
        <v>997</v>
      </c>
      <c r="F236" s="5">
        <f t="shared" si="17"/>
        <v>6968505.96</v>
      </c>
      <c r="G236" s="11">
        <f t="shared" si="14"/>
        <v>6975400.7200000007</v>
      </c>
      <c r="H236" s="2">
        <f t="shared" si="15"/>
        <v>6894.7600000007078</v>
      </c>
      <c r="I236" s="2"/>
    </row>
    <row r="237" spans="1:9" x14ac:dyDescent="0.2">
      <c r="A237" s="1" t="s">
        <v>17</v>
      </c>
      <c r="B237" s="8">
        <v>44783.509166666663</v>
      </c>
      <c r="C237" s="5">
        <f t="shared" si="16"/>
        <v>73</v>
      </c>
      <c r="D237" s="5">
        <v>997</v>
      </c>
      <c r="E237" s="5">
        <v>998</v>
      </c>
      <c r="F237" s="5">
        <f t="shared" si="17"/>
        <v>6975400.7200000007</v>
      </c>
      <c r="G237" s="11">
        <f t="shared" si="14"/>
        <v>6982295.4800000004</v>
      </c>
      <c r="H237" s="2">
        <f t="shared" si="15"/>
        <v>6894.7599999997765</v>
      </c>
      <c r="I237" s="2"/>
    </row>
    <row r="238" spans="1:9" x14ac:dyDescent="0.2">
      <c r="A238" s="1" t="s">
        <v>17</v>
      </c>
      <c r="B238" s="8">
        <v>44783.50917824074</v>
      </c>
      <c r="C238" s="5">
        <f t="shared" si="16"/>
        <v>74</v>
      </c>
      <c r="D238" s="5">
        <v>997</v>
      </c>
      <c r="E238" s="5">
        <v>998</v>
      </c>
      <c r="F238" s="5">
        <f t="shared" si="17"/>
        <v>6975400.7200000007</v>
      </c>
      <c r="G238" s="11">
        <f t="shared" si="14"/>
        <v>6982295.4800000004</v>
      </c>
      <c r="H238" s="2">
        <f t="shared" si="15"/>
        <v>6894.7599999997765</v>
      </c>
      <c r="I238" s="2"/>
    </row>
    <row r="239" spans="1:9" x14ac:dyDescent="0.2">
      <c r="A239" s="1" t="s">
        <v>17</v>
      </c>
      <c r="B239" s="8">
        <v>44783.509189814817</v>
      </c>
      <c r="C239" s="5">
        <f t="shared" si="16"/>
        <v>75</v>
      </c>
      <c r="D239" s="5">
        <v>998</v>
      </c>
      <c r="E239" s="5">
        <v>999</v>
      </c>
      <c r="F239" s="5">
        <f t="shared" si="17"/>
        <v>6982295.4800000004</v>
      </c>
      <c r="G239" s="11">
        <f t="shared" si="14"/>
        <v>6989190.2400000002</v>
      </c>
      <c r="H239" s="2">
        <f t="shared" si="15"/>
        <v>6894.7599999997765</v>
      </c>
      <c r="I239" s="2"/>
    </row>
    <row r="240" spans="1:9" x14ac:dyDescent="0.2">
      <c r="A240" s="1" t="s">
        <v>17</v>
      </c>
      <c r="B240" s="8">
        <v>44783.509201388886</v>
      </c>
      <c r="C240" s="5">
        <f t="shared" si="16"/>
        <v>76</v>
      </c>
      <c r="D240" s="5">
        <v>999</v>
      </c>
      <c r="E240" s="5">
        <v>1000</v>
      </c>
      <c r="F240" s="5">
        <f t="shared" si="17"/>
        <v>6989190.2400000002</v>
      </c>
      <c r="G240" s="11">
        <f t="shared" si="14"/>
        <v>6996085</v>
      </c>
      <c r="H240" s="2">
        <f t="shared" si="15"/>
        <v>6894.7599999997765</v>
      </c>
      <c r="I240" s="2"/>
    </row>
    <row r="241" spans="1:9" x14ac:dyDescent="0.2">
      <c r="A241" s="1" t="s">
        <v>17</v>
      </c>
      <c r="B241" s="8">
        <v>44783.509212962963</v>
      </c>
      <c r="C241" s="5">
        <f t="shared" si="16"/>
        <v>77</v>
      </c>
      <c r="D241" s="5">
        <v>999</v>
      </c>
      <c r="E241" s="5">
        <v>1000</v>
      </c>
      <c r="F241" s="5">
        <f t="shared" si="17"/>
        <v>6989190.2400000002</v>
      </c>
      <c r="G241" s="11">
        <f t="shared" si="14"/>
        <v>6996085</v>
      </c>
      <c r="H241" s="2">
        <f t="shared" si="15"/>
        <v>6894.7599999997765</v>
      </c>
      <c r="I241" s="2"/>
    </row>
    <row r="242" spans="1:9" x14ac:dyDescent="0.2">
      <c r="A242" s="1" t="s">
        <v>17</v>
      </c>
      <c r="B242" s="8">
        <v>44783.50922453704</v>
      </c>
      <c r="C242" s="5">
        <f t="shared" si="16"/>
        <v>78</v>
      </c>
      <c r="D242" s="5">
        <v>1000</v>
      </c>
      <c r="E242" s="5">
        <v>1001</v>
      </c>
      <c r="F242" s="5">
        <f t="shared" si="17"/>
        <v>6996085</v>
      </c>
      <c r="G242" s="11">
        <f t="shared" si="14"/>
        <v>7002979.7599999998</v>
      </c>
      <c r="H242" s="2">
        <f t="shared" si="15"/>
        <v>6894.7599999997765</v>
      </c>
      <c r="I242" s="2"/>
    </row>
    <row r="243" spans="1:9" x14ac:dyDescent="0.2">
      <c r="A243" s="1" t="s">
        <v>17</v>
      </c>
      <c r="B243" s="8">
        <v>44783.509236111109</v>
      </c>
      <c r="C243" s="5">
        <f t="shared" si="16"/>
        <v>79</v>
      </c>
      <c r="D243" s="5">
        <v>1001</v>
      </c>
      <c r="E243" s="5">
        <v>1002</v>
      </c>
      <c r="F243" s="5">
        <f t="shared" si="17"/>
        <v>7002979.7599999998</v>
      </c>
      <c r="G243" s="11">
        <f t="shared" si="14"/>
        <v>7009874.5200000005</v>
      </c>
      <c r="H243" s="2">
        <f t="shared" si="15"/>
        <v>6894.7600000007078</v>
      </c>
      <c r="I243" s="2"/>
    </row>
    <row r="244" spans="1:9" x14ac:dyDescent="0.2">
      <c r="A244" s="1" t="s">
        <v>17</v>
      </c>
      <c r="B244" s="8">
        <v>44783.509247685186</v>
      </c>
      <c r="C244" s="5">
        <f t="shared" si="16"/>
        <v>80</v>
      </c>
      <c r="D244" s="5">
        <v>1001</v>
      </c>
      <c r="E244" s="5">
        <v>1002</v>
      </c>
      <c r="F244" s="5">
        <f t="shared" si="17"/>
        <v>7002979.7599999998</v>
      </c>
      <c r="G244" s="11">
        <f t="shared" si="14"/>
        <v>7009874.5200000005</v>
      </c>
      <c r="H244" s="2">
        <f t="shared" si="15"/>
        <v>6894.7600000007078</v>
      </c>
      <c r="I244" s="2"/>
    </row>
    <row r="245" spans="1:9" x14ac:dyDescent="0.2">
      <c r="A245" s="1" t="s">
        <v>17</v>
      </c>
      <c r="B245" s="8">
        <v>44783.509259259263</v>
      </c>
      <c r="C245" s="5">
        <f t="shared" si="16"/>
        <v>81</v>
      </c>
      <c r="D245" s="5">
        <v>1001</v>
      </c>
      <c r="E245" s="5">
        <v>1002</v>
      </c>
      <c r="F245" s="5">
        <f t="shared" si="17"/>
        <v>7002979.7599999998</v>
      </c>
      <c r="G245" s="11">
        <f t="shared" si="14"/>
        <v>7009874.5200000005</v>
      </c>
      <c r="H245" s="2">
        <f t="shared" si="15"/>
        <v>6894.7600000007078</v>
      </c>
      <c r="I245" s="2"/>
    </row>
    <row r="246" spans="1:9" x14ac:dyDescent="0.2">
      <c r="A246" s="1" t="s">
        <v>17</v>
      </c>
      <c r="B246" s="8">
        <v>44783.509270833332</v>
      </c>
      <c r="C246" s="5">
        <f t="shared" si="16"/>
        <v>82</v>
      </c>
      <c r="D246" s="5">
        <v>1000</v>
      </c>
      <c r="E246" s="5">
        <v>1002</v>
      </c>
      <c r="F246" s="5">
        <f t="shared" si="17"/>
        <v>6996085</v>
      </c>
      <c r="G246" s="11">
        <f t="shared" si="14"/>
        <v>7009874.5200000005</v>
      </c>
      <c r="H246" s="2">
        <f t="shared" si="15"/>
        <v>13789.520000000484</v>
      </c>
      <c r="I246" s="2"/>
    </row>
    <row r="247" spans="1:9" x14ac:dyDescent="0.2">
      <c r="A247" s="1" t="s">
        <v>17</v>
      </c>
      <c r="B247" s="8">
        <v>44783.509282407409</v>
      </c>
      <c r="C247" s="5">
        <f t="shared" si="16"/>
        <v>83</v>
      </c>
      <c r="D247" s="5">
        <v>1000</v>
      </c>
      <c r="E247" s="5">
        <v>1001</v>
      </c>
      <c r="F247" s="5">
        <f t="shared" si="17"/>
        <v>6996085</v>
      </c>
      <c r="G247" s="11">
        <f t="shared" si="14"/>
        <v>7002979.7599999998</v>
      </c>
      <c r="H247" s="2">
        <f t="shared" si="15"/>
        <v>6894.7599999997765</v>
      </c>
      <c r="I247" s="2"/>
    </row>
    <row r="248" spans="1:9" x14ac:dyDescent="0.2">
      <c r="A248" s="1" t="s">
        <v>17</v>
      </c>
      <c r="B248" s="8">
        <v>44783.509293981479</v>
      </c>
      <c r="C248" s="5">
        <f t="shared" si="16"/>
        <v>84</v>
      </c>
      <c r="D248" s="5">
        <v>1000</v>
      </c>
      <c r="E248" s="5">
        <v>1001</v>
      </c>
      <c r="F248" s="5">
        <f t="shared" si="17"/>
        <v>6996085</v>
      </c>
      <c r="G248" s="74">
        <f t="shared" si="14"/>
        <v>7002979.7599999998</v>
      </c>
      <c r="H248" s="2">
        <f t="shared" si="15"/>
        <v>6894.7599999997765</v>
      </c>
      <c r="I248" s="2"/>
    </row>
    <row r="249" spans="1:9" x14ac:dyDescent="0.2">
      <c r="A249" s="79">
        <v>3</v>
      </c>
      <c r="B249" s="80">
        <v>44783.509305555555</v>
      </c>
      <c r="C249" s="81">
        <f t="shared" si="16"/>
        <v>85</v>
      </c>
      <c r="D249" s="81">
        <v>1000</v>
      </c>
      <c r="E249" s="81">
        <v>1001</v>
      </c>
      <c r="F249" s="81">
        <f t="shared" si="17"/>
        <v>6996085</v>
      </c>
      <c r="G249" s="81">
        <f t="shared" si="14"/>
        <v>7002979.7599999998</v>
      </c>
      <c r="H249" s="2">
        <f t="shared" si="15"/>
        <v>6894.7599999997765</v>
      </c>
      <c r="I249" s="2"/>
    </row>
    <row r="250" spans="1:9" x14ac:dyDescent="0.2">
      <c r="A250" s="81">
        <v>3</v>
      </c>
      <c r="B250" s="80">
        <v>44783.509317129632</v>
      </c>
      <c r="C250" s="81">
        <f t="shared" si="16"/>
        <v>86</v>
      </c>
      <c r="D250" s="81">
        <v>999</v>
      </c>
      <c r="E250" s="81">
        <v>1001</v>
      </c>
      <c r="F250" s="81">
        <f t="shared" si="17"/>
        <v>6989190.2400000002</v>
      </c>
      <c r="G250" s="81">
        <f t="shared" si="14"/>
        <v>7002979.7599999998</v>
      </c>
      <c r="H250" s="2">
        <f t="shared" si="15"/>
        <v>13789.519999999553</v>
      </c>
      <c r="I250" s="2"/>
    </row>
    <row r="251" spans="1:9" x14ac:dyDescent="0.2">
      <c r="A251" s="81">
        <v>3</v>
      </c>
      <c r="B251" s="80">
        <v>44783.509328703702</v>
      </c>
      <c r="C251" s="81">
        <f t="shared" si="16"/>
        <v>87</v>
      </c>
      <c r="D251" s="81">
        <v>999</v>
      </c>
      <c r="E251" s="81">
        <v>1001</v>
      </c>
      <c r="F251" s="81">
        <f t="shared" si="17"/>
        <v>6989190.2400000002</v>
      </c>
      <c r="G251" s="81">
        <f t="shared" si="14"/>
        <v>7002979.7599999998</v>
      </c>
      <c r="H251" s="2">
        <f t="shared" si="15"/>
        <v>13789.519999999553</v>
      </c>
      <c r="I251" s="2"/>
    </row>
    <row r="252" spans="1:9" x14ac:dyDescent="0.2">
      <c r="A252" s="81">
        <v>3</v>
      </c>
      <c r="B252" s="80">
        <v>44783.509340277778</v>
      </c>
      <c r="C252" s="81">
        <f t="shared" si="16"/>
        <v>88</v>
      </c>
      <c r="D252" s="81">
        <v>947</v>
      </c>
      <c r="E252" s="81">
        <v>501</v>
      </c>
      <c r="F252" s="81">
        <f t="shared" si="17"/>
        <v>6630662.7200000007</v>
      </c>
      <c r="G252" s="81">
        <f t="shared" si="14"/>
        <v>3555599.7600000002</v>
      </c>
      <c r="H252" s="2">
        <f t="shared" si="15"/>
        <v>-3075062.9600000004</v>
      </c>
      <c r="I252" s="2"/>
    </row>
    <row r="253" spans="1:9" x14ac:dyDescent="0.2">
      <c r="A253" s="81">
        <v>3</v>
      </c>
      <c r="B253" s="80">
        <v>44783.509351851855</v>
      </c>
      <c r="C253" s="81">
        <f t="shared" si="16"/>
        <v>89</v>
      </c>
      <c r="D253" s="81">
        <v>807</v>
      </c>
      <c r="E253" s="81">
        <v>185</v>
      </c>
      <c r="F253" s="81">
        <f t="shared" si="17"/>
        <v>5665396.3200000003</v>
      </c>
      <c r="G253" s="81">
        <f t="shared" si="14"/>
        <v>1376855.6</v>
      </c>
      <c r="H253" s="2">
        <f t="shared" si="15"/>
        <v>-4288540.7200000007</v>
      </c>
      <c r="I253" s="2"/>
    </row>
    <row r="254" spans="1:9" x14ac:dyDescent="0.2">
      <c r="A254" s="81">
        <v>3</v>
      </c>
      <c r="B254" s="80">
        <v>44783.509363425925</v>
      </c>
      <c r="C254" s="81">
        <f t="shared" si="16"/>
        <v>90</v>
      </c>
      <c r="D254" s="81">
        <v>671</v>
      </c>
      <c r="E254" s="81">
        <v>75</v>
      </c>
      <c r="F254" s="81">
        <f t="shared" si="17"/>
        <v>4727708.96</v>
      </c>
      <c r="G254" s="81">
        <f t="shared" si="14"/>
        <v>618432</v>
      </c>
      <c r="H254" s="2">
        <f t="shared" si="15"/>
        <v>-4109276.96</v>
      </c>
      <c r="I254" s="2"/>
    </row>
    <row r="255" spans="1:9" x14ac:dyDescent="0.2">
      <c r="A255" s="81">
        <v>3</v>
      </c>
      <c r="B255" s="80">
        <v>44783.509375000001</v>
      </c>
      <c r="C255" s="81">
        <f t="shared" si="16"/>
        <v>91</v>
      </c>
      <c r="D255" s="81">
        <v>558</v>
      </c>
      <c r="E255" s="81">
        <v>30</v>
      </c>
      <c r="F255" s="81">
        <f t="shared" si="17"/>
        <v>3948601.08</v>
      </c>
      <c r="G255" s="81">
        <f t="shared" si="14"/>
        <v>308167.80000000005</v>
      </c>
      <c r="H255" s="2">
        <f t="shared" si="15"/>
        <v>-3640433.2800000003</v>
      </c>
      <c r="I255" s="2"/>
    </row>
    <row r="256" spans="1:9" x14ac:dyDescent="0.2">
      <c r="A256" s="81">
        <v>3</v>
      </c>
      <c r="B256" s="80">
        <v>44783.509386574071</v>
      </c>
      <c r="C256" s="81">
        <f t="shared" si="16"/>
        <v>92</v>
      </c>
      <c r="D256" s="81">
        <v>464</v>
      </c>
      <c r="E256" s="81">
        <v>15</v>
      </c>
      <c r="F256" s="81">
        <f t="shared" si="17"/>
        <v>3300493.64</v>
      </c>
      <c r="G256" s="81">
        <f t="shared" si="14"/>
        <v>204746.40000000002</v>
      </c>
      <c r="H256" s="2">
        <f t="shared" si="15"/>
        <v>-3095747.24</v>
      </c>
      <c r="I256" s="2"/>
    </row>
    <row r="257" spans="1:9" x14ac:dyDescent="0.2">
      <c r="A257" s="81">
        <v>3</v>
      </c>
      <c r="B257" s="80">
        <v>44783.509398148148</v>
      </c>
      <c r="C257" s="81">
        <f t="shared" si="16"/>
        <v>93</v>
      </c>
      <c r="D257" s="81">
        <v>391</v>
      </c>
      <c r="E257" s="81">
        <v>6</v>
      </c>
      <c r="F257" s="81">
        <f t="shared" si="17"/>
        <v>2797176.16</v>
      </c>
      <c r="G257" s="81">
        <f t="shared" si="14"/>
        <v>142693.56</v>
      </c>
      <c r="H257" s="2">
        <f t="shared" si="15"/>
        <v>-2654482.6</v>
      </c>
      <c r="I257" s="2"/>
    </row>
    <row r="258" spans="1:9" x14ac:dyDescent="0.2">
      <c r="A258" s="81">
        <v>3</v>
      </c>
      <c r="B258" s="80">
        <v>44783.509409722225</v>
      </c>
      <c r="C258" s="81">
        <f t="shared" si="16"/>
        <v>94</v>
      </c>
      <c r="D258" s="81">
        <v>326</v>
      </c>
      <c r="E258" s="81">
        <v>2</v>
      </c>
      <c r="F258" s="81">
        <f t="shared" si="17"/>
        <v>2349016.7600000002</v>
      </c>
      <c r="G258" s="81">
        <f t="shared" si="14"/>
        <v>115114.52</v>
      </c>
      <c r="H258" s="2">
        <f t="shared" si="15"/>
        <v>-2233902.2400000002</v>
      </c>
      <c r="I258" s="2"/>
    </row>
    <row r="259" spans="1:9" x14ac:dyDescent="0.2">
      <c r="A259" s="81">
        <v>3</v>
      </c>
      <c r="B259" s="80">
        <v>44783.509421296294</v>
      </c>
      <c r="C259" s="81">
        <f t="shared" si="16"/>
        <v>95</v>
      </c>
      <c r="D259" s="81">
        <v>271</v>
      </c>
      <c r="E259" s="81">
        <v>1</v>
      </c>
      <c r="F259" s="81">
        <f t="shared" si="17"/>
        <v>1969804.96</v>
      </c>
      <c r="G259" s="81">
        <f t="shared" si="14"/>
        <v>108219.76</v>
      </c>
      <c r="H259" s="2">
        <f t="shared" si="15"/>
        <v>-1861585.2</v>
      </c>
      <c r="I259" s="2"/>
    </row>
    <row r="260" spans="1:9" x14ac:dyDescent="0.2">
      <c r="A260" s="81">
        <v>3</v>
      </c>
      <c r="B260" s="80">
        <v>44783.509432870371</v>
      </c>
      <c r="C260" s="81">
        <f t="shared" si="16"/>
        <v>96</v>
      </c>
      <c r="D260" s="81">
        <v>225</v>
      </c>
      <c r="E260" s="81">
        <v>1</v>
      </c>
      <c r="F260" s="81">
        <f t="shared" si="17"/>
        <v>1652646</v>
      </c>
      <c r="G260" s="81">
        <f t="shared" si="14"/>
        <v>108219.76</v>
      </c>
      <c r="H260" s="2">
        <f t="shared" si="15"/>
        <v>-1544426.24</v>
      </c>
      <c r="I260" s="2"/>
    </row>
    <row r="261" spans="1:9" x14ac:dyDescent="0.2">
      <c r="A261" s="81">
        <v>3</v>
      </c>
      <c r="B261" s="80">
        <v>44783.509444444448</v>
      </c>
      <c r="C261" s="81">
        <f t="shared" si="16"/>
        <v>97</v>
      </c>
      <c r="D261" s="81">
        <v>187</v>
      </c>
      <c r="E261" s="81">
        <v>0</v>
      </c>
      <c r="F261" s="81">
        <f t="shared" si="17"/>
        <v>1390645.12</v>
      </c>
      <c r="G261" s="81">
        <f t="shared" si="14"/>
        <v>101325</v>
      </c>
      <c r="H261" s="2">
        <f t="shared" si="15"/>
        <v>-1289320.1200000001</v>
      </c>
      <c r="I261" s="2"/>
    </row>
    <row r="262" spans="1:9" x14ac:dyDescent="0.2">
      <c r="A262" s="81">
        <v>3</v>
      </c>
      <c r="B262" s="80">
        <v>44783.509456018517</v>
      </c>
      <c r="C262" s="81">
        <f t="shared" si="16"/>
        <v>98</v>
      </c>
      <c r="D262" s="81">
        <v>157</v>
      </c>
      <c r="E262" s="81">
        <v>0</v>
      </c>
      <c r="F262" s="81">
        <f t="shared" si="17"/>
        <v>1183802.32</v>
      </c>
      <c r="G262" s="81">
        <f t="shared" si="14"/>
        <v>101325</v>
      </c>
      <c r="H262" s="2">
        <f t="shared" si="15"/>
        <v>-1082477.32</v>
      </c>
      <c r="I262" s="2"/>
    </row>
    <row r="263" spans="1:9" x14ac:dyDescent="0.2">
      <c r="A263" s="81">
        <v>3</v>
      </c>
      <c r="B263" s="80">
        <v>44783.509467592594</v>
      </c>
      <c r="C263" s="81">
        <f t="shared" si="16"/>
        <v>99</v>
      </c>
      <c r="D263" s="81">
        <v>126</v>
      </c>
      <c r="E263" s="81">
        <v>0</v>
      </c>
      <c r="F263" s="81">
        <f t="shared" si="17"/>
        <v>970064.76</v>
      </c>
      <c r="G263" s="81">
        <f t="shared" si="14"/>
        <v>101325</v>
      </c>
      <c r="H263" s="2">
        <f t="shared" si="15"/>
        <v>-868739.76</v>
      </c>
      <c r="I263" s="2"/>
    </row>
    <row r="264" spans="1:9" x14ac:dyDescent="0.2">
      <c r="A264" s="81">
        <v>3</v>
      </c>
      <c r="B264" s="80">
        <v>44783.509479166663</v>
      </c>
      <c r="C264" s="81">
        <f t="shared" si="16"/>
        <v>100</v>
      </c>
      <c r="D264" s="81">
        <v>107</v>
      </c>
      <c r="E264" s="81">
        <v>0</v>
      </c>
      <c r="F264" s="81">
        <f t="shared" si="17"/>
        <v>839064.32000000007</v>
      </c>
      <c r="G264" s="81">
        <f t="shared" si="14"/>
        <v>101325</v>
      </c>
      <c r="H264" s="2">
        <f t="shared" si="15"/>
        <v>-737739.32000000007</v>
      </c>
      <c r="I264" s="2"/>
    </row>
    <row r="265" spans="1:9" x14ac:dyDescent="0.2">
      <c r="A265" s="81">
        <v>3</v>
      </c>
      <c r="B265" s="80">
        <v>44783.50949074074</v>
      </c>
      <c r="C265" s="81">
        <f t="shared" si="16"/>
        <v>101</v>
      </c>
      <c r="D265" s="81">
        <v>87</v>
      </c>
      <c r="E265" s="81">
        <v>0</v>
      </c>
      <c r="F265" s="81">
        <f t="shared" si="17"/>
        <v>701169.12</v>
      </c>
      <c r="G265" s="81">
        <f t="shared" si="14"/>
        <v>101325</v>
      </c>
      <c r="H265" s="2">
        <f t="shared" si="15"/>
        <v>-599844.12</v>
      </c>
      <c r="I265" s="2"/>
    </row>
    <row r="266" spans="1:9" x14ac:dyDescent="0.2">
      <c r="A266" s="81">
        <v>3</v>
      </c>
      <c r="B266" s="80">
        <v>44783.509502314817</v>
      </c>
      <c r="C266" s="81">
        <f t="shared" si="16"/>
        <v>102</v>
      </c>
      <c r="D266" s="81">
        <v>74</v>
      </c>
      <c r="E266" s="81">
        <v>0</v>
      </c>
      <c r="F266" s="81">
        <f t="shared" si="17"/>
        <v>611537.24</v>
      </c>
      <c r="G266" s="81">
        <f t="shared" si="14"/>
        <v>101325</v>
      </c>
      <c r="H266" s="2">
        <f t="shared" si="15"/>
        <v>-510212.24</v>
      </c>
      <c r="I266" s="2"/>
    </row>
    <row r="267" spans="1:9" x14ac:dyDescent="0.2">
      <c r="A267" s="81">
        <v>3</v>
      </c>
      <c r="B267" s="80">
        <v>44783.509513888886</v>
      </c>
      <c r="C267" s="81">
        <f t="shared" si="16"/>
        <v>103</v>
      </c>
      <c r="D267" s="81">
        <v>65</v>
      </c>
      <c r="E267" s="81">
        <v>0</v>
      </c>
      <c r="F267" s="81">
        <f t="shared" si="17"/>
        <v>549484.4</v>
      </c>
      <c r="G267" s="81">
        <f t="shared" si="14"/>
        <v>101325</v>
      </c>
      <c r="H267" s="2">
        <f t="shared" si="15"/>
        <v>-448159.4</v>
      </c>
      <c r="I267" s="2"/>
    </row>
    <row r="268" spans="1:9" x14ac:dyDescent="0.2">
      <c r="A268" s="81">
        <v>3</v>
      </c>
      <c r="B268" s="80">
        <v>44783.509525462963</v>
      </c>
      <c r="C268" s="81">
        <f t="shared" si="16"/>
        <v>104</v>
      </c>
      <c r="D268" s="81">
        <v>53</v>
      </c>
      <c r="E268" s="81">
        <v>0</v>
      </c>
      <c r="F268" s="81">
        <f t="shared" si="17"/>
        <v>466747.28</v>
      </c>
      <c r="G268" s="81">
        <f t="shared" ref="G268:G331" si="18">E268*6894.76 +101325</f>
        <v>101325</v>
      </c>
      <c r="H268" s="2">
        <f t="shared" ref="H268:H331" si="19">G268-F268</f>
        <v>-365422.28</v>
      </c>
      <c r="I268" s="2"/>
    </row>
    <row r="269" spans="1:9" x14ac:dyDescent="0.2">
      <c r="A269" s="81">
        <v>3</v>
      </c>
      <c r="B269" s="80">
        <v>44783.50953703704</v>
      </c>
      <c r="C269" s="81">
        <f t="shared" ref="C269:C332" si="20">C268+1</f>
        <v>105</v>
      </c>
      <c r="D269" s="81">
        <v>44</v>
      </c>
      <c r="E269" s="81">
        <v>0</v>
      </c>
      <c r="F269" s="81">
        <f t="shared" si="17"/>
        <v>404694.44</v>
      </c>
      <c r="G269" s="81">
        <f t="shared" si="18"/>
        <v>101325</v>
      </c>
      <c r="H269" s="2">
        <f t="shared" si="19"/>
        <v>-303369.44</v>
      </c>
      <c r="I269" s="2"/>
    </row>
    <row r="270" spans="1:9" x14ac:dyDescent="0.2">
      <c r="A270" s="81">
        <v>3</v>
      </c>
      <c r="B270" s="80">
        <v>44783.509548611109</v>
      </c>
      <c r="C270" s="81">
        <f t="shared" si="20"/>
        <v>106</v>
      </c>
      <c r="D270" s="81">
        <v>37</v>
      </c>
      <c r="E270" s="81">
        <v>0</v>
      </c>
      <c r="F270" s="81">
        <f t="shared" si="17"/>
        <v>356431.12</v>
      </c>
      <c r="G270" s="81">
        <f t="shared" si="18"/>
        <v>101325</v>
      </c>
      <c r="H270" s="2">
        <f t="shared" si="19"/>
        <v>-255106.12</v>
      </c>
      <c r="I270" s="2"/>
    </row>
    <row r="271" spans="1:9" x14ac:dyDescent="0.2">
      <c r="A271" s="81">
        <v>3</v>
      </c>
      <c r="B271" s="80">
        <v>44783.509560185186</v>
      </c>
      <c r="C271" s="81">
        <f t="shared" si="20"/>
        <v>107</v>
      </c>
      <c r="D271" s="81">
        <v>31</v>
      </c>
      <c r="E271" s="81">
        <v>0</v>
      </c>
      <c r="F271" s="81">
        <f t="shared" si="17"/>
        <v>315062.56</v>
      </c>
      <c r="G271" s="81">
        <f t="shared" si="18"/>
        <v>101325</v>
      </c>
      <c r="H271" s="2">
        <f t="shared" si="19"/>
        <v>-213737.56</v>
      </c>
      <c r="I271" s="2"/>
    </row>
    <row r="272" spans="1:9" x14ac:dyDescent="0.2">
      <c r="A272" s="81">
        <v>3</v>
      </c>
      <c r="B272" s="80">
        <v>44783.509571759256</v>
      </c>
      <c r="C272" s="81">
        <f t="shared" si="20"/>
        <v>108</v>
      </c>
      <c r="D272" s="81">
        <v>26</v>
      </c>
      <c r="E272" s="81">
        <v>0</v>
      </c>
      <c r="F272" s="81">
        <f t="shared" si="17"/>
        <v>280588.76</v>
      </c>
      <c r="G272" s="81">
        <f t="shared" si="18"/>
        <v>101325</v>
      </c>
      <c r="H272" s="2">
        <f t="shared" si="19"/>
        <v>-179263.76</v>
      </c>
      <c r="I272" s="2"/>
    </row>
    <row r="273" spans="1:9" x14ac:dyDescent="0.2">
      <c r="A273" s="81">
        <v>3</v>
      </c>
      <c r="B273" s="80">
        <v>44783.509583333333</v>
      </c>
      <c r="C273" s="81">
        <f t="shared" si="20"/>
        <v>109</v>
      </c>
      <c r="D273" s="81">
        <v>22</v>
      </c>
      <c r="E273" s="81">
        <v>0</v>
      </c>
      <c r="F273" s="81">
        <f t="shared" si="17"/>
        <v>253009.72</v>
      </c>
      <c r="G273" s="81">
        <f t="shared" si="18"/>
        <v>101325</v>
      </c>
      <c r="H273" s="2">
        <f t="shared" si="19"/>
        <v>-151684.72</v>
      </c>
      <c r="I273" s="2"/>
    </row>
    <row r="274" spans="1:9" x14ac:dyDescent="0.2">
      <c r="A274" s="81">
        <v>3</v>
      </c>
      <c r="B274" s="80">
        <v>44783.509594907409</v>
      </c>
      <c r="C274" s="81">
        <f t="shared" si="20"/>
        <v>110</v>
      </c>
      <c r="D274" s="81">
        <v>18</v>
      </c>
      <c r="E274" s="81">
        <v>0</v>
      </c>
      <c r="F274" s="81">
        <f t="shared" ref="F274:F337" si="21">D274*6894.76 +101325</f>
        <v>225430.68</v>
      </c>
      <c r="G274" s="81">
        <f t="shared" si="18"/>
        <v>101325</v>
      </c>
      <c r="H274" s="2">
        <f t="shared" si="19"/>
        <v>-124105.68</v>
      </c>
      <c r="I274" s="2"/>
    </row>
    <row r="275" spans="1:9" x14ac:dyDescent="0.2">
      <c r="A275" s="81">
        <v>3</v>
      </c>
      <c r="B275" s="80">
        <v>44783.509606481479</v>
      </c>
      <c r="C275" s="81">
        <f t="shared" si="20"/>
        <v>111</v>
      </c>
      <c r="D275" s="81">
        <v>15</v>
      </c>
      <c r="E275" s="81">
        <v>0</v>
      </c>
      <c r="F275" s="81">
        <f t="shared" si="21"/>
        <v>204746.40000000002</v>
      </c>
      <c r="G275" s="81">
        <f t="shared" si="18"/>
        <v>101325</v>
      </c>
      <c r="H275" s="2">
        <f t="shared" si="19"/>
        <v>-103421.40000000002</v>
      </c>
      <c r="I275" s="2"/>
    </row>
    <row r="276" spans="1:9" x14ac:dyDescent="0.2">
      <c r="A276" s="81">
        <v>3</v>
      </c>
      <c r="B276" s="80">
        <v>44783.509618055556</v>
      </c>
      <c r="C276" s="81">
        <f t="shared" si="20"/>
        <v>112</v>
      </c>
      <c r="D276" s="81">
        <v>13</v>
      </c>
      <c r="E276" s="81">
        <v>0</v>
      </c>
      <c r="F276" s="81">
        <f t="shared" si="21"/>
        <v>190956.88</v>
      </c>
      <c r="G276" s="81">
        <f t="shared" si="18"/>
        <v>101325</v>
      </c>
      <c r="H276" s="2">
        <f t="shared" si="19"/>
        <v>-89631.88</v>
      </c>
      <c r="I276" s="2"/>
    </row>
    <row r="277" spans="1:9" x14ac:dyDescent="0.2">
      <c r="A277" s="81">
        <v>3</v>
      </c>
      <c r="B277" s="80">
        <v>44783.509629629632</v>
      </c>
      <c r="C277" s="81">
        <f t="shared" si="20"/>
        <v>113</v>
      </c>
      <c r="D277" s="81">
        <v>11</v>
      </c>
      <c r="E277" s="81">
        <v>0</v>
      </c>
      <c r="F277" s="81">
        <f t="shared" si="21"/>
        <v>177167.35999999999</v>
      </c>
      <c r="G277" s="81">
        <f t="shared" si="18"/>
        <v>101325</v>
      </c>
      <c r="H277" s="2">
        <f t="shared" si="19"/>
        <v>-75842.359999999986</v>
      </c>
      <c r="I277" s="2"/>
    </row>
    <row r="278" spans="1:9" x14ac:dyDescent="0.2">
      <c r="A278" s="81">
        <v>3</v>
      </c>
      <c r="B278" s="80">
        <v>44783.509641203702</v>
      </c>
      <c r="C278" s="81">
        <f t="shared" si="20"/>
        <v>114</v>
      </c>
      <c r="D278" s="81">
        <v>9</v>
      </c>
      <c r="E278" s="81">
        <v>0</v>
      </c>
      <c r="F278" s="81">
        <f t="shared" si="21"/>
        <v>163377.84</v>
      </c>
      <c r="G278" s="81">
        <f t="shared" si="18"/>
        <v>101325</v>
      </c>
      <c r="H278" s="2">
        <f t="shared" si="19"/>
        <v>-62052.84</v>
      </c>
      <c r="I278" s="2"/>
    </row>
    <row r="279" spans="1:9" x14ac:dyDescent="0.2">
      <c r="A279" s="81">
        <v>3</v>
      </c>
      <c r="B279" s="80">
        <v>44783.509652777779</v>
      </c>
      <c r="C279" s="81">
        <f t="shared" si="20"/>
        <v>115</v>
      </c>
      <c r="D279" s="81">
        <v>8</v>
      </c>
      <c r="E279" s="81">
        <v>0</v>
      </c>
      <c r="F279" s="81">
        <f t="shared" si="21"/>
        <v>156483.08000000002</v>
      </c>
      <c r="G279" s="81">
        <f t="shared" si="18"/>
        <v>101325</v>
      </c>
      <c r="H279" s="2">
        <f t="shared" si="19"/>
        <v>-55158.080000000016</v>
      </c>
      <c r="I279" s="2"/>
    </row>
    <row r="280" spans="1:9" x14ac:dyDescent="0.2">
      <c r="A280" s="81">
        <v>3</v>
      </c>
      <c r="B280" s="80">
        <v>44783.509664351855</v>
      </c>
      <c r="C280" s="81">
        <f t="shared" si="20"/>
        <v>116</v>
      </c>
      <c r="D280" s="81">
        <v>7</v>
      </c>
      <c r="E280" s="81">
        <v>0</v>
      </c>
      <c r="F280" s="81">
        <f t="shared" si="21"/>
        <v>149588.32</v>
      </c>
      <c r="G280" s="81">
        <f t="shared" si="18"/>
        <v>101325</v>
      </c>
      <c r="H280" s="2">
        <f t="shared" si="19"/>
        <v>-48263.320000000007</v>
      </c>
      <c r="I280" s="2"/>
    </row>
    <row r="281" spans="1:9" x14ac:dyDescent="0.2">
      <c r="A281" s="81">
        <v>3</v>
      </c>
      <c r="B281" s="80">
        <v>44783.509675925925</v>
      </c>
      <c r="C281" s="81">
        <f t="shared" si="20"/>
        <v>117</v>
      </c>
      <c r="D281" s="81">
        <v>6</v>
      </c>
      <c r="E281" s="81">
        <v>0</v>
      </c>
      <c r="F281" s="81">
        <f t="shared" si="21"/>
        <v>142693.56</v>
      </c>
      <c r="G281" s="81">
        <f t="shared" si="18"/>
        <v>101325</v>
      </c>
      <c r="H281" s="2">
        <f t="shared" si="19"/>
        <v>-41368.559999999998</v>
      </c>
      <c r="I281" s="2"/>
    </row>
    <row r="282" spans="1:9" x14ac:dyDescent="0.2">
      <c r="A282" s="81">
        <v>3</v>
      </c>
      <c r="B282" s="80">
        <v>44783.509687500002</v>
      </c>
      <c r="C282" s="81">
        <f t="shared" si="20"/>
        <v>118</v>
      </c>
      <c r="D282" s="81">
        <v>5</v>
      </c>
      <c r="E282" s="81">
        <v>0</v>
      </c>
      <c r="F282" s="81">
        <f t="shared" si="21"/>
        <v>135798.79999999999</v>
      </c>
      <c r="G282" s="81">
        <f t="shared" si="18"/>
        <v>101325</v>
      </c>
      <c r="H282" s="2">
        <f t="shared" si="19"/>
        <v>-34473.799999999988</v>
      </c>
      <c r="I282" s="2"/>
    </row>
    <row r="283" spans="1:9" x14ac:dyDescent="0.2">
      <c r="A283" s="81">
        <v>3</v>
      </c>
      <c r="B283" s="80">
        <v>44783.509699074071</v>
      </c>
      <c r="C283" s="81">
        <f t="shared" si="20"/>
        <v>119</v>
      </c>
      <c r="D283" s="81">
        <v>5</v>
      </c>
      <c r="E283" s="81">
        <v>0</v>
      </c>
      <c r="F283" s="81">
        <f t="shared" si="21"/>
        <v>135798.79999999999</v>
      </c>
      <c r="G283" s="81">
        <f t="shared" si="18"/>
        <v>101325</v>
      </c>
      <c r="H283" s="2">
        <f t="shared" si="19"/>
        <v>-34473.799999999988</v>
      </c>
      <c r="I283" s="2"/>
    </row>
    <row r="284" spans="1:9" x14ac:dyDescent="0.2">
      <c r="A284" s="81">
        <v>3</v>
      </c>
      <c r="B284" s="80">
        <v>44783.509710648148</v>
      </c>
      <c r="C284" s="81">
        <f t="shared" si="20"/>
        <v>120</v>
      </c>
      <c r="D284" s="81">
        <v>4</v>
      </c>
      <c r="E284" s="81">
        <v>0</v>
      </c>
      <c r="F284" s="81">
        <f t="shared" si="21"/>
        <v>128904.04000000001</v>
      </c>
      <c r="G284" s="81">
        <f t="shared" si="18"/>
        <v>101325</v>
      </c>
      <c r="H284" s="2">
        <f t="shared" si="19"/>
        <v>-27579.040000000008</v>
      </c>
      <c r="I284" s="2"/>
    </row>
    <row r="285" spans="1:9" x14ac:dyDescent="0.2">
      <c r="A285" s="81">
        <v>3</v>
      </c>
      <c r="B285" s="80">
        <v>44783.509722222225</v>
      </c>
      <c r="C285" s="81">
        <f t="shared" si="20"/>
        <v>121</v>
      </c>
      <c r="D285" s="81">
        <v>3</v>
      </c>
      <c r="E285" s="81">
        <v>0</v>
      </c>
      <c r="F285" s="81">
        <f t="shared" si="21"/>
        <v>122009.28</v>
      </c>
      <c r="G285" s="81">
        <f t="shared" si="18"/>
        <v>101325</v>
      </c>
      <c r="H285" s="2">
        <f t="shared" si="19"/>
        <v>-20684.28</v>
      </c>
      <c r="I285" s="2"/>
    </row>
    <row r="286" spans="1:9" x14ac:dyDescent="0.2">
      <c r="A286" s="81">
        <v>3</v>
      </c>
      <c r="B286" s="80">
        <v>44783.509733796294</v>
      </c>
      <c r="C286" s="81">
        <f t="shared" si="20"/>
        <v>122</v>
      </c>
      <c r="D286" s="81">
        <v>3</v>
      </c>
      <c r="E286" s="81">
        <v>0</v>
      </c>
      <c r="F286" s="81">
        <f t="shared" si="21"/>
        <v>122009.28</v>
      </c>
      <c r="G286" s="81">
        <f t="shared" si="18"/>
        <v>101325</v>
      </c>
      <c r="H286" s="2">
        <f t="shared" si="19"/>
        <v>-20684.28</v>
      </c>
      <c r="I286" s="2"/>
    </row>
    <row r="287" spans="1:9" x14ac:dyDescent="0.2">
      <c r="A287" s="81">
        <v>3</v>
      </c>
      <c r="B287" s="80">
        <v>44783.509745370371</v>
      </c>
      <c r="C287" s="81">
        <f t="shared" si="20"/>
        <v>123</v>
      </c>
      <c r="D287" s="81">
        <v>3</v>
      </c>
      <c r="E287" s="81">
        <v>0</v>
      </c>
      <c r="F287" s="81">
        <f t="shared" si="21"/>
        <v>122009.28</v>
      </c>
      <c r="G287" s="81">
        <f t="shared" si="18"/>
        <v>101325</v>
      </c>
      <c r="H287" s="2">
        <f t="shared" si="19"/>
        <v>-20684.28</v>
      </c>
      <c r="I287" s="2"/>
    </row>
    <row r="288" spans="1:9" x14ac:dyDescent="0.2">
      <c r="A288" s="81">
        <v>3</v>
      </c>
      <c r="B288" s="80">
        <v>44783.509756944448</v>
      </c>
      <c r="C288" s="81">
        <f t="shared" si="20"/>
        <v>124</v>
      </c>
      <c r="D288" s="81">
        <v>2</v>
      </c>
      <c r="E288" s="81">
        <v>0</v>
      </c>
      <c r="F288" s="81">
        <f t="shared" si="21"/>
        <v>115114.52</v>
      </c>
      <c r="G288" s="81">
        <f t="shared" si="18"/>
        <v>101325</v>
      </c>
      <c r="H288" s="2">
        <f t="shared" si="19"/>
        <v>-13789.520000000004</v>
      </c>
      <c r="I288" s="2"/>
    </row>
    <row r="289" spans="1:9" x14ac:dyDescent="0.2">
      <c r="A289" s="81">
        <v>3</v>
      </c>
      <c r="B289" s="80">
        <v>44783.509768518517</v>
      </c>
      <c r="C289" s="81">
        <f t="shared" si="20"/>
        <v>125</v>
      </c>
      <c r="D289" s="81">
        <v>2</v>
      </c>
      <c r="E289" s="81">
        <v>0</v>
      </c>
      <c r="F289" s="81">
        <f t="shared" si="21"/>
        <v>115114.52</v>
      </c>
      <c r="G289" s="81">
        <f t="shared" si="18"/>
        <v>101325</v>
      </c>
      <c r="H289" s="2">
        <f t="shared" si="19"/>
        <v>-13789.520000000004</v>
      </c>
      <c r="I289" s="2"/>
    </row>
    <row r="290" spans="1:9" x14ac:dyDescent="0.2">
      <c r="A290" s="81">
        <v>3</v>
      </c>
      <c r="B290" s="80">
        <v>44783.509780092594</v>
      </c>
      <c r="C290" s="81">
        <f t="shared" si="20"/>
        <v>126</v>
      </c>
      <c r="D290" s="81">
        <v>2</v>
      </c>
      <c r="E290" s="81">
        <v>0</v>
      </c>
      <c r="F290" s="81">
        <f t="shared" si="21"/>
        <v>115114.52</v>
      </c>
      <c r="G290" s="81">
        <f t="shared" si="18"/>
        <v>101325</v>
      </c>
      <c r="H290" s="2">
        <f t="shared" si="19"/>
        <v>-13789.520000000004</v>
      </c>
      <c r="I290" s="2"/>
    </row>
    <row r="291" spans="1:9" x14ac:dyDescent="0.2">
      <c r="A291" s="81">
        <v>3</v>
      </c>
      <c r="B291" s="80">
        <v>44783.509791666664</v>
      </c>
      <c r="C291" s="81">
        <f t="shared" si="20"/>
        <v>127</v>
      </c>
      <c r="D291" s="81">
        <v>2</v>
      </c>
      <c r="E291" s="81">
        <v>0</v>
      </c>
      <c r="F291" s="81">
        <f t="shared" si="21"/>
        <v>115114.52</v>
      </c>
      <c r="G291" s="81">
        <f t="shared" si="18"/>
        <v>101325</v>
      </c>
      <c r="H291" s="2">
        <f t="shared" si="19"/>
        <v>-13789.520000000004</v>
      </c>
      <c r="I291" s="2"/>
    </row>
    <row r="292" spans="1:9" x14ac:dyDescent="0.2">
      <c r="A292" s="81">
        <v>3</v>
      </c>
      <c r="B292" s="80">
        <v>44783.50980324074</v>
      </c>
      <c r="C292" s="81">
        <f t="shared" si="20"/>
        <v>128</v>
      </c>
      <c r="D292" s="81">
        <v>1</v>
      </c>
      <c r="E292" s="81">
        <v>0</v>
      </c>
      <c r="F292" s="81">
        <f t="shared" si="21"/>
        <v>108219.76</v>
      </c>
      <c r="G292" s="81">
        <f t="shared" si="18"/>
        <v>101325</v>
      </c>
      <c r="H292" s="2">
        <f t="shared" si="19"/>
        <v>-6894.7599999999948</v>
      </c>
      <c r="I292" s="2"/>
    </row>
    <row r="293" spans="1:9" x14ac:dyDescent="0.2">
      <c r="A293" s="81">
        <v>3</v>
      </c>
      <c r="B293" s="80">
        <v>44783.509814814817</v>
      </c>
      <c r="C293" s="81">
        <f t="shared" si="20"/>
        <v>129</v>
      </c>
      <c r="D293" s="81">
        <v>1</v>
      </c>
      <c r="E293" s="81">
        <v>0</v>
      </c>
      <c r="F293" s="81">
        <f t="shared" si="21"/>
        <v>108219.76</v>
      </c>
      <c r="G293" s="81">
        <f t="shared" si="18"/>
        <v>101325</v>
      </c>
      <c r="H293" s="2">
        <f t="shared" si="19"/>
        <v>-6894.7599999999948</v>
      </c>
      <c r="I293" s="2"/>
    </row>
    <row r="294" spans="1:9" x14ac:dyDescent="0.2">
      <c r="A294" s="1" t="s">
        <v>18</v>
      </c>
      <c r="B294" s="8">
        <v>44783.512141203704</v>
      </c>
      <c r="C294" s="5">
        <f t="shared" si="20"/>
        <v>130</v>
      </c>
      <c r="D294" s="5">
        <v>0</v>
      </c>
      <c r="E294" s="5">
        <v>0</v>
      </c>
      <c r="F294" s="5">
        <f t="shared" si="21"/>
        <v>101325</v>
      </c>
      <c r="G294" s="75">
        <f t="shared" si="18"/>
        <v>101325</v>
      </c>
      <c r="H294" s="2">
        <f t="shared" si="19"/>
        <v>0</v>
      </c>
      <c r="I294" s="2"/>
    </row>
    <row r="295" spans="1:9" x14ac:dyDescent="0.2">
      <c r="A295" s="1" t="s">
        <v>18</v>
      </c>
      <c r="B295" s="8">
        <v>44783.512152777781</v>
      </c>
      <c r="C295" s="5">
        <f t="shared" si="20"/>
        <v>131</v>
      </c>
      <c r="D295" s="5">
        <v>0</v>
      </c>
      <c r="E295" s="5">
        <v>0</v>
      </c>
      <c r="F295" s="5">
        <f t="shared" si="21"/>
        <v>101325</v>
      </c>
      <c r="G295" s="11">
        <f t="shared" si="18"/>
        <v>101325</v>
      </c>
      <c r="H295" s="2">
        <f t="shared" si="19"/>
        <v>0</v>
      </c>
      <c r="I295" s="2"/>
    </row>
    <row r="296" spans="1:9" x14ac:dyDescent="0.2">
      <c r="A296" s="1" t="s">
        <v>18</v>
      </c>
      <c r="B296" s="8">
        <v>44783.512164351851</v>
      </c>
      <c r="C296" s="5">
        <f t="shared" si="20"/>
        <v>132</v>
      </c>
      <c r="D296" s="5">
        <v>29</v>
      </c>
      <c r="E296" s="5">
        <v>1</v>
      </c>
      <c r="F296" s="5">
        <f t="shared" si="21"/>
        <v>301273.04000000004</v>
      </c>
      <c r="G296" s="11">
        <f t="shared" si="18"/>
        <v>108219.76</v>
      </c>
      <c r="H296" s="2">
        <f t="shared" si="19"/>
        <v>-193053.28000000003</v>
      </c>
      <c r="I296" s="2"/>
    </row>
    <row r="297" spans="1:9" x14ac:dyDescent="0.2">
      <c r="A297" s="1" t="s">
        <v>18</v>
      </c>
      <c r="B297" s="8">
        <v>44783.512175925927</v>
      </c>
      <c r="C297" s="5">
        <f t="shared" si="20"/>
        <v>133</v>
      </c>
      <c r="D297" s="5">
        <v>126</v>
      </c>
      <c r="E297" s="5">
        <v>13</v>
      </c>
      <c r="F297" s="5">
        <f t="shared" si="21"/>
        <v>970064.76</v>
      </c>
      <c r="G297" s="11">
        <f t="shared" si="18"/>
        <v>190956.88</v>
      </c>
      <c r="H297" s="2">
        <f t="shared" si="19"/>
        <v>-779107.88</v>
      </c>
      <c r="I297" s="2"/>
    </row>
    <row r="298" spans="1:9" x14ac:dyDescent="0.2">
      <c r="A298" s="1" t="s">
        <v>18</v>
      </c>
      <c r="B298" s="8">
        <v>44783.512187499997</v>
      </c>
      <c r="C298" s="5">
        <f t="shared" si="20"/>
        <v>134</v>
      </c>
      <c r="D298" s="5">
        <v>185</v>
      </c>
      <c r="E298" s="5">
        <v>62</v>
      </c>
      <c r="F298" s="5">
        <f t="shared" si="21"/>
        <v>1376855.6</v>
      </c>
      <c r="G298" s="11">
        <f t="shared" si="18"/>
        <v>528800.12</v>
      </c>
      <c r="H298" s="2">
        <f t="shared" si="19"/>
        <v>-848055.4800000001</v>
      </c>
      <c r="I298" s="2"/>
    </row>
    <row r="299" spans="1:9" x14ac:dyDescent="0.2">
      <c r="A299" s="1" t="s">
        <v>18</v>
      </c>
      <c r="B299" s="8">
        <v>44783.512199074074</v>
      </c>
      <c r="C299" s="5">
        <f t="shared" si="20"/>
        <v>135</v>
      </c>
      <c r="D299" s="5">
        <v>206</v>
      </c>
      <c r="E299" s="5">
        <v>108</v>
      </c>
      <c r="F299" s="5">
        <f t="shared" si="21"/>
        <v>1521645.56</v>
      </c>
      <c r="G299" s="11">
        <f t="shared" si="18"/>
        <v>845959.08000000007</v>
      </c>
      <c r="H299" s="2">
        <f t="shared" si="19"/>
        <v>-675686.48</v>
      </c>
      <c r="I299" s="2"/>
    </row>
    <row r="300" spans="1:9" x14ac:dyDescent="0.2">
      <c r="A300" s="1" t="s">
        <v>18</v>
      </c>
      <c r="B300" s="8">
        <v>44783.51221064815</v>
      </c>
      <c r="C300" s="5">
        <f t="shared" si="20"/>
        <v>136</v>
      </c>
      <c r="D300" s="5">
        <v>216</v>
      </c>
      <c r="E300" s="5">
        <v>147</v>
      </c>
      <c r="F300" s="5">
        <f t="shared" si="21"/>
        <v>1590593.1600000001</v>
      </c>
      <c r="G300" s="11">
        <f t="shared" si="18"/>
        <v>1114854.7200000002</v>
      </c>
      <c r="H300" s="2">
        <f t="shared" si="19"/>
        <v>-475738.43999999994</v>
      </c>
      <c r="I300" s="2"/>
    </row>
    <row r="301" spans="1:9" x14ac:dyDescent="0.2">
      <c r="A301" s="1" t="s">
        <v>18</v>
      </c>
      <c r="B301" s="8">
        <v>44783.51222222222</v>
      </c>
      <c r="C301" s="5">
        <f t="shared" si="20"/>
        <v>137</v>
      </c>
      <c r="D301" s="5">
        <v>220</v>
      </c>
      <c r="E301" s="5">
        <v>177</v>
      </c>
      <c r="F301" s="5">
        <f t="shared" si="21"/>
        <v>1618172.2</v>
      </c>
      <c r="G301" s="11">
        <f t="shared" si="18"/>
        <v>1321697.52</v>
      </c>
      <c r="H301" s="2">
        <f t="shared" si="19"/>
        <v>-296474.67999999993</v>
      </c>
      <c r="I301" s="2"/>
    </row>
    <row r="302" spans="1:9" x14ac:dyDescent="0.2">
      <c r="A302" s="1" t="s">
        <v>18</v>
      </c>
      <c r="B302" s="8">
        <v>44783.512233796297</v>
      </c>
      <c r="C302" s="5">
        <f t="shared" si="20"/>
        <v>138</v>
      </c>
      <c r="D302" s="5">
        <v>243</v>
      </c>
      <c r="E302" s="5">
        <v>208</v>
      </c>
      <c r="F302" s="5">
        <f t="shared" si="21"/>
        <v>1776751.6800000002</v>
      </c>
      <c r="G302" s="11">
        <f t="shared" si="18"/>
        <v>1535435.08</v>
      </c>
      <c r="H302" s="2">
        <f t="shared" si="19"/>
        <v>-241316.60000000009</v>
      </c>
      <c r="I302" s="2"/>
    </row>
    <row r="303" spans="1:9" x14ac:dyDescent="0.2">
      <c r="A303" s="1" t="s">
        <v>18</v>
      </c>
      <c r="B303" s="8">
        <v>44783.512245370373</v>
      </c>
      <c r="C303" s="5">
        <f t="shared" si="20"/>
        <v>139</v>
      </c>
      <c r="D303" s="5">
        <v>286</v>
      </c>
      <c r="E303" s="5">
        <v>237</v>
      </c>
      <c r="F303" s="5">
        <f t="shared" si="21"/>
        <v>2073226.36</v>
      </c>
      <c r="G303" s="11">
        <f t="shared" si="18"/>
        <v>1735383.12</v>
      </c>
      <c r="H303" s="2">
        <f t="shared" si="19"/>
        <v>-337843.24</v>
      </c>
      <c r="I303" s="2"/>
    </row>
    <row r="304" spans="1:9" x14ac:dyDescent="0.2">
      <c r="A304" s="1" t="s">
        <v>18</v>
      </c>
      <c r="B304" s="8">
        <v>44783.512256944443</v>
      </c>
      <c r="C304" s="5">
        <f t="shared" si="20"/>
        <v>140</v>
      </c>
      <c r="D304" s="5">
        <v>330</v>
      </c>
      <c r="E304" s="5">
        <v>282</v>
      </c>
      <c r="F304" s="5">
        <f t="shared" si="21"/>
        <v>2376595.8000000003</v>
      </c>
      <c r="G304" s="11">
        <f t="shared" si="18"/>
        <v>2045647.32</v>
      </c>
      <c r="H304" s="2">
        <f t="shared" si="19"/>
        <v>-330948.48000000021</v>
      </c>
      <c r="I304" s="2"/>
    </row>
    <row r="305" spans="1:9" x14ac:dyDescent="0.2">
      <c r="A305" s="1" t="s">
        <v>18</v>
      </c>
      <c r="B305" s="8">
        <v>44783.51226851852</v>
      </c>
      <c r="C305" s="5">
        <f t="shared" si="20"/>
        <v>141</v>
      </c>
      <c r="D305" s="5">
        <v>384</v>
      </c>
      <c r="E305" s="5">
        <v>333</v>
      </c>
      <c r="F305" s="5">
        <f t="shared" si="21"/>
        <v>2748912.84</v>
      </c>
      <c r="G305" s="11">
        <f t="shared" si="18"/>
        <v>2397280.08</v>
      </c>
      <c r="H305" s="2">
        <f t="shared" si="19"/>
        <v>-351632.75999999978</v>
      </c>
      <c r="I305" s="2"/>
    </row>
    <row r="306" spans="1:9" x14ac:dyDescent="0.2">
      <c r="A306" s="1" t="s">
        <v>18</v>
      </c>
      <c r="B306" s="8">
        <v>44783.512280092589</v>
      </c>
      <c r="C306" s="5">
        <f t="shared" si="20"/>
        <v>142</v>
      </c>
      <c r="D306" s="5">
        <v>425</v>
      </c>
      <c r="E306" s="5">
        <v>386</v>
      </c>
      <c r="F306" s="5">
        <f t="shared" si="21"/>
        <v>3031598</v>
      </c>
      <c r="G306" s="11">
        <f t="shared" si="18"/>
        <v>2762702.36</v>
      </c>
      <c r="H306" s="2">
        <f t="shared" si="19"/>
        <v>-268895.64000000013</v>
      </c>
      <c r="I306" s="2"/>
    </row>
    <row r="307" spans="1:9" x14ac:dyDescent="0.2">
      <c r="A307" s="1" t="s">
        <v>18</v>
      </c>
      <c r="B307" s="8">
        <v>44783.512291666666</v>
      </c>
      <c r="C307" s="5">
        <f t="shared" si="20"/>
        <v>143</v>
      </c>
      <c r="D307" s="5">
        <v>453</v>
      </c>
      <c r="E307" s="5">
        <v>424</v>
      </c>
      <c r="F307" s="5">
        <f t="shared" si="21"/>
        <v>3224651.2800000003</v>
      </c>
      <c r="G307" s="11">
        <f t="shared" si="18"/>
        <v>3024703.24</v>
      </c>
      <c r="H307" s="2">
        <f t="shared" si="19"/>
        <v>-199948.04000000004</v>
      </c>
      <c r="I307" s="2"/>
    </row>
    <row r="308" spans="1:9" x14ac:dyDescent="0.2">
      <c r="A308" s="1" t="s">
        <v>18</v>
      </c>
      <c r="B308" s="8">
        <v>44783.512303240743</v>
      </c>
      <c r="C308" s="5">
        <f t="shared" si="20"/>
        <v>144</v>
      </c>
      <c r="D308" s="5">
        <v>458</v>
      </c>
      <c r="E308" s="5">
        <v>445</v>
      </c>
      <c r="F308" s="5">
        <f t="shared" si="21"/>
        <v>3259125.08</v>
      </c>
      <c r="G308" s="11">
        <f t="shared" si="18"/>
        <v>3169493.2</v>
      </c>
      <c r="H308" s="2">
        <f t="shared" si="19"/>
        <v>-89631.879999999888</v>
      </c>
      <c r="I308" s="2"/>
    </row>
    <row r="309" spans="1:9" x14ac:dyDescent="0.2">
      <c r="A309" s="1" t="s">
        <v>18</v>
      </c>
      <c r="B309" s="8">
        <v>44783.512314814812</v>
      </c>
      <c r="C309" s="5">
        <f t="shared" si="20"/>
        <v>145</v>
      </c>
      <c r="D309" s="5">
        <v>463</v>
      </c>
      <c r="E309" s="5">
        <v>455</v>
      </c>
      <c r="F309" s="5">
        <f t="shared" si="21"/>
        <v>3293598.88</v>
      </c>
      <c r="G309" s="11">
        <f t="shared" si="18"/>
        <v>3238440.8000000003</v>
      </c>
      <c r="H309" s="2">
        <f t="shared" si="19"/>
        <v>-55158.079999999609</v>
      </c>
      <c r="I309" s="2"/>
    </row>
    <row r="310" spans="1:9" x14ac:dyDescent="0.2">
      <c r="A310" s="1" t="s">
        <v>18</v>
      </c>
      <c r="B310" s="8">
        <v>44783.512326388889</v>
      </c>
      <c r="C310" s="5">
        <f t="shared" si="20"/>
        <v>146</v>
      </c>
      <c r="D310" s="5">
        <v>464</v>
      </c>
      <c r="E310" s="5">
        <v>461</v>
      </c>
      <c r="F310" s="5">
        <f t="shared" si="21"/>
        <v>3300493.64</v>
      </c>
      <c r="G310" s="11">
        <f t="shared" si="18"/>
        <v>3279809.36</v>
      </c>
      <c r="H310" s="2">
        <f t="shared" si="19"/>
        <v>-20684.280000000261</v>
      </c>
      <c r="I310" s="2"/>
    </row>
    <row r="311" spans="1:9" x14ac:dyDescent="0.2">
      <c r="A311" s="1" t="s">
        <v>18</v>
      </c>
      <c r="B311" s="8">
        <v>44783.512337962966</v>
      </c>
      <c r="C311" s="5">
        <f t="shared" si="20"/>
        <v>147</v>
      </c>
      <c r="D311" s="5">
        <v>465</v>
      </c>
      <c r="E311" s="5">
        <v>464</v>
      </c>
      <c r="F311" s="5">
        <f t="shared" si="21"/>
        <v>3307388.4</v>
      </c>
      <c r="G311" s="11">
        <f t="shared" si="18"/>
        <v>3300493.64</v>
      </c>
      <c r="H311" s="2">
        <f t="shared" si="19"/>
        <v>-6894.7599999997765</v>
      </c>
      <c r="I311" s="2"/>
    </row>
    <row r="312" spans="1:9" x14ac:dyDescent="0.2">
      <c r="A312" s="1" t="s">
        <v>18</v>
      </c>
      <c r="B312" s="8">
        <v>44783.512349537035</v>
      </c>
      <c r="C312" s="5">
        <f t="shared" si="20"/>
        <v>148</v>
      </c>
      <c r="D312" s="5">
        <v>471</v>
      </c>
      <c r="E312" s="5">
        <v>469</v>
      </c>
      <c r="F312" s="5">
        <f t="shared" si="21"/>
        <v>3348756.96</v>
      </c>
      <c r="G312" s="11">
        <f t="shared" si="18"/>
        <v>3334967.44</v>
      </c>
      <c r="H312" s="2">
        <f t="shared" si="19"/>
        <v>-13789.520000000019</v>
      </c>
      <c r="I312" s="2"/>
    </row>
    <row r="313" spans="1:9" x14ac:dyDescent="0.2">
      <c r="A313" s="1" t="s">
        <v>18</v>
      </c>
      <c r="B313" s="8">
        <v>44783.512361111112</v>
      </c>
      <c r="C313" s="5">
        <f t="shared" si="20"/>
        <v>149</v>
      </c>
      <c r="D313" s="5">
        <v>481</v>
      </c>
      <c r="E313" s="5">
        <v>478</v>
      </c>
      <c r="F313" s="5">
        <f t="shared" si="21"/>
        <v>3417704.56</v>
      </c>
      <c r="G313" s="11">
        <f t="shared" si="18"/>
        <v>3397020.2800000003</v>
      </c>
      <c r="H313" s="2">
        <f t="shared" si="19"/>
        <v>-20684.279999999795</v>
      </c>
      <c r="I313" s="2"/>
    </row>
    <row r="314" spans="1:9" x14ac:dyDescent="0.2">
      <c r="A314" s="1" t="s">
        <v>18</v>
      </c>
      <c r="B314" s="8">
        <v>44783.512372685182</v>
      </c>
      <c r="C314" s="5">
        <f t="shared" si="20"/>
        <v>150</v>
      </c>
      <c r="D314" s="5">
        <v>491</v>
      </c>
      <c r="E314" s="5">
        <v>489</v>
      </c>
      <c r="F314" s="5">
        <f t="shared" si="21"/>
        <v>3486652.16</v>
      </c>
      <c r="G314" s="11">
        <f t="shared" si="18"/>
        <v>3472862.64</v>
      </c>
      <c r="H314" s="2">
        <f t="shared" si="19"/>
        <v>-13789.520000000019</v>
      </c>
      <c r="I314" s="2"/>
    </row>
    <row r="315" spans="1:9" x14ac:dyDescent="0.2">
      <c r="A315" s="1" t="s">
        <v>18</v>
      </c>
      <c r="B315" s="8">
        <v>44783.512384259258</v>
      </c>
      <c r="C315" s="5">
        <f t="shared" si="20"/>
        <v>151</v>
      </c>
      <c r="D315" s="5">
        <v>500</v>
      </c>
      <c r="E315" s="5">
        <v>498</v>
      </c>
      <c r="F315" s="5">
        <f t="shared" si="21"/>
        <v>3548705</v>
      </c>
      <c r="G315" s="11">
        <f t="shared" si="18"/>
        <v>3534915.48</v>
      </c>
      <c r="H315" s="2">
        <f t="shared" si="19"/>
        <v>-13789.520000000019</v>
      </c>
      <c r="I315" s="2"/>
    </row>
    <row r="316" spans="1:9" x14ac:dyDescent="0.2">
      <c r="A316" s="1" t="s">
        <v>18</v>
      </c>
      <c r="B316" s="8">
        <v>44783.512395833335</v>
      </c>
      <c r="C316" s="5">
        <f t="shared" si="20"/>
        <v>152</v>
      </c>
      <c r="D316" s="5">
        <v>506</v>
      </c>
      <c r="E316" s="5">
        <v>505</v>
      </c>
      <c r="F316" s="5">
        <f t="shared" si="21"/>
        <v>3590073.56</v>
      </c>
      <c r="G316" s="11">
        <f t="shared" si="18"/>
        <v>3583178.8000000003</v>
      </c>
      <c r="H316" s="2">
        <f t="shared" si="19"/>
        <v>-6894.7599999997765</v>
      </c>
      <c r="I316" s="2"/>
    </row>
    <row r="317" spans="1:9" x14ac:dyDescent="0.2">
      <c r="A317" s="1" t="s">
        <v>18</v>
      </c>
      <c r="B317" s="8">
        <v>44783.512407407405</v>
      </c>
      <c r="C317" s="5">
        <f t="shared" si="20"/>
        <v>153</v>
      </c>
      <c r="D317" s="5">
        <v>513</v>
      </c>
      <c r="E317" s="5">
        <v>512</v>
      </c>
      <c r="F317" s="5">
        <f t="shared" si="21"/>
        <v>3638336.88</v>
      </c>
      <c r="G317" s="11">
        <f t="shared" si="18"/>
        <v>3631442.12</v>
      </c>
      <c r="H317" s="2">
        <f t="shared" si="19"/>
        <v>-6894.7599999997765</v>
      </c>
      <c r="I317" s="2"/>
    </row>
    <row r="318" spans="1:9" x14ac:dyDescent="0.2">
      <c r="A318" s="1" t="s">
        <v>18</v>
      </c>
      <c r="B318" s="8">
        <v>44783.512418981481</v>
      </c>
      <c r="C318" s="5">
        <f t="shared" si="20"/>
        <v>154</v>
      </c>
      <c r="D318" s="5">
        <v>523</v>
      </c>
      <c r="E318" s="5">
        <v>521</v>
      </c>
      <c r="F318" s="5">
        <f t="shared" si="21"/>
        <v>3707284.48</v>
      </c>
      <c r="G318" s="11">
        <f t="shared" si="18"/>
        <v>3693494.96</v>
      </c>
      <c r="H318" s="2">
        <f t="shared" si="19"/>
        <v>-13789.520000000019</v>
      </c>
      <c r="I318" s="2"/>
    </row>
    <row r="319" spans="1:9" x14ac:dyDescent="0.2">
      <c r="A319" s="1" t="s">
        <v>18</v>
      </c>
      <c r="B319" s="8">
        <v>44783.512430555558</v>
      </c>
      <c r="C319" s="5">
        <f t="shared" si="20"/>
        <v>155</v>
      </c>
      <c r="D319" s="5">
        <v>535</v>
      </c>
      <c r="E319" s="5">
        <v>533</v>
      </c>
      <c r="F319" s="5">
        <f t="shared" si="21"/>
        <v>3790021.6</v>
      </c>
      <c r="G319" s="11">
        <f t="shared" si="18"/>
        <v>3776232.08</v>
      </c>
      <c r="H319" s="2">
        <f t="shared" si="19"/>
        <v>-13789.520000000019</v>
      </c>
      <c r="I319" s="2"/>
    </row>
    <row r="320" spans="1:9" x14ac:dyDescent="0.2">
      <c r="A320" s="1" t="s">
        <v>18</v>
      </c>
      <c r="B320" s="8">
        <v>44783.512442129628</v>
      </c>
      <c r="C320" s="5">
        <f t="shared" si="20"/>
        <v>156</v>
      </c>
      <c r="D320" s="5">
        <v>544</v>
      </c>
      <c r="E320" s="5">
        <v>542</v>
      </c>
      <c r="F320" s="5">
        <f t="shared" si="21"/>
        <v>3852074.44</v>
      </c>
      <c r="G320" s="11">
        <f t="shared" si="18"/>
        <v>3838284.92</v>
      </c>
      <c r="H320" s="2">
        <f t="shared" si="19"/>
        <v>-13789.520000000019</v>
      </c>
      <c r="I320" s="2"/>
    </row>
    <row r="321" spans="1:9" x14ac:dyDescent="0.2">
      <c r="A321" s="1" t="s">
        <v>18</v>
      </c>
      <c r="B321" s="8">
        <v>44783.512453703705</v>
      </c>
      <c r="C321" s="5">
        <f t="shared" si="20"/>
        <v>157</v>
      </c>
      <c r="D321" s="5">
        <v>558</v>
      </c>
      <c r="E321" s="5">
        <v>557</v>
      </c>
      <c r="F321" s="5">
        <f t="shared" si="21"/>
        <v>3948601.08</v>
      </c>
      <c r="G321" s="11">
        <f t="shared" si="18"/>
        <v>3941706.3200000003</v>
      </c>
      <c r="H321" s="2">
        <f t="shared" si="19"/>
        <v>-6894.7599999997765</v>
      </c>
      <c r="I321" s="2"/>
    </row>
    <row r="322" spans="1:9" x14ac:dyDescent="0.2">
      <c r="A322" s="1" t="s">
        <v>18</v>
      </c>
      <c r="B322" s="8">
        <v>44783.512465277781</v>
      </c>
      <c r="C322" s="5">
        <f t="shared" si="20"/>
        <v>158</v>
      </c>
      <c r="D322" s="5">
        <v>567</v>
      </c>
      <c r="E322" s="5">
        <v>564</v>
      </c>
      <c r="F322" s="5">
        <f t="shared" si="21"/>
        <v>4010653.92</v>
      </c>
      <c r="G322" s="11">
        <f t="shared" si="18"/>
        <v>3989969.64</v>
      </c>
      <c r="H322" s="2">
        <f t="shared" si="19"/>
        <v>-20684.279999999795</v>
      </c>
      <c r="I322" s="2"/>
    </row>
    <row r="323" spans="1:9" x14ac:dyDescent="0.2">
      <c r="A323" s="1" t="s">
        <v>18</v>
      </c>
      <c r="B323" s="8">
        <v>44783.512476851851</v>
      </c>
      <c r="C323" s="5">
        <f t="shared" si="20"/>
        <v>159</v>
      </c>
      <c r="D323" s="5">
        <v>573</v>
      </c>
      <c r="E323" s="5">
        <v>571</v>
      </c>
      <c r="F323" s="5">
        <f t="shared" si="21"/>
        <v>4052022.48</v>
      </c>
      <c r="G323" s="11">
        <f t="shared" si="18"/>
        <v>4038232.96</v>
      </c>
      <c r="H323" s="2">
        <f t="shared" si="19"/>
        <v>-13789.520000000019</v>
      </c>
      <c r="I323" s="2"/>
    </row>
    <row r="324" spans="1:9" x14ac:dyDescent="0.2">
      <c r="A324" s="1" t="s">
        <v>18</v>
      </c>
      <c r="B324" s="8">
        <v>44783.512488425928</v>
      </c>
      <c r="C324" s="5">
        <f t="shared" si="20"/>
        <v>160</v>
      </c>
      <c r="D324" s="5">
        <v>581</v>
      </c>
      <c r="E324" s="5">
        <v>580</v>
      </c>
      <c r="F324" s="5">
        <f t="shared" si="21"/>
        <v>4107180.56</v>
      </c>
      <c r="G324" s="11">
        <f t="shared" si="18"/>
        <v>4100285.8000000003</v>
      </c>
      <c r="H324" s="2">
        <f t="shared" si="19"/>
        <v>-6894.7599999997765</v>
      </c>
      <c r="I324" s="2"/>
    </row>
    <row r="325" spans="1:9" x14ac:dyDescent="0.2">
      <c r="A325" s="1" t="s">
        <v>18</v>
      </c>
      <c r="B325" s="8">
        <v>44783.512499999997</v>
      </c>
      <c r="C325" s="5">
        <f t="shared" si="20"/>
        <v>161</v>
      </c>
      <c r="D325" s="5">
        <v>590</v>
      </c>
      <c r="E325" s="5">
        <v>589</v>
      </c>
      <c r="F325" s="5">
        <f t="shared" si="21"/>
        <v>4169233.4</v>
      </c>
      <c r="G325" s="11">
        <f t="shared" si="18"/>
        <v>4162338.64</v>
      </c>
      <c r="H325" s="2">
        <f t="shared" si="19"/>
        <v>-6894.7599999997765</v>
      </c>
      <c r="I325" s="2"/>
    </row>
    <row r="326" spans="1:9" x14ac:dyDescent="0.2">
      <c r="A326" s="1" t="s">
        <v>18</v>
      </c>
      <c r="B326" s="8">
        <v>44783.512511574074</v>
      </c>
      <c r="C326" s="5">
        <f t="shared" si="20"/>
        <v>162</v>
      </c>
      <c r="D326" s="5">
        <v>593</v>
      </c>
      <c r="E326" s="5">
        <v>593</v>
      </c>
      <c r="F326" s="5">
        <f t="shared" si="21"/>
        <v>4189917.68</v>
      </c>
      <c r="G326" s="11">
        <f t="shared" si="18"/>
        <v>4189917.68</v>
      </c>
      <c r="H326" s="2">
        <f t="shared" si="19"/>
        <v>0</v>
      </c>
      <c r="I326" s="2"/>
    </row>
    <row r="327" spans="1:9" x14ac:dyDescent="0.2">
      <c r="A327" s="1" t="s">
        <v>18</v>
      </c>
      <c r="B327" s="8">
        <v>44783.512523148151</v>
      </c>
      <c r="C327" s="5">
        <f t="shared" si="20"/>
        <v>163</v>
      </c>
      <c r="D327" s="5">
        <v>595</v>
      </c>
      <c r="E327" s="5">
        <v>596</v>
      </c>
      <c r="F327" s="5">
        <f t="shared" si="21"/>
        <v>4203707.2</v>
      </c>
      <c r="G327" s="11">
        <f t="shared" si="18"/>
        <v>4210601.96</v>
      </c>
      <c r="H327" s="2">
        <f t="shared" si="19"/>
        <v>6894.7599999997765</v>
      </c>
      <c r="I327" s="2"/>
    </row>
    <row r="328" spans="1:9" x14ac:dyDescent="0.2">
      <c r="A328" s="1" t="s">
        <v>18</v>
      </c>
      <c r="B328" s="8">
        <v>44783.51253472222</v>
      </c>
      <c r="C328" s="5">
        <f t="shared" si="20"/>
        <v>164</v>
      </c>
      <c r="D328" s="5">
        <v>601</v>
      </c>
      <c r="E328" s="5">
        <v>600</v>
      </c>
      <c r="F328" s="5">
        <f t="shared" si="21"/>
        <v>4245075.76</v>
      </c>
      <c r="G328" s="11">
        <f t="shared" si="18"/>
        <v>4238181</v>
      </c>
      <c r="H328" s="2">
        <f t="shared" si="19"/>
        <v>-6894.7599999997765</v>
      </c>
      <c r="I328" s="2"/>
    </row>
    <row r="329" spans="1:9" x14ac:dyDescent="0.2">
      <c r="A329" s="1" t="s">
        <v>18</v>
      </c>
      <c r="B329" s="8">
        <v>44783.512546296297</v>
      </c>
      <c r="C329" s="5">
        <f t="shared" si="20"/>
        <v>165</v>
      </c>
      <c r="D329" s="5">
        <v>608</v>
      </c>
      <c r="E329" s="5">
        <v>608</v>
      </c>
      <c r="F329" s="5">
        <f t="shared" si="21"/>
        <v>4293339.08</v>
      </c>
      <c r="G329" s="11">
        <f t="shared" si="18"/>
        <v>4293339.08</v>
      </c>
      <c r="H329" s="2">
        <f t="shared" si="19"/>
        <v>0</v>
      </c>
      <c r="I329" s="2"/>
    </row>
    <row r="330" spans="1:9" x14ac:dyDescent="0.2">
      <c r="A330" s="1" t="s">
        <v>18</v>
      </c>
      <c r="B330" s="8">
        <v>44783.512557870374</v>
      </c>
      <c r="C330" s="5">
        <f t="shared" si="20"/>
        <v>166</v>
      </c>
      <c r="D330" s="5">
        <v>612</v>
      </c>
      <c r="E330" s="5">
        <v>613</v>
      </c>
      <c r="F330" s="5">
        <f t="shared" si="21"/>
        <v>4320918.12</v>
      </c>
      <c r="G330" s="11">
        <f t="shared" si="18"/>
        <v>4327812.88</v>
      </c>
      <c r="H330" s="2">
        <f t="shared" si="19"/>
        <v>6894.7599999997765</v>
      </c>
      <c r="I330" s="2"/>
    </row>
    <row r="331" spans="1:9" x14ac:dyDescent="0.2">
      <c r="A331" s="1" t="s">
        <v>18</v>
      </c>
      <c r="B331" s="8">
        <v>44783.512569444443</v>
      </c>
      <c r="C331" s="5">
        <f t="shared" si="20"/>
        <v>167</v>
      </c>
      <c r="D331" s="5">
        <v>613</v>
      </c>
      <c r="E331" s="5">
        <v>614</v>
      </c>
      <c r="F331" s="5">
        <f t="shared" si="21"/>
        <v>4327812.88</v>
      </c>
      <c r="G331" s="11">
        <f t="shared" si="18"/>
        <v>4334707.6400000006</v>
      </c>
      <c r="H331" s="2">
        <f t="shared" si="19"/>
        <v>6894.7600000007078</v>
      </c>
      <c r="I331" s="2"/>
    </row>
    <row r="332" spans="1:9" x14ac:dyDescent="0.2">
      <c r="A332" s="1" t="s">
        <v>18</v>
      </c>
      <c r="B332" s="8">
        <v>44783.51258101852</v>
      </c>
      <c r="C332" s="5">
        <f t="shared" si="20"/>
        <v>168</v>
      </c>
      <c r="D332" s="5">
        <v>613</v>
      </c>
      <c r="E332" s="5">
        <v>614</v>
      </c>
      <c r="F332" s="5">
        <f t="shared" si="21"/>
        <v>4327812.88</v>
      </c>
      <c r="G332" s="11">
        <f t="shared" ref="G332:G395" si="22">E332*6894.76 +101325</f>
        <v>4334707.6400000006</v>
      </c>
      <c r="H332" s="2">
        <f t="shared" ref="H332:H395" si="23">G332-F332</f>
        <v>6894.7600000007078</v>
      </c>
      <c r="I332" s="2"/>
    </row>
    <row r="333" spans="1:9" x14ac:dyDescent="0.2">
      <c r="A333" s="1" t="s">
        <v>18</v>
      </c>
      <c r="B333" s="8">
        <v>44783.512592592589</v>
      </c>
      <c r="C333" s="5">
        <f t="shared" ref="C333:C396" si="24">C332+1</f>
        <v>169</v>
      </c>
      <c r="D333" s="5">
        <v>613</v>
      </c>
      <c r="E333" s="5">
        <v>613</v>
      </c>
      <c r="F333" s="5">
        <f t="shared" si="21"/>
        <v>4327812.88</v>
      </c>
      <c r="G333" s="11">
        <f t="shared" si="22"/>
        <v>4327812.88</v>
      </c>
      <c r="H333" s="2">
        <f t="shared" si="23"/>
        <v>0</v>
      </c>
      <c r="I333" s="2"/>
    </row>
    <row r="334" spans="1:9" x14ac:dyDescent="0.2">
      <c r="A334" s="1" t="s">
        <v>18</v>
      </c>
      <c r="B334" s="8">
        <v>44783.512604166666</v>
      </c>
      <c r="C334" s="5">
        <f t="shared" si="24"/>
        <v>170</v>
      </c>
      <c r="D334" s="5">
        <v>613</v>
      </c>
      <c r="E334" s="5">
        <v>613</v>
      </c>
      <c r="F334" s="5">
        <f t="shared" si="21"/>
        <v>4327812.88</v>
      </c>
      <c r="G334" s="11">
        <f t="shared" si="22"/>
        <v>4327812.88</v>
      </c>
      <c r="H334" s="2">
        <f t="shared" si="23"/>
        <v>0</v>
      </c>
      <c r="I334" s="2"/>
    </row>
    <row r="335" spans="1:9" x14ac:dyDescent="0.2">
      <c r="A335" s="1" t="s">
        <v>18</v>
      </c>
      <c r="B335" s="8">
        <v>44783.512615740743</v>
      </c>
      <c r="C335" s="5">
        <f t="shared" si="24"/>
        <v>171</v>
      </c>
      <c r="D335" s="5">
        <v>612</v>
      </c>
      <c r="E335" s="5">
        <v>613</v>
      </c>
      <c r="F335" s="5">
        <f t="shared" si="21"/>
        <v>4320918.12</v>
      </c>
      <c r="G335" s="11">
        <f t="shared" si="22"/>
        <v>4327812.88</v>
      </c>
      <c r="H335" s="2">
        <f t="shared" si="23"/>
        <v>6894.7599999997765</v>
      </c>
      <c r="I335" s="2"/>
    </row>
    <row r="336" spans="1:9" x14ac:dyDescent="0.2">
      <c r="A336" s="1" t="s">
        <v>18</v>
      </c>
      <c r="B336" s="8">
        <v>44783.512627314813</v>
      </c>
      <c r="C336" s="5">
        <f t="shared" si="24"/>
        <v>172</v>
      </c>
      <c r="D336" s="5">
        <v>612</v>
      </c>
      <c r="E336" s="5">
        <v>612</v>
      </c>
      <c r="F336" s="5">
        <f t="shared" si="21"/>
        <v>4320918.12</v>
      </c>
      <c r="G336" s="11">
        <f t="shared" si="22"/>
        <v>4320918.12</v>
      </c>
      <c r="H336" s="2">
        <f t="shared" si="23"/>
        <v>0</v>
      </c>
      <c r="I336" s="2"/>
    </row>
    <row r="337" spans="1:9" x14ac:dyDescent="0.2">
      <c r="A337" s="1" t="s">
        <v>18</v>
      </c>
      <c r="B337" s="8">
        <v>44783.512638888889</v>
      </c>
      <c r="C337" s="5">
        <f t="shared" si="24"/>
        <v>173</v>
      </c>
      <c r="D337" s="5">
        <v>612</v>
      </c>
      <c r="E337" s="5">
        <v>612</v>
      </c>
      <c r="F337" s="5">
        <f t="shared" si="21"/>
        <v>4320918.12</v>
      </c>
      <c r="G337" s="74">
        <f t="shared" si="22"/>
        <v>4320918.12</v>
      </c>
      <c r="H337" s="2">
        <f t="shared" si="23"/>
        <v>0</v>
      </c>
      <c r="I337" s="2"/>
    </row>
    <row r="338" spans="1:9" x14ac:dyDescent="0.2">
      <c r="A338" s="85">
        <v>4</v>
      </c>
      <c r="B338" s="86">
        <v>44783.512650462966</v>
      </c>
      <c r="C338" s="37">
        <f t="shared" si="24"/>
        <v>174</v>
      </c>
      <c r="D338" s="37">
        <v>612</v>
      </c>
      <c r="E338" s="37">
        <v>612</v>
      </c>
      <c r="F338" s="37">
        <f t="shared" ref="F338:F401" si="25">D338*6894.76 +101325</f>
        <v>4320918.12</v>
      </c>
      <c r="G338" s="37">
        <f t="shared" si="22"/>
        <v>4320918.12</v>
      </c>
      <c r="H338" s="2">
        <f t="shared" si="23"/>
        <v>0</v>
      </c>
      <c r="I338" s="2"/>
    </row>
    <row r="339" spans="1:9" x14ac:dyDescent="0.2">
      <c r="A339" s="85">
        <v>4</v>
      </c>
      <c r="B339" s="86">
        <v>44783.512662037036</v>
      </c>
      <c r="C339" s="37">
        <f t="shared" si="24"/>
        <v>175</v>
      </c>
      <c r="D339" s="37">
        <v>611</v>
      </c>
      <c r="E339" s="37">
        <v>612</v>
      </c>
      <c r="F339" s="37">
        <f t="shared" si="25"/>
        <v>4314023.3600000003</v>
      </c>
      <c r="G339" s="37">
        <f t="shared" si="22"/>
        <v>4320918.12</v>
      </c>
      <c r="H339" s="2">
        <f t="shared" si="23"/>
        <v>6894.7599999997765</v>
      </c>
      <c r="I339" s="2"/>
    </row>
    <row r="340" spans="1:9" x14ac:dyDescent="0.2">
      <c r="A340" s="85">
        <v>4</v>
      </c>
      <c r="B340" s="86">
        <v>44783.512673611112</v>
      </c>
      <c r="C340" s="37">
        <f t="shared" si="24"/>
        <v>176</v>
      </c>
      <c r="D340" s="37">
        <v>590</v>
      </c>
      <c r="E340" s="37">
        <v>311</v>
      </c>
      <c r="F340" s="37">
        <f t="shared" si="25"/>
        <v>4169233.4</v>
      </c>
      <c r="G340" s="37">
        <f t="shared" si="22"/>
        <v>2245595.36</v>
      </c>
      <c r="H340" s="2">
        <f t="shared" si="23"/>
        <v>-1923638.04</v>
      </c>
      <c r="I340" s="2"/>
    </row>
    <row r="341" spans="1:9" x14ac:dyDescent="0.2">
      <c r="A341" s="85">
        <v>4</v>
      </c>
      <c r="B341" s="86">
        <v>44783.512685185182</v>
      </c>
      <c r="C341" s="37">
        <f t="shared" si="24"/>
        <v>177</v>
      </c>
      <c r="D341" s="37">
        <v>503</v>
      </c>
      <c r="E341" s="37">
        <v>115</v>
      </c>
      <c r="F341" s="37">
        <f t="shared" si="25"/>
        <v>3569389.2800000003</v>
      </c>
      <c r="G341" s="37">
        <f t="shared" si="22"/>
        <v>894222.4</v>
      </c>
      <c r="H341" s="2">
        <f t="shared" si="23"/>
        <v>-2675166.8800000004</v>
      </c>
      <c r="I341" s="2"/>
    </row>
    <row r="342" spans="1:9" x14ac:dyDescent="0.2">
      <c r="A342" s="85">
        <v>4</v>
      </c>
      <c r="B342" s="86">
        <v>44783.512696759259</v>
      </c>
      <c r="C342" s="37">
        <f t="shared" si="24"/>
        <v>178</v>
      </c>
      <c r="D342" s="37">
        <v>430</v>
      </c>
      <c r="E342" s="37">
        <v>42</v>
      </c>
      <c r="F342" s="37">
        <f t="shared" si="25"/>
        <v>3066071.8000000003</v>
      </c>
      <c r="G342" s="37">
        <f t="shared" si="22"/>
        <v>390904.92</v>
      </c>
      <c r="H342" s="2">
        <f t="shared" si="23"/>
        <v>-2675166.8800000004</v>
      </c>
      <c r="I342" s="2"/>
    </row>
    <row r="343" spans="1:9" x14ac:dyDescent="0.2">
      <c r="A343" s="85">
        <v>4</v>
      </c>
      <c r="B343" s="86">
        <v>44783.512708333335</v>
      </c>
      <c r="C343" s="37">
        <f t="shared" si="24"/>
        <v>179</v>
      </c>
      <c r="D343" s="37">
        <v>361</v>
      </c>
      <c r="E343" s="37">
        <v>20</v>
      </c>
      <c r="F343" s="37">
        <f t="shared" si="25"/>
        <v>2590333.36</v>
      </c>
      <c r="G343" s="37">
        <f t="shared" si="22"/>
        <v>239220.2</v>
      </c>
      <c r="H343" s="2">
        <f t="shared" si="23"/>
        <v>-2351113.1599999997</v>
      </c>
      <c r="I343" s="2"/>
    </row>
    <row r="344" spans="1:9" x14ac:dyDescent="0.2">
      <c r="A344" s="85">
        <v>4</v>
      </c>
      <c r="B344" s="86">
        <v>44783.512719907405</v>
      </c>
      <c r="C344" s="37">
        <f t="shared" si="24"/>
        <v>180</v>
      </c>
      <c r="D344" s="37">
        <v>305</v>
      </c>
      <c r="E344" s="37">
        <v>10</v>
      </c>
      <c r="F344" s="37">
        <f t="shared" si="25"/>
        <v>2204226.8000000003</v>
      </c>
      <c r="G344" s="37">
        <f t="shared" si="22"/>
        <v>170272.6</v>
      </c>
      <c r="H344" s="2">
        <f t="shared" si="23"/>
        <v>-2033954.2000000002</v>
      </c>
      <c r="I344" s="2"/>
    </row>
    <row r="345" spans="1:9" x14ac:dyDescent="0.2">
      <c r="A345" s="85">
        <v>4</v>
      </c>
      <c r="B345" s="86">
        <v>44783.512731481482</v>
      </c>
      <c r="C345" s="37">
        <f t="shared" si="24"/>
        <v>181</v>
      </c>
      <c r="D345" s="37">
        <v>257</v>
      </c>
      <c r="E345" s="37">
        <v>4</v>
      </c>
      <c r="F345" s="37">
        <f t="shared" si="25"/>
        <v>1873278.32</v>
      </c>
      <c r="G345" s="37">
        <f t="shared" si="22"/>
        <v>128904.04000000001</v>
      </c>
      <c r="H345" s="2">
        <f t="shared" si="23"/>
        <v>-1744374.28</v>
      </c>
      <c r="I345" s="2"/>
    </row>
    <row r="346" spans="1:9" x14ac:dyDescent="0.2">
      <c r="A346" s="85">
        <v>4</v>
      </c>
      <c r="B346" s="86">
        <v>44783.512743055559</v>
      </c>
      <c r="C346" s="37">
        <f t="shared" si="24"/>
        <v>182</v>
      </c>
      <c r="D346" s="37">
        <v>219</v>
      </c>
      <c r="E346" s="37">
        <v>2</v>
      </c>
      <c r="F346" s="37">
        <f t="shared" si="25"/>
        <v>1611277.44</v>
      </c>
      <c r="G346" s="37">
        <f t="shared" si="22"/>
        <v>115114.52</v>
      </c>
      <c r="H346" s="2">
        <f t="shared" si="23"/>
        <v>-1496162.92</v>
      </c>
      <c r="I346" s="2"/>
    </row>
    <row r="347" spans="1:9" x14ac:dyDescent="0.2">
      <c r="A347" s="85">
        <v>4</v>
      </c>
      <c r="B347" s="86">
        <v>44783.512754629628</v>
      </c>
      <c r="C347" s="37">
        <f t="shared" si="24"/>
        <v>183</v>
      </c>
      <c r="D347" s="37">
        <v>179</v>
      </c>
      <c r="E347" s="37">
        <v>1</v>
      </c>
      <c r="F347" s="37">
        <f t="shared" si="25"/>
        <v>1335487.04</v>
      </c>
      <c r="G347" s="37">
        <f t="shared" si="22"/>
        <v>108219.76</v>
      </c>
      <c r="H347" s="2">
        <f t="shared" si="23"/>
        <v>-1227267.28</v>
      </c>
      <c r="I347" s="2"/>
    </row>
    <row r="348" spans="1:9" x14ac:dyDescent="0.2">
      <c r="A348" s="85">
        <v>4</v>
      </c>
      <c r="B348" s="86">
        <v>44783.512766203705</v>
      </c>
      <c r="C348" s="37">
        <f t="shared" si="24"/>
        <v>184</v>
      </c>
      <c r="D348" s="37">
        <v>151</v>
      </c>
      <c r="E348" s="37">
        <v>1</v>
      </c>
      <c r="F348" s="37">
        <f t="shared" si="25"/>
        <v>1142433.76</v>
      </c>
      <c r="G348" s="37">
        <f t="shared" si="22"/>
        <v>108219.76</v>
      </c>
      <c r="H348" s="2">
        <f t="shared" si="23"/>
        <v>-1034214</v>
      </c>
      <c r="I348" s="2"/>
    </row>
    <row r="349" spans="1:9" x14ac:dyDescent="0.2">
      <c r="A349" s="85">
        <v>4</v>
      </c>
      <c r="B349" s="86">
        <v>44783.512777777774</v>
      </c>
      <c r="C349" s="37">
        <f t="shared" si="24"/>
        <v>185</v>
      </c>
      <c r="D349" s="37">
        <v>132</v>
      </c>
      <c r="E349" s="37">
        <v>0</v>
      </c>
      <c r="F349" s="37">
        <f t="shared" si="25"/>
        <v>1011433.3200000001</v>
      </c>
      <c r="G349" s="37">
        <f t="shared" si="22"/>
        <v>101325</v>
      </c>
      <c r="H349" s="2">
        <f t="shared" si="23"/>
        <v>-910108.32000000007</v>
      </c>
      <c r="I349" s="2"/>
    </row>
    <row r="350" spans="1:9" x14ac:dyDescent="0.2">
      <c r="A350" s="85">
        <v>4</v>
      </c>
      <c r="B350" s="86">
        <v>44783.512789351851</v>
      </c>
      <c r="C350" s="37">
        <f t="shared" si="24"/>
        <v>186</v>
      </c>
      <c r="D350" s="37">
        <v>111</v>
      </c>
      <c r="E350" s="37">
        <v>0</v>
      </c>
      <c r="F350" s="37">
        <f t="shared" si="25"/>
        <v>866643.36</v>
      </c>
      <c r="G350" s="37">
        <f t="shared" si="22"/>
        <v>101325</v>
      </c>
      <c r="H350" s="2">
        <f t="shared" si="23"/>
        <v>-765318.36</v>
      </c>
      <c r="I350" s="2"/>
    </row>
    <row r="351" spans="1:9" x14ac:dyDescent="0.2">
      <c r="A351" s="85">
        <v>4</v>
      </c>
      <c r="B351" s="86">
        <v>44783.512800925928</v>
      </c>
      <c r="C351" s="37">
        <f t="shared" si="24"/>
        <v>187</v>
      </c>
      <c r="D351" s="37">
        <v>97</v>
      </c>
      <c r="E351" s="37">
        <v>0</v>
      </c>
      <c r="F351" s="37">
        <f t="shared" si="25"/>
        <v>770116.72</v>
      </c>
      <c r="G351" s="37">
        <f t="shared" si="22"/>
        <v>101325</v>
      </c>
      <c r="H351" s="2">
        <f t="shared" si="23"/>
        <v>-668791.72</v>
      </c>
      <c r="I351" s="2"/>
    </row>
    <row r="352" spans="1:9" x14ac:dyDescent="0.2">
      <c r="A352" s="85">
        <v>4</v>
      </c>
      <c r="B352" s="86">
        <v>44783.512812499997</v>
      </c>
      <c r="C352" s="37">
        <f t="shared" si="24"/>
        <v>188</v>
      </c>
      <c r="D352" s="37">
        <v>82</v>
      </c>
      <c r="E352" s="37">
        <v>0</v>
      </c>
      <c r="F352" s="37">
        <f t="shared" si="25"/>
        <v>666695.32000000007</v>
      </c>
      <c r="G352" s="37">
        <f t="shared" si="22"/>
        <v>101325</v>
      </c>
      <c r="H352" s="2">
        <f t="shared" si="23"/>
        <v>-565370.32000000007</v>
      </c>
      <c r="I352" s="2"/>
    </row>
    <row r="353" spans="1:9" x14ac:dyDescent="0.2">
      <c r="A353" s="85">
        <v>4</v>
      </c>
      <c r="B353" s="86">
        <v>44783.512824074074</v>
      </c>
      <c r="C353" s="37">
        <f t="shared" si="24"/>
        <v>189</v>
      </c>
      <c r="D353" s="37">
        <v>69</v>
      </c>
      <c r="E353" s="37">
        <v>0</v>
      </c>
      <c r="F353" s="37">
        <f t="shared" si="25"/>
        <v>577063.43999999994</v>
      </c>
      <c r="G353" s="37">
        <f t="shared" si="22"/>
        <v>101325</v>
      </c>
      <c r="H353" s="2">
        <f t="shared" si="23"/>
        <v>-475738.43999999994</v>
      </c>
      <c r="I353" s="2"/>
    </row>
    <row r="354" spans="1:9" x14ac:dyDescent="0.2">
      <c r="A354" s="85">
        <v>4</v>
      </c>
      <c r="B354" s="86">
        <v>44783.512835648151</v>
      </c>
      <c r="C354" s="37">
        <f t="shared" si="24"/>
        <v>190</v>
      </c>
      <c r="D354" s="37">
        <v>59</v>
      </c>
      <c r="E354" s="37">
        <v>0</v>
      </c>
      <c r="F354" s="37">
        <f t="shared" si="25"/>
        <v>508115.84</v>
      </c>
      <c r="G354" s="37">
        <f t="shared" si="22"/>
        <v>101325</v>
      </c>
      <c r="H354" s="2">
        <f t="shared" si="23"/>
        <v>-406790.84</v>
      </c>
      <c r="I354" s="2"/>
    </row>
    <row r="355" spans="1:9" x14ac:dyDescent="0.2">
      <c r="A355" s="85">
        <v>4</v>
      </c>
      <c r="B355" s="86">
        <v>44783.51284722222</v>
      </c>
      <c r="C355" s="37">
        <f t="shared" si="24"/>
        <v>191</v>
      </c>
      <c r="D355" s="37">
        <v>49</v>
      </c>
      <c r="E355" s="37">
        <v>0</v>
      </c>
      <c r="F355" s="37">
        <f t="shared" si="25"/>
        <v>439168.24</v>
      </c>
      <c r="G355" s="37">
        <f t="shared" si="22"/>
        <v>101325</v>
      </c>
      <c r="H355" s="2">
        <f t="shared" si="23"/>
        <v>-337843.24</v>
      </c>
      <c r="I355" s="2"/>
    </row>
    <row r="356" spans="1:9" x14ac:dyDescent="0.2">
      <c r="A356" s="85">
        <v>4</v>
      </c>
      <c r="B356" s="86">
        <v>44783.512858796297</v>
      </c>
      <c r="C356" s="37">
        <f t="shared" si="24"/>
        <v>192</v>
      </c>
      <c r="D356" s="37">
        <v>42</v>
      </c>
      <c r="E356" s="37">
        <v>0</v>
      </c>
      <c r="F356" s="37">
        <f t="shared" si="25"/>
        <v>390904.92</v>
      </c>
      <c r="G356" s="37">
        <f t="shared" si="22"/>
        <v>101325</v>
      </c>
      <c r="H356" s="2">
        <f t="shared" si="23"/>
        <v>-289579.92</v>
      </c>
      <c r="I356" s="2"/>
    </row>
    <row r="357" spans="1:9" x14ac:dyDescent="0.2">
      <c r="A357" s="85">
        <v>4</v>
      </c>
      <c r="B357" s="86">
        <v>44783.512870370374</v>
      </c>
      <c r="C357" s="37">
        <f t="shared" si="24"/>
        <v>193</v>
      </c>
      <c r="D357" s="37">
        <v>35</v>
      </c>
      <c r="E357" s="37">
        <v>0</v>
      </c>
      <c r="F357" s="37">
        <f t="shared" si="25"/>
        <v>342641.6</v>
      </c>
      <c r="G357" s="37">
        <f t="shared" si="22"/>
        <v>101325</v>
      </c>
      <c r="H357" s="2">
        <f t="shared" si="23"/>
        <v>-241316.59999999998</v>
      </c>
      <c r="I357" s="2"/>
    </row>
    <row r="358" spans="1:9" x14ac:dyDescent="0.2">
      <c r="A358" s="85">
        <v>4</v>
      </c>
      <c r="B358" s="86">
        <v>44783.512881944444</v>
      </c>
      <c r="C358" s="37">
        <f t="shared" si="24"/>
        <v>194</v>
      </c>
      <c r="D358" s="37">
        <v>30</v>
      </c>
      <c r="E358" s="37">
        <v>0</v>
      </c>
      <c r="F358" s="37">
        <f t="shared" si="25"/>
        <v>308167.80000000005</v>
      </c>
      <c r="G358" s="37">
        <f t="shared" si="22"/>
        <v>101325</v>
      </c>
      <c r="H358" s="2">
        <f t="shared" si="23"/>
        <v>-206842.80000000005</v>
      </c>
      <c r="I358" s="2"/>
    </row>
    <row r="359" spans="1:9" x14ac:dyDescent="0.2">
      <c r="A359" s="85">
        <v>4</v>
      </c>
      <c r="B359" s="86">
        <v>44783.51289351852</v>
      </c>
      <c r="C359" s="37">
        <f t="shared" si="24"/>
        <v>195</v>
      </c>
      <c r="D359" s="37">
        <v>26</v>
      </c>
      <c r="E359" s="37">
        <v>0</v>
      </c>
      <c r="F359" s="37">
        <f t="shared" si="25"/>
        <v>280588.76</v>
      </c>
      <c r="G359" s="37">
        <f t="shared" si="22"/>
        <v>101325</v>
      </c>
      <c r="H359" s="2">
        <f t="shared" si="23"/>
        <v>-179263.76</v>
      </c>
      <c r="I359" s="2"/>
    </row>
    <row r="360" spans="1:9" x14ac:dyDescent="0.2">
      <c r="A360" s="85">
        <v>4</v>
      </c>
      <c r="B360" s="86">
        <v>44783.51290509259</v>
      </c>
      <c r="C360" s="37">
        <f t="shared" si="24"/>
        <v>196</v>
      </c>
      <c r="D360" s="37">
        <v>22</v>
      </c>
      <c r="E360" s="37">
        <v>0</v>
      </c>
      <c r="F360" s="37">
        <f t="shared" si="25"/>
        <v>253009.72</v>
      </c>
      <c r="G360" s="37">
        <f t="shared" si="22"/>
        <v>101325</v>
      </c>
      <c r="H360" s="2">
        <f t="shared" si="23"/>
        <v>-151684.72</v>
      </c>
      <c r="I360" s="2"/>
    </row>
    <row r="361" spans="1:9" x14ac:dyDescent="0.2">
      <c r="A361" s="85">
        <v>4</v>
      </c>
      <c r="B361" s="86">
        <v>44783.512916666667</v>
      </c>
      <c r="C361" s="37">
        <f t="shared" si="24"/>
        <v>197</v>
      </c>
      <c r="D361" s="37">
        <v>19</v>
      </c>
      <c r="E361" s="37">
        <v>0</v>
      </c>
      <c r="F361" s="37">
        <f t="shared" si="25"/>
        <v>232325.44</v>
      </c>
      <c r="G361" s="37">
        <f t="shared" si="22"/>
        <v>101325</v>
      </c>
      <c r="H361" s="2">
        <f t="shared" si="23"/>
        <v>-131000.44</v>
      </c>
      <c r="I361" s="2"/>
    </row>
    <row r="362" spans="1:9" x14ac:dyDescent="0.2">
      <c r="A362" s="85">
        <v>4</v>
      </c>
      <c r="B362" s="86">
        <v>44783.512928240743</v>
      </c>
      <c r="C362" s="37">
        <f t="shared" si="24"/>
        <v>198</v>
      </c>
      <c r="D362" s="37">
        <v>16</v>
      </c>
      <c r="E362" s="37">
        <v>0</v>
      </c>
      <c r="F362" s="37">
        <f t="shared" si="25"/>
        <v>211641.16</v>
      </c>
      <c r="G362" s="37">
        <f t="shared" si="22"/>
        <v>101325</v>
      </c>
      <c r="H362" s="2">
        <f t="shared" si="23"/>
        <v>-110316.16</v>
      </c>
      <c r="I362" s="2"/>
    </row>
    <row r="363" spans="1:9" x14ac:dyDescent="0.2">
      <c r="A363" s="85">
        <v>4</v>
      </c>
      <c r="B363" s="86">
        <v>44783.512939814813</v>
      </c>
      <c r="C363" s="37">
        <f t="shared" si="24"/>
        <v>199</v>
      </c>
      <c r="D363" s="37">
        <v>14</v>
      </c>
      <c r="E363" s="37">
        <v>0</v>
      </c>
      <c r="F363" s="37">
        <f t="shared" si="25"/>
        <v>197851.64</v>
      </c>
      <c r="G363" s="37">
        <f t="shared" si="22"/>
        <v>101325</v>
      </c>
      <c r="H363" s="2">
        <f t="shared" si="23"/>
        <v>-96526.640000000014</v>
      </c>
      <c r="I363" s="2"/>
    </row>
    <row r="364" spans="1:9" x14ac:dyDescent="0.2">
      <c r="A364" s="85">
        <v>4</v>
      </c>
      <c r="B364" s="86">
        <v>44783.51295138889</v>
      </c>
      <c r="C364" s="37">
        <f t="shared" si="24"/>
        <v>200</v>
      </c>
      <c r="D364" s="37">
        <v>12</v>
      </c>
      <c r="E364" s="37">
        <v>0</v>
      </c>
      <c r="F364" s="37">
        <f t="shared" si="25"/>
        <v>184062.12</v>
      </c>
      <c r="G364" s="37">
        <f t="shared" si="22"/>
        <v>101325</v>
      </c>
      <c r="H364" s="2">
        <f t="shared" si="23"/>
        <v>-82737.119999999995</v>
      </c>
      <c r="I364" s="2"/>
    </row>
    <row r="365" spans="1:9" x14ac:dyDescent="0.2">
      <c r="A365" s="85">
        <v>4</v>
      </c>
      <c r="B365" s="86">
        <v>44783.512962962966</v>
      </c>
      <c r="C365" s="37">
        <f t="shared" si="24"/>
        <v>201</v>
      </c>
      <c r="D365" s="37">
        <v>11</v>
      </c>
      <c r="E365" s="37">
        <v>0</v>
      </c>
      <c r="F365" s="37">
        <f t="shared" si="25"/>
        <v>177167.35999999999</v>
      </c>
      <c r="G365" s="37">
        <f t="shared" si="22"/>
        <v>101325</v>
      </c>
      <c r="H365" s="2">
        <f t="shared" si="23"/>
        <v>-75842.359999999986</v>
      </c>
      <c r="I365" s="2"/>
    </row>
    <row r="366" spans="1:9" x14ac:dyDescent="0.2">
      <c r="A366" s="85">
        <v>4</v>
      </c>
      <c r="B366" s="86">
        <v>44783.512974537036</v>
      </c>
      <c r="C366" s="37">
        <f t="shared" si="24"/>
        <v>202</v>
      </c>
      <c r="D366" s="37">
        <v>9</v>
      </c>
      <c r="E366" s="37">
        <v>0</v>
      </c>
      <c r="F366" s="37">
        <f t="shared" si="25"/>
        <v>163377.84</v>
      </c>
      <c r="G366" s="37">
        <f t="shared" si="22"/>
        <v>101325</v>
      </c>
      <c r="H366" s="2">
        <f t="shared" si="23"/>
        <v>-62052.84</v>
      </c>
      <c r="I366" s="2"/>
    </row>
    <row r="367" spans="1:9" x14ac:dyDescent="0.2">
      <c r="A367" s="85">
        <v>4</v>
      </c>
      <c r="B367" s="86">
        <v>44783.512986111113</v>
      </c>
      <c r="C367" s="37">
        <f t="shared" si="24"/>
        <v>203</v>
      </c>
      <c r="D367" s="37">
        <v>8</v>
      </c>
      <c r="E367" s="37">
        <v>0</v>
      </c>
      <c r="F367" s="37">
        <f t="shared" si="25"/>
        <v>156483.08000000002</v>
      </c>
      <c r="G367" s="37">
        <f t="shared" si="22"/>
        <v>101325</v>
      </c>
      <c r="H367" s="2">
        <f t="shared" si="23"/>
        <v>-55158.080000000016</v>
      </c>
      <c r="I367" s="2"/>
    </row>
    <row r="368" spans="1:9" x14ac:dyDescent="0.2">
      <c r="A368" s="85">
        <v>4</v>
      </c>
      <c r="B368" s="86">
        <v>44783.512997685182</v>
      </c>
      <c r="C368" s="37">
        <f t="shared" si="24"/>
        <v>204</v>
      </c>
      <c r="D368" s="37">
        <v>7</v>
      </c>
      <c r="E368" s="37">
        <v>0</v>
      </c>
      <c r="F368" s="37">
        <f t="shared" si="25"/>
        <v>149588.32</v>
      </c>
      <c r="G368" s="37">
        <f t="shared" si="22"/>
        <v>101325</v>
      </c>
      <c r="H368" s="2">
        <f t="shared" si="23"/>
        <v>-48263.320000000007</v>
      </c>
      <c r="I368" s="2"/>
    </row>
    <row r="369" spans="1:9" x14ac:dyDescent="0.2">
      <c r="A369" s="85">
        <v>4</v>
      </c>
      <c r="B369" s="86">
        <v>44783.513009259259</v>
      </c>
      <c r="C369" s="37">
        <f t="shared" si="24"/>
        <v>205</v>
      </c>
      <c r="D369" s="37">
        <v>6</v>
      </c>
      <c r="E369" s="37">
        <v>0</v>
      </c>
      <c r="F369" s="37">
        <f t="shared" si="25"/>
        <v>142693.56</v>
      </c>
      <c r="G369" s="37">
        <f t="shared" si="22"/>
        <v>101325</v>
      </c>
      <c r="H369" s="2">
        <f t="shared" si="23"/>
        <v>-41368.559999999998</v>
      </c>
      <c r="I369" s="2"/>
    </row>
    <row r="370" spans="1:9" x14ac:dyDescent="0.2">
      <c r="A370" s="85">
        <v>4</v>
      </c>
      <c r="B370" s="86">
        <v>44783.513020833336</v>
      </c>
      <c r="C370" s="37">
        <f t="shared" si="24"/>
        <v>206</v>
      </c>
      <c r="D370" s="37">
        <v>6</v>
      </c>
      <c r="E370" s="37">
        <v>0</v>
      </c>
      <c r="F370" s="37">
        <f t="shared" si="25"/>
        <v>142693.56</v>
      </c>
      <c r="G370" s="37">
        <f t="shared" si="22"/>
        <v>101325</v>
      </c>
      <c r="H370" s="2">
        <f t="shared" si="23"/>
        <v>-41368.559999999998</v>
      </c>
      <c r="I370" s="2"/>
    </row>
    <row r="371" spans="1:9" x14ac:dyDescent="0.2">
      <c r="A371" s="85">
        <v>4</v>
      </c>
      <c r="B371" s="86">
        <v>44783.513032407405</v>
      </c>
      <c r="C371" s="37">
        <f t="shared" si="24"/>
        <v>207</v>
      </c>
      <c r="D371" s="37">
        <v>5</v>
      </c>
      <c r="E371" s="37">
        <v>0</v>
      </c>
      <c r="F371" s="37">
        <f t="shared" si="25"/>
        <v>135798.79999999999</v>
      </c>
      <c r="G371" s="37">
        <f t="shared" si="22"/>
        <v>101325</v>
      </c>
      <c r="H371" s="2">
        <f t="shared" si="23"/>
        <v>-34473.799999999988</v>
      </c>
      <c r="I371" s="2"/>
    </row>
    <row r="372" spans="1:9" x14ac:dyDescent="0.2">
      <c r="A372" s="85">
        <v>4</v>
      </c>
      <c r="B372" s="86">
        <v>44783.513043981482</v>
      </c>
      <c r="C372" s="37">
        <f t="shared" si="24"/>
        <v>208</v>
      </c>
      <c r="D372" s="37">
        <v>4</v>
      </c>
      <c r="E372" s="37">
        <v>0</v>
      </c>
      <c r="F372" s="37">
        <f t="shared" si="25"/>
        <v>128904.04000000001</v>
      </c>
      <c r="G372" s="37">
        <f t="shared" si="22"/>
        <v>101325</v>
      </c>
      <c r="H372" s="2">
        <f t="shared" si="23"/>
        <v>-27579.040000000008</v>
      </c>
      <c r="I372" s="2"/>
    </row>
    <row r="373" spans="1:9" x14ac:dyDescent="0.2">
      <c r="A373" s="85">
        <v>4</v>
      </c>
      <c r="B373" s="86">
        <v>44783.513055555559</v>
      </c>
      <c r="C373" s="37">
        <f t="shared" si="24"/>
        <v>209</v>
      </c>
      <c r="D373" s="37">
        <v>4</v>
      </c>
      <c r="E373" s="37">
        <v>0</v>
      </c>
      <c r="F373" s="37">
        <f t="shared" si="25"/>
        <v>128904.04000000001</v>
      </c>
      <c r="G373" s="37">
        <f t="shared" si="22"/>
        <v>101325</v>
      </c>
      <c r="H373" s="2">
        <f t="shared" si="23"/>
        <v>-27579.040000000008</v>
      </c>
      <c r="I373" s="2"/>
    </row>
    <row r="374" spans="1:9" x14ac:dyDescent="0.2">
      <c r="A374" s="85">
        <v>4</v>
      </c>
      <c r="B374" s="86">
        <v>44783.513067129628</v>
      </c>
      <c r="C374" s="37">
        <f t="shared" si="24"/>
        <v>210</v>
      </c>
      <c r="D374" s="37">
        <v>3</v>
      </c>
      <c r="E374" s="37">
        <v>0</v>
      </c>
      <c r="F374" s="37">
        <f t="shared" si="25"/>
        <v>122009.28</v>
      </c>
      <c r="G374" s="37">
        <f t="shared" si="22"/>
        <v>101325</v>
      </c>
      <c r="H374" s="2">
        <f t="shared" si="23"/>
        <v>-20684.28</v>
      </c>
      <c r="I374" s="2"/>
    </row>
    <row r="375" spans="1:9" x14ac:dyDescent="0.2">
      <c r="A375" s="85">
        <v>4</v>
      </c>
      <c r="B375" s="86">
        <v>44783.513078703705</v>
      </c>
      <c r="C375" s="37">
        <f t="shared" si="24"/>
        <v>211</v>
      </c>
      <c r="D375" s="37">
        <v>3</v>
      </c>
      <c r="E375" s="37">
        <v>0</v>
      </c>
      <c r="F375" s="37">
        <f t="shared" si="25"/>
        <v>122009.28</v>
      </c>
      <c r="G375" s="37">
        <f t="shared" si="22"/>
        <v>101325</v>
      </c>
      <c r="H375" s="2">
        <f t="shared" si="23"/>
        <v>-20684.28</v>
      </c>
      <c r="I375" s="2"/>
    </row>
    <row r="376" spans="1:9" x14ac:dyDescent="0.2">
      <c r="A376" s="85">
        <v>4</v>
      </c>
      <c r="B376" s="86">
        <v>44783.513090277775</v>
      </c>
      <c r="C376" s="37">
        <f t="shared" si="24"/>
        <v>212</v>
      </c>
      <c r="D376" s="37">
        <v>3</v>
      </c>
      <c r="E376" s="37">
        <v>0</v>
      </c>
      <c r="F376" s="37">
        <f t="shared" si="25"/>
        <v>122009.28</v>
      </c>
      <c r="G376" s="37">
        <f t="shared" si="22"/>
        <v>101325</v>
      </c>
      <c r="H376" s="2">
        <f t="shared" si="23"/>
        <v>-20684.28</v>
      </c>
      <c r="I376" s="2"/>
    </row>
    <row r="377" spans="1:9" x14ac:dyDescent="0.2">
      <c r="A377" s="85">
        <v>4</v>
      </c>
      <c r="B377" s="86">
        <v>44783.513101851851</v>
      </c>
      <c r="C377" s="37">
        <f t="shared" si="24"/>
        <v>213</v>
      </c>
      <c r="D377" s="37">
        <v>2</v>
      </c>
      <c r="E377" s="37">
        <v>0</v>
      </c>
      <c r="F377" s="37">
        <f t="shared" si="25"/>
        <v>115114.52</v>
      </c>
      <c r="G377" s="37">
        <f t="shared" si="22"/>
        <v>101325</v>
      </c>
      <c r="H377" s="2">
        <f t="shared" si="23"/>
        <v>-13789.520000000004</v>
      </c>
      <c r="I377" s="2"/>
    </row>
    <row r="378" spans="1:9" x14ac:dyDescent="0.2">
      <c r="A378" s="85">
        <v>4</v>
      </c>
      <c r="B378" s="86">
        <v>44783.513113425928</v>
      </c>
      <c r="C378" s="37">
        <f t="shared" si="24"/>
        <v>214</v>
      </c>
      <c r="D378" s="37">
        <v>2</v>
      </c>
      <c r="E378" s="37">
        <v>0</v>
      </c>
      <c r="F378" s="37">
        <f t="shared" si="25"/>
        <v>115114.52</v>
      </c>
      <c r="G378" s="37">
        <f t="shared" si="22"/>
        <v>101325</v>
      </c>
      <c r="H378" s="2">
        <f t="shared" si="23"/>
        <v>-13789.520000000004</v>
      </c>
      <c r="I378" s="2"/>
    </row>
    <row r="379" spans="1:9" x14ac:dyDescent="0.2">
      <c r="A379" s="85">
        <v>4</v>
      </c>
      <c r="B379" s="86">
        <v>44783.513124999998</v>
      </c>
      <c r="C379" s="37">
        <f t="shared" si="24"/>
        <v>215</v>
      </c>
      <c r="D379" s="37">
        <v>2</v>
      </c>
      <c r="E379" s="37">
        <v>0</v>
      </c>
      <c r="F379" s="37">
        <f t="shared" si="25"/>
        <v>115114.52</v>
      </c>
      <c r="G379" s="37">
        <f t="shared" si="22"/>
        <v>101325</v>
      </c>
      <c r="H379" s="2">
        <f t="shared" si="23"/>
        <v>-13789.520000000004</v>
      </c>
      <c r="I379" s="2"/>
    </row>
    <row r="380" spans="1:9" x14ac:dyDescent="0.2">
      <c r="A380" s="85">
        <v>4</v>
      </c>
      <c r="B380" s="86">
        <v>44783.513136574074</v>
      </c>
      <c r="C380" s="37">
        <f t="shared" si="24"/>
        <v>216</v>
      </c>
      <c r="D380" s="37">
        <v>2</v>
      </c>
      <c r="E380" s="37">
        <v>0</v>
      </c>
      <c r="F380" s="37">
        <f t="shared" si="25"/>
        <v>115114.52</v>
      </c>
      <c r="G380" s="37">
        <f t="shared" si="22"/>
        <v>101325</v>
      </c>
      <c r="H380" s="2">
        <f t="shared" si="23"/>
        <v>-13789.520000000004</v>
      </c>
      <c r="I380" s="2"/>
    </row>
    <row r="381" spans="1:9" x14ac:dyDescent="0.2">
      <c r="A381" s="85">
        <v>4</v>
      </c>
      <c r="B381" s="86">
        <v>44783.513148148151</v>
      </c>
      <c r="C381" s="37">
        <f t="shared" si="24"/>
        <v>217</v>
      </c>
      <c r="D381" s="37">
        <v>2</v>
      </c>
      <c r="E381" s="37">
        <v>0</v>
      </c>
      <c r="F381" s="37">
        <f t="shared" si="25"/>
        <v>115114.52</v>
      </c>
      <c r="G381" s="37">
        <f t="shared" si="22"/>
        <v>101325</v>
      </c>
      <c r="H381" s="2">
        <f t="shared" si="23"/>
        <v>-13789.520000000004</v>
      </c>
      <c r="I381" s="2"/>
    </row>
    <row r="382" spans="1:9" x14ac:dyDescent="0.2">
      <c r="A382" s="85">
        <v>4</v>
      </c>
      <c r="B382" s="86">
        <v>44783.513159722221</v>
      </c>
      <c r="C382" s="37">
        <f t="shared" si="24"/>
        <v>218</v>
      </c>
      <c r="D382" s="37">
        <v>1</v>
      </c>
      <c r="E382" s="37">
        <v>0</v>
      </c>
      <c r="F382" s="37">
        <f t="shared" si="25"/>
        <v>108219.76</v>
      </c>
      <c r="G382" s="37">
        <f t="shared" si="22"/>
        <v>101325</v>
      </c>
      <c r="H382" s="2">
        <f t="shared" si="23"/>
        <v>-6894.7599999999948</v>
      </c>
      <c r="I382" s="2"/>
    </row>
    <row r="383" spans="1:9" x14ac:dyDescent="0.2">
      <c r="A383" s="85">
        <v>4</v>
      </c>
      <c r="B383" s="86">
        <v>44783.513171296298</v>
      </c>
      <c r="C383" s="37">
        <f t="shared" si="24"/>
        <v>219</v>
      </c>
      <c r="D383" s="37">
        <v>1</v>
      </c>
      <c r="E383" s="37">
        <v>0</v>
      </c>
      <c r="F383" s="37">
        <f t="shared" si="25"/>
        <v>108219.76</v>
      </c>
      <c r="G383" s="37">
        <f t="shared" si="22"/>
        <v>101325</v>
      </c>
      <c r="H383" s="2">
        <f t="shared" si="23"/>
        <v>-6894.7599999999948</v>
      </c>
      <c r="I383" s="2"/>
    </row>
    <row r="384" spans="1:9" x14ac:dyDescent="0.2">
      <c r="A384" s="1" t="s">
        <v>19</v>
      </c>
      <c r="B384" s="8">
        <v>44783.515567129631</v>
      </c>
      <c r="C384" s="5">
        <f t="shared" si="24"/>
        <v>220</v>
      </c>
      <c r="D384" s="5">
        <v>0</v>
      </c>
      <c r="E384" s="5">
        <v>0</v>
      </c>
      <c r="F384" s="5">
        <f t="shared" si="25"/>
        <v>101325</v>
      </c>
      <c r="G384" s="75">
        <f t="shared" si="22"/>
        <v>101325</v>
      </c>
      <c r="H384" s="2">
        <f t="shared" si="23"/>
        <v>0</v>
      </c>
      <c r="I384" s="2"/>
    </row>
    <row r="385" spans="1:9" x14ac:dyDescent="0.2">
      <c r="A385" s="1" t="s">
        <v>19</v>
      </c>
      <c r="B385" s="8">
        <v>44783.5155787037</v>
      </c>
      <c r="C385" s="5">
        <f t="shared" si="24"/>
        <v>221</v>
      </c>
      <c r="D385" s="5">
        <v>0</v>
      </c>
      <c r="E385" s="5">
        <v>0</v>
      </c>
      <c r="F385" s="5">
        <f t="shared" si="25"/>
        <v>101325</v>
      </c>
      <c r="G385" s="11">
        <f t="shared" si="22"/>
        <v>101325</v>
      </c>
      <c r="H385" s="2">
        <f t="shared" si="23"/>
        <v>0</v>
      </c>
      <c r="I385" s="2"/>
    </row>
    <row r="386" spans="1:9" x14ac:dyDescent="0.2">
      <c r="A386" s="1" t="s">
        <v>19</v>
      </c>
      <c r="B386" s="8">
        <v>44783.515590277777</v>
      </c>
      <c r="C386" s="5">
        <f t="shared" si="24"/>
        <v>222</v>
      </c>
      <c r="D386" s="5">
        <v>1</v>
      </c>
      <c r="E386" s="5">
        <v>0</v>
      </c>
      <c r="F386" s="5">
        <f t="shared" si="25"/>
        <v>108219.76</v>
      </c>
      <c r="G386" s="11">
        <f t="shared" si="22"/>
        <v>101325</v>
      </c>
      <c r="H386" s="2">
        <f t="shared" si="23"/>
        <v>-6894.7599999999948</v>
      </c>
      <c r="I386" s="2"/>
    </row>
    <row r="387" spans="1:9" x14ac:dyDescent="0.2">
      <c r="A387" s="1" t="s">
        <v>19</v>
      </c>
      <c r="B387" s="8">
        <v>44783.515601851854</v>
      </c>
      <c r="C387" s="5">
        <f t="shared" si="24"/>
        <v>223</v>
      </c>
      <c r="D387" s="5">
        <v>40</v>
      </c>
      <c r="E387" s="5">
        <v>2</v>
      </c>
      <c r="F387" s="5">
        <f t="shared" si="25"/>
        <v>377115.4</v>
      </c>
      <c r="G387" s="11">
        <f t="shared" si="22"/>
        <v>115114.52</v>
      </c>
      <c r="H387" s="2">
        <f t="shared" si="23"/>
        <v>-262000.88</v>
      </c>
      <c r="I387" s="2"/>
    </row>
    <row r="388" spans="1:9" x14ac:dyDescent="0.2">
      <c r="A388" s="1" t="s">
        <v>19</v>
      </c>
      <c r="B388" s="8">
        <v>44783.515613425923</v>
      </c>
      <c r="C388" s="5">
        <f t="shared" si="24"/>
        <v>224</v>
      </c>
      <c r="D388" s="5">
        <v>119</v>
      </c>
      <c r="E388" s="5">
        <v>25</v>
      </c>
      <c r="F388" s="5">
        <f t="shared" si="25"/>
        <v>921801.44000000006</v>
      </c>
      <c r="G388" s="11">
        <f t="shared" si="22"/>
        <v>273694</v>
      </c>
      <c r="H388" s="2">
        <f t="shared" si="23"/>
        <v>-648107.44000000006</v>
      </c>
      <c r="I388" s="2"/>
    </row>
    <row r="389" spans="1:9" x14ac:dyDescent="0.2">
      <c r="A389" s="1" t="s">
        <v>19</v>
      </c>
      <c r="B389" s="8">
        <v>44783.515625</v>
      </c>
      <c r="C389" s="5">
        <f t="shared" si="24"/>
        <v>225</v>
      </c>
      <c r="D389" s="5">
        <v>172</v>
      </c>
      <c r="E389" s="5">
        <v>57</v>
      </c>
      <c r="F389" s="5">
        <f t="shared" si="25"/>
        <v>1287223.72</v>
      </c>
      <c r="G389" s="11">
        <f t="shared" si="22"/>
        <v>494326.32</v>
      </c>
      <c r="H389" s="2">
        <f t="shared" si="23"/>
        <v>-792897.39999999991</v>
      </c>
      <c r="I389" s="2"/>
    </row>
    <row r="390" spans="1:9" x14ac:dyDescent="0.2">
      <c r="A390" s="1" t="s">
        <v>19</v>
      </c>
      <c r="B390" s="8">
        <v>44783.515636574077</v>
      </c>
      <c r="C390" s="5">
        <f t="shared" si="24"/>
        <v>226</v>
      </c>
      <c r="D390" s="5">
        <v>230</v>
      </c>
      <c r="E390" s="5">
        <v>104</v>
      </c>
      <c r="F390" s="5">
        <f t="shared" si="25"/>
        <v>1687119.8</v>
      </c>
      <c r="G390" s="11">
        <f t="shared" si="22"/>
        <v>818380.04</v>
      </c>
      <c r="H390" s="2">
        <f t="shared" si="23"/>
        <v>-868739.76</v>
      </c>
      <c r="I390" s="2"/>
    </row>
    <row r="391" spans="1:9" x14ac:dyDescent="0.2">
      <c r="A391" s="1" t="s">
        <v>19</v>
      </c>
      <c r="B391" s="8">
        <v>44783.515648148146</v>
      </c>
      <c r="C391" s="5">
        <f t="shared" si="24"/>
        <v>227</v>
      </c>
      <c r="D391" s="5">
        <v>259</v>
      </c>
      <c r="E391" s="5">
        <v>160</v>
      </c>
      <c r="F391" s="5">
        <f t="shared" si="25"/>
        <v>1887067.84</v>
      </c>
      <c r="G391" s="11">
        <f t="shared" si="22"/>
        <v>1204486.6000000001</v>
      </c>
      <c r="H391" s="2">
        <f t="shared" si="23"/>
        <v>-682581.24</v>
      </c>
      <c r="I391" s="2"/>
    </row>
    <row r="392" spans="1:9" x14ac:dyDescent="0.2">
      <c r="A392" s="1" t="s">
        <v>19</v>
      </c>
      <c r="B392" s="8">
        <v>44783.515659722223</v>
      </c>
      <c r="C392" s="5">
        <f t="shared" si="24"/>
        <v>228</v>
      </c>
      <c r="D392" s="5">
        <v>305</v>
      </c>
      <c r="E392" s="5">
        <v>215</v>
      </c>
      <c r="F392" s="5">
        <f t="shared" si="25"/>
        <v>2204226.8000000003</v>
      </c>
      <c r="G392" s="11">
        <f t="shared" si="22"/>
        <v>1583698.4000000001</v>
      </c>
      <c r="H392" s="2">
        <f t="shared" si="23"/>
        <v>-620528.40000000014</v>
      </c>
      <c r="I392" s="2"/>
    </row>
    <row r="393" spans="1:9" x14ac:dyDescent="0.2">
      <c r="A393" s="1" t="s">
        <v>19</v>
      </c>
      <c r="B393" s="8">
        <v>44783.5156712963</v>
      </c>
      <c r="C393" s="5">
        <f t="shared" si="24"/>
        <v>229</v>
      </c>
      <c r="D393" s="5">
        <v>348</v>
      </c>
      <c r="E393" s="5">
        <v>274</v>
      </c>
      <c r="F393" s="5">
        <f t="shared" si="25"/>
        <v>2500701.48</v>
      </c>
      <c r="G393" s="11">
        <f t="shared" si="22"/>
        <v>1990489.24</v>
      </c>
      <c r="H393" s="2">
        <f t="shared" si="23"/>
        <v>-510212.24</v>
      </c>
      <c r="I393" s="2"/>
    </row>
    <row r="394" spans="1:9" x14ac:dyDescent="0.2">
      <c r="A394" s="1" t="s">
        <v>19</v>
      </c>
      <c r="B394" s="8">
        <v>44783.515682870369</v>
      </c>
      <c r="C394" s="5">
        <f t="shared" si="24"/>
        <v>230</v>
      </c>
      <c r="D394" s="5">
        <v>395</v>
      </c>
      <c r="E394" s="5">
        <v>329</v>
      </c>
      <c r="F394" s="5">
        <f t="shared" si="25"/>
        <v>2824755.2000000002</v>
      </c>
      <c r="G394" s="11">
        <f t="shared" si="22"/>
        <v>2369701.04</v>
      </c>
      <c r="H394" s="2">
        <f t="shared" si="23"/>
        <v>-455054.16000000015</v>
      </c>
      <c r="I394" s="2"/>
    </row>
    <row r="395" spans="1:9" x14ac:dyDescent="0.2">
      <c r="A395" s="1" t="s">
        <v>19</v>
      </c>
      <c r="B395" s="8">
        <v>44783.515694444446</v>
      </c>
      <c r="C395" s="5">
        <f t="shared" si="24"/>
        <v>231</v>
      </c>
      <c r="D395" s="5">
        <v>456</v>
      </c>
      <c r="E395" s="5">
        <v>388</v>
      </c>
      <c r="F395" s="5">
        <f t="shared" si="25"/>
        <v>3245335.56</v>
      </c>
      <c r="G395" s="11">
        <f t="shared" si="22"/>
        <v>2776491.88</v>
      </c>
      <c r="H395" s="2">
        <f t="shared" si="23"/>
        <v>-468843.68000000017</v>
      </c>
      <c r="I395" s="2"/>
    </row>
    <row r="396" spans="1:9" x14ac:dyDescent="0.2">
      <c r="A396" s="1" t="s">
        <v>19</v>
      </c>
      <c r="B396" s="8">
        <v>44783.515706018516</v>
      </c>
      <c r="C396" s="5">
        <f t="shared" si="24"/>
        <v>232</v>
      </c>
      <c r="D396" s="5">
        <v>487</v>
      </c>
      <c r="E396" s="5">
        <v>446</v>
      </c>
      <c r="F396" s="5">
        <f t="shared" si="25"/>
        <v>3459073.12</v>
      </c>
      <c r="G396" s="11">
        <f t="shared" ref="G396:G459" si="26">E396*6894.76 +101325</f>
        <v>3176387.96</v>
      </c>
      <c r="H396" s="2">
        <f t="shared" ref="H396:H459" si="27">G396-F396</f>
        <v>-282685.16000000015</v>
      </c>
      <c r="I396" s="2"/>
    </row>
    <row r="397" spans="1:9" x14ac:dyDescent="0.2">
      <c r="A397" s="1" t="s">
        <v>19</v>
      </c>
      <c r="B397" s="8">
        <v>44783.515717592592</v>
      </c>
      <c r="C397" s="5">
        <f t="shared" ref="C397:C460" si="28">C396+1</f>
        <v>233</v>
      </c>
      <c r="D397" s="5">
        <v>537</v>
      </c>
      <c r="E397" s="5">
        <v>495</v>
      </c>
      <c r="F397" s="5">
        <f t="shared" si="25"/>
        <v>3803811.12</v>
      </c>
      <c r="G397" s="11">
        <f t="shared" si="26"/>
        <v>3514231.2</v>
      </c>
      <c r="H397" s="2">
        <f t="shared" si="27"/>
        <v>-289579.91999999993</v>
      </c>
      <c r="I397" s="2"/>
    </row>
    <row r="398" spans="1:9" x14ac:dyDescent="0.2">
      <c r="A398" s="1" t="s">
        <v>19</v>
      </c>
      <c r="B398" s="8">
        <v>44783.515729166669</v>
      </c>
      <c r="C398" s="5">
        <f t="shared" si="28"/>
        <v>234</v>
      </c>
      <c r="D398" s="5">
        <v>576</v>
      </c>
      <c r="E398" s="5">
        <v>545</v>
      </c>
      <c r="F398" s="5">
        <f t="shared" si="25"/>
        <v>4072706.7600000002</v>
      </c>
      <c r="G398" s="11">
        <f t="shared" si="26"/>
        <v>3858969.2</v>
      </c>
      <c r="H398" s="2">
        <f t="shared" si="27"/>
        <v>-213737.56000000006</v>
      </c>
      <c r="I398" s="2"/>
    </row>
    <row r="399" spans="1:9" x14ac:dyDescent="0.2">
      <c r="A399" s="1" t="s">
        <v>19</v>
      </c>
      <c r="B399" s="8">
        <v>44783.515740740739</v>
      </c>
      <c r="C399" s="5">
        <f t="shared" si="28"/>
        <v>235</v>
      </c>
      <c r="D399" s="5">
        <v>597</v>
      </c>
      <c r="E399" s="5">
        <v>581</v>
      </c>
      <c r="F399" s="5">
        <f t="shared" si="25"/>
        <v>4217496.7200000007</v>
      </c>
      <c r="G399" s="11">
        <f t="shared" si="26"/>
        <v>4107180.56</v>
      </c>
      <c r="H399" s="2">
        <f t="shared" si="27"/>
        <v>-110316.16000000061</v>
      </c>
      <c r="I399" s="2"/>
    </row>
    <row r="400" spans="1:9" x14ac:dyDescent="0.2">
      <c r="A400" s="1" t="s">
        <v>19</v>
      </c>
      <c r="B400" s="8">
        <v>44783.515752314815</v>
      </c>
      <c r="C400" s="5">
        <f t="shared" si="28"/>
        <v>236</v>
      </c>
      <c r="D400" s="5">
        <v>632</v>
      </c>
      <c r="E400" s="5">
        <v>612</v>
      </c>
      <c r="F400" s="5">
        <f t="shared" si="25"/>
        <v>4458813.32</v>
      </c>
      <c r="G400" s="11">
        <f t="shared" si="26"/>
        <v>4320918.12</v>
      </c>
      <c r="H400" s="2">
        <f t="shared" si="27"/>
        <v>-137895.20000000019</v>
      </c>
      <c r="I400" s="2"/>
    </row>
    <row r="401" spans="1:9" x14ac:dyDescent="0.2">
      <c r="A401" s="1" t="s">
        <v>19</v>
      </c>
      <c r="B401" s="8">
        <v>44783.515763888892</v>
      </c>
      <c r="C401" s="5">
        <f t="shared" si="28"/>
        <v>237</v>
      </c>
      <c r="D401" s="5">
        <v>663</v>
      </c>
      <c r="E401" s="5">
        <v>653</v>
      </c>
      <c r="F401" s="5">
        <f t="shared" si="25"/>
        <v>4672550.88</v>
      </c>
      <c r="G401" s="11">
        <f t="shared" si="26"/>
        <v>4603603.28</v>
      </c>
      <c r="H401" s="2">
        <f t="shared" si="27"/>
        <v>-68947.599999999627</v>
      </c>
      <c r="I401" s="2"/>
    </row>
    <row r="402" spans="1:9" x14ac:dyDescent="0.2">
      <c r="A402" s="1" t="s">
        <v>19</v>
      </c>
      <c r="B402" s="8">
        <v>44783.515775462962</v>
      </c>
      <c r="C402" s="5">
        <f t="shared" si="28"/>
        <v>238</v>
      </c>
      <c r="D402" s="5">
        <v>683</v>
      </c>
      <c r="E402" s="5">
        <v>681</v>
      </c>
      <c r="F402" s="5">
        <f t="shared" ref="F402:F465" si="29">D402*6894.76 +101325</f>
        <v>4810446.08</v>
      </c>
      <c r="G402" s="11">
        <f t="shared" si="26"/>
        <v>4796656.5600000005</v>
      </c>
      <c r="H402" s="2">
        <f t="shared" si="27"/>
        <v>-13789.519999999553</v>
      </c>
      <c r="I402" s="2"/>
    </row>
    <row r="403" spans="1:9" x14ac:dyDescent="0.2">
      <c r="A403" s="1" t="s">
        <v>19</v>
      </c>
      <c r="B403" s="8">
        <v>44783.515787037039</v>
      </c>
      <c r="C403" s="5">
        <f t="shared" si="28"/>
        <v>239</v>
      </c>
      <c r="D403" s="5">
        <v>705</v>
      </c>
      <c r="E403" s="5">
        <v>694</v>
      </c>
      <c r="F403" s="5">
        <f t="shared" si="29"/>
        <v>4962130.8</v>
      </c>
      <c r="G403" s="11">
        <f t="shared" si="26"/>
        <v>4886288.4400000004</v>
      </c>
      <c r="H403" s="2">
        <f t="shared" si="27"/>
        <v>-75842.359999999404</v>
      </c>
      <c r="I403" s="2"/>
    </row>
    <row r="404" spans="1:9" x14ac:dyDescent="0.2">
      <c r="A404" s="1" t="s">
        <v>19</v>
      </c>
      <c r="B404" s="8">
        <v>44783.515798611108</v>
      </c>
      <c r="C404" s="5">
        <f t="shared" si="28"/>
        <v>240</v>
      </c>
      <c r="D404" s="5">
        <v>732</v>
      </c>
      <c r="E404" s="5">
        <v>728</v>
      </c>
      <c r="F404" s="5">
        <f t="shared" si="29"/>
        <v>5148289.32</v>
      </c>
      <c r="G404" s="11">
        <f t="shared" si="26"/>
        <v>5120710.28</v>
      </c>
      <c r="H404" s="2">
        <f t="shared" si="27"/>
        <v>-27579.040000000037</v>
      </c>
      <c r="I404" s="2"/>
    </row>
    <row r="405" spans="1:9" x14ac:dyDescent="0.2">
      <c r="A405" s="1" t="s">
        <v>19</v>
      </c>
      <c r="B405" s="8">
        <v>44783.515810185185</v>
      </c>
      <c r="C405" s="5">
        <f t="shared" si="28"/>
        <v>241</v>
      </c>
      <c r="D405" s="5">
        <v>752</v>
      </c>
      <c r="E405" s="5">
        <v>748</v>
      </c>
      <c r="F405" s="5">
        <f t="shared" si="29"/>
        <v>5286184.5200000005</v>
      </c>
      <c r="G405" s="11">
        <f t="shared" si="26"/>
        <v>5258605.4800000004</v>
      </c>
      <c r="H405" s="2">
        <f t="shared" si="27"/>
        <v>-27579.040000000037</v>
      </c>
      <c r="I405" s="2"/>
    </row>
    <row r="406" spans="1:9" x14ac:dyDescent="0.2">
      <c r="A406" s="1" t="s">
        <v>19</v>
      </c>
      <c r="B406" s="8">
        <v>44783.515821759262</v>
      </c>
      <c r="C406" s="5">
        <f t="shared" si="28"/>
        <v>242</v>
      </c>
      <c r="D406" s="5">
        <v>760</v>
      </c>
      <c r="E406" s="5">
        <v>757</v>
      </c>
      <c r="F406" s="5">
        <f t="shared" si="29"/>
        <v>5341342.6000000006</v>
      </c>
      <c r="G406" s="11">
        <f t="shared" si="26"/>
        <v>5320658.32</v>
      </c>
      <c r="H406" s="2">
        <f t="shared" si="27"/>
        <v>-20684.280000000261</v>
      </c>
      <c r="I406" s="2"/>
    </row>
    <row r="407" spans="1:9" x14ac:dyDescent="0.2">
      <c r="A407" s="1" t="s">
        <v>19</v>
      </c>
      <c r="B407" s="8">
        <v>44783.515833333331</v>
      </c>
      <c r="C407" s="5">
        <f t="shared" si="28"/>
        <v>243</v>
      </c>
      <c r="D407" s="5">
        <v>766</v>
      </c>
      <c r="E407" s="5">
        <v>765</v>
      </c>
      <c r="F407" s="5">
        <f t="shared" si="29"/>
        <v>5382711.1600000001</v>
      </c>
      <c r="G407" s="11">
        <f t="shared" si="26"/>
        <v>5375816.4000000004</v>
      </c>
      <c r="H407" s="2">
        <f t="shared" si="27"/>
        <v>-6894.7599999997765</v>
      </c>
      <c r="I407" s="2"/>
    </row>
    <row r="408" spans="1:9" x14ac:dyDescent="0.2">
      <c r="A408" s="1" t="s">
        <v>19</v>
      </c>
      <c r="B408" s="8">
        <v>44783.515844907408</v>
      </c>
      <c r="C408" s="5">
        <f t="shared" si="28"/>
        <v>244</v>
      </c>
      <c r="D408" s="5">
        <v>769</v>
      </c>
      <c r="E408" s="5">
        <v>768</v>
      </c>
      <c r="F408" s="5">
        <f t="shared" si="29"/>
        <v>5403395.4400000004</v>
      </c>
      <c r="G408" s="11">
        <f t="shared" si="26"/>
        <v>5396500.6799999997</v>
      </c>
      <c r="H408" s="2">
        <f t="shared" si="27"/>
        <v>-6894.7600000007078</v>
      </c>
      <c r="I408" s="2"/>
    </row>
    <row r="409" spans="1:9" x14ac:dyDescent="0.2">
      <c r="A409" s="1" t="s">
        <v>19</v>
      </c>
      <c r="B409" s="8">
        <v>44783.515856481485</v>
      </c>
      <c r="C409" s="5">
        <f t="shared" si="28"/>
        <v>245</v>
      </c>
      <c r="D409" s="5">
        <v>783</v>
      </c>
      <c r="E409" s="5">
        <v>783</v>
      </c>
      <c r="F409" s="5">
        <f t="shared" si="29"/>
        <v>5499922.0800000001</v>
      </c>
      <c r="G409" s="11">
        <f t="shared" si="26"/>
        <v>5499922.0800000001</v>
      </c>
      <c r="H409" s="2">
        <f t="shared" si="27"/>
        <v>0</v>
      </c>
      <c r="I409" s="2"/>
    </row>
    <row r="410" spans="1:9" x14ac:dyDescent="0.2">
      <c r="A410" s="1" t="s">
        <v>19</v>
      </c>
      <c r="B410" s="8">
        <v>44783.515868055554</v>
      </c>
      <c r="C410" s="5">
        <f t="shared" si="28"/>
        <v>246</v>
      </c>
      <c r="D410" s="5">
        <v>793</v>
      </c>
      <c r="E410" s="5">
        <v>792</v>
      </c>
      <c r="F410" s="5">
        <f t="shared" si="29"/>
        <v>5568869.6800000006</v>
      </c>
      <c r="G410" s="11">
        <f t="shared" si="26"/>
        <v>5561974.9199999999</v>
      </c>
      <c r="H410" s="2">
        <f t="shared" si="27"/>
        <v>-6894.7600000007078</v>
      </c>
      <c r="I410" s="2"/>
    </row>
    <row r="411" spans="1:9" x14ac:dyDescent="0.2">
      <c r="A411" s="1" t="s">
        <v>19</v>
      </c>
      <c r="B411" s="8">
        <v>44783.515879629631</v>
      </c>
      <c r="C411" s="5">
        <f t="shared" si="28"/>
        <v>247</v>
      </c>
      <c r="D411" s="5">
        <v>797</v>
      </c>
      <c r="E411" s="5">
        <v>797</v>
      </c>
      <c r="F411" s="5">
        <f t="shared" si="29"/>
        <v>5596448.7199999997</v>
      </c>
      <c r="G411" s="11">
        <f t="shared" si="26"/>
        <v>5596448.7199999997</v>
      </c>
      <c r="H411" s="2">
        <f t="shared" si="27"/>
        <v>0</v>
      </c>
      <c r="I411" s="2"/>
    </row>
    <row r="412" spans="1:9" x14ac:dyDescent="0.2">
      <c r="A412" s="1" t="s">
        <v>19</v>
      </c>
      <c r="B412" s="8">
        <v>44783.5158912037</v>
      </c>
      <c r="C412" s="5">
        <f t="shared" si="28"/>
        <v>248</v>
      </c>
      <c r="D412" s="5">
        <v>798</v>
      </c>
      <c r="E412" s="5">
        <v>799</v>
      </c>
      <c r="F412" s="5">
        <f t="shared" si="29"/>
        <v>5603343.4800000004</v>
      </c>
      <c r="G412" s="11">
        <f t="shared" si="26"/>
        <v>5610238.2400000002</v>
      </c>
      <c r="H412" s="2">
        <f t="shared" si="27"/>
        <v>6894.7599999997765</v>
      </c>
      <c r="I412" s="2"/>
    </row>
    <row r="413" spans="1:9" x14ac:dyDescent="0.2">
      <c r="A413" s="1" t="s">
        <v>19</v>
      </c>
      <c r="B413" s="8">
        <v>44783.515902777777</v>
      </c>
      <c r="C413" s="5">
        <f t="shared" si="28"/>
        <v>249</v>
      </c>
      <c r="D413" s="5">
        <v>797</v>
      </c>
      <c r="E413" s="5">
        <v>798</v>
      </c>
      <c r="F413" s="5">
        <f t="shared" si="29"/>
        <v>5596448.7199999997</v>
      </c>
      <c r="G413" s="11">
        <f t="shared" si="26"/>
        <v>5603343.4800000004</v>
      </c>
      <c r="H413" s="2">
        <f t="shared" si="27"/>
        <v>6894.7600000007078</v>
      </c>
      <c r="I413" s="2"/>
    </row>
    <row r="414" spans="1:9" x14ac:dyDescent="0.2">
      <c r="A414" s="1" t="s">
        <v>19</v>
      </c>
      <c r="B414" s="8">
        <v>44783.515914351854</v>
      </c>
      <c r="C414" s="5">
        <f t="shared" si="28"/>
        <v>250</v>
      </c>
      <c r="D414" s="5">
        <v>797</v>
      </c>
      <c r="E414" s="5">
        <v>798</v>
      </c>
      <c r="F414" s="5">
        <f t="shared" si="29"/>
        <v>5596448.7199999997</v>
      </c>
      <c r="G414" s="11">
        <f t="shared" si="26"/>
        <v>5603343.4800000004</v>
      </c>
      <c r="H414" s="2">
        <f t="shared" si="27"/>
        <v>6894.7600000007078</v>
      </c>
      <c r="I414" s="2"/>
    </row>
    <row r="415" spans="1:9" x14ac:dyDescent="0.2">
      <c r="A415" s="1" t="s">
        <v>19</v>
      </c>
      <c r="B415" s="8">
        <v>44783.515925925924</v>
      </c>
      <c r="C415" s="5">
        <f t="shared" si="28"/>
        <v>251</v>
      </c>
      <c r="D415" s="5">
        <v>797</v>
      </c>
      <c r="E415" s="5">
        <v>798</v>
      </c>
      <c r="F415" s="5">
        <f t="shared" si="29"/>
        <v>5596448.7199999997</v>
      </c>
      <c r="G415" s="11">
        <f t="shared" si="26"/>
        <v>5603343.4800000004</v>
      </c>
      <c r="H415" s="2">
        <f t="shared" si="27"/>
        <v>6894.7600000007078</v>
      </c>
      <c r="I415" s="2"/>
    </row>
    <row r="416" spans="1:9" x14ac:dyDescent="0.2">
      <c r="A416" s="1" t="s">
        <v>19</v>
      </c>
      <c r="B416" s="8">
        <v>44783.5159375</v>
      </c>
      <c r="C416" s="5">
        <f t="shared" si="28"/>
        <v>252</v>
      </c>
      <c r="D416" s="5">
        <v>796</v>
      </c>
      <c r="E416" s="5">
        <v>797</v>
      </c>
      <c r="F416" s="5">
        <f t="shared" si="29"/>
        <v>5589553.96</v>
      </c>
      <c r="G416" s="11">
        <f t="shared" si="26"/>
        <v>5596448.7199999997</v>
      </c>
      <c r="H416" s="2">
        <f t="shared" si="27"/>
        <v>6894.7599999997765</v>
      </c>
      <c r="I416" s="2"/>
    </row>
    <row r="417" spans="1:9" x14ac:dyDescent="0.2">
      <c r="A417" s="1" t="s">
        <v>19</v>
      </c>
      <c r="B417" s="8">
        <v>44783.515949074077</v>
      </c>
      <c r="C417" s="5">
        <f t="shared" si="28"/>
        <v>253</v>
      </c>
      <c r="D417" s="5">
        <v>796</v>
      </c>
      <c r="E417" s="5">
        <v>797</v>
      </c>
      <c r="F417" s="5">
        <f t="shared" si="29"/>
        <v>5589553.96</v>
      </c>
      <c r="G417" s="11">
        <f t="shared" si="26"/>
        <v>5596448.7199999997</v>
      </c>
      <c r="H417" s="2">
        <f t="shared" si="27"/>
        <v>6894.7599999997765</v>
      </c>
      <c r="I417" s="2"/>
    </row>
    <row r="418" spans="1:9" x14ac:dyDescent="0.2">
      <c r="A418" s="1" t="s">
        <v>19</v>
      </c>
      <c r="B418" s="8">
        <v>44783.515960648147</v>
      </c>
      <c r="C418" s="5">
        <f t="shared" si="28"/>
        <v>254</v>
      </c>
      <c r="D418" s="5">
        <v>796</v>
      </c>
      <c r="E418" s="5">
        <v>797</v>
      </c>
      <c r="F418" s="5">
        <f t="shared" si="29"/>
        <v>5589553.96</v>
      </c>
      <c r="G418" s="11">
        <f t="shared" si="26"/>
        <v>5596448.7199999997</v>
      </c>
      <c r="H418" s="2">
        <f t="shared" si="27"/>
        <v>6894.7599999997765</v>
      </c>
      <c r="I418" s="2"/>
    </row>
    <row r="419" spans="1:9" x14ac:dyDescent="0.2">
      <c r="A419" s="1" t="s">
        <v>19</v>
      </c>
      <c r="B419" s="8">
        <v>44783.515972222223</v>
      </c>
      <c r="C419" s="5">
        <f t="shared" si="28"/>
        <v>255</v>
      </c>
      <c r="D419" s="5">
        <v>795</v>
      </c>
      <c r="E419" s="5">
        <v>796</v>
      </c>
      <c r="F419" s="5">
        <f t="shared" si="29"/>
        <v>5582659.2000000002</v>
      </c>
      <c r="G419" s="11">
        <f t="shared" si="26"/>
        <v>5589553.96</v>
      </c>
      <c r="H419" s="2">
        <f t="shared" si="27"/>
        <v>6894.7599999997765</v>
      </c>
      <c r="I419" s="2"/>
    </row>
    <row r="420" spans="1:9" x14ac:dyDescent="0.2">
      <c r="A420" s="1" t="s">
        <v>19</v>
      </c>
      <c r="B420" s="8">
        <v>44783.515983796293</v>
      </c>
      <c r="C420" s="5">
        <f t="shared" si="28"/>
        <v>256</v>
      </c>
      <c r="D420" s="5">
        <v>795</v>
      </c>
      <c r="E420" s="5">
        <v>796</v>
      </c>
      <c r="F420" s="5">
        <f t="shared" si="29"/>
        <v>5582659.2000000002</v>
      </c>
      <c r="G420" s="11">
        <f t="shared" si="26"/>
        <v>5589553.96</v>
      </c>
      <c r="H420" s="2">
        <f t="shared" si="27"/>
        <v>6894.7599999997765</v>
      </c>
      <c r="I420" s="2"/>
    </row>
    <row r="421" spans="1:9" x14ac:dyDescent="0.2">
      <c r="A421" s="1" t="s">
        <v>19</v>
      </c>
      <c r="B421" s="8">
        <v>44783.51599537037</v>
      </c>
      <c r="C421" s="5">
        <f t="shared" si="28"/>
        <v>257</v>
      </c>
      <c r="D421" s="5">
        <v>795</v>
      </c>
      <c r="E421" s="5">
        <v>796</v>
      </c>
      <c r="F421" s="5">
        <f t="shared" si="29"/>
        <v>5582659.2000000002</v>
      </c>
      <c r="G421" s="11">
        <f t="shared" si="26"/>
        <v>5589553.96</v>
      </c>
      <c r="H421" s="2">
        <f t="shared" si="27"/>
        <v>6894.7599999997765</v>
      </c>
      <c r="I421" s="2"/>
    </row>
    <row r="422" spans="1:9" x14ac:dyDescent="0.2">
      <c r="A422" s="1" t="s">
        <v>19</v>
      </c>
      <c r="B422" s="8">
        <v>44783.516006944446</v>
      </c>
      <c r="C422" s="5">
        <f t="shared" si="28"/>
        <v>258</v>
      </c>
      <c r="D422" s="5">
        <v>795</v>
      </c>
      <c r="E422" s="5">
        <v>796</v>
      </c>
      <c r="F422" s="5">
        <f t="shared" si="29"/>
        <v>5582659.2000000002</v>
      </c>
      <c r="G422" s="11">
        <f t="shared" si="26"/>
        <v>5589553.96</v>
      </c>
      <c r="H422" s="2">
        <f t="shared" si="27"/>
        <v>6894.7599999997765</v>
      </c>
      <c r="I422" s="2"/>
    </row>
    <row r="423" spans="1:9" x14ac:dyDescent="0.2">
      <c r="A423" s="1" t="s">
        <v>19</v>
      </c>
      <c r="B423" s="8">
        <v>44783.516018518516</v>
      </c>
      <c r="C423" s="5">
        <f t="shared" si="28"/>
        <v>259</v>
      </c>
      <c r="D423" s="5">
        <v>795</v>
      </c>
      <c r="E423" s="5">
        <v>796</v>
      </c>
      <c r="F423" s="5">
        <f t="shared" si="29"/>
        <v>5582659.2000000002</v>
      </c>
      <c r="G423" s="11">
        <f t="shared" si="26"/>
        <v>5589553.96</v>
      </c>
      <c r="H423" s="2">
        <f t="shared" si="27"/>
        <v>6894.7599999997765</v>
      </c>
      <c r="I423" s="2"/>
    </row>
    <row r="424" spans="1:9" x14ac:dyDescent="0.2">
      <c r="A424" s="1" t="s">
        <v>19</v>
      </c>
      <c r="B424" s="8">
        <v>44783.516030092593</v>
      </c>
      <c r="C424" s="5">
        <f t="shared" si="28"/>
        <v>260</v>
      </c>
      <c r="D424" s="5">
        <v>798</v>
      </c>
      <c r="E424" s="5">
        <v>799</v>
      </c>
      <c r="F424" s="5">
        <f t="shared" si="29"/>
        <v>5603343.4800000004</v>
      </c>
      <c r="G424" s="11">
        <f t="shared" si="26"/>
        <v>5610238.2400000002</v>
      </c>
      <c r="H424" s="2">
        <f t="shared" si="27"/>
        <v>6894.7599999997765</v>
      </c>
      <c r="I424" s="2"/>
    </row>
    <row r="425" spans="1:9" x14ac:dyDescent="0.2">
      <c r="A425" s="1" t="s">
        <v>19</v>
      </c>
      <c r="B425" s="8">
        <v>44783.516041666669</v>
      </c>
      <c r="C425" s="5">
        <f t="shared" si="28"/>
        <v>261</v>
      </c>
      <c r="D425" s="5">
        <v>807</v>
      </c>
      <c r="E425" s="5">
        <v>806</v>
      </c>
      <c r="F425" s="5">
        <f t="shared" si="29"/>
        <v>5665396.3200000003</v>
      </c>
      <c r="G425" s="11">
        <f t="shared" si="26"/>
        <v>5658501.5600000005</v>
      </c>
      <c r="H425" s="2">
        <f t="shared" si="27"/>
        <v>-6894.7599999997765</v>
      </c>
      <c r="I425" s="2"/>
    </row>
    <row r="426" spans="1:9" x14ac:dyDescent="0.2">
      <c r="A426" s="1" t="s">
        <v>19</v>
      </c>
      <c r="B426" s="8">
        <v>44783.516053240739</v>
      </c>
      <c r="C426" s="5">
        <f t="shared" si="28"/>
        <v>262</v>
      </c>
      <c r="D426" s="5">
        <v>812</v>
      </c>
      <c r="E426" s="5">
        <v>813</v>
      </c>
      <c r="F426" s="5">
        <f t="shared" si="29"/>
        <v>5699870.1200000001</v>
      </c>
      <c r="G426" s="11">
        <f t="shared" si="26"/>
        <v>5706764.8799999999</v>
      </c>
      <c r="H426" s="2">
        <f t="shared" si="27"/>
        <v>6894.7599999997765</v>
      </c>
      <c r="I426" s="2"/>
    </row>
    <row r="427" spans="1:9" x14ac:dyDescent="0.2">
      <c r="A427" s="1" t="s">
        <v>19</v>
      </c>
      <c r="B427" s="8">
        <v>44783.516064814816</v>
      </c>
      <c r="C427" s="5">
        <f t="shared" si="28"/>
        <v>263</v>
      </c>
      <c r="D427" s="5">
        <v>814</v>
      </c>
      <c r="E427" s="5">
        <v>815</v>
      </c>
      <c r="F427" s="5">
        <f t="shared" si="29"/>
        <v>5713659.6400000006</v>
      </c>
      <c r="G427" s="11">
        <f t="shared" si="26"/>
        <v>5720554.4000000004</v>
      </c>
      <c r="H427" s="2">
        <f t="shared" si="27"/>
        <v>6894.7599999997765</v>
      </c>
      <c r="I427" s="2"/>
    </row>
    <row r="428" spans="1:9" x14ac:dyDescent="0.2">
      <c r="A428" s="1" t="s">
        <v>19</v>
      </c>
      <c r="B428" s="8">
        <v>44783.516076388885</v>
      </c>
      <c r="C428" s="5">
        <f t="shared" si="28"/>
        <v>264</v>
      </c>
      <c r="D428" s="5">
        <v>814</v>
      </c>
      <c r="E428" s="5">
        <v>814</v>
      </c>
      <c r="F428" s="5">
        <f t="shared" si="29"/>
        <v>5713659.6400000006</v>
      </c>
      <c r="G428" s="11">
        <f t="shared" si="26"/>
        <v>5713659.6400000006</v>
      </c>
      <c r="H428" s="2">
        <f t="shared" si="27"/>
        <v>0</v>
      </c>
      <c r="I428" s="2"/>
    </row>
    <row r="429" spans="1:9" x14ac:dyDescent="0.2">
      <c r="A429" s="1" t="s">
        <v>19</v>
      </c>
      <c r="B429" s="8">
        <v>44783.516087962962</v>
      </c>
      <c r="C429" s="5">
        <f t="shared" si="28"/>
        <v>265</v>
      </c>
      <c r="D429" s="5">
        <v>813</v>
      </c>
      <c r="E429" s="5">
        <v>814</v>
      </c>
      <c r="F429" s="5">
        <f t="shared" si="29"/>
        <v>5706764.8799999999</v>
      </c>
      <c r="G429" s="11">
        <f t="shared" si="26"/>
        <v>5713659.6400000006</v>
      </c>
      <c r="H429" s="2">
        <f t="shared" si="27"/>
        <v>6894.7600000007078</v>
      </c>
      <c r="I429" s="2"/>
    </row>
    <row r="430" spans="1:9" x14ac:dyDescent="0.2">
      <c r="A430" s="1" t="s">
        <v>19</v>
      </c>
      <c r="B430" s="8">
        <v>44783.516099537039</v>
      </c>
      <c r="C430" s="5">
        <f t="shared" si="28"/>
        <v>266</v>
      </c>
      <c r="D430" s="5">
        <v>813</v>
      </c>
      <c r="E430" s="5">
        <v>814</v>
      </c>
      <c r="F430" s="5">
        <f t="shared" si="29"/>
        <v>5706764.8799999999</v>
      </c>
      <c r="G430" s="11">
        <f t="shared" si="26"/>
        <v>5713659.6400000006</v>
      </c>
      <c r="H430" s="2">
        <f t="shared" si="27"/>
        <v>6894.7600000007078</v>
      </c>
      <c r="I430" s="2"/>
    </row>
    <row r="431" spans="1:9" x14ac:dyDescent="0.2">
      <c r="A431" s="1" t="s">
        <v>19</v>
      </c>
      <c r="B431" s="8">
        <v>44783.516111111108</v>
      </c>
      <c r="C431" s="5">
        <f t="shared" si="28"/>
        <v>267</v>
      </c>
      <c r="D431" s="5">
        <v>813</v>
      </c>
      <c r="E431" s="5">
        <v>813</v>
      </c>
      <c r="F431" s="5">
        <f t="shared" si="29"/>
        <v>5706764.8799999999</v>
      </c>
      <c r="G431" s="11">
        <f t="shared" si="26"/>
        <v>5706764.8799999999</v>
      </c>
      <c r="H431" s="2">
        <f t="shared" si="27"/>
        <v>0</v>
      </c>
      <c r="I431" s="2"/>
    </row>
    <row r="432" spans="1:9" x14ac:dyDescent="0.2">
      <c r="A432" s="1" t="s">
        <v>19</v>
      </c>
      <c r="B432" s="8">
        <v>44783.516122685185</v>
      </c>
      <c r="C432" s="5">
        <f t="shared" si="28"/>
        <v>268</v>
      </c>
      <c r="D432" s="5">
        <v>812</v>
      </c>
      <c r="E432" s="5">
        <v>813</v>
      </c>
      <c r="F432" s="5">
        <f t="shared" si="29"/>
        <v>5699870.1200000001</v>
      </c>
      <c r="G432" s="11">
        <f t="shared" si="26"/>
        <v>5706764.8799999999</v>
      </c>
      <c r="H432" s="2">
        <f t="shared" si="27"/>
        <v>6894.7599999997765</v>
      </c>
      <c r="I432" s="2"/>
    </row>
    <row r="433" spans="1:9" x14ac:dyDescent="0.2">
      <c r="A433" s="1" t="s">
        <v>19</v>
      </c>
      <c r="B433" s="8">
        <v>44783.516134259262</v>
      </c>
      <c r="C433" s="5">
        <f t="shared" si="28"/>
        <v>269</v>
      </c>
      <c r="D433" s="5">
        <v>812</v>
      </c>
      <c r="E433" s="5">
        <v>813</v>
      </c>
      <c r="F433" s="5">
        <f t="shared" si="29"/>
        <v>5699870.1200000001</v>
      </c>
      <c r="G433" s="11">
        <f t="shared" si="26"/>
        <v>5706764.8799999999</v>
      </c>
      <c r="H433" s="2">
        <f t="shared" si="27"/>
        <v>6894.7599999997765</v>
      </c>
      <c r="I433" s="2"/>
    </row>
    <row r="434" spans="1:9" x14ac:dyDescent="0.2">
      <c r="A434" s="1" t="s">
        <v>19</v>
      </c>
      <c r="B434" s="8">
        <v>44783.516145833331</v>
      </c>
      <c r="C434" s="5">
        <f t="shared" si="28"/>
        <v>270</v>
      </c>
      <c r="D434" s="5">
        <v>812</v>
      </c>
      <c r="E434" s="5">
        <v>813</v>
      </c>
      <c r="F434" s="5">
        <f t="shared" si="29"/>
        <v>5699870.1200000001</v>
      </c>
      <c r="G434" s="74">
        <f t="shared" si="26"/>
        <v>5706764.8799999999</v>
      </c>
      <c r="H434" s="2">
        <f t="shared" si="27"/>
        <v>6894.7599999997765</v>
      </c>
      <c r="I434" s="2"/>
    </row>
    <row r="435" spans="1:9" x14ac:dyDescent="0.2">
      <c r="A435" s="88">
        <v>5</v>
      </c>
      <c r="B435" s="89">
        <v>44783.516157407408</v>
      </c>
      <c r="C435" s="87">
        <f t="shared" si="28"/>
        <v>271</v>
      </c>
      <c r="D435" s="87">
        <v>812</v>
      </c>
      <c r="E435" s="87">
        <v>812</v>
      </c>
      <c r="F435" s="87">
        <f t="shared" si="29"/>
        <v>5699870.1200000001</v>
      </c>
      <c r="G435" s="87">
        <f t="shared" si="26"/>
        <v>5699870.1200000001</v>
      </c>
      <c r="H435" s="2">
        <f t="shared" si="27"/>
        <v>0</v>
      </c>
      <c r="I435" s="2"/>
    </row>
    <row r="436" spans="1:9" x14ac:dyDescent="0.2">
      <c r="A436" s="88">
        <v>5</v>
      </c>
      <c r="B436" s="89">
        <v>44783.516168981485</v>
      </c>
      <c r="C436" s="87">
        <f t="shared" si="28"/>
        <v>272</v>
      </c>
      <c r="D436" s="87">
        <v>748</v>
      </c>
      <c r="E436" s="87">
        <v>307</v>
      </c>
      <c r="F436" s="87">
        <f t="shared" si="29"/>
        <v>5258605.4800000004</v>
      </c>
      <c r="G436" s="87">
        <f t="shared" si="26"/>
        <v>2218016.3200000003</v>
      </c>
      <c r="H436" s="2">
        <f t="shared" si="27"/>
        <v>-3040589.16</v>
      </c>
      <c r="I436" s="2"/>
    </row>
    <row r="437" spans="1:9" x14ac:dyDescent="0.2">
      <c r="A437" s="88">
        <v>5</v>
      </c>
      <c r="B437" s="89">
        <v>44783.516180555554</v>
      </c>
      <c r="C437" s="87">
        <f t="shared" si="28"/>
        <v>273</v>
      </c>
      <c r="D437" s="87">
        <v>638</v>
      </c>
      <c r="E437" s="87">
        <v>113</v>
      </c>
      <c r="F437" s="87">
        <f t="shared" si="29"/>
        <v>4500181.88</v>
      </c>
      <c r="G437" s="87">
        <f t="shared" si="26"/>
        <v>880432.88</v>
      </c>
      <c r="H437" s="2">
        <f t="shared" si="27"/>
        <v>-3619749</v>
      </c>
      <c r="I437" s="2"/>
    </row>
    <row r="438" spans="1:9" x14ac:dyDescent="0.2">
      <c r="A438" s="88">
        <v>5</v>
      </c>
      <c r="B438" s="89">
        <v>44783.516192129631</v>
      </c>
      <c r="C438" s="87">
        <f t="shared" si="28"/>
        <v>274</v>
      </c>
      <c r="D438" s="87">
        <v>538</v>
      </c>
      <c r="E438" s="87">
        <v>42</v>
      </c>
      <c r="F438" s="87">
        <f t="shared" si="29"/>
        <v>3810705.88</v>
      </c>
      <c r="G438" s="87">
        <f t="shared" si="26"/>
        <v>390904.92</v>
      </c>
      <c r="H438" s="2">
        <f t="shared" si="27"/>
        <v>-3419800.96</v>
      </c>
      <c r="I438" s="2"/>
    </row>
    <row r="439" spans="1:9" x14ac:dyDescent="0.2">
      <c r="A439" s="88">
        <v>5</v>
      </c>
      <c r="B439" s="89">
        <v>44783.516203703701</v>
      </c>
      <c r="C439" s="87">
        <f t="shared" si="28"/>
        <v>275</v>
      </c>
      <c r="D439" s="87">
        <v>454</v>
      </c>
      <c r="E439" s="87">
        <v>20</v>
      </c>
      <c r="F439" s="87">
        <f t="shared" si="29"/>
        <v>3231546.04</v>
      </c>
      <c r="G439" s="87">
        <f t="shared" si="26"/>
        <v>239220.2</v>
      </c>
      <c r="H439" s="2">
        <f t="shared" si="27"/>
        <v>-2992325.84</v>
      </c>
      <c r="I439" s="2"/>
    </row>
    <row r="440" spans="1:9" x14ac:dyDescent="0.2">
      <c r="A440" s="88">
        <v>5</v>
      </c>
      <c r="B440" s="89">
        <v>44783.516215277778</v>
      </c>
      <c r="C440" s="87">
        <f t="shared" si="28"/>
        <v>276</v>
      </c>
      <c r="D440" s="87">
        <v>382</v>
      </c>
      <c r="E440" s="87">
        <v>9</v>
      </c>
      <c r="F440" s="87">
        <f t="shared" si="29"/>
        <v>2735123.3200000003</v>
      </c>
      <c r="G440" s="87">
        <f t="shared" si="26"/>
        <v>163377.84</v>
      </c>
      <c r="H440" s="2">
        <f t="shared" si="27"/>
        <v>-2571745.4800000004</v>
      </c>
      <c r="I440" s="2"/>
    </row>
    <row r="441" spans="1:9" x14ac:dyDescent="0.2">
      <c r="A441" s="88">
        <v>5</v>
      </c>
      <c r="B441" s="89">
        <v>44783.516226851854</v>
      </c>
      <c r="C441" s="87">
        <f t="shared" si="28"/>
        <v>277</v>
      </c>
      <c r="D441" s="87">
        <v>324</v>
      </c>
      <c r="E441" s="87">
        <v>4</v>
      </c>
      <c r="F441" s="87">
        <f t="shared" si="29"/>
        <v>2335227.2400000002</v>
      </c>
      <c r="G441" s="87">
        <f t="shared" si="26"/>
        <v>128904.04000000001</v>
      </c>
      <c r="H441" s="2">
        <f t="shared" si="27"/>
        <v>-2206323.2000000002</v>
      </c>
      <c r="I441" s="2"/>
    </row>
    <row r="442" spans="1:9" x14ac:dyDescent="0.2">
      <c r="A442" s="88">
        <v>5</v>
      </c>
      <c r="B442" s="89">
        <v>44783.516238425924</v>
      </c>
      <c r="C442" s="87">
        <f t="shared" si="28"/>
        <v>278</v>
      </c>
      <c r="D442" s="87">
        <v>274</v>
      </c>
      <c r="E442" s="87">
        <v>2</v>
      </c>
      <c r="F442" s="87">
        <f t="shared" si="29"/>
        <v>1990489.24</v>
      </c>
      <c r="G442" s="87">
        <f t="shared" si="26"/>
        <v>115114.52</v>
      </c>
      <c r="H442" s="2">
        <f t="shared" si="27"/>
        <v>-1875374.72</v>
      </c>
      <c r="I442" s="2"/>
    </row>
    <row r="443" spans="1:9" x14ac:dyDescent="0.2">
      <c r="A443" s="88">
        <v>5</v>
      </c>
      <c r="B443" s="89">
        <v>44783.516250000001</v>
      </c>
      <c r="C443" s="87">
        <f t="shared" si="28"/>
        <v>279</v>
      </c>
      <c r="D443" s="87">
        <v>235</v>
      </c>
      <c r="E443" s="87">
        <v>1</v>
      </c>
      <c r="F443" s="87">
        <f t="shared" si="29"/>
        <v>1721593.6</v>
      </c>
      <c r="G443" s="87">
        <f t="shared" si="26"/>
        <v>108219.76</v>
      </c>
      <c r="H443" s="2">
        <f t="shared" si="27"/>
        <v>-1613373.84</v>
      </c>
      <c r="I443" s="2"/>
    </row>
    <row r="444" spans="1:9" x14ac:dyDescent="0.2">
      <c r="A444" s="88">
        <v>5</v>
      </c>
      <c r="B444" s="89">
        <v>44783.516261574077</v>
      </c>
      <c r="C444" s="87">
        <f t="shared" si="28"/>
        <v>280</v>
      </c>
      <c r="D444" s="87">
        <v>196</v>
      </c>
      <c r="E444" s="87">
        <v>1</v>
      </c>
      <c r="F444" s="87">
        <f t="shared" si="29"/>
        <v>1452697.96</v>
      </c>
      <c r="G444" s="87">
        <f t="shared" si="26"/>
        <v>108219.76</v>
      </c>
      <c r="H444" s="2">
        <f t="shared" si="27"/>
        <v>-1344478.2</v>
      </c>
      <c r="I444" s="2"/>
    </row>
    <row r="445" spans="1:9" x14ac:dyDescent="0.2">
      <c r="A445" s="88">
        <v>5</v>
      </c>
      <c r="B445" s="89">
        <v>44783.516273148147</v>
      </c>
      <c r="C445" s="87">
        <f t="shared" si="28"/>
        <v>281</v>
      </c>
      <c r="D445" s="87">
        <v>165</v>
      </c>
      <c r="E445" s="87">
        <v>0</v>
      </c>
      <c r="F445" s="87">
        <f t="shared" si="29"/>
        <v>1238960.4000000001</v>
      </c>
      <c r="G445" s="87">
        <f t="shared" si="26"/>
        <v>101325</v>
      </c>
      <c r="H445" s="2">
        <f t="shared" si="27"/>
        <v>-1137635.4000000001</v>
      </c>
      <c r="I445" s="2"/>
    </row>
    <row r="446" spans="1:9" x14ac:dyDescent="0.2">
      <c r="A446" s="88">
        <v>5</v>
      </c>
      <c r="B446" s="89">
        <v>44783.516284722224</v>
      </c>
      <c r="C446" s="87">
        <f t="shared" si="28"/>
        <v>282</v>
      </c>
      <c r="D446" s="87">
        <v>144</v>
      </c>
      <c r="E446" s="87">
        <v>0</v>
      </c>
      <c r="F446" s="87">
        <f t="shared" si="29"/>
        <v>1094170.44</v>
      </c>
      <c r="G446" s="87">
        <f t="shared" si="26"/>
        <v>101325</v>
      </c>
      <c r="H446" s="2">
        <f t="shared" si="27"/>
        <v>-992845.44</v>
      </c>
      <c r="I446" s="2"/>
    </row>
    <row r="447" spans="1:9" x14ac:dyDescent="0.2">
      <c r="A447" s="88">
        <v>5</v>
      </c>
      <c r="B447" s="89">
        <v>44783.516296296293</v>
      </c>
      <c r="C447" s="87">
        <f t="shared" si="28"/>
        <v>283</v>
      </c>
      <c r="D447" s="87">
        <v>124</v>
      </c>
      <c r="E447" s="87">
        <v>0</v>
      </c>
      <c r="F447" s="87">
        <f t="shared" si="29"/>
        <v>956275.24</v>
      </c>
      <c r="G447" s="87">
        <f t="shared" si="26"/>
        <v>101325</v>
      </c>
      <c r="H447" s="2">
        <f t="shared" si="27"/>
        <v>-854950.24</v>
      </c>
      <c r="I447" s="2"/>
    </row>
    <row r="448" spans="1:9" x14ac:dyDescent="0.2">
      <c r="A448" s="88">
        <v>5</v>
      </c>
      <c r="B448" s="89">
        <v>44783.51630787037</v>
      </c>
      <c r="C448" s="87">
        <f t="shared" si="28"/>
        <v>284</v>
      </c>
      <c r="D448" s="87">
        <v>105</v>
      </c>
      <c r="E448" s="87">
        <v>0</v>
      </c>
      <c r="F448" s="87">
        <f t="shared" si="29"/>
        <v>825274.8</v>
      </c>
      <c r="G448" s="87">
        <f t="shared" si="26"/>
        <v>101325</v>
      </c>
      <c r="H448" s="2">
        <f t="shared" si="27"/>
        <v>-723949.8</v>
      </c>
      <c r="I448" s="2"/>
    </row>
    <row r="449" spans="1:9" x14ac:dyDescent="0.2">
      <c r="A449" s="88">
        <v>5</v>
      </c>
      <c r="B449" s="89">
        <v>44783.516319444447</v>
      </c>
      <c r="C449" s="87">
        <f t="shared" si="28"/>
        <v>285</v>
      </c>
      <c r="D449" s="87">
        <v>84</v>
      </c>
      <c r="E449" s="87">
        <v>0</v>
      </c>
      <c r="F449" s="87">
        <f t="shared" si="29"/>
        <v>680484.84</v>
      </c>
      <c r="G449" s="87">
        <f t="shared" si="26"/>
        <v>101325</v>
      </c>
      <c r="H449" s="2">
        <f t="shared" si="27"/>
        <v>-579159.84</v>
      </c>
      <c r="I449" s="2"/>
    </row>
    <row r="450" spans="1:9" x14ac:dyDescent="0.2">
      <c r="A450" s="88">
        <v>5</v>
      </c>
      <c r="B450" s="89">
        <v>44783.516331018516</v>
      </c>
      <c r="C450" s="87">
        <f t="shared" si="28"/>
        <v>286</v>
      </c>
      <c r="D450" s="87">
        <v>76</v>
      </c>
      <c r="E450" s="87">
        <v>0</v>
      </c>
      <c r="F450" s="87">
        <f t="shared" si="29"/>
        <v>625326.76</v>
      </c>
      <c r="G450" s="87">
        <f t="shared" si="26"/>
        <v>101325</v>
      </c>
      <c r="H450" s="2">
        <f t="shared" si="27"/>
        <v>-524001.76</v>
      </c>
      <c r="I450" s="2"/>
    </row>
    <row r="451" spans="1:9" x14ac:dyDescent="0.2">
      <c r="A451" s="88">
        <v>5</v>
      </c>
      <c r="B451" s="89">
        <v>44783.516342592593</v>
      </c>
      <c r="C451" s="87">
        <f t="shared" si="28"/>
        <v>287</v>
      </c>
      <c r="D451" s="87">
        <v>64</v>
      </c>
      <c r="E451" s="87">
        <v>0</v>
      </c>
      <c r="F451" s="87">
        <f t="shared" si="29"/>
        <v>542589.64</v>
      </c>
      <c r="G451" s="87">
        <f t="shared" si="26"/>
        <v>101325</v>
      </c>
      <c r="H451" s="2">
        <f t="shared" si="27"/>
        <v>-441264.64000000001</v>
      </c>
      <c r="I451" s="2"/>
    </row>
    <row r="452" spans="1:9" x14ac:dyDescent="0.2">
      <c r="A452" s="88">
        <v>5</v>
      </c>
      <c r="B452" s="89">
        <v>44783.51635416667</v>
      </c>
      <c r="C452" s="87">
        <f t="shared" si="28"/>
        <v>288</v>
      </c>
      <c r="D452" s="87">
        <v>54</v>
      </c>
      <c r="E452" s="87">
        <v>0</v>
      </c>
      <c r="F452" s="87">
        <f t="shared" si="29"/>
        <v>473642.04000000004</v>
      </c>
      <c r="G452" s="87">
        <f t="shared" si="26"/>
        <v>101325</v>
      </c>
      <c r="H452" s="2">
        <f t="shared" si="27"/>
        <v>-372317.04000000004</v>
      </c>
      <c r="I452" s="2"/>
    </row>
    <row r="453" spans="1:9" x14ac:dyDescent="0.2">
      <c r="A453" s="88">
        <v>5</v>
      </c>
      <c r="B453" s="89">
        <v>44783.516365740739</v>
      </c>
      <c r="C453" s="87">
        <f t="shared" si="28"/>
        <v>289</v>
      </c>
      <c r="D453" s="87">
        <v>46</v>
      </c>
      <c r="E453" s="87">
        <v>0</v>
      </c>
      <c r="F453" s="87">
        <f t="shared" si="29"/>
        <v>418483.96</v>
      </c>
      <c r="G453" s="87">
        <f t="shared" si="26"/>
        <v>101325</v>
      </c>
      <c r="H453" s="2">
        <f t="shared" si="27"/>
        <v>-317158.96000000002</v>
      </c>
      <c r="I453" s="2"/>
    </row>
    <row r="454" spans="1:9" x14ac:dyDescent="0.2">
      <c r="A454" s="88">
        <v>5</v>
      </c>
      <c r="B454" s="89">
        <v>44783.516377314816</v>
      </c>
      <c r="C454" s="87">
        <f t="shared" si="28"/>
        <v>290</v>
      </c>
      <c r="D454" s="87">
        <v>39</v>
      </c>
      <c r="E454" s="87">
        <v>0</v>
      </c>
      <c r="F454" s="87">
        <f t="shared" si="29"/>
        <v>370220.64</v>
      </c>
      <c r="G454" s="87">
        <f t="shared" si="26"/>
        <v>101325</v>
      </c>
      <c r="H454" s="2">
        <f t="shared" si="27"/>
        <v>-268895.64</v>
      </c>
      <c r="I454" s="2"/>
    </row>
    <row r="455" spans="1:9" x14ac:dyDescent="0.2">
      <c r="A455" s="88">
        <v>5</v>
      </c>
      <c r="B455" s="89">
        <v>44783.516388888886</v>
      </c>
      <c r="C455" s="87">
        <f t="shared" si="28"/>
        <v>291</v>
      </c>
      <c r="D455" s="87">
        <v>33</v>
      </c>
      <c r="E455" s="87">
        <v>0</v>
      </c>
      <c r="F455" s="87">
        <f t="shared" si="29"/>
        <v>328852.08</v>
      </c>
      <c r="G455" s="87">
        <f t="shared" si="26"/>
        <v>101325</v>
      </c>
      <c r="H455" s="2">
        <f t="shared" si="27"/>
        <v>-227527.08000000002</v>
      </c>
      <c r="I455" s="2"/>
    </row>
    <row r="456" spans="1:9" x14ac:dyDescent="0.2">
      <c r="A456" s="88">
        <v>5</v>
      </c>
      <c r="B456" s="89">
        <v>44783.516400462962</v>
      </c>
      <c r="C456" s="87">
        <f t="shared" si="28"/>
        <v>292</v>
      </c>
      <c r="D456" s="87">
        <v>28</v>
      </c>
      <c r="E456" s="87">
        <v>0</v>
      </c>
      <c r="F456" s="87">
        <f t="shared" si="29"/>
        <v>294378.28000000003</v>
      </c>
      <c r="G456" s="87">
        <f t="shared" si="26"/>
        <v>101325</v>
      </c>
      <c r="H456" s="2">
        <f t="shared" si="27"/>
        <v>-193053.28000000003</v>
      </c>
      <c r="I456" s="2"/>
    </row>
    <row r="457" spans="1:9" x14ac:dyDescent="0.2">
      <c r="A457" s="88">
        <v>5</v>
      </c>
      <c r="B457" s="89">
        <v>44783.516412037039</v>
      </c>
      <c r="C457" s="87">
        <f t="shared" si="28"/>
        <v>293</v>
      </c>
      <c r="D457" s="87">
        <v>24</v>
      </c>
      <c r="E457" s="87">
        <v>0</v>
      </c>
      <c r="F457" s="87">
        <f t="shared" si="29"/>
        <v>266799.24</v>
      </c>
      <c r="G457" s="87">
        <f t="shared" si="26"/>
        <v>101325</v>
      </c>
      <c r="H457" s="2">
        <f t="shared" si="27"/>
        <v>-165474.23999999999</v>
      </c>
      <c r="I457" s="2"/>
    </row>
    <row r="458" spans="1:9" x14ac:dyDescent="0.2">
      <c r="A458" s="88">
        <v>5</v>
      </c>
      <c r="B458" s="89">
        <v>44783.516423611109</v>
      </c>
      <c r="C458" s="87">
        <f t="shared" si="28"/>
        <v>294</v>
      </c>
      <c r="D458" s="87">
        <v>21</v>
      </c>
      <c r="E458" s="87">
        <v>0</v>
      </c>
      <c r="F458" s="87">
        <f t="shared" si="29"/>
        <v>246114.96</v>
      </c>
      <c r="G458" s="87">
        <f t="shared" si="26"/>
        <v>101325</v>
      </c>
      <c r="H458" s="2">
        <f t="shared" si="27"/>
        <v>-144789.96</v>
      </c>
      <c r="I458" s="2"/>
    </row>
    <row r="459" spans="1:9" x14ac:dyDescent="0.2">
      <c r="A459" s="88">
        <v>5</v>
      </c>
      <c r="B459" s="89">
        <v>44783.516435185185</v>
      </c>
      <c r="C459" s="87">
        <f t="shared" si="28"/>
        <v>295</v>
      </c>
      <c r="D459" s="87">
        <v>18</v>
      </c>
      <c r="E459" s="87">
        <v>0</v>
      </c>
      <c r="F459" s="87">
        <f t="shared" si="29"/>
        <v>225430.68</v>
      </c>
      <c r="G459" s="87">
        <f t="shared" si="26"/>
        <v>101325</v>
      </c>
      <c r="H459" s="2">
        <f t="shared" si="27"/>
        <v>-124105.68</v>
      </c>
      <c r="I459" s="2"/>
    </row>
    <row r="460" spans="1:9" x14ac:dyDescent="0.2">
      <c r="A460" s="88">
        <v>5</v>
      </c>
      <c r="B460" s="89">
        <v>44783.516446759262</v>
      </c>
      <c r="C460" s="87">
        <f t="shared" si="28"/>
        <v>296</v>
      </c>
      <c r="D460" s="87">
        <v>15</v>
      </c>
      <c r="E460" s="87">
        <v>0</v>
      </c>
      <c r="F460" s="87">
        <f t="shared" si="29"/>
        <v>204746.40000000002</v>
      </c>
      <c r="G460" s="87">
        <f t="shared" ref="G460:G523" si="30">E460*6894.76 +101325</f>
        <v>101325</v>
      </c>
      <c r="H460" s="2">
        <f t="shared" ref="H460:H523" si="31">G460-F460</f>
        <v>-103421.40000000002</v>
      </c>
      <c r="I460" s="2"/>
    </row>
    <row r="461" spans="1:9" x14ac:dyDescent="0.2">
      <c r="A461" s="88">
        <v>5</v>
      </c>
      <c r="B461" s="89">
        <v>44783.516458333332</v>
      </c>
      <c r="C461" s="87">
        <f t="shared" ref="C461:C524" si="32">C460+1</f>
        <v>297</v>
      </c>
      <c r="D461" s="87">
        <v>13</v>
      </c>
      <c r="E461" s="87">
        <v>0</v>
      </c>
      <c r="F461" s="87">
        <f t="shared" si="29"/>
        <v>190956.88</v>
      </c>
      <c r="G461" s="87">
        <f t="shared" si="30"/>
        <v>101325</v>
      </c>
      <c r="H461" s="2">
        <f t="shared" si="31"/>
        <v>-89631.88</v>
      </c>
      <c r="I461" s="2"/>
    </row>
    <row r="462" spans="1:9" x14ac:dyDescent="0.2">
      <c r="A462" s="88">
        <v>5</v>
      </c>
      <c r="B462" s="89">
        <v>44783.516469907408</v>
      </c>
      <c r="C462" s="87">
        <f t="shared" si="32"/>
        <v>298</v>
      </c>
      <c r="D462" s="87">
        <v>12</v>
      </c>
      <c r="E462" s="87">
        <v>0</v>
      </c>
      <c r="F462" s="87">
        <f t="shared" si="29"/>
        <v>184062.12</v>
      </c>
      <c r="G462" s="87">
        <f t="shared" si="30"/>
        <v>101325</v>
      </c>
      <c r="H462" s="2">
        <f t="shared" si="31"/>
        <v>-82737.119999999995</v>
      </c>
      <c r="I462" s="2"/>
    </row>
    <row r="463" spans="1:9" x14ac:dyDescent="0.2">
      <c r="A463" s="88">
        <v>5</v>
      </c>
      <c r="B463" s="89">
        <v>44783.516481481478</v>
      </c>
      <c r="C463" s="87">
        <f t="shared" si="32"/>
        <v>299</v>
      </c>
      <c r="D463" s="87">
        <v>10</v>
      </c>
      <c r="E463" s="87">
        <v>0</v>
      </c>
      <c r="F463" s="87">
        <f t="shared" si="29"/>
        <v>170272.6</v>
      </c>
      <c r="G463" s="87">
        <f t="shared" si="30"/>
        <v>101325</v>
      </c>
      <c r="H463" s="2">
        <f t="shared" si="31"/>
        <v>-68947.600000000006</v>
      </c>
      <c r="I463" s="2"/>
    </row>
    <row r="464" spans="1:9" x14ac:dyDescent="0.2">
      <c r="A464" s="88">
        <v>5</v>
      </c>
      <c r="B464" s="89">
        <v>44783.516493055555</v>
      </c>
      <c r="C464" s="87">
        <f t="shared" si="32"/>
        <v>300</v>
      </c>
      <c r="D464" s="87">
        <v>9</v>
      </c>
      <c r="E464" s="87">
        <v>0</v>
      </c>
      <c r="F464" s="87">
        <f t="shared" si="29"/>
        <v>163377.84</v>
      </c>
      <c r="G464" s="87">
        <f t="shared" si="30"/>
        <v>101325</v>
      </c>
      <c r="H464" s="2">
        <f t="shared" si="31"/>
        <v>-62052.84</v>
      </c>
      <c r="I464" s="2"/>
    </row>
    <row r="465" spans="1:9" x14ac:dyDescent="0.2">
      <c r="A465" s="88">
        <v>5</v>
      </c>
      <c r="B465" s="89">
        <v>44783.516504629632</v>
      </c>
      <c r="C465" s="87">
        <f t="shared" si="32"/>
        <v>301</v>
      </c>
      <c r="D465" s="87">
        <v>8</v>
      </c>
      <c r="E465" s="87">
        <v>0</v>
      </c>
      <c r="F465" s="87">
        <f t="shared" si="29"/>
        <v>156483.08000000002</v>
      </c>
      <c r="G465" s="87">
        <f t="shared" si="30"/>
        <v>101325</v>
      </c>
      <c r="H465" s="2">
        <f t="shared" si="31"/>
        <v>-55158.080000000016</v>
      </c>
      <c r="I465" s="2"/>
    </row>
    <row r="466" spans="1:9" x14ac:dyDescent="0.2">
      <c r="A466" s="88">
        <v>5</v>
      </c>
      <c r="B466" s="89">
        <v>44783.516516203701</v>
      </c>
      <c r="C466" s="87">
        <f t="shared" si="32"/>
        <v>302</v>
      </c>
      <c r="D466" s="87">
        <v>7</v>
      </c>
      <c r="E466" s="87">
        <v>0</v>
      </c>
      <c r="F466" s="87">
        <f t="shared" ref="F466:F529" si="33">D466*6894.76 +101325</f>
        <v>149588.32</v>
      </c>
      <c r="G466" s="87">
        <f t="shared" si="30"/>
        <v>101325</v>
      </c>
      <c r="H466" s="2">
        <f t="shared" si="31"/>
        <v>-48263.320000000007</v>
      </c>
      <c r="I466" s="2"/>
    </row>
    <row r="467" spans="1:9" x14ac:dyDescent="0.2">
      <c r="A467" s="88">
        <v>5</v>
      </c>
      <c r="B467" s="89">
        <v>44783.516527777778</v>
      </c>
      <c r="C467" s="87">
        <f t="shared" si="32"/>
        <v>303</v>
      </c>
      <c r="D467" s="87">
        <v>6</v>
      </c>
      <c r="E467" s="87">
        <v>0</v>
      </c>
      <c r="F467" s="87">
        <f t="shared" si="33"/>
        <v>142693.56</v>
      </c>
      <c r="G467" s="87">
        <f t="shared" si="30"/>
        <v>101325</v>
      </c>
      <c r="H467" s="2">
        <f t="shared" si="31"/>
        <v>-41368.559999999998</v>
      </c>
      <c r="I467" s="2"/>
    </row>
    <row r="468" spans="1:9" x14ac:dyDescent="0.2">
      <c r="A468" s="88">
        <v>5</v>
      </c>
      <c r="B468" s="89">
        <v>44783.516539351855</v>
      </c>
      <c r="C468" s="87">
        <f t="shared" si="32"/>
        <v>304</v>
      </c>
      <c r="D468" s="87">
        <v>5</v>
      </c>
      <c r="E468" s="87">
        <v>0</v>
      </c>
      <c r="F468" s="87">
        <f t="shared" si="33"/>
        <v>135798.79999999999</v>
      </c>
      <c r="G468" s="87">
        <f t="shared" si="30"/>
        <v>101325</v>
      </c>
      <c r="H468" s="2">
        <f t="shared" si="31"/>
        <v>-34473.799999999988</v>
      </c>
      <c r="I468" s="2"/>
    </row>
    <row r="469" spans="1:9" x14ac:dyDescent="0.2">
      <c r="A469" s="88">
        <v>5</v>
      </c>
      <c r="B469" s="89">
        <v>44783.516550925924</v>
      </c>
      <c r="C469" s="87">
        <f t="shared" si="32"/>
        <v>305</v>
      </c>
      <c r="D469" s="87">
        <v>5</v>
      </c>
      <c r="E469" s="87">
        <v>0</v>
      </c>
      <c r="F469" s="87">
        <f t="shared" si="33"/>
        <v>135798.79999999999</v>
      </c>
      <c r="G469" s="87">
        <f t="shared" si="30"/>
        <v>101325</v>
      </c>
      <c r="H469" s="2">
        <f t="shared" si="31"/>
        <v>-34473.799999999988</v>
      </c>
      <c r="I469" s="2"/>
    </row>
    <row r="470" spans="1:9" x14ac:dyDescent="0.2">
      <c r="A470" s="88">
        <v>5</v>
      </c>
      <c r="B470" s="89">
        <v>44783.516562500001</v>
      </c>
      <c r="C470" s="87">
        <f t="shared" si="32"/>
        <v>306</v>
      </c>
      <c r="D470" s="87">
        <v>4</v>
      </c>
      <c r="E470" s="87">
        <v>0</v>
      </c>
      <c r="F470" s="87">
        <f t="shared" si="33"/>
        <v>128904.04000000001</v>
      </c>
      <c r="G470" s="87">
        <f t="shared" si="30"/>
        <v>101325</v>
      </c>
      <c r="H470" s="2">
        <f t="shared" si="31"/>
        <v>-27579.040000000008</v>
      </c>
      <c r="I470" s="2"/>
    </row>
    <row r="471" spans="1:9" x14ac:dyDescent="0.2">
      <c r="A471" s="88">
        <v>5</v>
      </c>
      <c r="B471" s="89">
        <v>44783.516574074078</v>
      </c>
      <c r="C471" s="87">
        <f t="shared" si="32"/>
        <v>307</v>
      </c>
      <c r="D471" s="87">
        <v>4</v>
      </c>
      <c r="E471" s="87">
        <v>0</v>
      </c>
      <c r="F471" s="87">
        <f t="shared" si="33"/>
        <v>128904.04000000001</v>
      </c>
      <c r="G471" s="87">
        <f t="shared" si="30"/>
        <v>101325</v>
      </c>
      <c r="H471" s="2">
        <f t="shared" si="31"/>
        <v>-27579.040000000008</v>
      </c>
      <c r="I471" s="2"/>
    </row>
    <row r="472" spans="1:9" x14ac:dyDescent="0.2">
      <c r="A472" s="88">
        <v>5</v>
      </c>
      <c r="B472" s="89">
        <v>44783.516585648147</v>
      </c>
      <c r="C472" s="87">
        <f t="shared" si="32"/>
        <v>308</v>
      </c>
      <c r="D472" s="87">
        <v>3</v>
      </c>
      <c r="E472" s="87">
        <v>0</v>
      </c>
      <c r="F472" s="87">
        <f t="shared" si="33"/>
        <v>122009.28</v>
      </c>
      <c r="G472" s="87">
        <f t="shared" si="30"/>
        <v>101325</v>
      </c>
      <c r="H472" s="2">
        <f t="shared" si="31"/>
        <v>-20684.28</v>
      </c>
      <c r="I472" s="2"/>
    </row>
    <row r="473" spans="1:9" x14ac:dyDescent="0.2">
      <c r="A473" s="88">
        <v>5</v>
      </c>
      <c r="B473" s="89">
        <v>44783.516597222224</v>
      </c>
      <c r="C473" s="87">
        <f t="shared" si="32"/>
        <v>309</v>
      </c>
      <c r="D473" s="87">
        <v>3</v>
      </c>
      <c r="E473" s="87">
        <v>0</v>
      </c>
      <c r="F473" s="87">
        <f t="shared" si="33"/>
        <v>122009.28</v>
      </c>
      <c r="G473" s="87">
        <f t="shared" si="30"/>
        <v>101325</v>
      </c>
      <c r="H473" s="2">
        <f t="shared" si="31"/>
        <v>-20684.28</v>
      </c>
      <c r="I473" s="2"/>
    </row>
    <row r="474" spans="1:9" x14ac:dyDescent="0.2">
      <c r="A474" s="88">
        <v>5</v>
      </c>
      <c r="B474" s="89">
        <v>44783.516608796293</v>
      </c>
      <c r="C474" s="87">
        <f t="shared" si="32"/>
        <v>310</v>
      </c>
      <c r="D474" s="87">
        <v>3</v>
      </c>
      <c r="E474" s="87">
        <v>0</v>
      </c>
      <c r="F474" s="87">
        <f t="shared" si="33"/>
        <v>122009.28</v>
      </c>
      <c r="G474" s="87">
        <f t="shared" si="30"/>
        <v>101325</v>
      </c>
      <c r="H474" s="2">
        <f t="shared" si="31"/>
        <v>-20684.28</v>
      </c>
      <c r="I474" s="2"/>
    </row>
    <row r="475" spans="1:9" x14ac:dyDescent="0.2">
      <c r="A475" s="88">
        <v>5</v>
      </c>
      <c r="B475" s="89">
        <v>44783.51662037037</v>
      </c>
      <c r="C475" s="87">
        <f t="shared" si="32"/>
        <v>311</v>
      </c>
      <c r="D475" s="87">
        <v>2</v>
      </c>
      <c r="E475" s="87">
        <v>0</v>
      </c>
      <c r="F475" s="87">
        <f t="shared" si="33"/>
        <v>115114.52</v>
      </c>
      <c r="G475" s="87">
        <f t="shared" si="30"/>
        <v>101325</v>
      </c>
      <c r="H475" s="2">
        <f t="shared" si="31"/>
        <v>-13789.520000000004</v>
      </c>
      <c r="I475" s="2"/>
    </row>
    <row r="476" spans="1:9" x14ac:dyDescent="0.2">
      <c r="A476" s="88">
        <v>5</v>
      </c>
      <c r="B476" s="89">
        <v>44783.516631944447</v>
      </c>
      <c r="C476" s="87">
        <f t="shared" si="32"/>
        <v>312</v>
      </c>
      <c r="D476" s="87">
        <v>2</v>
      </c>
      <c r="E476" s="87">
        <v>0</v>
      </c>
      <c r="F476" s="87">
        <f t="shared" si="33"/>
        <v>115114.52</v>
      </c>
      <c r="G476" s="87">
        <f t="shared" si="30"/>
        <v>101325</v>
      </c>
      <c r="H476" s="2">
        <f t="shared" si="31"/>
        <v>-13789.520000000004</v>
      </c>
      <c r="I476" s="2"/>
    </row>
    <row r="477" spans="1:9" x14ac:dyDescent="0.2">
      <c r="A477" s="88">
        <v>5</v>
      </c>
      <c r="B477" s="89">
        <v>44783.516643518517</v>
      </c>
      <c r="C477" s="87">
        <f t="shared" si="32"/>
        <v>313</v>
      </c>
      <c r="D477" s="87">
        <v>2</v>
      </c>
      <c r="E477" s="87">
        <v>0</v>
      </c>
      <c r="F477" s="87">
        <f t="shared" si="33"/>
        <v>115114.52</v>
      </c>
      <c r="G477" s="87">
        <f t="shared" si="30"/>
        <v>101325</v>
      </c>
      <c r="H477" s="2">
        <f t="shared" si="31"/>
        <v>-13789.520000000004</v>
      </c>
      <c r="I477" s="2"/>
    </row>
    <row r="478" spans="1:9" x14ac:dyDescent="0.2">
      <c r="A478" s="88">
        <v>5</v>
      </c>
      <c r="B478" s="89">
        <v>44783.516655092593</v>
      </c>
      <c r="C478" s="87">
        <f t="shared" si="32"/>
        <v>314</v>
      </c>
      <c r="D478" s="87">
        <v>2</v>
      </c>
      <c r="E478" s="87">
        <v>0</v>
      </c>
      <c r="F478" s="87">
        <f t="shared" si="33"/>
        <v>115114.52</v>
      </c>
      <c r="G478" s="87">
        <f t="shared" si="30"/>
        <v>101325</v>
      </c>
      <c r="H478" s="2">
        <f t="shared" si="31"/>
        <v>-13789.520000000004</v>
      </c>
      <c r="I478" s="2"/>
    </row>
    <row r="479" spans="1:9" x14ac:dyDescent="0.2">
      <c r="A479" s="88">
        <v>5</v>
      </c>
      <c r="B479" s="89">
        <v>44783.51666666667</v>
      </c>
      <c r="C479" s="87">
        <f t="shared" si="32"/>
        <v>315</v>
      </c>
      <c r="D479" s="87">
        <v>2</v>
      </c>
      <c r="E479" s="87">
        <v>0</v>
      </c>
      <c r="F479" s="87">
        <f t="shared" si="33"/>
        <v>115114.52</v>
      </c>
      <c r="G479" s="87">
        <f t="shared" si="30"/>
        <v>101325</v>
      </c>
      <c r="H479" s="2">
        <f t="shared" si="31"/>
        <v>-13789.520000000004</v>
      </c>
      <c r="I479" s="2"/>
    </row>
    <row r="480" spans="1:9" x14ac:dyDescent="0.2">
      <c r="A480" s="88">
        <v>5</v>
      </c>
      <c r="B480" s="89">
        <v>44783.51667824074</v>
      </c>
      <c r="C480" s="87">
        <f t="shared" si="32"/>
        <v>316</v>
      </c>
      <c r="D480" s="87">
        <v>1</v>
      </c>
      <c r="E480" s="87">
        <v>0</v>
      </c>
      <c r="F480" s="87">
        <f t="shared" si="33"/>
        <v>108219.76</v>
      </c>
      <c r="G480" s="87">
        <f t="shared" si="30"/>
        <v>101325</v>
      </c>
      <c r="H480" s="2">
        <f t="shared" si="31"/>
        <v>-6894.7599999999948</v>
      </c>
      <c r="I480" s="2"/>
    </row>
    <row r="481" spans="1:9" x14ac:dyDescent="0.2">
      <c r="A481" s="88">
        <v>5</v>
      </c>
      <c r="B481" s="89">
        <v>44783.516689814816</v>
      </c>
      <c r="C481" s="87">
        <f t="shared" si="32"/>
        <v>317</v>
      </c>
      <c r="D481" s="87">
        <v>1</v>
      </c>
      <c r="E481" s="87">
        <v>0</v>
      </c>
      <c r="F481" s="87">
        <f t="shared" si="33"/>
        <v>108219.76</v>
      </c>
      <c r="G481" s="87">
        <f t="shared" si="30"/>
        <v>101325</v>
      </c>
      <c r="H481" s="2">
        <f t="shared" si="31"/>
        <v>-6894.7599999999948</v>
      </c>
      <c r="I481" s="2"/>
    </row>
    <row r="482" spans="1:9" x14ac:dyDescent="0.2">
      <c r="A482" s="88">
        <v>5</v>
      </c>
      <c r="B482" s="89">
        <v>44783.516701388886</v>
      </c>
      <c r="C482" s="87">
        <f t="shared" si="32"/>
        <v>318</v>
      </c>
      <c r="D482" s="87">
        <v>1</v>
      </c>
      <c r="E482" s="87">
        <v>0</v>
      </c>
      <c r="F482" s="87">
        <f t="shared" si="33"/>
        <v>108219.76</v>
      </c>
      <c r="G482" s="87">
        <f t="shared" si="30"/>
        <v>101325</v>
      </c>
      <c r="H482" s="2">
        <f t="shared" si="31"/>
        <v>-6894.7599999999948</v>
      </c>
      <c r="I482" s="2"/>
    </row>
    <row r="483" spans="1:9" x14ac:dyDescent="0.2">
      <c r="A483" s="88">
        <v>5</v>
      </c>
      <c r="B483" s="89">
        <v>44783.516712962963</v>
      </c>
      <c r="C483" s="87">
        <f t="shared" si="32"/>
        <v>319</v>
      </c>
      <c r="D483" s="87">
        <v>1</v>
      </c>
      <c r="E483" s="87">
        <v>0</v>
      </c>
      <c r="F483" s="87">
        <f t="shared" si="33"/>
        <v>108219.76</v>
      </c>
      <c r="G483" s="87">
        <f t="shared" si="30"/>
        <v>101325</v>
      </c>
      <c r="H483" s="2">
        <f t="shared" si="31"/>
        <v>-6894.7599999999948</v>
      </c>
      <c r="I483" s="2"/>
    </row>
    <row r="484" spans="1:9" x14ac:dyDescent="0.2">
      <c r="A484" s="88">
        <v>5</v>
      </c>
      <c r="B484" s="89">
        <v>44783.516724537039</v>
      </c>
      <c r="C484" s="87">
        <f t="shared" si="32"/>
        <v>320</v>
      </c>
      <c r="D484" s="87">
        <v>1</v>
      </c>
      <c r="E484" s="87">
        <v>0</v>
      </c>
      <c r="F484" s="87">
        <f t="shared" si="33"/>
        <v>108219.76</v>
      </c>
      <c r="G484" s="87">
        <f t="shared" si="30"/>
        <v>101325</v>
      </c>
      <c r="H484" s="2">
        <f t="shared" si="31"/>
        <v>-6894.7599999999948</v>
      </c>
      <c r="I484" s="2"/>
    </row>
    <row r="485" spans="1:9" x14ac:dyDescent="0.2">
      <c r="A485" s="88">
        <v>5</v>
      </c>
      <c r="B485" s="89">
        <v>44783.516736111109</v>
      </c>
      <c r="C485" s="87">
        <f t="shared" si="32"/>
        <v>321</v>
      </c>
      <c r="D485" s="87">
        <v>1</v>
      </c>
      <c r="E485" s="87">
        <v>0</v>
      </c>
      <c r="F485" s="87">
        <f t="shared" si="33"/>
        <v>108219.76</v>
      </c>
      <c r="G485" s="87">
        <f t="shared" si="30"/>
        <v>101325</v>
      </c>
      <c r="H485" s="2">
        <f t="shared" si="31"/>
        <v>-6894.7599999999948</v>
      </c>
      <c r="I485" s="2"/>
    </row>
    <row r="486" spans="1:9" x14ac:dyDescent="0.2">
      <c r="A486" s="88">
        <v>5</v>
      </c>
      <c r="B486" s="89">
        <v>44783.516747685186</v>
      </c>
      <c r="C486" s="87">
        <f t="shared" si="32"/>
        <v>322</v>
      </c>
      <c r="D486" s="87">
        <v>1</v>
      </c>
      <c r="E486" s="87">
        <v>0</v>
      </c>
      <c r="F486" s="87">
        <f t="shared" si="33"/>
        <v>108219.76</v>
      </c>
      <c r="G486" s="87">
        <f t="shared" si="30"/>
        <v>101325</v>
      </c>
      <c r="H486" s="2">
        <f t="shared" si="31"/>
        <v>-6894.7599999999948</v>
      </c>
      <c r="I486" s="2"/>
    </row>
    <row r="487" spans="1:9" x14ac:dyDescent="0.2">
      <c r="A487" s="88">
        <v>5</v>
      </c>
      <c r="B487" s="89">
        <v>44783.516759259262</v>
      </c>
      <c r="C487" s="87">
        <f t="shared" si="32"/>
        <v>323</v>
      </c>
      <c r="D487" s="87">
        <v>1</v>
      </c>
      <c r="E487" s="87">
        <v>0</v>
      </c>
      <c r="F487" s="87">
        <f t="shared" si="33"/>
        <v>108219.76</v>
      </c>
      <c r="G487" s="87">
        <f t="shared" si="30"/>
        <v>101325</v>
      </c>
      <c r="H487" s="2">
        <f t="shared" si="31"/>
        <v>-6894.7599999999948</v>
      </c>
      <c r="I487" s="2"/>
    </row>
    <row r="488" spans="1:9" x14ac:dyDescent="0.2">
      <c r="A488" s="88">
        <v>5</v>
      </c>
      <c r="B488" s="89">
        <v>44783.516770833332</v>
      </c>
      <c r="C488" s="87">
        <f t="shared" si="32"/>
        <v>324</v>
      </c>
      <c r="D488" s="87">
        <v>1</v>
      </c>
      <c r="E488" s="87">
        <v>0</v>
      </c>
      <c r="F488" s="87">
        <f t="shared" si="33"/>
        <v>108219.76</v>
      </c>
      <c r="G488" s="87">
        <f t="shared" si="30"/>
        <v>101325</v>
      </c>
      <c r="H488" s="2">
        <f t="shared" si="31"/>
        <v>-6894.7599999999948</v>
      </c>
      <c r="I488" s="2"/>
    </row>
    <row r="489" spans="1:9" x14ac:dyDescent="0.2">
      <c r="A489" s="88">
        <v>5</v>
      </c>
      <c r="B489" s="89">
        <v>44783.516782407409</v>
      </c>
      <c r="C489" s="87">
        <f t="shared" si="32"/>
        <v>325</v>
      </c>
      <c r="D489" s="87">
        <v>0</v>
      </c>
      <c r="E489" s="87">
        <v>0</v>
      </c>
      <c r="F489" s="87">
        <f t="shared" si="33"/>
        <v>101325</v>
      </c>
      <c r="G489" s="87">
        <f t="shared" si="30"/>
        <v>101325</v>
      </c>
      <c r="H489" s="2">
        <f t="shared" si="31"/>
        <v>0</v>
      </c>
      <c r="I489" s="2"/>
    </row>
    <row r="490" spans="1:9" x14ac:dyDescent="0.2">
      <c r="A490" s="88">
        <v>5</v>
      </c>
      <c r="B490" s="89">
        <v>44783.516793981478</v>
      </c>
      <c r="C490" s="87">
        <f t="shared" si="32"/>
        <v>326</v>
      </c>
      <c r="D490" s="87">
        <v>0</v>
      </c>
      <c r="E490" s="87">
        <v>0</v>
      </c>
      <c r="F490" s="87">
        <f t="shared" si="33"/>
        <v>101325</v>
      </c>
      <c r="G490" s="87">
        <f t="shared" si="30"/>
        <v>101325</v>
      </c>
      <c r="H490" s="2">
        <f t="shared" si="31"/>
        <v>0</v>
      </c>
      <c r="I490" s="2"/>
    </row>
    <row r="491" spans="1:9" x14ac:dyDescent="0.2">
      <c r="A491" s="1" t="s">
        <v>20</v>
      </c>
      <c r="B491" s="8">
        <v>44783.517800925925</v>
      </c>
      <c r="C491" s="5">
        <f t="shared" si="32"/>
        <v>327</v>
      </c>
      <c r="D491" s="5">
        <v>0</v>
      </c>
      <c r="E491" s="5">
        <v>0</v>
      </c>
      <c r="F491" s="5">
        <f t="shared" si="33"/>
        <v>101325</v>
      </c>
      <c r="G491" s="75">
        <f t="shared" si="30"/>
        <v>101325</v>
      </c>
      <c r="H491" s="2">
        <f t="shared" si="31"/>
        <v>0</v>
      </c>
      <c r="I491" s="2"/>
    </row>
    <row r="492" spans="1:9" x14ac:dyDescent="0.2">
      <c r="A492" s="1" t="s">
        <v>20</v>
      </c>
      <c r="B492" s="8">
        <v>44783.517812500002</v>
      </c>
      <c r="C492" s="5">
        <f t="shared" si="32"/>
        <v>328</v>
      </c>
      <c r="D492" s="5">
        <v>3</v>
      </c>
      <c r="E492" s="5">
        <v>0</v>
      </c>
      <c r="F492" s="5">
        <f t="shared" si="33"/>
        <v>122009.28</v>
      </c>
      <c r="G492" s="11">
        <f t="shared" si="30"/>
        <v>101325</v>
      </c>
      <c r="H492" s="2">
        <f t="shared" si="31"/>
        <v>-20684.28</v>
      </c>
      <c r="I492" s="2"/>
    </row>
    <row r="493" spans="1:9" x14ac:dyDescent="0.2">
      <c r="A493" s="1" t="s">
        <v>20</v>
      </c>
      <c r="B493" s="8">
        <v>44783.517824074072</v>
      </c>
      <c r="C493" s="5">
        <f t="shared" si="32"/>
        <v>329</v>
      </c>
      <c r="D493" s="5">
        <v>32</v>
      </c>
      <c r="E493" s="5">
        <v>2</v>
      </c>
      <c r="F493" s="5">
        <f t="shared" si="33"/>
        <v>321957.32</v>
      </c>
      <c r="G493" s="11">
        <f t="shared" si="30"/>
        <v>115114.52</v>
      </c>
      <c r="H493" s="2">
        <f t="shared" si="31"/>
        <v>-206842.8</v>
      </c>
      <c r="I493" s="2"/>
    </row>
    <row r="494" spans="1:9" x14ac:dyDescent="0.2">
      <c r="A494" s="1" t="s">
        <v>20</v>
      </c>
      <c r="B494" s="8">
        <v>44783.517835648148</v>
      </c>
      <c r="C494" s="5">
        <f t="shared" si="32"/>
        <v>330</v>
      </c>
      <c r="D494" s="5">
        <v>53</v>
      </c>
      <c r="E494" s="5">
        <v>9</v>
      </c>
      <c r="F494" s="5">
        <f t="shared" si="33"/>
        <v>466747.28</v>
      </c>
      <c r="G494" s="11">
        <f t="shared" si="30"/>
        <v>163377.84</v>
      </c>
      <c r="H494" s="2">
        <f t="shared" si="31"/>
        <v>-303369.44000000006</v>
      </c>
      <c r="I494" s="2"/>
    </row>
    <row r="495" spans="1:9" x14ac:dyDescent="0.2">
      <c r="A495" s="1" t="s">
        <v>20</v>
      </c>
      <c r="B495" s="8">
        <v>44783.517847222225</v>
      </c>
      <c r="C495" s="5">
        <f t="shared" si="32"/>
        <v>331</v>
      </c>
      <c r="D495" s="5">
        <v>84</v>
      </c>
      <c r="E495" s="5">
        <v>25</v>
      </c>
      <c r="F495" s="5">
        <f t="shared" si="33"/>
        <v>680484.84</v>
      </c>
      <c r="G495" s="11">
        <f t="shared" si="30"/>
        <v>273694</v>
      </c>
      <c r="H495" s="2">
        <f t="shared" si="31"/>
        <v>-406790.83999999997</v>
      </c>
      <c r="I495" s="2"/>
    </row>
    <row r="496" spans="1:9" x14ac:dyDescent="0.2">
      <c r="A496" s="1" t="s">
        <v>20</v>
      </c>
      <c r="B496" s="8">
        <v>44783.517858796295</v>
      </c>
      <c r="C496" s="5">
        <f t="shared" si="32"/>
        <v>332</v>
      </c>
      <c r="D496" s="5">
        <v>132</v>
      </c>
      <c r="E496" s="5">
        <v>53</v>
      </c>
      <c r="F496" s="5">
        <f t="shared" si="33"/>
        <v>1011433.3200000001</v>
      </c>
      <c r="G496" s="11">
        <f t="shared" si="30"/>
        <v>466747.28</v>
      </c>
      <c r="H496" s="2">
        <f t="shared" si="31"/>
        <v>-544686.04</v>
      </c>
      <c r="I496" s="2"/>
    </row>
    <row r="497" spans="1:9" x14ac:dyDescent="0.2">
      <c r="A497" s="1" t="s">
        <v>20</v>
      </c>
      <c r="B497" s="8">
        <v>44783.517870370371</v>
      </c>
      <c r="C497" s="5">
        <f t="shared" si="32"/>
        <v>333</v>
      </c>
      <c r="D497" s="5">
        <v>165</v>
      </c>
      <c r="E497" s="5">
        <v>83</v>
      </c>
      <c r="F497" s="5">
        <f t="shared" si="33"/>
        <v>1238960.4000000001</v>
      </c>
      <c r="G497" s="11">
        <f t="shared" si="30"/>
        <v>673590.08000000007</v>
      </c>
      <c r="H497" s="2">
        <f t="shared" si="31"/>
        <v>-565370.32000000007</v>
      </c>
      <c r="I497" s="2"/>
    </row>
    <row r="498" spans="1:9" x14ac:dyDescent="0.2">
      <c r="A498" s="1" t="s">
        <v>20</v>
      </c>
      <c r="B498" s="8">
        <v>44783.517881944441</v>
      </c>
      <c r="C498" s="5">
        <f t="shared" si="32"/>
        <v>334</v>
      </c>
      <c r="D498" s="5">
        <v>186</v>
      </c>
      <c r="E498" s="5">
        <v>127</v>
      </c>
      <c r="F498" s="5">
        <f t="shared" si="33"/>
        <v>1383750.36</v>
      </c>
      <c r="G498" s="11">
        <f t="shared" si="30"/>
        <v>976959.52</v>
      </c>
      <c r="H498" s="2">
        <f t="shared" si="31"/>
        <v>-406790.84000000008</v>
      </c>
      <c r="I498" s="2"/>
    </row>
    <row r="499" spans="1:9" x14ac:dyDescent="0.2">
      <c r="A499" s="1" t="s">
        <v>20</v>
      </c>
      <c r="B499" s="8">
        <v>44783.517893518518</v>
      </c>
      <c r="C499" s="5">
        <f t="shared" si="32"/>
        <v>335</v>
      </c>
      <c r="D499" s="5">
        <v>201</v>
      </c>
      <c r="E499" s="5">
        <v>156</v>
      </c>
      <c r="F499" s="5">
        <f t="shared" si="33"/>
        <v>1487171.76</v>
      </c>
      <c r="G499" s="11">
        <f t="shared" si="30"/>
        <v>1176907.56</v>
      </c>
      <c r="H499" s="2">
        <f t="shared" si="31"/>
        <v>-310264.19999999995</v>
      </c>
      <c r="I499" s="2"/>
    </row>
    <row r="500" spans="1:9" x14ac:dyDescent="0.2">
      <c r="A500" s="1" t="s">
        <v>20</v>
      </c>
      <c r="B500" s="8">
        <v>44783.517905092594</v>
      </c>
      <c r="C500" s="5">
        <f t="shared" si="32"/>
        <v>336</v>
      </c>
      <c r="D500" s="5">
        <v>214</v>
      </c>
      <c r="E500" s="5">
        <v>183</v>
      </c>
      <c r="F500" s="5">
        <f t="shared" si="33"/>
        <v>1576803.6400000001</v>
      </c>
      <c r="G500" s="11">
        <f t="shared" si="30"/>
        <v>1363066.08</v>
      </c>
      <c r="H500" s="2">
        <f t="shared" si="31"/>
        <v>-213737.56000000006</v>
      </c>
      <c r="I500" s="2"/>
    </row>
    <row r="501" spans="1:9" x14ac:dyDescent="0.2">
      <c r="A501" s="1" t="s">
        <v>20</v>
      </c>
      <c r="B501" s="8">
        <v>44783.517916666664</v>
      </c>
      <c r="C501" s="5">
        <f t="shared" si="32"/>
        <v>337</v>
      </c>
      <c r="D501" s="5">
        <v>230</v>
      </c>
      <c r="E501" s="5">
        <v>204</v>
      </c>
      <c r="F501" s="5">
        <f t="shared" si="33"/>
        <v>1687119.8</v>
      </c>
      <c r="G501" s="11">
        <f t="shared" si="30"/>
        <v>1507856.04</v>
      </c>
      <c r="H501" s="2">
        <f t="shared" si="31"/>
        <v>-179263.76</v>
      </c>
      <c r="I501" s="2"/>
    </row>
    <row r="502" spans="1:9" x14ac:dyDescent="0.2">
      <c r="A502" s="1" t="s">
        <v>20</v>
      </c>
      <c r="B502" s="8">
        <v>44783.517928240741</v>
      </c>
      <c r="C502" s="5">
        <f t="shared" si="32"/>
        <v>338</v>
      </c>
      <c r="D502" s="5">
        <v>261</v>
      </c>
      <c r="E502" s="5">
        <v>233</v>
      </c>
      <c r="F502" s="5">
        <f t="shared" si="33"/>
        <v>1900857.36</v>
      </c>
      <c r="G502" s="11">
        <f t="shared" si="30"/>
        <v>1707804.08</v>
      </c>
      <c r="H502" s="2">
        <f t="shared" si="31"/>
        <v>-193053.28000000003</v>
      </c>
      <c r="I502" s="2"/>
    </row>
    <row r="503" spans="1:9" x14ac:dyDescent="0.2">
      <c r="A503" s="1" t="s">
        <v>20</v>
      </c>
      <c r="B503" s="8">
        <v>44783.517939814818</v>
      </c>
      <c r="C503" s="5">
        <f t="shared" si="32"/>
        <v>339</v>
      </c>
      <c r="D503" s="5">
        <v>301</v>
      </c>
      <c r="E503" s="5">
        <v>265</v>
      </c>
      <c r="F503" s="5">
        <f t="shared" si="33"/>
        <v>2176647.7599999998</v>
      </c>
      <c r="G503" s="11">
        <f t="shared" si="30"/>
        <v>1928436.4000000001</v>
      </c>
      <c r="H503" s="2">
        <f t="shared" si="31"/>
        <v>-248211.35999999964</v>
      </c>
      <c r="I503" s="2"/>
    </row>
    <row r="504" spans="1:9" x14ac:dyDescent="0.2">
      <c r="A504" s="1" t="s">
        <v>20</v>
      </c>
      <c r="B504" s="8">
        <v>44783.517951388887</v>
      </c>
      <c r="C504" s="5">
        <f t="shared" si="32"/>
        <v>340</v>
      </c>
      <c r="D504" s="5">
        <v>338</v>
      </c>
      <c r="E504" s="5">
        <v>303</v>
      </c>
      <c r="F504" s="5">
        <f t="shared" si="33"/>
        <v>2431753.88</v>
      </c>
      <c r="G504" s="11">
        <f t="shared" si="30"/>
        <v>2190437.2800000003</v>
      </c>
      <c r="H504" s="2">
        <f t="shared" si="31"/>
        <v>-241316.59999999963</v>
      </c>
      <c r="I504" s="2"/>
    </row>
    <row r="505" spans="1:9" x14ac:dyDescent="0.2">
      <c r="A505" s="1" t="s">
        <v>20</v>
      </c>
      <c r="B505" s="8">
        <v>44783.517962962964</v>
      </c>
      <c r="C505" s="5">
        <f t="shared" si="32"/>
        <v>341</v>
      </c>
      <c r="D505" s="5">
        <v>361</v>
      </c>
      <c r="E505" s="5">
        <v>340</v>
      </c>
      <c r="F505" s="5">
        <f t="shared" si="33"/>
        <v>2590333.36</v>
      </c>
      <c r="G505" s="11">
        <f t="shared" si="30"/>
        <v>2445543.4</v>
      </c>
      <c r="H505" s="2">
        <f t="shared" si="31"/>
        <v>-144789.95999999996</v>
      </c>
      <c r="I505" s="2"/>
    </row>
    <row r="506" spans="1:9" x14ac:dyDescent="0.2">
      <c r="A506" s="1" t="s">
        <v>20</v>
      </c>
      <c r="B506" s="8">
        <v>44783.517974537041</v>
      </c>
      <c r="C506" s="5">
        <f t="shared" si="32"/>
        <v>342</v>
      </c>
      <c r="D506" s="5">
        <v>371</v>
      </c>
      <c r="E506" s="5">
        <v>361</v>
      </c>
      <c r="F506" s="5">
        <f t="shared" si="33"/>
        <v>2659280.96</v>
      </c>
      <c r="G506" s="11">
        <f t="shared" si="30"/>
        <v>2590333.36</v>
      </c>
      <c r="H506" s="2">
        <f t="shared" si="31"/>
        <v>-68947.600000000093</v>
      </c>
      <c r="I506" s="2"/>
    </row>
    <row r="507" spans="1:9" x14ac:dyDescent="0.2">
      <c r="A507" s="1" t="s">
        <v>20</v>
      </c>
      <c r="B507" s="8">
        <v>44783.51798611111</v>
      </c>
      <c r="C507" s="5">
        <f t="shared" si="32"/>
        <v>343</v>
      </c>
      <c r="D507" s="5">
        <v>375</v>
      </c>
      <c r="E507" s="5">
        <v>368</v>
      </c>
      <c r="F507" s="5">
        <f t="shared" si="33"/>
        <v>2686860</v>
      </c>
      <c r="G507" s="11">
        <f t="shared" si="30"/>
        <v>2638596.6800000002</v>
      </c>
      <c r="H507" s="2">
        <f t="shared" si="31"/>
        <v>-48263.319999999832</v>
      </c>
      <c r="I507" s="2"/>
    </row>
    <row r="508" spans="1:9" x14ac:dyDescent="0.2">
      <c r="A508" s="1" t="s">
        <v>20</v>
      </c>
      <c r="B508" s="8">
        <v>44783.517997685187</v>
      </c>
      <c r="C508" s="5">
        <f t="shared" si="32"/>
        <v>344</v>
      </c>
      <c r="D508" s="5">
        <v>376</v>
      </c>
      <c r="E508" s="5">
        <v>373</v>
      </c>
      <c r="F508" s="5">
        <f t="shared" si="33"/>
        <v>2693754.7600000002</v>
      </c>
      <c r="G508" s="11">
        <f t="shared" si="30"/>
        <v>2673070.48</v>
      </c>
      <c r="H508" s="2">
        <f t="shared" si="31"/>
        <v>-20684.280000000261</v>
      </c>
      <c r="I508" s="2"/>
    </row>
    <row r="509" spans="1:9" x14ac:dyDescent="0.2">
      <c r="A509" s="1" t="s">
        <v>20</v>
      </c>
      <c r="B509" s="8">
        <v>44783.518009259256</v>
      </c>
      <c r="C509" s="5">
        <f t="shared" si="32"/>
        <v>345</v>
      </c>
      <c r="D509" s="5">
        <v>375</v>
      </c>
      <c r="E509" s="5">
        <v>375</v>
      </c>
      <c r="F509" s="5">
        <f t="shared" si="33"/>
        <v>2686860</v>
      </c>
      <c r="G509" s="11">
        <f t="shared" si="30"/>
        <v>2686860</v>
      </c>
      <c r="H509" s="2">
        <f t="shared" si="31"/>
        <v>0</v>
      </c>
      <c r="I509" s="2"/>
    </row>
    <row r="510" spans="1:9" x14ac:dyDescent="0.2">
      <c r="A510" s="1" t="s">
        <v>20</v>
      </c>
      <c r="B510" s="8">
        <v>44783.518020833333</v>
      </c>
      <c r="C510" s="5">
        <f t="shared" si="32"/>
        <v>346</v>
      </c>
      <c r="D510" s="5">
        <v>375</v>
      </c>
      <c r="E510" s="5">
        <v>375</v>
      </c>
      <c r="F510" s="5">
        <f t="shared" si="33"/>
        <v>2686860</v>
      </c>
      <c r="G510" s="11">
        <f t="shared" si="30"/>
        <v>2686860</v>
      </c>
      <c r="H510" s="2">
        <f t="shared" si="31"/>
        <v>0</v>
      </c>
      <c r="I510" s="2"/>
    </row>
    <row r="511" spans="1:9" x14ac:dyDescent="0.2">
      <c r="A511" s="1" t="s">
        <v>20</v>
      </c>
      <c r="B511" s="8">
        <v>44783.51803240741</v>
      </c>
      <c r="C511" s="5">
        <f t="shared" si="32"/>
        <v>347</v>
      </c>
      <c r="D511" s="5">
        <v>383</v>
      </c>
      <c r="E511" s="5">
        <v>379</v>
      </c>
      <c r="F511" s="5">
        <f t="shared" si="33"/>
        <v>2742018.08</v>
      </c>
      <c r="G511" s="11">
        <f t="shared" si="30"/>
        <v>2714439.04</v>
      </c>
      <c r="H511" s="2">
        <f t="shared" si="31"/>
        <v>-27579.040000000037</v>
      </c>
      <c r="I511" s="2"/>
    </row>
    <row r="512" spans="1:9" x14ac:dyDescent="0.2">
      <c r="A512" s="1" t="s">
        <v>20</v>
      </c>
      <c r="B512" s="8">
        <v>44783.518043981479</v>
      </c>
      <c r="C512" s="5">
        <f t="shared" si="32"/>
        <v>348</v>
      </c>
      <c r="D512" s="5">
        <v>415</v>
      </c>
      <c r="E512" s="5">
        <v>395</v>
      </c>
      <c r="F512" s="5">
        <f t="shared" si="33"/>
        <v>2962650.4</v>
      </c>
      <c r="G512" s="11">
        <f t="shared" si="30"/>
        <v>2824755.2000000002</v>
      </c>
      <c r="H512" s="2">
        <f t="shared" si="31"/>
        <v>-137895.19999999972</v>
      </c>
      <c r="I512" s="2"/>
    </row>
    <row r="513" spans="1:9" x14ac:dyDescent="0.2">
      <c r="A513" s="1" t="s">
        <v>20</v>
      </c>
      <c r="B513" s="8">
        <v>44783.518055555556</v>
      </c>
      <c r="C513" s="5">
        <f t="shared" si="32"/>
        <v>349</v>
      </c>
      <c r="D513" s="5">
        <v>444</v>
      </c>
      <c r="E513" s="5">
        <v>434</v>
      </c>
      <c r="F513" s="5">
        <f t="shared" si="33"/>
        <v>3162598.44</v>
      </c>
      <c r="G513" s="11">
        <f t="shared" si="30"/>
        <v>3093650.8400000003</v>
      </c>
      <c r="H513" s="2">
        <f t="shared" si="31"/>
        <v>-68947.599999999627</v>
      </c>
      <c r="I513" s="2"/>
    </row>
    <row r="514" spans="1:9" x14ac:dyDescent="0.2">
      <c r="A514" s="1" t="s">
        <v>20</v>
      </c>
      <c r="B514" s="8">
        <v>44783.518067129633</v>
      </c>
      <c r="C514" s="5">
        <f t="shared" si="32"/>
        <v>350</v>
      </c>
      <c r="D514" s="5">
        <v>504</v>
      </c>
      <c r="E514" s="5">
        <v>472</v>
      </c>
      <c r="F514" s="5">
        <f t="shared" si="33"/>
        <v>3576284.04</v>
      </c>
      <c r="G514" s="11">
        <f t="shared" si="30"/>
        <v>3355651.72</v>
      </c>
      <c r="H514" s="2">
        <f t="shared" si="31"/>
        <v>-220632.31999999983</v>
      </c>
      <c r="I514" s="2"/>
    </row>
    <row r="515" spans="1:9" x14ac:dyDescent="0.2">
      <c r="A515" s="1" t="s">
        <v>20</v>
      </c>
      <c r="B515" s="8">
        <v>44783.518078703702</v>
      </c>
      <c r="C515" s="5">
        <f t="shared" si="32"/>
        <v>351</v>
      </c>
      <c r="D515" s="5">
        <v>540</v>
      </c>
      <c r="E515" s="5">
        <v>516</v>
      </c>
      <c r="F515" s="5">
        <f t="shared" si="33"/>
        <v>3824495.4</v>
      </c>
      <c r="G515" s="11">
        <f t="shared" si="30"/>
        <v>3659021.16</v>
      </c>
      <c r="H515" s="2">
        <f t="shared" si="31"/>
        <v>-165474.23999999976</v>
      </c>
      <c r="I515" s="2"/>
    </row>
    <row r="516" spans="1:9" x14ac:dyDescent="0.2">
      <c r="A516" s="1" t="s">
        <v>20</v>
      </c>
      <c r="B516" s="8">
        <v>44783.518090277779</v>
      </c>
      <c r="C516" s="5">
        <f t="shared" si="32"/>
        <v>352</v>
      </c>
      <c r="D516" s="5">
        <v>570</v>
      </c>
      <c r="E516" s="5">
        <v>553</v>
      </c>
      <c r="F516" s="5">
        <f t="shared" si="33"/>
        <v>4031338.2</v>
      </c>
      <c r="G516" s="11">
        <f t="shared" si="30"/>
        <v>3914127.2800000003</v>
      </c>
      <c r="H516" s="2">
        <f t="shared" si="31"/>
        <v>-117210.91999999993</v>
      </c>
      <c r="I516" s="2"/>
    </row>
    <row r="517" spans="1:9" x14ac:dyDescent="0.2">
      <c r="A517" s="1" t="s">
        <v>20</v>
      </c>
      <c r="B517" s="8">
        <v>44783.518101851849</v>
      </c>
      <c r="C517" s="5">
        <f t="shared" si="32"/>
        <v>353</v>
      </c>
      <c r="D517" s="5">
        <v>620</v>
      </c>
      <c r="E517" s="5">
        <v>599</v>
      </c>
      <c r="F517" s="5">
        <f t="shared" si="33"/>
        <v>4376076.2</v>
      </c>
      <c r="G517" s="11">
        <f t="shared" si="30"/>
        <v>4231286.24</v>
      </c>
      <c r="H517" s="2">
        <f t="shared" si="31"/>
        <v>-144789.95999999996</v>
      </c>
      <c r="I517" s="2"/>
    </row>
    <row r="518" spans="1:9" x14ac:dyDescent="0.2">
      <c r="A518" s="1" t="s">
        <v>20</v>
      </c>
      <c r="B518" s="8">
        <v>44783.518113425926</v>
      </c>
      <c r="C518" s="5">
        <f t="shared" si="32"/>
        <v>354</v>
      </c>
      <c r="D518" s="5">
        <v>679</v>
      </c>
      <c r="E518" s="5">
        <v>642</v>
      </c>
      <c r="F518" s="5">
        <f t="shared" si="33"/>
        <v>4782867.04</v>
      </c>
      <c r="G518" s="11">
        <f t="shared" si="30"/>
        <v>4527760.92</v>
      </c>
      <c r="H518" s="2">
        <f t="shared" si="31"/>
        <v>-255106.12000000011</v>
      </c>
      <c r="I518" s="2"/>
    </row>
    <row r="519" spans="1:9" x14ac:dyDescent="0.2">
      <c r="A519" s="1" t="s">
        <v>20</v>
      </c>
      <c r="B519" s="8">
        <v>44783.518125000002</v>
      </c>
      <c r="C519" s="5">
        <f t="shared" si="32"/>
        <v>355</v>
      </c>
      <c r="D519" s="5">
        <v>709</v>
      </c>
      <c r="E519" s="5">
        <v>696</v>
      </c>
      <c r="F519" s="5">
        <f t="shared" si="33"/>
        <v>4989709.84</v>
      </c>
      <c r="G519" s="11">
        <f t="shared" si="30"/>
        <v>4900077.96</v>
      </c>
      <c r="H519" s="2">
        <f t="shared" si="31"/>
        <v>-89631.879999999888</v>
      </c>
      <c r="I519" s="2"/>
    </row>
    <row r="520" spans="1:9" x14ac:dyDescent="0.2">
      <c r="A520" s="1" t="s">
        <v>20</v>
      </c>
      <c r="B520" s="8">
        <v>44783.518136574072</v>
      </c>
      <c r="C520" s="5">
        <f t="shared" si="32"/>
        <v>356</v>
      </c>
      <c r="D520" s="5">
        <v>760</v>
      </c>
      <c r="E520" s="5">
        <v>742</v>
      </c>
      <c r="F520" s="5">
        <f t="shared" si="33"/>
        <v>5341342.6000000006</v>
      </c>
      <c r="G520" s="11">
        <f t="shared" si="30"/>
        <v>5217236.92</v>
      </c>
      <c r="H520" s="2">
        <f t="shared" si="31"/>
        <v>-124105.68000000063</v>
      </c>
      <c r="I520" s="2"/>
    </row>
    <row r="521" spans="1:9" x14ac:dyDescent="0.2">
      <c r="A521" s="1" t="s">
        <v>20</v>
      </c>
      <c r="B521" s="8">
        <v>44783.518148148149</v>
      </c>
      <c r="C521" s="5">
        <f t="shared" si="32"/>
        <v>357</v>
      </c>
      <c r="D521" s="5">
        <v>811</v>
      </c>
      <c r="E521" s="5">
        <v>785</v>
      </c>
      <c r="F521" s="5">
        <f t="shared" si="33"/>
        <v>5692975.3600000003</v>
      </c>
      <c r="G521" s="11">
        <f t="shared" si="30"/>
        <v>5513711.6000000006</v>
      </c>
      <c r="H521" s="2">
        <f t="shared" si="31"/>
        <v>-179263.75999999978</v>
      </c>
      <c r="I521" s="2"/>
    </row>
    <row r="522" spans="1:9" x14ac:dyDescent="0.2">
      <c r="A522" s="1" t="s">
        <v>20</v>
      </c>
      <c r="B522" s="8">
        <v>44783.518159722225</v>
      </c>
      <c r="C522" s="5">
        <f t="shared" si="32"/>
        <v>358</v>
      </c>
      <c r="D522" s="5">
        <v>839</v>
      </c>
      <c r="E522" s="5">
        <v>825</v>
      </c>
      <c r="F522" s="5">
        <f t="shared" si="33"/>
        <v>5886028.6400000006</v>
      </c>
      <c r="G522" s="11">
        <f t="shared" si="30"/>
        <v>5789502</v>
      </c>
      <c r="H522" s="2">
        <f t="shared" si="31"/>
        <v>-96526.640000000596</v>
      </c>
      <c r="I522" s="2"/>
    </row>
    <row r="523" spans="1:9" x14ac:dyDescent="0.2">
      <c r="A523" s="1" t="s">
        <v>20</v>
      </c>
      <c r="B523" s="8">
        <v>44783.518171296295</v>
      </c>
      <c r="C523" s="5">
        <f t="shared" si="32"/>
        <v>359</v>
      </c>
      <c r="D523" s="5">
        <v>886</v>
      </c>
      <c r="E523" s="5">
        <v>875</v>
      </c>
      <c r="F523" s="5">
        <f t="shared" si="33"/>
        <v>6210082.3600000003</v>
      </c>
      <c r="G523" s="11">
        <f t="shared" si="30"/>
        <v>6134240</v>
      </c>
      <c r="H523" s="2">
        <f t="shared" si="31"/>
        <v>-75842.360000000335</v>
      </c>
      <c r="I523" s="2"/>
    </row>
    <row r="524" spans="1:9" x14ac:dyDescent="0.2">
      <c r="A524" s="1" t="s">
        <v>20</v>
      </c>
      <c r="B524" s="8">
        <v>44783.518182870372</v>
      </c>
      <c r="C524" s="5">
        <f t="shared" si="32"/>
        <v>360</v>
      </c>
      <c r="D524" s="5">
        <v>906</v>
      </c>
      <c r="E524" s="5">
        <v>903</v>
      </c>
      <c r="F524" s="5">
        <f t="shared" si="33"/>
        <v>6347977.5600000005</v>
      </c>
      <c r="G524" s="11">
        <f t="shared" ref="G524:G587" si="34">E524*6894.76 +101325</f>
        <v>6327293.2800000003</v>
      </c>
      <c r="H524" s="2">
        <f t="shared" ref="H524:H587" si="35">G524-F524</f>
        <v>-20684.280000000261</v>
      </c>
      <c r="I524" s="2"/>
    </row>
    <row r="525" spans="1:9" x14ac:dyDescent="0.2">
      <c r="A525" s="1" t="s">
        <v>20</v>
      </c>
      <c r="B525" s="8">
        <v>44783.518194444441</v>
      </c>
      <c r="C525" s="5">
        <f t="shared" ref="C525:C588" si="36">C524+1</f>
        <v>361</v>
      </c>
      <c r="D525" s="5">
        <v>947</v>
      </c>
      <c r="E525" s="5">
        <v>933</v>
      </c>
      <c r="F525" s="5">
        <f t="shared" si="33"/>
        <v>6630662.7200000007</v>
      </c>
      <c r="G525" s="11">
        <f t="shared" si="34"/>
        <v>6534136.0800000001</v>
      </c>
      <c r="H525" s="2">
        <f t="shared" si="35"/>
        <v>-96526.640000000596</v>
      </c>
      <c r="I525" s="2"/>
    </row>
    <row r="526" spans="1:9" x14ac:dyDescent="0.2">
      <c r="A526" s="1" t="s">
        <v>20</v>
      </c>
      <c r="B526" s="8">
        <v>44783.518206018518</v>
      </c>
      <c r="C526" s="5">
        <f t="shared" si="36"/>
        <v>362</v>
      </c>
      <c r="D526" s="5">
        <v>960</v>
      </c>
      <c r="E526" s="5">
        <v>955</v>
      </c>
      <c r="F526" s="5">
        <f t="shared" si="33"/>
        <v>6720294.6000000006</v>
      </c>
      <c r="G526" s="11">
        <f t="shared" si="34"/>
        <v>6685820.7999999998</v>
      </c>
      <c r="H526" s="2">
        <f t="shared" si="35"/>
        <v>-34473.800000000745</v>
      </c>
      <c r="I526" s="2"/>
    </row>
    <row r="527" spans="1:9" x14ac:dyDescent="0.2">
      <c r="A527" s="1" t="s">
        <v>20</v>
      </c>
      <c r="B527" s="8">
        <v>44783.518217592595</v>
      </c>
      <c r="C527" s="5">
        <f t="shared" si="36"/>
        <v>363</v>
      </c>
      <c r="D527" s="5">
        <v>967</v>
      </c>
      <c r="E527" s="5">
        <v>965</v>
      </c>
      <c r="F527" s="5">
        <f t="shared" si="33"/>
        <v>6768557.9199999999</v>
      </c>
      <c r="G527" s="11">
        <f t="shared" si="34"/>
        <v>6754768.4000000004</v>
      </c>
      <c r="H527" s="2">
        <f t="shared" si="35"/>
        <v>-13789.519999999553</v>
      </c>
      <c r="I527" s="2"/>
    </row>
    <row r="528" spans="1:9" x14ac:dyDescent="0.2">
      <c r="A528" s="1" t="s">
        <v>20</v>
      </c>
      <c r="B528" s="8">
        <v>44783.518229166664</v>
      </c>
      <c r="C528" s="5">
        <f t="shared" si="36"/>
        <v>364</v>
      </c>
      <c r="D528" s="5">
        <v>982</v>
      </c>
      <c r="E528" s="5">
        <v>979</v>
      </c>
      <c r="F528" s="5">
        <f t="shared" si="33"/>
        <v>6871979.3200000003</v>
      </c>
      <c r="G528" s="11">
        <f t="shared" si="34"/>
        <v>6851295.04</v>
      </c>
      <c r="H528" s="2">
        <f t="shared" si="35"/>
        <v>-20684.280000000261</v>
      </c>
      <c r="I528" s="2"/>
    </row>
    <row r="529" spans="1:9" x14ac:dyDescent="0.2">
      <c r="A529" s="1" t="s">
        <v>20</v>
      </c>
      <c r="B529" s="8">
        <v>44783.518240740741</v>
      </c>
      <c r="C529" s="5">
        <f t="shared" si="36"/>
        <v>365</v>
      </c>
      <c r="D529" s="5">
        <v>995</v>
      </c>
      <c r="E529" s="5">
        <v>993</v>
      </c>
      <c r="F529" s="5">
        <f t="shared" si="33"/>
        <v>6961611.2000000002</v>
      </c>
      <c r="G529" s="11">
        <f t="shared" si="34"/>
        <v>6947821.6800000006</v>
      </c>
      <c r="H529" s="2">
        <f t="shared" si="35"/>
        <v>-13789.519999999553</v>
      </c>
      <c r="I529" s="2"/>
    </row>
    <row r="530" spans="1:9" x14ac:dyDescent="0.2">
      <c r="A530" s="1" t="s">
        <v>20</v>
      </c>
      <c r="B530" s="8">
        <v>44783.518252314818</v>
      </c>
      <c r="C530" s="5">
        <f t="shared" si="36"/>
        <v>366</v>
      </c>
      <c r="D530" s="5">
        <v>1000</v>
      </c>
      <c r="E530" s="5">
        <v>1000</v>
      </c>
      <c r="F530" s="5">
        <f t="shared" ref="F530:F593" si="37">D530*6894.76 +101325</f>
        <v>6996085</v>
      </c>
      <c r="G530" s="11">
        <f t="shared" si="34"/>
        <v>6996085</v>
      </c>
      <c r="H530" s="2">
        <f t="shared" si="35"/>
        <v>0</v>
      </c>
      <c r="I530" s="2"/>
    </row>
    <row r="531" spans="1:9" x14ac:dyDescent="0.2">
      <c r="A531" s="1" t="s">
        <v>20</v>
      </c>
      <c r="B531" s="8">
        <v>44783.518263888887</v>
      </c>
      <c r="C531" s="5">
        <f t="shared" si="36"/>
        <v>367</v>
      </c>
      <c r="D531" s="5">
        <v>1000</v>
      </c>
      <c r="E531" s="5">
        <v>1001</v>
      </c>
      <c r="F531" s="5">
        <f t="shared" si="37"/>
        <v>6996085</v>
      </c>
      <c r="G531" s="11">
        <f t="shared" si="34"/>
        <v>7002979.7599999998</v>
      </c>
      <c r="H531" s="2">
        <f t="shared" si="35"/>
        <v>6894.7599999997765</v>
      </c>
      <c r="I531" s="2"/>
    </row>
    <row r="532" spans="1:9" x14ac:dyDescent="0.2">
      <c r="A532" s="1" t="s">
        <v>20</v>
      </c>
      <c r="B532" s="8">
        <v>44783.518275462964</v>
      </c>
      <c r="C532" s="5">
        <f t="shared" si="36"/>
        <v>368</v>
      </c>
      <c r="D532" s="5">
        <v>996</v>
      </c>
      <c r="E532" s="5">
        <v>998</v>
      </c>
      <c r="F532" s="5">
        <f t="shared" si="37"/>
        <v>6968505.96</v>
      </c>
      <c r="G532" s="11">
        <f t="shared" si="34"/>
        <v>6982295.4800000004</v>
      </c>
      <c r="H532" s="2">
        <f t="shared" si="35"/>
        <v>13789.520000000484</v>
      </c>
      <c r="I532" s="2"/>
    </row>
    <row r="533" spans="1:9" x14ac:dyDescent="0.2">
      <c r="A533" s="1" t="s">
        <v>20</v>
      </c>
      <c r="B533" s="8">
        <v>44783.518287037034</v>
      </c>
      <c r="C533" s="5">
        <f t="shared" si="36"/>
        <v>369</v>
      </c>
      <c r="D533" s="5">
        <v>993</v>
      </c>
      <c r="E533" s="5">
        <v>995</v>
      </c>
      <c r="F533" s="5">
        <f t="shared" si="37"/>
        <v>6947821.6800000006</v>
      </c>
      <c r="G533" s="11">
        <f t="shared" si="34"/>
        <v>6961611.2000000002</v>
      </c>
      <c r="H533" s="2">
        <f t="shared" si="35"/>
        <v>13789.519999999553</v>
      </c>
      <c r="I533" s="2"/>
    </row>
    <row r="534" spans="1:9" x14ac:dyDescent="0.2">
      <c r="A534" s="1" t="s">
        <v>20</v>
      </c>
      <c r="B534" s="8">
        <v>44783.51829861111</v>
      </c>
      <c r="C534" s="5">
        <f t="shared" si="36"/>
        <v>370</v>
      </c>
      <c r="D534" s="5">
        <v>992</v>
      </c>
      <c r="E534" s="5">
        <v>993</v>
      </c>
      <c r="F534" s="5">
        <f t="shared" si="37"/>
        <v>6940926.9199999999</v>
      </c>
      <c r="G534" s="11">
        <f t="shared" si="34"/>
        <v>6947821.6800000006</v>
      </c>
      <c r="H534" s="2">
        <f t="shared" si="35"/>
        <v>6894.7600000007078</v>
      </c>
      <c r="I534" s="2"/>
    </row>
    <row r="535" spans="1:9" x14ac:dyDescent="0.2">
      <c r="A535" s="1" t="s">
        <v>20</v>
      </c>
      <c r="B535" s="8">
        <v>44783.518310185187</v>
      </c>
      <c r="C535" s="5">
        <f t="shared" si="36"/>
        <v>371</v>
      </c>
      <c r="D535" s="5">
        <v>990</v>
      </c>
      <c r="E535" s="5">
        <v>992</v>
      </c>
      <c r="F535" s="5">
        <f t="shared" si="37"/>
        <v>6927137.4000000004</v>
      </c>
      <c r="G535" s="11">
        <f t="shared" si="34"/>
        <v>6940926.9199999999</v>
      </c>
      <c r="H535" s="2">
        <f t="shared" si="35"/>
        <v>13789.519999999553</v>
      </c>
      <c r="I535" s="2"/>
    </row>
    <row r="536" spans="1:9" x14ac:dyDescent="0.2">
      <c r="A536" s="1" t="s">
        <v>20</v>
      </c>
      <c r="B536" s="8">
        <v>44783.518321759257</v>
      </c>
      <c r="C536" s="5">
        <f t="shared" si="36"/>
        <v>372</v>
      </c>
      <c r="D536" s="5">
        <v>990</v>
      </c>
      <c r="E536" s="5">
        <v>991</v>
      </c>
      <c r="F536" s="5">
        <f t="shared" si="37"/>
        <v>6927137.4000000004</v>
      </c>
      <c r="G536" s="74">
        <f t="shared" si="34"/>
        <v>6934032.1600000001</v>
      </c>
      <c r="H536" s="2">
        <f t="shared" si="35"/>
        <v>6894.7599999997765</v>
      </c>
      <c r="I536" s="2"/>
    </row>
    <row r="537" spans="1:9" x14ac:dyDescent="0.2">
      <c r="A537" s="48">
        <v>6</v>
      </c>
      <c r="B537" s="90">
        <v>44783.518333333333</v>
      </c>
      <c r="C537" s="43">
        <f t="shared" si="36"/>
        <v>373</v>
      </c>
      <c r="D537" s="43">
        <v>990</v>
      </c>
      <c r="E537" s="43">
        <v>991</v>
      </c>
      <c r="F537" s="43">
        <f t="shared" si="37"/>
        <v>6927137.4000000004</v>
      </c>
      <c r="G537" s="43">
        <f t="shared" si="34"/>
        <v>6934032.1600000001</v>
      </c>
      <c r="H537" s="2">
        <f t="shared" si="35"/>
        <v>6894.7599999997765</v>
      </c>
      <c r="I537" s="2"/>
    </row>
    <row r="538" spans="1:9" x14ac:dyDescent="0.2">
      <c r="A538" s="48">
        <v>6</v>
      </c>
      <c r="B538" s="90">
        <v>44783.51834490741</v>
      </c>
      <c r="C538" s="43">
        <f t="shared" si="36"/>
        <v>374</v>
      </c>
      <c r="D538" s="43">
        <v>989</v>
      </c>
      <c r="E538" s="43">
        <v>990</v>
      </c>
      <c r="F538" s="43">
        <f t="shared" si="37"/>
        <v>6920242.6400000006</v>
      </c>
      <c r="G538" s="43">
        <f t="shared" si="34"/>
        <v>6927137.4000000004</v>
      </c>
      <c r="H538" s="2">
        <f t="shared" si="35"/>
        <v>6894.7599999997765</v>
      </c>
      <c r="I538" s="2"/>
    </row>
    <row r="539" spans="1:9" x14ac:dyDescent="0.2">
      <c r="A539" s="48">
        <v>6</v>
      </c>
      <c r="B539" s="90">
        <v>44783.51835648148</v>
      </c>
      <c r="C539" s="43">
        <f t="shared" si="36"/>
        <v>375</v>
      </c>
      <c r="D539" s="43">
        <v>989</v>
      </c>
      <c r="E539" s="43">
        <v>990</v>
      </c>
      <c r="F539" s="43">
        <f t="shared" si="37"/>
        <v>6920242.6400000006</v>
      </c>
      <c r="G539" s="43">
        <f t="shared" si="34"/>
        <v>6927137.4000000004</v>
      </c>
      <c r="H539" s="2">
        <f t="shared" si="35"/>
        <v>6894.7599999997765</v>
      </c>
      <c r="I539" s="2"/>
    </row>
    <row r="540" spans="1:9" x14ac:dyDescent="0.2">
      <c r="A540" s="48">
        <v>6</v>
      </c>
      <c r="B540" s="90">
        <v>44783.518368055556</v>
      </c>
      <c r="C540" s="43">
        <f t="shared" si="36"/>
        <v>376</v>
      </c>
      <c r="D540" s="43">
        <v>925</v>
      </c>
      <c r="E540" s="43">
        <v>420</v>
      </c>
      <c r="F540" s="43">
        <f t="shared" si="37"/>
        <v>6478978</v>
      </c>
      <c r="G540" s="43">
        <f t="shared" si="34"/>
        <v>2997124.2</v>
      </c>
      <c r="H540" s="2">
        <f t="shared" si="35"/>
        <v>-3481853.8</v>
      </c>
      <c r="I540" s="2"/>
    </row>
    <row r="541" spans="1:9" x14ac:dyDescent="0.2">
      <c r="A541" s="48">
        <v>6</v>
      </c>
      <c r="B541" s="90">
        <v>44783.518379629626</v>
      </c>
      <c r="C541" s="43">
        <f t="shared" si="36"/>
        <v>377</v>
      </c>
      <c r="D541" s="43">
        <v>794</v>
      </c>
      <c r="E541" s="43">
        <v>155</v>
      </c>
      <c r="F541" s="43">
        <f t="shared" si="37"/>
        <v>5575764.4400000004</v>
      </c>
      <c r="G541" s="43">
        <f t="shared" si="34"/>
        <v>1170012.8</v>
      </c>
      <c r="H541" s="2">
        <f t="shared" si="35"/>
        <v>-4405751.6400000006</v>
      </c>
      <c r="I541" s="2"/>
    </row>
    <row r="542" spans="1:9" x14ac:dyDescent="0.2">
      <c r="A542" s="48">
        <v>6</v>
      </c>
      <c r="B542" s="90">
        <v>44783.518391203703</v>
      </c>
      <c r="C542" s="43">
        <f t="shared" si="36"/>
        <v>378</v>
      </c>
      <c r="D542" s="43">
        <v>672</v>
      </c>
      <c r="E542" s="43">
        <v>63</v>
      </c>
      <c r="F542" s="43">
        <f t="shared" si="37"/>
        <v>4734603.72</v>
      </c>
      <c r="G542" s="43">
        <f t="shared" si="34"/>
        <v>535694.88</v>
      </c>
      <c r="H542" s="2">
        <f t="shared" si="35"/>
        <v>-4198908.84</v>
      </c>
      <c r="I542" s="2"/>
    </row>
    <row r="543" spans="1:9" x14ac:dyDescent="0.2">
      <c r="A543" s="48">
        <v>6</v>
      </c>
      <c r="B543" s="90">
        <v>44783.51840277778</v>
      </c>
      <c r="C543" s="43">
        <f t="shared" si="36"/>
        <v>379</v>
      </c>
      <c r="D543" s="43">
        <v>568</v>
      </c>
      <c r="E543" s="43">
        <v>22</v>
      </c>
      <c r="F543" s="43">
        <f t="shared" si="37"/>
        <v>4017548.68</v>
      </c>
      <c r="G543" s="43">
        <f t="shared" si="34"/>
        <v>253009.72</v>
      </c>
      <c r="H543" s="2">
        <f t="shared" si="35"/>
        <v>-3764538.96</v>
      </c>
      <c r="I543" s="2"/>
    </row>
    <row r="544" spans="1:9" x14ac:dyDescent="0.2">
      <c r="A544" s="48">
        <v>6</v>
      </c>
      <c r="B544" s="90">
        <v>44783.518414351849</v>
      </c>
      <c r="C544" s="43">
        <f t="shared" si="36"/>
        <v>380</v>
      </c>
      <c r="D544" s="43">
        <v>482</v>
      </c>
      <c r="E544" s="43">
        <v>13</v>
      </c>
      <c r="F544" s="43">
        <f t="shared" si="37"/>
        <v>3424599.3200000003</v>
      </c>
      <c r="G544" s="43">
        <f t="shared" si="34"/>
        <v>190956.88</v>
      </c>
      <c r="H544" s="2">
        <f t="shared" si="35"/>
        <v>-3233642.4400000004</v>
      </c>
      <c r="I544" s="2"/>
    </row>
    <row r="545" spans="1:9" x14ac:dyDescent="0.2">
      <c r="A545" s="48">
        <v>6</v>
      </c>
      <c r="B545" s="90">
        <v>44783.518425925926</v>
      </c>
      <c r="C545" s="43">
        <f t="shared" si="36"/>
        <v>381</v>
      </c>
      <c r="D545" s="43">
        <v>415</v>
      </c>
      <c r="E545" s="43">
        <v>5</v>
      </c>
      <c r="F545" s="43">
        <f t="shared" si="37"/>
        <v>2962650.4</v>
      </c>
      <c r="G545" s="43">
        <f t="shared" si="34"/>
        <v>135798.79999999999</v>
      </c>
      <c r="H545" s="2">
        <f t="shared" si="35"/>
        <v>-2826851.6</v>
      </c>
      <c r="I545" s="2"/>
    </row>
    <row r="546" spans="1:9" x14ac:dyDescent="0.2">
      <c r="A546" s="48">
        <v>6</v>
      </c>
      <c r="B546" s="90">
        <v>44783.518437500003</v>
      </c>
      <c r="C546" s="43">
        <f t="shared" si="36"/>
        <v>382</v>
      </c>
      <c r="D546" s="43">
        <v>353</v>
      </c>
      <c r="E546" s="43">
        <v>2</v>
      </c>
      <c r="F546" s="43">
        <f t="shared" si="37"/>
        <v>2535175.2800000003</v>
      </c>
      <c r="G546" s="43">
        <f t="shared" si="34"/>
        <v>115114.52</v>
      </c>
      <c r="H546" s="2">
        <f t="shared" si="35"/>
        <v>-2420060.7600000002</v>
      </c>
      <c r="I546" s="2"/>
    </row>
    <row r="547" spans="1:9" x14ac:dyDescent="0.2">
      <c r="A547" s="48">
        <v>6</v>
      </c>
      <c r="B547" s="90">
        <v>44783.518449074072</v>
      </c>
      <c r="C547" s="43">
        <f t="shared" si="36"/>
        <v>383</v>
      </c>
      <c r="D547" s="43">
        <v>299</v>
      </c>
      <c r="E547" s="43">
        <v>1</v>
      </c>
      <c r="F547" s="43">
        <f t="shared" si="37"/>
        <v>2162858.2400000002</v>
      </c>
      <c r="G547" s="43">
        <f t="shared" si="34"/>
        <v>108219.76</v>
      </c>
      <c r="H547" s="2">
        <f t="shared" si="35"/>
        <v>-2054638.4800000002</v>
      </c>
      <c r="I547" s="2"/>
    </row>
    <row r="548" spans="1:9" x14ac:dyDescent="0.2">
      <c r="A548" s="48">
        <v>6</v>
      </c>
      <c r="B548" s="90">
        <v>44783.518460648149</v>
      </c>
      <c r="C548" s="43">
        <f t="shared" si="36"/>
        <v>384</v>
      </c>
      <c r="D548" s="43">
        <v>254</v>
      </c>
      <c r="E548" s="43">
        <v>1</v>
      </c>
      <c r="F548" s="43">
        <f t="shared" si="37"/>
        <v>1852594.04</v>
      </c>
      <c r="G548" s="43">
        <f t="shared" si="34"/>
        <v>108219.76</v>
      </c>
      <c r="H548" s="2">
        <f t="shared" si="35"/>
        <v>-1744374.28</v>
      </c>
      <c r="I548" s="2"/>
    </row>
    <row r="549" spans="1:9" x14ac:dyDescent="0.2">
      <c r="A549" s="48">
        <v>6</v>
      </c>
      <c r="B549" s="90">
        <v>44783.518472222226</v>
      </c>
      <c r="C549" s="43">
        <f t="shared" si="36"/>
        <v>385</v>
      </c>
      <c r="D549" s="43">
        <v>215</v>
      </c>
      <c r="E549" s="43">
        <v>0</v>
      </c>
      <c r="F549" s="43">
        <f t="shared" si="37"/>
        <v>1583698.4000000001</v>
      </c>
      <c r="G549" s="43">
        <f t="shared" si="34"/>
        <v>101325</v>
      </c>
      <c r="H549" s="2">
        <f t="shared" si="35"/>
        <v>-1482373.4000000001</v>
      </c>
      <c r="I549" s="2"/>
    </row>
    <row r="550" spans="1:9" x14ac:dyDescent="0.2">
      <c r="A550" s="48">
        <v>6</v>
      </c>
      <c r="B550" s="90">
        <v>44783.518483796295</v>
      </c>
      <c r="C550" s="43">
        <f t="shared" si="36"/>
        <v>386</v>
      </c>
      <c r="D550" s="43">
        <v>185</v>
      </c>
      <c r="E550" s="43">
        <v>0</v>
      </c>
      <c r="F550" s="43">
        <f t="shared" si="37"/>
        <v>1376855.6</v>
      </c>
      <c r="G550" s="43">
        <f t="shared" si="34"/>
        <v>101325</v>
      </c>
      <c r="H550" s="2">
        <f t="shared" si="35"/>
        <v>-1275530.6000000001</v>
      </c>
      <c r="I550" s="2"/>
    </row>
    <row r="551" spans="1:9" x14ac:dyDescent="0.2">
      <c r="A551" s="48">
        <v>6</v>
      </c>
      <c r="B551" s="90">
        <v>44783.518495370372</v>
      </c>
      <c r="C551" s="43">
        <f t="shared" si="36"/>
        <v>387</v>
      </c>
      <c r="D551" s="43">
        <v>154</v>
      </c>
      <c r="E551" s="43">
        <v>0</v>
      </c>
      <c r="F551" s="43">
        <f t="shared" si="37"/>
        <v>1163118.04</v>
      </c>
      <c r="G551" s="43">
        <f t="shared" si="34"/>
        <v>101325</v>
      </c>
      <c r="H551" s="2">
        <f t="shared" si="35"/>
        <v>-1061793.04</v>
      </c>
      <c r="I551" s="2"/>
    </row>
    <row r="552" spans="1:9" x14ac:dyDescent="0.2">
      <c r="A552" s="48">
        <v>6</v>
      </c>
      <c r="B552" s="90">
        <v>44783.518506944441</v>
      </c>
      <c r="C552" s="43">
        <f t="shared" si="36"/>
        <v>388</v>
      </c>
      <c r="D552" s="43">
        <v>135</v>
      </c>
      <c r="E552" s="43">
        <v>0</v>
      </c>
      <c r="F552" s="43">
        <f t="shared" si="37"/>
        <v>1032117.6</v>
      </c>
      <c r="G552" s="43">
        <f t="shared" si="34"/>
        <v>101325</v>
      </c>
      <c r="H552" s="2">
        <f t="shared" si="35"/>
        <v>-930792.6</v>
      </c>
      <c r="I552" s="2"/>
    </row>
    <row r="553" spans="1:9" x14ac:dyDescent="0.2">
      <c r="A553" s="48">
        <v>6</v>
      </c>
      <c r="B553" s="90">
        <v>44783.518518518518</v>
      </c>
      <c r="C553" s="43">
        <f t="shared" si="36"/>
        <v>389</v>
      </c>
      <c r="D553" s="43">
        <v>114</v>
      </c>
      <c r="E553" s="43">
        <v>0</v>
      </c>
      <c r="F553" s="43">
        <f t="shared" si="37"/>
        <v>887327.64</v>
      </c>
      <c r="G553" s="43">
        <f t="shared" si="34"/>
        <v>101325</v>
      </c>
      <c r="H553" s="2">
        <f t="shared" si="35"/>
        <v>-786002.64</v>
      </c>
      <c r="I553" s="2"/>
    </row>
    <row r="554" spans="1:9" x14ac:dyDescent="0.2">
      <c r="A554" s="48">
        <v>6</v>
      </c>
      <c r="B554" s="90">
        <v>44783.518530092595</v>
      </c>
      <c r="C554" s="43">
        <f t="shared" si="36"/>
        <v>390</v>
      </c>
      <c r="D554" s="43">
        <v>100</v>
      </c>
      <c r="E554" s="43">
        <v>0</v>
      </c>
      <c r="F554" s="43">
        <f t="shared" si="37"/>
        <v>790801</v>
      </c>
      <c r="G554" s="43">
        <f t="shared" si="34"/>
        <v>101325</v>
      </c>
      <c r="H554" s="2">
        <f t="shared" si="35"/>
        <v>-689476</v>
      </c>
      <c r="I554" s="2"/>
    </row>
    <row r="555" spans="1:9" x14ac:dyDescent="0.2">
      <c r="A555" s="48">
        <v>6</v>
      </c>
      <c r="B555" s="90">
        <v>44783.518541666665</v>
      </c>
      <c r="C555" s="43">
        <f t="shared" si="36"/>
        <v>391</v>
      </c>
      <c r="D555" s="43">
        <v>79</v>
      </c>
      <c r="E555" s="43">
        <v>0</v>
      </c>
      <c r="F555" s="43">
        <f t="shared" si="37"/>
        <v>646011.04</v>
      </c>
      <c r="G555" s="43">
        <f t="shared" si="34"/>
        <v>101325</v>
      </c>
      <c r="H555" s="2">
        <f t="shared" si="35"/>
        <v>-544686.04</v>
      </c>
      <c r="I555" s="2"/>
    </row>
    <row r="556" spans="1:9" x14ac:dyDescent="0.2">
      <c r="A556" s="48">
        <v>6</v>
      </c>
      <c r="B556" s="90">
        <v>44783.518553240741</v>
      </c>
      <c r="C556" s="43">
        <f t="shared" si="36"/>
        <v>392</v>
      </c>
      <c r="D556" s="43">
        <v>72</v>
      </c>
      <c r="E556" s="43">
        <v>0</v>
      </c>
      <c r="F556" s="43">
        <f t="shared" si="37"/>
        <v>597747.72</v>
      </c>
      <c r="G556" s="43">
        <f t="shared" si="34"/>
        <v>101325</v>
      </c>
      <c r="H556" s="2">
        <f t="shared" si="35"/>
        <v>-496422.72</v>
      </c>
      <c r="I556" s="2"/>
    </row>
    <row r="557" spans="1:9" x14ac:dyDescent="0.2">
      <c r="A557" s="48">
        <v>6</v>
      </c>
      <c r="B557" s="90">
        <v>44783.518564814818</v>
      </c>
      <c r="C557" s="43">
        <f t="shared" si="36"/>
        <v>393</v>
      </c>
      <c r="D557" s="43">
        <v>61</v>
      </c>
      <c r="E557" s="43">
        <v>0</v>
      </c>
      <c r="F557" s="43">
        <f t="shared" si="37"/>
        <v>521905.36</v>
      </c>
      <c r="G557" s="43">
        <f t="shared" si="34"/>
        <v>101325</v>
      </c>
      <c r="H557" s="2">
        <f t="shared" si="35"/>
        <v>-420580.36</v>
      </c>
      <c r="I557" s="2"/>
    </row>
    <row r="558" spans="1:9" x14ac:dyDescent="0.2">
      <c r="A558" s="48">
        <v>6</v>
      </c>
      <c r="B558" s="90">
        <v>44783.518576388888</v>
      </c>
      <c r="C558" s="43">
        <f t="shared" si="36"/>
        <v>394</v>
      </c>
      <c r="D558" s="43">
        <v>52</v>
      </c>
      <c r="E558" s="43">
        <v>0</v>
      </c>
      <c r="F558" s="43">
        <f t="shared" si="37"/>
        <v>459852.52</v>
      </c>
      <c r="G558" s="43">
        <f t="shared" si="34"/>
        <v>101325</v>
      </c>
      <c r="H558" s="2">
        <f t="shared" si="35"/>
        <v>-358527.52</v>
      </c>
      <c r="I558" s="2"/>
    </row>
    <row r="559" spans="1:9" x14ac:dyDescent="0.2">
      <c r="A559" s="48">
        <v>6</v>
      </c>
      <c r="B559" s="90">
        <v>44783.518587962964</v>
      </c>
      <c r="C559" s="43">
        <f t="shared" si="36"/>
        <v>395</v>
      </c>
      <c r="D559" s="43">
        <v>44</v>
      </c>
      <c r="E559" s="43">
        <v>0</v>
      </c>
      <c r="F559" s="43">
        <f t="shared" si="37"/>
        <v>404694.44</v>
      </c>
      <c r="G559" s="43">
        <f t="shared" si="34"/>
        <v>101325</v>
      </c>
      <c r="H559" s="2">
        <f t="shared" si="35"/>
        <v>-303369.44</v>
      </c>
      <c r="I559" s="2"/>
    </row>
    <row r="560" spans="1:9" x14ac:dyDescent="0.2">
      <c r="A560" s="48">
        <v>6</v>
      </c>
      <c r="B560" s="90">
        <v>44783.518599537034</v>
      </c>
      <c r="C560" s="43">
        <f t="shared" si="36"/>
        <v>396</v>
      </c>
      <c r="D560" s="43">
        <v>37</v>
      </c>
      <c r="E560" s="43">
        <v>0</v>
      </c>
      <c r="F560" s="43">
        <f t="shared" si="37"/>
        <v>356431.12</v>
      </c>
      <c r="G560" s="43">
        <f t="shared" si="34"/>
        <v>101325</v>
      </c>
      <c r="H560" s="2">
        <f t="shared" si="35"/>
        <v>-255106.12</v>
      </c>
      <c r="I560" s="2"/>
    </row>
    <row r="561" spans="1:9" x14ac:dyDescent="0.2">
      <c r="A561" s="48">
        <v>6</v>
      </c>
      <c r="B561" s="90">
        <v>44783.518611111111</v>
      </c>
      <c r="C561" s="43">
        <f t="shared" si="36"/>
        <v>397</v>
      </c>
      <c r="D561" s="43">
        <v>32</v>
      </c>
      <c r="E561" s="43">
        <v>0</v>
      </c>
      <c r="F561" s="43">
        <f t="shared" si="37"/>
        <v>321957.32</v>
      </c>
      <c r="G561" s="43">
        <f t="shared" si="34"/>
        <v>101325</v>
      </c>
      <c r="H561" s="2">
        <f t="shared" si="35"/>
        <v>-220632.32000000001</v>
      </c>
      <c r="I561" s="2"/>
    </row>
    <row r="562" spans="1:9" x14ac:dyDescent="0.2">
      <c r="A562" s="48">
        <v>6</v>
      </c>
      <c r="B562" s="90">
        <v>44783.518622685187</v>
      </c>
      <c r="C562" s="43">
        <f t="shared" si="36"/>
        <v>398</v>
      </c>
      <c r="D562" s="43">
        <v>27</v>
      </c>
      <c r="E562" s="43">
        <v>0</v>
      </c>
      <c r="F562" s="43">
        <f t="shared" si="37"/>
        <v>287483.52000000002</v>
      </c>
      <c r="G562" s="43">
        <f t="shared" si="34"/>
        <v>101325</v>
      </c>
      <c r="H562" s="2">
        <f t="shared" si="35"/>
        <v>-186158.52000000002</v>
      </c>
      <c r="I562" s="2"/>
    </row>
    <row r="563" spans="1:9" x14ac:dyDescent="0.2">
      <c r="A563" s="48">
        <v>6</v>
      </c>
      <c r="B563" s="90">
        <v>44783.518634259257</v>
      </c>
      <c r="C563" s="43">
        <f t="shared" si="36"/>
        <v>399</v>
      </c>
      <c r="D563" s="43">
        <v>23</v>
      </c>
      <c r="E563" s="43">
        <v>0</v>
      </c>
      <c r="F563" s="43">
        <f t="shared" si="37"/>
        <v>259904.48</v>
      </c>
      <c r="G563" s="43">
        <f t="shared" si="34"/>
        <v>101325</v>
      </c>
      <c r="H563" s="2">
        <f t="shared" si="35"/>
        <v>-158579.48000000001</v>
      </c>
      <c r="I563" s="2"/>
    </row>
    <row r="564" spans="1:9" x14ac:dyDescent="0.2">
      <c r="A564" s="48">
        <v>6</v>
      </c>
      <c r="B564" s="90">
        <v>44783.518645833334</v>
      </c>
      <c r="C564" s="43">
        <f t="shared" si="36"/>
        <v>400</v>
      </c>
      <c r="D564" s="43">
        <v>20</v>
      </c>
      <c r="E564" s="43">
        <v>0</v>
      </c>
      <c r="F564" s="43">
        <f t="shared" si="37"/>
        <v>239220.2</v>
      </c>
      <c r="G564" s="43">
        <f t="shared" si="34"/>
        <v>101325</v>
      </c>
      <c r="H564" s="2">
        <f t="shared" si="35"/>
        <v>-137895.20000000001</v>
      </c>
      <c r="I564" s="2"/>
    </row>
    <row r="565" spans="1:9" x14ac:dyDescent="0.2">
      <c r="A565" s="48">
        <v>6</v>
      </c>
      <c r="B565" s="90">
        <v>44783.518657407411</v>
      </c>
      <c r="C565" s="43">
        <f t="shared" si="36"/>
        <v>401</v>
      </c>
      <c r="D565" s="43">
        <v>17</v>
      </c>
      <c r="E565" s="43">
        <v>0</v>
      </c>
      <c r="F565" s="43">
        <f t="shared" si="37"/>
        <v>218535.91999999998</v>
      </c>
      <c r="G565" s="43">
        <f t="shared" si="34"/>
        <v>101325</v>
      </c>
      <c r="H565" s="2">
        <f t="shared" si="35"/>
        <v>-117210.91999999998</v>
      </c>
      <c r="I565" s="2"/>
    </row>
    <row r="566" spans="1:9" x14ac:dyDescent="0.2">
      <c r="A566" s="48">
        <v>6</v>
      </c>
      <c r="B566" s="90">
        <v>44783.51866898148</v>
      </c>
      <c r="C566" s="43">
        <f t="shared" si="36"/>
        <v>402</v>
      </c>
      <c r="D566" s="43">
        <v>15</v>
      </c>
      <c r="E566" s="43">
        <v>0</v>
      </c>
      <c r="F566" s="43">
        <f t="shared" si="37"/>
        <v>204746.40000000002</v>
      </c>
      <c r="G566" s="43">
        <f t="shared" si="34"/>
        <v>101325</v>
      </c>
      <c r="H566" s="2">
        <f t="shared" si="35"/>
        <v>-103421.40000000002</v>
      </c>
      <c r="I566" s="2"/>
    </row>
    <row r="567" spans="1:9" x14ac:dyDescent="0.2">
      <c r="A567" s="48">
        <v>6</v>
      </c>
      <c r="B567" s="90">
        <v>44783.518680555557</v>
      </c>
      <c r="C567" s="43">
        <f t="shared" si="36"/>
        <v>403</v>
      </c>
      <c r="D567" s="43">
        <v>13</v>
      </c>
      <c r="E567" s="43">
        <v>0</v>
      </c>
      <c r="F567" s="43">
        <f t="shared" si="37"/>
        <v>190956.88</v>
      </c>
      <c r="G567" s="43">
        <f t="shared" si="34"/>
        <v>101325</v>
      </c>
      <c r="H567" s="2">
        <f t="shared" si="35"/>
        <v>-89631.88</v>
      </c>
      <c r="I567" s="2"/>
    </row>
    <row r="568" spans="1:9" x14ac:dyDescent="0.2">
      <c r="A568" s="48">
        <v>6</v>
      </c>
      <c r="B568" s="90">
        <v>44783.518692129626</v>
      </c>
      <c r="C568" s="43">
        <f t="shared" si="36"/>
        <v>404</v>
      </c>
      <c r="D568" s="43">
        <v>11</v>
      </c>
      <c r="E568" s="43">
        <v>0</v>
      </c>
      <c r="F568" s="43">
        <f t="shared" si="37"/>
        <v>177167.35999999999</v>
      </c>
      <c r="G568" s="43">
        <f t="shared" si="34"/>
        <v>101325</v>
      </c>
      <c r="H568" s="2">
        <f t="shared" si="35"/>
        <v>-75842.359999999986</v>
      </c>
      <c r="I568" s="2"/>
    </row>
    <row r="569" spans="1:9" x14ac:dyDescent="0.2">
      <c r="A569" s="48">
        <v>6</v>
      </c>
      <c r="B569" s="90">
        <v>44783.518703703703</v>
      </c>
      <c r="C569" s="43">
        <f t="shared" si="36"/>
        <v>405</v>
      </c>
      <c r="D569" s="43">
        <v>10</v>
      </c>
      <c r="E569" s="43">
        <v>0</v>
      </c>
      <c r="F569" s="43">
        <f t="shared" si="37"/>
        <v>170272.6</v>
      </c>
      <c r="G569" s="43">
        <f t="shared" si="34"/>
        <v>101325</v>
      </c>
      <c r="H569" s="2">
        <f t="shared" si="35"/>
        <v>-68947.600000000006</v>
      </c>
      <c r="I569" s="2"/>
    </row>
    <row r="570" spans="1:9" x14ac:dyDescent="0.2">
      <c r="A570" s="48">
        <v>6</v>
      </c>
      <c r="B570" s="90">
        <v>44783.51871527778</v>
      </c>
      <c r="C570" s="43">
        <f t="shared" si="36"/>
        <v>406</v>
      </c>
      <c r="D570" s="43">
        <v>8</v>
      </c>
      <c r="E570" s="43">
        <v>0</v>
      </c>
      <c r="F570" s="43">
        <f t="shared" si="37"/>
        <v>156483.08000000002</v>
      </c>
      <c r="G570" s="43">
        <f t="shared" si="34"/>
        <v>101325</v>
      </c>
      <c r="H570" s="2">
        <f t="shared" si="35"/>
        <v>-55158.080000000016</v>
      </c>
      <c r="I570" s="2"/>
    </row>
    <row r="571" spans="1:9" x14ac:dyDescent="0.2">
      <c r="A571" s="48">
        <v>6</v>
      </c>
      <c r="B571" s="90">
        <v>44783.518726851849</v>
      </c>
      <c r="C571" s="43">
        <f t="shared" si="36"/>
        <v>407</v>
      </c>
      <c r="D571" s="43">
        <v>7</v>
      </c>
      <c r="E571" s="43">
        <v>0</v>
      </c>
      <c r="F571" s="43">
        <f t="shared" si="37"/>
        <v>149588.32</v>
      </c>
      <c r="G571" s="43">
        <f t="shared" si="34"/>
        <v>101325</v>
      </c>
      <c r="H571" s="2">
        <f t="shared" si="35"/>
        <v>-48263.320000000007</v>
      </c>
      <c r="I571" s="2"/>
    </row>
    <row r="572" spans="1:9" x14ac:dyDescent="0.2">
      <c r="A572" s="48">
        <v>6</v>
      </c>
      <c r="B572" s="90">
        <v>44783.518738425926</v>
      </c>
      <c r="C572" s="43">
        <f t="shared" si="36"/>
        <v>408</v>
      </c>
      <c r="D572" s="43">
        <v>6</v>
      </c>
      <c r="E572" s="43">
        <v>0</v>
      </c>
      <c r="F572" s="43">
        <f t="shared" si="37"/>
        <v>142693.56</v>
      </c>
      <c r="G572" s="43">
        <f t="shared" si="34"/>
        <v>101325</v>
      </c>
      <c r="H572" s="2">
        <f t="shared" si="35"/>
        <v>-41368.559999999998</v>
      </c>
      <c r="I572" s="2"/>
    </row>
    <row r="573" spans="1:9" x14ac:dyDescent="0.2">
      <c r="A573" s="48">
        <v>6</v>
      </c>
      <c r="B573" s="90">
        <v>44783.518750000003</v>
      </c>
      <c r="C573" s="43">
        <f t="shared" si="36"/>
        <v>409</v>
      </c>
      <c r="D573" s="43">
        <v>6</v>
      </c>
      <c r="E573" s="43">
        <v>0</v>
      </c>
      <c r="F573" s="43">
        <f t="shared" si="37"/>
        <v>142693.56</v>
      </c>
      <c r="G573" s="43">
        <f t="shared" si="34"/>
        <v>101325</v>
      </c>
      <c r="H573" s="2">
        <f t="shared" si="35"/>
        <v>-41368.559999999998</v>
      </c>
      <c r="I573" s="2"/>
    </row>
    <row r="574" spans="1:9" x14ac:dyDescent="0.2">
      <c r="A574" s="48">
        <v>6</v>
      </c>
      <c r="B574" s="90">
        <v>44783.518761574072</v>
      </c>
      <c r="C574" s="43">
        <f t="shared" si="36"/>
        <v>410</v>
      </c>
      <c r="D574" s="43">
        <v>5</v>
      </c>
      <c r="E574" s="43">
        <v>0</v>
      </c>
      <c r="F574" s="43">
        <f t="shared" si="37"/>
        <v>135798.79999999999</v>
      </c>
      <c r="G574" s="43">
        <f t="shared" si="34"/>
        <v>101325</v>
      </c>
      <c r="H574" s="2">
        <f t="shared" si="35"/>
        <v>-34473.799999999988</v>
      </c>
      <c r="I574" s="2"/>
    </row>
    <row r="575" spans="1:9" x14ac:dyDescent="0.2">
      <c r="A575" s="48">
        <v>6</v>
      </c>
      <c r="B575" s="90">
        <v>44783.518773148149</v>
      </c>
      <c r="C575" s="43">
        <f t="shared" si="36"/>
        <v>411</v>
      </c>
      <c r="D575" s="43">
        <v>4</v>
      </c>
      <c r="E575" s="43">
        <v>0</v>
      </c>
      <c r="F575" s="43">
        <f t="shared" si="37"/>
        <v>128904.04000000001</v>
      </c>
      <c r="G575" s="43">
        <f t="shared" si="34"/>
        <v>101325</v>
      </c>
      <c r="H575" s="2">
        <f t="shared" si="35"/>
        <v>-27579.040000000008</v>
      </c>
      <c r="I575" s="2"/>
    </row>
    <row r="576" spans="1:9" x14ac:dyDescent="0.2">
      <c r="A576" s="48">
        <v>6</v>
      </c>
      <c r="B576" s="90">
        <v>44783.518784722219</v>
      </c>
      <c r="C576" s="43">
        <f t="shared" si="36"/>
        <v>412</v>
      </c>
      <c r="D576" s="43">
        <v>4</v>
      </c>
      <c r="E576" s="43">
        <v>0</v>
      </c>
      <c r="F576" s="43">
        <f t="shared" si="37"/>
        <v>128904.04000000001</v>
      </c>
      <c r="G576" s="43">
        <f t="shared" si="34"/>
        <v>101325</v>
      </c>
      <c r="H576" s="2">
        <f t="shared" si="35"/>
        <v>-27579.040000000008</v>
      </c>
      <c r="I576" s="2"/>
    </row>
    <row r="577" spans="1:9" x14ac:dyDescent="0.2">
      <c r="A577" s="48">
        <v>6</v>
      </c>
      <c r="B577" s="90">
        <v>44783.518796296295</v>
      </c>
      <c r="C577" s="43">
        <f t="shared" si="36"/>
        <v>413</v>
      </c>
      <c r="D577" s="43">
        <v>3</v>
      </c>
      <c r="E577" s="43">
        <v>0</v>
      </c>
      <c r="F577" s="43">
        <f t="shared" si="37"/>
        <v>122009.28</v>
      </c>
      <c r="G577" s="43">
        <f t="shared" si="34"/>
        <v>101325</v>
      </c>
      <c r="H577" s="2">
        <f t="shared" si="35"/>
        <v>-20684.28</v>
      </c>
      <c r="I577" s="2"/>
    </row>
    <row r="578" spans="1:9" x14ac:dyDescent="0.2">
      <c r="A578" s="48">
        <v>6</v>
      </c>
      <c r="B578" s="90">
        <v>44783.518807870372</v>
      </c>
      <c r="C578" s="43">
        <f t="shared" si="36"/>
        <v>414</v>
      </c>
      <c r="D578" s="43">
        <v>3</v>
      </c>
      <c r="E578" s="43">
        <v>0</v>
      </c>
      <c r="F578" s="43">
        <f t="shared" si="37"/>
        <v>122009.28</v>
      </c>
      <c r="G578" s="43">
        <f t="shared" si="34"/>
        <v>101325</v>
      </c>
      <c r="H578" s="2">
        <f t="shared" si="35"/>
        <v>-20684.28</v>
      </c>
      <c r="I578" s="2"/>
    </row>
    <row r="579" spans="1:9" x14ac:dyDescent="0.2">
      <c r="A579" s="48">
        <v>6</v>
      </c>
      <c r="B579" s="90">
        <v>44783.518819444442</v>
      </c>
      <c r="C579" s="43">
        <f t="shared" si="36"/>
        <v>415</v>
      </c>
      <c r="D579" s="43">
        <v>3</v>
      </c>
      <c r="E579" s="43">
        <v>0</v>
      </c>
      <c r="F579" s="43">
        <f t="shared" si="37"/>
        <v>122009.28</v>
      </c>
      <c r="G579" s="43">
        <f t="shared" si="34"/>
        <v>101325</v>
      </c>
      <c r="H579" s="2">
        <f t="shared" si="35"/>
        <v>-20684.28</v>
      </c>
      <c r="I579" s="2"/>
    </row>
    <row r="580" spans="1:9" x14ac:dyDescent="0.2">
      <c r="A580" s="48">
        <v>6</v>
      </c>
      <c r="B580" s="90">
        <v>44783.518831018519</v>
      </c>
      <c r="C580" s="43">
        <f t="shared" si="36"/>
        <v>416</v>
      </c>
      <c r="D580" s="43">
        <v>3</v>
      </c>
      <c r="E580" s="43">
        <v>0</v>
      </c>
      <c r="F580" s="43">
        <f t="shared" si="37"/>
        <v>122009.28</v>
      </c>
      <c r="G580" s="43">
        <f t="shared" si="34"/>
        <v>101325</v>
      </c>
      <c r="H580" s="2">
        <f t="shared" si="35"/>
        <v>-20684.28</v>
      </c>
      <c r="I580" s="2"/>
    </row>
    <row r="581" spans="1:9" x14ac:dyDescent="0.2">
      <c r="A581" s="48">
        <v>6</v>
      </c>
      <c r="B581" s="90">
        <v>44783.518842592595</v>
      </c>
      <c r="C581" s="43">
        <f t="shared" si="36"/>
        <v>417</v>
      </c>
      <c r="D581" s="43">
        <v>2</v>
      </c>
      <c r="E581" s="43">
        <v>0</v>
      </c>
      <c r="F581" s="43">
        <f t="shared" si="37"/>
        <v>115114.52</v>
      </c>
      <c r="G581" s="43">
        <f t="shared" si="34"/>
        <v>101325</v>
      </c>
      <c r="H581" s="2">
        <f t="shared" si="35"/>
        <v>-13789.520000000004</v>
      </c>
      <c r="I581" s="2"/>
    </row>
    <row r="582" spans="1:9" x14ac:dyDescent="0.2">
      <c r="A582" s="48">
        <v>6</v>
      </c>
      <c r="B582" s="90">
        <v>44783.518854166665</v>
      </c>
      <c r="C582" s="43">
        <f t="shared" si="36"/>
        <v>418</v>
      </c>
      <c r="D582" s="43">
        <v>2</v>
      </c>
      <c r="E582" s="43">
        <v>0</v>
      </c>
      <c r="F582" s="43">
        <f t="shared" si="37"/>
        <v>115114.52</v>
      </c>
      <c r="G582" s="43">
        <f t="shared" si="34"/>
        <v>101325</v>
      </c>
      <c r="H582" s="2">
        <f t="shared" si="35"/>
        <v>-13789.520000000004</v>
      </c>
      <c r="I582" s="2"/>
    </row>
    <row r="583" spans="1:9" x14ac:dyDescent="0.2">
      <c r="A583" s="48">
        <v>6</v>
      </c>
      <c r="B583" s="90">
        <v>44783.518865740742</v>
      </c>
      <c r="C583" s="43">
        <f t="shared" si="36"/>
        <v>419</v>
      </c>
      <c r="D583" s="43">
        <v>2</v>
      </c>
      <c r="E583" s="43">
        <v>0</v>
      </c>
      <c r="F583" s="43">
        <f t="shared" si="37"/>
        <v>115114.52</v>
      </c>
      <c r="G583" s="43">
        <f t="shared" si="34"/>
        <v>101325</v>
      </c>
      <c r="H583" s="2">
        <f t="shared" si="35"/>
        <v>-13789.520000000004</v>
      </c>
      <c r="I583" s="2"/>
    </row>
    <row r="584" spans="1:9" x14ac:dyDescent="0.2">
      <c r="A584" s="48">
        <v>6</v>
      </c>
      <c r="B584" s="90">
        <v>44783.518877314818</v>
      </c>
      <c r="C584" s="43">
        <f t="shared" si="36"/>
        <v>420</v>
      </c>
      <c r="D584" s="43">
        <v>2</v>
      </c>
      <c r="E584" s="43">
        <v>0</v>
      </c>
      <c r="F584" s="43">
        <f t="shared" si="37"/>
        <v>115114.52</v>
      </c>
      <c r="G584" s="43">
        <f t="shared" si="34"/>
        <v>101325</v>
      </c>
      <c r="H584" s="2">
        <f t="shared" si="35"/>
        <v>-13789.520000000004</v>
      </c>
      <c r="I584" s="2"/>
    </row>
    <row r="585" spans="1:9" x14ac:dyDescent="0.2">
      <c r="A585" s="48">
        <v>6</v>
      </c>
      <c r="B585" s="90">
        <v>44783.518888888888</v>
      </c>
      <c r="C585" s="43">
        <f t="shared" si="36"/>
        <v>421</v>
      </c>
      <c r="D585" s="43">
        <v>1</v>
      </c>
      <c r="E585" s="43">
        <v>0</v>
      </c>
      <c r="F585" s="43">
        <f t="shared" si="37"/>
        <v>108219.76</v>
      </c>
      <c r="G585" s="43">
        <f t="shared" si="34"/>
        <v>101325</v>
      </c>
      <c r="H585" s="2">
        <f t="shared" si="35"/>
        <v>-6894.7599999999948</v>
      </c>
      <c r="I585" s="2"/>
    </row>
    <row r="586" spans="1:9" x14ac:dyDescent="0.2">
      <c r="A586" s="48">
        <v>6</v>
      </c>
      <c r="B586" s="90">
        <v>44783.518900462965</v>
      </c>
      <c r="C586" s="43">
        <f t="shared" si="36"/>
        <v>422</v>
      </c>
      <c r="D586" s="43">
        <v>1</v>
      </c>
      <c r="E586" s="43">
        <v>0</v>
      </c>
      <c r="F586" s="43">
        <f t="shared" si="37"/>
        <v>108219.76</v>
      </c>
      <c r="G586" s="43">
        <f t="shared" si="34"/>
        <v>101325</v>
      </c>
      <c r="H586" s="2">
        <f t="shared" si="35"/>
        <v>-6894.7599999999948</v>
      </c>
      <c r="I586" s="2"/>
    </row>
    <row r="587" spans="1:9" x14ac:dyDescent="0.2">
      <c r="A587" s="48">
        <v>6</v>
      </c>
      <c r="B587" s="90">
        <v>44783.518912037034</v>
      </c>
      <c r="C587" s="43">
        <f t="shared" si="36"/>
        <v>423</v>
      </c>
      <c r="D587" s="43">
        <v>1</v>
      </c>
      <c r="E587" s="43">
        <v>0</v>
      </c>
      <c r="F587" s="43">
        <f t="shared" si="37"/>
        <v>108219.76</v>
      </c>
      <c r="G587" s="43">
        <f t="shared" si="34"/>
        <v>101325</v>
      </c>
      <c r="H587" s="2">
        <f t="shared" si="35"/>
        <v>-6894.7599999999948</v>
      </c>
      <c r="I587" s="2"/>
    </row>
    <row r="588" spans="1:9" x14ac:dyDescent="0.2">
      <c r="A588" s="48">
        <v>6</v>
      </c>
      <c r="B588" s="90">
        <v>44783.518923611111</v>
      </c>
      <c r="C588" s="43">
        <f t="shared" si="36"/>
        <v>424</v>
      </c>
      <c r="D588" s="43">
        <v>1</v>
      </c>
      <c r="E588" s="43">
        <v>0</v>
      </c>
      <c r="F588" s="43">
        <f t="shared" si="37"/>
        <v>108219.76</v>
      </c>
      <c r="G588" s="43">
        <f t="shared" ref="G588:G596" si="38">E588*6894.76 +101325</f>
        <v>101325</v>
      </c>
      <c r="H588" s="2">
        <f t="shared" ref="H588:H596" si="39">G588-F588</f>
        <v>-6894.7599999999948</v>
      </c>
      <c r="I588" s="2"/>
    </row>
    <row r="589" spans="1:9" x14ac:dyDescent="0.2">
      <c r="A589" s="48">
        <v>6</v>
      </c>
      <c r="B589" s="90">
        <v>44783.518935185188</v>
      </c>
      <c r="C589" s="43">
        <f t="shared" ref="C589:C596" si="40">C588+1</f>
        <v>425</v>
      </c>
      <c r="D589" s="43">
        <v>1</v>
      </c>
      <c r="E589" s="43">
        <v>0</v>
      </c>
      <c r="F589" s="43">
        <f t="shared" si="37"/>
        <v>108219.76</v>
      </c>
      <c r="G589" s="43">
        <f t="shared" si="38"/>
        <v>101325</v>
      </c>
      <c r="H589" s="2">
        <f t="shared" si="39"/>
        <v>-6894.7599999999948</v>
      </c>
      <c r="I589" s="2"/>
    </row>
    <row r="590" spans="1:9" x14ac:dyDescent="0.2">
      <c r="A590" s="48">
        <v>6</v>
      </c>
      <c r="B590" s="90">
        <v>44783.518946759257</v>
      </c>
      <c r="C590" s="43">
        <f t="shared" si="40"/>
        <v>426</v>
      </c>
      <c r="D590" s="43">
        <v>1</v>
      </c>
      <c r="E590" s="43">
        <v>0</v>
      </c>
      <c r="F590" s="43">
        <f t="shared" si="37"/>
        <v>108219.76</v>
      </c>
      <c r="G590" s="43">
        <f t="shared" si="38"/>
        <v>101325</v>
      </c>
      <c r="H590" s="2">
        <f t="shared" si="39"/>
        <v>-6894.7599999999948</v>
      </c>
      <c r="I590" s="2"/>
    </row>
    <row r="591" spans="1:9" x14ac:dyDescent="0.2">
      <c r="A591" s="48">
        <v>6</v>
      </c>
      <c r="B591" s="90">
        <v>44783.518958333334</v>
      </c>
      <c r="C591" s="43">
        <f t="shared" si="40"/>
        <v>427</v>
      </c>
      <c r="D591" s="43">
        <v>1</v>
      </c>
      <c r="E591" s="43">
        <v>0</v>
      </c>
      <c r="F591" s="43">
        <f t="shared" si="37"/>
        <v>108219.76</v>
      </c>
      <c r="G591" s="43">
        <f t="shared" si="38"/>
        <v>101325</v>
      </c>
      <c r="H591" s="2">
        <f t="shared" si="39"/>
        <v>-6894.7599999999948</v>
      </c>
      <c r="I591" s="2"/>
    </row>
    <row r="592" spans="1:9" x14ac:dyDescent="0.2">
      <c r="A592" s="48">
        <v>6</v>
      </c>
      <c r="B592" s="90">
        <v>44783.518969907411</v>
      </c>
      <c r="C592" s="43">
        <f t="shared" si="40"/>
        <v>428</v>
      </c>
      <c r="D592" s="43">
        <v>1</v>
      </c>
      <c r="E592" s="43">
        <v>0</v>
      </c>
      <c r="F592" s="43">
        <f t="shared" si="37"/>
        <v>108219.76</v>
      </c>
      <c r="G592" s="43">
        <f t="shared" si="38"/>
        <v>101325</v>
      </c>
      <c r="H592" s="2">
        <f t="shared" si="39"/>
        <v>-6894.7599999999948</v>
      </c>
      <c r="I592" s="2"/>
    </row>
    <row r="593" spans="1:9" x14ac:dyDescent="0.2">
      <c r="A593" s="48">
        <v>6</v>
      </c>
      <c r="B593" s="90">
        <v>44783.51898148148</v>
      </c>
      <c r="C593" s="43">
        <f t="shared" si="40"/>
        <v>429</v>
      </c>
      <c r="D593" s="43">
        <v>1</v>
      </c>
      <c r="E593" s="43">
        <v>0</v>
      </c>
      <c r="F593" s="43">
        <f t="shared" si="37"/>
        <v>108219.76</v>
      </c>
      <c r="G593" s="43">
        <f t="shared" si="38"/>
        <v>101325</v>
      </c>
      <c r="H593" s="2">
        <f t="shared" si="39"/>
        <v>-6894.7599999999948</v>
      </c>
      <c r="I593" s="2"/>
    </row>
    <row r="594" spans="1:9" x14ac:dyDescent="0.2">
      <c r="A594" s="48">
        <v>6</v>
      </c>
      <c r="B594" s="90">
        <v>44783.518993055557</v>
      </c>
      <c r="C594" s="43">
        <f t="shared" si="40"/>
        <v>430</v>
      </c>
      <c r="D594" s="43">
        <v>1</v>
      </c>
      <c r="E594" s="43">
        <v>0</v>
      </c>
      <c r="F594" s="43">
        <f>D594*6894.76 +101325</f>
        <v>108219.76</v>
      </c>
      <c r="G594" s="43">
        <f t="shared" si="38"/>
        <v>101325</v>
      </c>
      <c r="H594" s="2">
        <f t="shared" si="39"/>
        <v>-6894.7599999999948</v>
      </c>
      <c r="I594" s="2"/>
    </row>
    <row r="595" spans="1:9" x14ac:dyDescent="0.2">
      <c r="A595" s="48">
        <v>6</v>
      </c>
      <c r="B595" s="90">
        <v>44783.519004629627</v>
      </c>
      <c r="C595" s="43">
        <f t="shared" si="40"/>
        <v>431</v>
      </c>
      <c r="D595" s="43">
        <v>0</v>
      </c>
      <c r="E595" s="43">
        <v>0</v>
      </c>
      <c r="F595" s="43">
        <f>D595*6894.76 +101325</f>
        <v>101325</v>
      </c>
      <c r="G595" s="43">
        <f t="shared" si="38"/>
        <v>101325</v>
      </c>
      <c r="H595" s="2">
        <f t="shared" si="39"/>
        <v>0</v>
      </c>
      <c r="I595" s="2"/>
    </row>
    <row r="596" spans="1:9" x14ac:dyDescent="0.2">
      <c r="A596" s="48">
        <v>6</v>
      </c>
      <c r="B596" s="90">
        <v>44783.519016203703</v>
      </c>
      <c r="C596" s="43">
        <f t="shared" si="40"/>
        <v>432</v>
      </c>
      <c r="D596" s="43">
        <v>0</v>
      </c>
      <c r="E596" s="43">
        <v>0</v>
      </c>
      <c r="F596" s="43">
        <f>D596*6894.76 +101325</f>
        <v>101325</v>
      </c>
      <c r="G596" s="43">
        <f t="shared" si="38"/>
        <v>101325</v>
      </c>
      <c r="H596" s="2">
        <f t="shared" si="39"/>
        <v>0</v>
      </c>
      <c r="I596" s="2"/>
    </row>
  </sheetData>
  <mergeCells count="10">
    <mergeCell ref="B1:D1"/>
    <mergeCell ref="B2:C2"/>
    <mergeCell ref="B3:C3"/>
    <mergeCell ref="B4:C4"/>
    <mergeCell ref="B5:C5"/>
    <mergeCell ref="N9:P9"/>
    <mergeCell ref="A8:A10"/>
    <mergeCell ref="B8:B10"/>
    <mergeCell ref="C9:C10"/>
    <mergeCell ref="B6:C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52B51-11CF-D842-86AA-DBAB498D7475}">
  <dimension ref="B2:Q158"/>
  <sheetViews>
    <sheetView tabSelected="1" zoomScale="108" zoomScaleNormal="134" workbookViewId="0">
      <selection activeCell="Q33" sqref="Q33"/>
    </sheetView>
  </sheetViews>
  <sheetFormatPr baseColWidth="10" defaultRowHeight="15" x14ac:dyDescent="0.2"/>
  <cols>
    <col min="2" max="7" width="15.83203125" customWidth="1"/>
    <col min="8" max="8" width="19.83203125" customWidth="1"/>
    <col min="9" max="9" width="33.5" customWidth="1"/>
    <col min="10" max="10" width="20.1640625" customWidth="1"/>
    <col min="11" max="11" width="19.1640625" customWidth="1"/>
    <col min="12" max="12" width="25.83203125" customWidth="1"/>
    <col min="13" max="17" width="15.83203125" customWidth="1"/>
  </cols>
  <sheetData>
    <row r="2" spans="2:17" x14ac:dyDescent="0.2">
      <c r="B2" s="120" t="s">
        <v>52</v>
      </c>
      <c r="C2" s="121"/>
      <c r="D2" s="121"/>
      <c r="E2" s="121"/>
      <c r="F2" s="121"/>
      <c r="G2" s="121"/>
      <c r="I2" s="122" t="s">
        <v>58</v>
      </c>
      <c r="J2" s="122"/>
      <c r="K2" s="122"/>
    </row>
    <row r="3" spans="2:17" x14ac:dyDescent="0.2">
      <c r="B3" s="62" t="s">
        <v>34</v>
      </c>
      <c r="C3" s="63" t="s">
        <v>63</v>
      </c>
      <c r="D3" s="15" t="s">
        <v>64</v>
      </c>
      <c r="E3" s="14" t="s">
        <v>63</v>
      </c>
      <c r="F3" s="15" t="s">
        <v>64</v>
      </c>
      <c r="G3" s="32" t="s">
        <v>51</v>
      </c>
      <c r="I3" s="31" t="s">
        <v>21</v>
      </c>
      <c r="J3" s="18">
        <v>3.9699999999999996E-3</v>
      </c>
      <c r="K3" s="50" t="s">
        <v>28</v>
      </c>
    </row>
    <row r="4" spans="2:17" x14ac:dyDescent="0.2">
      <c r="B4" s="119" t="s">
        <v>35</v>
      </c>
      <c r="C4" s="64" t="s">
        <v>5</v>
      </c>
      <c r="D4" s="16" t="s">
        <v>5</v>
      </c>
      <c r="E4" s="16" t="s">
        <v>36</v>
      </c>
      <c r="F4" s="16" t="s">
        <v>36</v>
      </c>
      <c r="G4" s="16" t="s">
        <v>36</v>
      </c>
      <c r="I4" s="31" t="s">
        <v>22</v>
      </c>
      <c r="J4" s="18">
        <f xml:space="preserve"> 7.94*10^(-3)</f>
        <v>7.9400000000000009E-3</v>
      </c>
      <c r="K4" s="50" t="s">
        <v>28</v>
      </c>
    </row>
    <row r="5" spans="2:17" x14ac:dyDescent="0.2">
      <c r="B5" s="119"/>
      <c r="C5" s="64" t="s">
        <v>14</v>
      </c>
      <c r="D5" s="16" t="s">
        <v>14</v>
      </c>
      <c r="E5" s="16" t="s">
        <v>14</v>
      </c>
      <c r="F5" s="16" t="s">
        <v>14</v>
      </c>
      <c r="G5" s="16" t="s">
        <v>14</v>
      </c>
      <c r="I5" s="31" t="s">
        <v>23</v>
      </c>
      <c r="J5" s="18">
        <f>J4*PI()*J3^2</f>
        <v>3.9314376157246915E-7</v>
      </c>
      <c r="K5" s="50" t="s">
        <v>27</v>
      </c>
    </row>
    <row r="6" spans="2:17" x14ac:dyDescent="0.2">
      <c r="B6" s="55">
        <v>0</v>
      </c>
      <c r="C6" s="55">
        <v>608</v>
      </c>
      <c r="D6" s="9">
        <v>608</v>
      </c>
      <c r="E6" s="60">
        <f>C6*6894.76 +101325</f>
        <v>4293339.08</v>
      </c>
      <c r="F6" s="9">
        <f t="shared" ref="E6:F16" si="0">D6*6894.76 +101325</f>
        <v>4293339.08</v>
      </c>
      <c r="G6" s="59">
        <f>E6-F6</f>
        <v>0</v>
      </c>
      <c r="I6" s="31" t="s">
        <v>24</v>
      </c>
      <c r="J6" s="18">
        <f>25.08*10^(-9)/4</f>
        <v>6.2700000000000001E-9</v>
      </c>
      <c r="K6" s="50" t="s">
        <v>27</v>
      </c>
    </row>
    <row r="7" spans="2:17" ht="15" customHeight="1" x14ac:dyDescent="0.5">
      <c r="B7" s="55">
        <f>B6+1</f>
        <v>1</v>
      </c>
      <c r="C7" s="55">
        <v>594</v>
      </c>
      <c r="D7" s="9">
        <v>524</v>
      </c>
      <c r="E7" s="60">
        <f>C7*6894.76 +101325</f>
        <v>4196812.4399999995</v>
      </c>
      <c r="F7" s="9">
        <f t="shared" si="0"/>
        <v>3714179.24</v>
      </c>
      <c r="G7" s="59">
        <f>E7-F7</f>
        <v>482633.19999999925</v>
      </c>
      <c r="I7" s="31" t="s">
        <v>55</v>
      </c>
      <c r="J7" s="54">
        <v>4.1656000000000002E-3</v>
      </c>
      <c r="K7" s="50" t="s">
        <v>28</v>
      </c>
      <c r="M7" s="68"/>
      <c r="N7" s="12"/>
      <c r="O7" s="12"/>
      <c r="P7" s="12"/>
      <c r="Q7" s="12"/>
    </row>
    <row r="8" spans="2:17" x14ac:dyDescent="0.2">
      <c r="B8" s="55">
        <f t="shared" ref="B8:B34" si="1">B7+1</f>
        <v>2</v>
      </c>
      <c r="C8" s="55">
        <v>450</v>
      </c>
      <c r="D8" s="9">
        <v>193</v>
      </c>
      <c r="E8" s="60">
        <f>C8*6894.76 +101325</f>
        <v>3203967</v>
      </c>
      <c r="F8" s="9">
        <f t="shared" si="0"/>
        <v>1432013.68</v>
      </c>
      <c r="G8" s="59">
        <f>E8-F8</f>
        <v>1771953.32</v>
      </c>
      <c r="I8" s="31" t="s">
        <v>99</v>
      </c>
      <c r="J8" s="54">
        <f xml:space="preserve"> J7-J3</f>
        <v>1.9560000000000063E-4</v>
      </c>
      <c r="K8" s="50" t="s">
        <v>28</v>
      </c>
    </row>
    <row r="9" spans="2:17" x14ac:dyDescent="0.2">
      <c r="B9" s="55">
        <f t="shared" si="1"/>
        <v>3</v>
      </c>
      <c r="C9" s="55">
        <v>323</v>
      </c>
      <c r="D9" s="9">
        <v>71</v>
      </c>
      <c r="E9" s="60">
        <f t="shared" si="0"/>
        <v>2328332.48</v>
      </c>
      <c r="F9" s="9">
        <f t="shared" si="0"/>
        <v>590852.96</v>
      </c>
      <c r="G9" s="59">
        <f t="shared" ref="G9:G16" si="2">E9-F9</f>
        <v>1737479.52</v>
      </c>
      <c r="I9" s="108" t="s">
        <v>100</v>
      </c>
      <c r="J9" s="12">
        <f>PI()*(J7^2-J3^2)</f>
        <v>4.9992897772618452E-6</v>
      </c>
      <c r="K9" s="109" t="s">
        <v>41</v>
      </c>
    </row>
    <row r="10" spans="2:17" x14ac:dyDescent="0.2">
      <c r="B10" s="55">
        <f t="shared" si="1"/>
        <v>4</v>
      </c>
      <c r="C10" s="55">
        <v>230</v>
      </c>
      <c r="D10" s="9">
        <v>29</v>
      </c>
      <c r="E10" s="60">
        <f t="shared" si="0"/>
        <v>1687119.8</v>
      </c>
      <c r="F10" s="9">
        <f t="shared" si="0"/>
        <v>301273.04000000004</v>
      </c>
      <c r="G10" s="59">
        <f t="shared" si="2"/>
        <v>1385846.76</v>
      </c>
      <c r="I10" s="31" t="s">
        <v>39</v>
      </c>
      <c r="J10" s="18">
        <f>J3^2*PI()</f>
        <v>4.9514327653963363E-5</v>
      </c>
      <c r="K10" s="50" t="s">
        <v>41</v>
      </c>
    </row>
    <row r="11" spans="2:17" x14ac:dyDescent="0.2">
      <c r="B11" s="55">
        <f t="shared" si="1"/>
        <v>5</v>
      </c>
      <c r="C11" s="55">
        <v>165</v>
      </c>
      <c r="D11" s="9">
        <v>15</v>
      </c>
      <c r="E11" s="60">
        <f t="shared" si="0"/>
        <v>1238960.4000000001</v>
      </c>
      <c r="F11" s="9">
        <f t="shared" si="0"/>
        <v>204746.40000000002</v>
      </c>
      <c r="G11" s="59">
        <f t="shared" si="2"/>
        <v>1034214.0000000001</v>
      </c>
      <c r="I11" s="31" t="s">
        <v>101</v>
      </c>
      <c r="J11" s="18">
        <f>J10+J9</f>
        <v>5.4513617431225204E-5</v>
      </c>
      <c r="K11" s="50" t="s">
        <v>41</v>
      </c>
    </row>
    <row r="12" spans="2:17" x14ac:dyDescent="0.2">
      <c r="B12" s="55">
        <f t="shared" si="1"/>
        <v>6</v>
      </c>
      <c r="C12" s="55">
        <v>118</v>
      </c>
      <c r="D12" s="9">
        <v>6</v>
      </c>
      <c r="E12" s="60">
        <f t="shared" si="0"/>
        <v>914906.68</v>
      </c>
      <c r="F12" s="9">
        <f t="shared" si="0"/>
        <v>142693.56</v>
      </c>
      <c r="G12" s="59">
        <f t="shared" si="2"/>
        <v>772213.12000000011</v>
      </c>
      <c r="I12" s="31" t="s">
        <v>102</v>
      </c>
      <c r="J12" s="18">
        <f>J9/J11</f>
        <v>9.1707173598761585E-2</v>
      </c>
      <c r="K12" s="50" t="s">
        <v>26</v>
      </c>
    </row>
    <row r="13" spans="2:17" x14ac:dyDescent="0.2">
      <c r="B13" s="55">
        <f t="shared" si="1"/>
        <v>7</v>
      </c>
      <c r="C13" s="55">
        <v>87</v>
      </c>
      <c r="D13" s="9">
        <v>3</v>
      </c>
      <c r="E13" s="60">
        <f t="shared" si="0"/>
        <v>701169.12</v>
      </c>
      <c r="F13" s="9">
        <f t="shared" si="0"/>
        <v>122009.28</v>
      </c>
      <c r="G13" s="59">
        <f t="shared" si="2"/>
        <v>579159.84</v>
      </c>
      <c r="I13" s="31" t="s">
        <v>103</v>
      </c>
      <c r="J13" s="18">
        <f>(1/J12-1)^2</f>
        <v>98.09461135112943</v>
      </c>
      <c r="K13" s="50" t="s">
        <v>26</v>
      </c>
    </row>
    <row r="14" spans="2:17" x14ac:dyDescent="0.2">
      <c r="B14" s="55">
        <f t="shared" si="1"/>
        <v>8</v>
      </c>
      <c r="C14" s="55">
        <v>61</v>
      </c>
      <c r="D14" s="9">
        <v>1</v>
      </c>
      <c r="E14" s="60">
        <f t="shared" si="0"/>
        <v>521905.36</v>
      </c>
      <c r="F14" s="9">
        <f t="shared" si="0"/>
        <v>108219.76</v>
      </c>
      <c r="G14" s="59">
        <f t="shared" si="2"/>
        <v>413685.6</v>
      </c>
      <c r="I14" s="31" t="s">
        <v>57</v>
      </c>
      <c r="J14" s="30">
        <f xml:space="preserve"> (J7^2-J3^2)/J7^2+J15</f>
        <v>0.17170717359876159</v>
      </c>
      <c r="K14" s="50" t="s">
        <v>26</v>
      </c>
    </row>
    <row r="15" spans="2:17" x14ac:dyDescent="0.2">
      <c r="B15" s="55">
        <f t="shared" si="1"/>
        <v>9</v>
      </c>
      <c r="C15" s="55">
        <v>48</v>
      </c>
      <c r="D15" s="9">
        <v>1</v>
      </c>
      <c r="E15" s="60">
        <f t="shared" si="0"/>
        <v>432273.48</v>
      </c>
      <c r="F15" s="9">
        <f t="shared" si="0"/>
        <v>108219.76</v>
      </c>
      <c r="G15" s="59">
        <f t="shared" si="2"/>
        <v>324053.71999999997</v>
      </c>
      <c r="I15" s="31" t="s">
        <v>56</v>
      </c>
      <c r="J15" s="18">
        <v>0.08</v>
      </c>
      <c r="K15" s="50" t="s">
        <v>26</v>
      </c>
    </row>
    <row r="16" spans="2:17" ht="14" customHeight="1" x14ac:dyDescent="0.5">
      <c r="B16" s="55">
        <f t="shared" si="1"/>
        <v>10</v>
      </c>
      <c r="C16" s="55">
        <v>35</v>
      </c>
      <c r="D16" s="9">
        <v>1</v>
      </c>
      <c r="E16" s="60">
        <f t="shared" si="0"/>
        <v>342641.6</v>
      </c>
      <c r="F16" s="9">
        <f t="shared" si="0"/>
        <v>108219.76</v>
      </c>
      <c r="G16" s="9">
        <f t="shared" si="2"/>
        <v>234421.83999999997</v>
      </c>
      <c r="M16" s="67"/>
    </row>
    <row r="17" spans="2:13" x14ac:dyDescent="0.2">
      <c r="B17" s="55">
        <f t="shared" si="1"/>
        <v>11</v>
      </c>
      <c r="C17" s="65">
        <v>25</v>
      </c>
      <c r="D17" s="57">
        <v>0</v>
      </c>
      <c r="E17" s="61">
        <f>C17*6895+101325</f>
        <v>273700</v>
      </c>
      <c r="F17" s="57">
        <v>101325</v>
      </c>
      <c r="G17" s="57">
        <f>E17-F17</f>
        <v>172375</v>
      </c>
      <c r="I17" s="31" t="s">
        <v>37</v>
      </c>
      <c r="J17" s="18">
        <f>J4*8</f>
        <v>6.3520000000000007E-2</v>
      </c>
      <c r="K17" s="50" t="s">
        <v>28</v>
      </c>
    </row>
    <row r="18" spans="2:13" x14ac:dyDescent="0.2">
      <c r="B18" s="55">
        <f t="shared" si="1"/>
        <v>12</v>
      </c>
      <c r="C18" s="66">
        <v>17</v>
      </c>
      <c r="D18" s="58">
        <v>0</v>
      </c>
      <c r="E18" s="61">
        <f t="shared" ref="E18:E34" si="3">C18*6895+101325</f>
        <v>218540</v>
      </c>
      <c r="F18" s="58">
        <v>101325</v>
      </c>
      <c r="G18" s="57">
        <f>E18-F18</f>
        <v>117215</v>
      </c>
      <c r="I18" s="31" t="s">
        <v>38</v>
      </c>
      <c r="J18" s="18">
        <f>2.54*0.01*6</f>
        <v>0.15240000000000001</v>
      </c>
      <c r="K18" s="50" t="s">
        <v>28</v>
      </c>
    </row>
    <row r="19" spans="2:13" x14ac:dyDescent="0.2">
      <c r="B19" s="55">
        <f t="shared" si="1"/>
        <v>13</v>
      </c>
      <c r="C19" s="66">
        <v>12</v>
      </c>
      <c r="D19" s="58">
        <v>0</v>
      </c>
      <c r="E19" s="61">
        <f t="shared" si="3"/>
        <v>184065</v>
      </c>
      <c r="F19" s="58">
        <v>101325</v>
      </c>
      <c r="G19" s="57">
        <f>E19-F19</f>
        <v>82740</v>
      </c>
      <c r="I19" s="31" t="s">
        <v>30</v>
      </c>
      <c r="J19" s="18">
        <f>1.79*10^(-5)</f>
        <v>1.7900000000000001E-5</v>
      </c>
      <c r="K19" s="50" t="s">
        <v>31</v>
      </c>
    </row>
    <row r="20" spans="2:13" x14ac:dyDescent="0.2">
      <c r="B20" s="55">
        <f t="shared" si="1"/>
        <v>14</v>
      </c>
      <c r="C20" s="66">
        <v>8</v>
      </c>
      <c r="D20" s="58">
        <v>0</v>
      </c>
      <c r="E20" s="61">
        <f t="shared" si="3"/>
        <v>156485</v>
      </c>
      <c r="F20" s="58">
        <v>101325</v>
      </c>
      <c r="G20" s="57">
        <f>E20-F20</f>
        <v>55160</v>
      </c>
      <c r="I20" s="31" t="s">
        <v>33</v>
      </c>
      <c r="J20" s="18">
        <v>1.1839999999999999</v>
      </c>
      <c r="K20" s="50" t="s">
        <v>32</v>
      </c>
    </row>
    <row r="21" spans="2:13" x14ac:dyDescent="0.2">
      <c r="B21" s="55">
        <f t="shared" si="1"/>
        <v>15</v>
      </c>
      <c r="C21" s="66">
        <v>6</v>
      </c>
      <c r="D21" s="58">
        <v>0</v>
      </c>
      <c r="E21" s="61">
        <f t="shared" si="3"/>
        <v>142695</v>
      </c>
      <c r="F21" s="58">
        <v>101325</v>
      </c>
      <c r="G21" s="57">
        <f t="shared" ref="G21:G32" si="4">E21-F21</f>
        <v>41370</v>
      </c>
      <c r="I21" s="31" t="s">
        <v>47</v>
      </c>
      <c r="J21" s="18">
        <f>PI()*J7^2*(J18-J17)</f>
        <v>4.8451703172872962E-6</v>
      </c>
      <c r="K21" s="50"/>
    </row>
    <row r="22" spans="2:13" x14ac:dyDescent="0.2">
      <c r="B22" s="55">
        <f t="shared" si="1"/>
        <v>16</v>
      </c>
      <c r="C22" s="66">
        <v>4</v>
      </c>
      <c r="D22" s="58">
        <v>0</v>
      </c>
      <c r="E22" s="61">
        <f t="shared" si="3"/>
        <v>128905</v>
      </c>
      <c r="F22" s="58">
        <v>101325</v>
      </c>
      <c r="G22" s="57">
        <f t="shared" si="4"/>
        <v>27580</v>
      </c>
      <c r="I22" s="31" t="s">
        <v>46</v>
      </c>
      <c r="J22" s="18">
        <f>PI()*J7^2*350*0.001</f>
        <v>1.9079766100928824E-5</v>
      </c>
      <c r="K22" s="50" t="s">
        <v>27</v>
      </c>
    </row>
    <row r="23" spans="2:13" x14ac:dyDescent="0.2">
      <c r="B23" s="55">
        <f t="shared" si="1"/>
        <v>17</v>
      </c>
      <c r="C23" s="66">
        <v>3</v>
      </c>
      <c r="D23" s="58">
        <v>0</v>
      </c>
      <c r="E23" s="61">
        <f t="shared" si="3"/>
        <v>122010</v>
      </c>
      <c r="F23" s="58">
        <v>101325</v>
      </c>
      <c r="G23" s="57">
        <f t="shared" si="4"/>
        <v>20685</v>
      </c>
      <c r="I23" s="31" t="s">
        <v>43</v>
      </c>
      <c r="J23" s="107">
        <f>F6</f>
        <v>4293339.08</v>
      </c>
      <c r="K23" s="50" t="s">
        <v>36</v>
      </c>
    </row>
    <row r="24" spans="2:13" x14ac:dyDescent="0.2">
      <c r="B24" s="55">
        <f t="shared" si="1"/>
        <v>18</v>
      </c>
      <c r="C24" s="66">
        <v>3</v>
      </c>
      <c r="D24" s="58">
        <v>0</v>
      </c>
      <c r="E24" s="61">
        <f t="shared" si="3"/>
        <v>122010</v>
      </c>
      <c r="F24" s="58">
        <v>101325</v>
      </c>
      <c r="G24" s="57">
        <f t="shared" si="4"/>
        <v>20685</v>
      </c>
      <c r="I24" s="31"/>
      <c r="J24" s="30">
        <f>J23/J25</f>
        <v>42.371962299531212</v>
      </c>
      <c r="K24" s="50" t="s">
        <v>54</v>
      </c>
    </row>
    <row r="25" spans="2:13" x14ac:dyDescent="0.2">
      <c r="B25" s="55">
        <f t="shared" si="1"/>
        <v>19</v>
      </c>
      <c r="C25" s="66">
        <v>2</v>
      </c>
      <c r="D25" s="58">
        <v>0</v>
      </c>
      <c r="E25" s="61">
        <f t="shared" si="3"/>
        <v>115115</v>
      </c>
      <c r="F25" s="58">
        <v>101325</v>
      </c>
      <c r="G25" s="57">
        <f t="shared" si="4"/>
        <v>13790</v>
      </c>
      <c r="I25" s="31" t="s">
        <v>44</v>
      </c>
      <c r="J25" s="18">
        <v>101325</v>
      </c>
      <c r="K25" s="50" t="s">
        <v>36</v>
      </c>
      <c r="L25" s="12"/>
    </row>
    <row r="26" spans="2:13" x14ac:dyDescent="0.2">
      <c r="B26" s="55">
        <f t="shared" si="1"/>
        <v>20</v>
      </c>
      <c r="C26" s="66">
        <v>2</v>
      </c>
      <c r="D26" s="58">
        <v>0</v>
      </c>
      <c r="E26" s="61">
        <f t="shared" si="3"/>
        <v>115115</v>
      </c>
      <c r="F26" s="58">
        <v>101325</v>
      </c>
      <c r="G26" s="57">
        <f t="shared" si="4"/>
        <v>13790</v>
      </c>
      <c r="I26" s="31" t="s">
        <v>45</v>
      </c>
      <c r="J26" s="18">
        <v>0.30199999999999999</v>
      </c>
      <c r="K26" s="50" t="s">
        <v>26</v>
      </c>
    </row>
    <row r="27" spans="2:13" x14ac:dyDescent="0.2">
      <c r="B27" s="55">
        <f t="shared" si="1"/>
        <v>21</v>
      </c>
      <c r="C27" s="66">
        <v>1</v>
      </c>
      <c r="D27" s="58">
        <v>0</v>
      </c>
      <c r="E27" s="61">
        <f t="shared" si="3"/>
        <v>108220</v>
      </c>
      <c r="F27" s="58">
        <v>101325</v>
      </c>
      <c r="G27" s="57">
        <f t="shared" si="4"/>
        <v>6895</v>
      </c>
      <c r="I27" s="31" t="s">
        <v>49</v>
      </c>
      <c r="J27" s="18">
        <f>J26*J19*J22*J17/(PI()*J7^2*(J23-J25))</f>
        <v>2.8669213248444058E-14</v>
      </c>
      <c r="K27" s="50" t="s">
        <v>41</v>
      </c>
    </row>
    <row r="28" spans="2:13" x14ac:dyDescent="0.2">
      <c r="B28" s="55">
        <f t="shared" si="1"/>
        <v>22</v>
      </c>
      <c r="C28" s="66">
        <v>1</v>
      </c>
      <c r="D28" s="58">
        <v>0</v>
      </c>
      <c r="E28" s="61">
        <f t="shared" si="3"/>
        <v>108220</v>
      </c>
      <c r="F28" s="58">
        <v>101325</v>
      </c>
      <c r="G28" s="57">
        <f t="shared" si="4"/>
        <v>6895</v>
      </c>
      <c r="I28" s="31" t="s">
        <v>48</v>
      </c>
      <c r="J28" s="30">
        <f>J26*J19*J21*J17/(PI()*J7^2*(J23-J25))</f>
        <v>7.2803419243477358E-15</v>
      </c>
      <c r="K28" s="50" t="s">
        <v>41</v>
      </c>
    </row>
    <row r="29" spans="2:13" x14ac:dyDescent="0.2">
      <c r="B29" s="55">
        <f t="shared" si="1"/>
        <v>23</v>
      </c>
      <c r="C29" s="66">
        <v>1</v>
      </c>
      <c r="D29" s="58">
        <v>0</v>
      </c>
      <c r="E29" s="61">
        <f t="shared" si="3"/>
        <v>108220</v>
      </c>
      <c r="F29" s="58">
        <v>101325</v>
      </c>
      <c r="G29" s="57">
        <f t="shared" si="4"/>
        <v>6895</v>
      </c>
      <c r="I29" s="31" t="s">
        <v>59</v>
      </c>
      <c r="J29" s="30">
        <f>(E17-F17)*J27*J7^2/J19/J17/(J7-J3)^2</f>
        <v>1.9712602395555725</v>
      </c>
      <c r="K29" s="50" t="s">
        <v>60</v>
      </c>
    </row>
    <row r="30" spans="2:13" x14ac:dyDescent="0.2">
      <c r="B30" s="55">
        <f t="shared" si="1"/>
        <v>24</v>
      </c>
      <c r="C30" s="66">
        <v>1</v>
      </c>
      <c r="D30" s="58">
        <v>0</v>
      </c>
      <c r="E30" s="61">
        <f t="shared" si="3"/>
        <v>108220</v>
      </c>
      <c r="F30" s="58">
        <v>101325</v>
      </c>
      <c r="G30" s="57">
        <f t="shared" si="4"/>
        <v>6895</v>
      </c>
      <c r="I30" s="31" t="s">
        <v>62</v>
      </c>
      <c r="J30" s="30">
        <v>346</v>
      </c>
      <c r="K30" s="50" t="s">
        <v>60</v>
      </c>
      <c r="M30">
        <f>(PI()*(2*(J7-J3))^2*(J7^2-J3^2)*(E6-F34))/(128*J19*3.86*J21)</f>
        <v>74.846135659361579</v>
      </c>
    </row>
    <row r="31" spans="2:13" x14ac:dyDescent="0.2">
      <c r="B31" s="55">
        <f t="shared" si="1"/>
        <v>25</v>
      </c>
      <c r="C31" s="66">
        <v>1</v>
      </c>
      <c r="D31" s="58">
        <v>0</v>
      </c>
      <c r="E31" s="61">
        <f t="shared" si="3"/>
        <v>108220</v>
      </c>
      <c r="F31" s="58">
        <v>101325</v>
      </c>
      <c r="G31" s="57">
        <f t="shared" si="4"/>
        <v>6895</v>
      </c>
      <c r="I31" s="31" t="s">
        <v>61</v>
      </c>
      <c r="J31" s="30">
        <f>J29/J30</f>
        <v>5.6972839293513659E-3</v>
      </c>
      <c r="K31" s="50" t="s">
        <v>26</v>
      </c>
      <c r="M31">
        <f>1/M30</f>
        <v>1.3360743225958685E-2</v>
      </c>
    </row>
    <row r="32" spans="2:13" x14ac:dyDescent="0.2">
      <c r="B32" s="55">
        <f t="shared" si="1"/>
        <v>26</v>
      </c>
      <c r="C32" s="66">
        <v>1</v>
      </c>
      <c r="D32" s="58">
        <v>0</v>
      </c>
      <c r="E32" s="61">
        <f t="shared" si="3"/>
        <v>108220</v>
      </c>
      <c r="F32" s="58">
        <v>101325</v>
      </c>
      <c r="G32" s="57">
        <f t="shared" si="4"/>
        <v>6895</v>
      </c>
      <c r="I32" s="31" t="s">
        <v>72</v>
      </c>
      <c r="J32" s="30">
        <f>5.5*10^11</f>
        <v>550000000000</v>
      </c>
      <c r="K32" s="50" t="s">
        <v>26</v>
      </c>
      <c r="M32">
        <f>5*M31</f>
        <v>6.6803716129793425E-2</v>
      </c>
    </row>
    <row r="33" spans="2:11" x14ac:dyDescent="0.2">
      <c r="B33" s="55">
        <f t="shared" si="1"/>
        <v>27</v>
      </c>
      <c r="C33" s="66">
        <v>0</v>
      </c>
      <c r="D33" s="58">
        <v>0</v>
      </c>
      <c r="E33" s="61">
        <f t="shared" si="3"/>
        <v>101325</v>
      </c>
      <c r="F33" s="58">
        <v>101325</v>
      </c>
      <c r="G33" s="57">
        <v>0</v>
      </c>
      <c r="I33" s="31" t="s">
        <v>75</v>
      </c>
      <c r="J33" s="30">
        <f>J19/J32</f>
        <v>3.2545454545454549E-17</v>
      </c>
      <c r="K33" s="50" t="s">
        <v>41</v>
      </c>
    </row>
    <row r="34" spans="2:11" x14ac:dyDescent="0.2">
      <c r="B34" s="55">
        <f t="shared" si="1"/>
        <v>28</v>
      </c>
      <c r="C34" s="66">
        <v>0</v>
      </c>
      <c r="D34" s="58">
        <v>0</v>
      </c>
      <c r="E34" s="61">
        <f t="shared" si="3"/>
        <v>101325</v>
      </c>
      <c r="F34" s="58">
        <v>101325</v>
      </c>
      <c r="G34" s="57">
        <v>0</v>
      </c>
    </row>
    <row r="39" spans="2:11" x14ac:dyDescent="0.2">
      <c r="H39" s="28"/>
    </row>
    <row r="54" spans="2:8" x14ac:dyDescent="0.2">
      <c r="B54" s="123" t="s">
        <v>71</v>
      </c>
      <c r="C54" s="123"/>
    </row>
    <row r="56" spans="2:8" x14ac:dyDescent="0.2">
      <c r="B56" s="123" t="s">
        <v>73</v>
      </c>
      <c r="C56" s="124"/>
    </row>
    <row r="57" spans="2:8" x14ac:dyDescent="0.2">
      <c r="B57" s="73" t="s">
        <v>65</v>
      </c>
      <c r="C57" s="30" t="s">
        <v>76</v>
      </c>
      <c r="D57" s="30" t="s">
        <v>66</v>
      </c>
      <c r="E57" s="30" t="s">
        <v>77</v>
      </c>
    </row>
    <row r="58" spans="2:8" x14ac:dyDescent="0.2">
      <c r="B58" s="73">
        <v>0</v>
      </c>
      <c r="C58" s="30">
        <v>4293339</v>
      </c>
      <c r="D58" s="30">
        <v>4293339</v>
      </c>
      <c r="E58" s="30">
        <v>4293339</v>
      </c>
    </row>
    <row r="59" spans="2:8" x14ac:dyDescent="0.2">
      <c r="B59" s="73">
        <v>1</v>
      </c>
      <c r="C59" s="30">
        <v>3714179</v>
      </c>
      <c r="D59" s="30">
        <v>4241214.5999999996</v>
      </c>
      <c r="E59" s="30">
        <v>4293339</v>
      </c>
    </row>
    <row r="60" spans="2:8" x14ac:dyDescent="0.2">
      <c r="B60" s="73">
        <v>2</v>
      </c>
      <c r="C60" s="30">
        <v>1432014</v>
      </c>
      <c r="D60" s="30">
        <v>3796228.1681591002</v>
      </c>
      <c r="E60" s="30">
        <v>4030051.5474275001</v>
      </c>
    </row>
    <row r="61" spans="2:8" x14ac:dyDescent="0.2">
      <c r="B61" s="73">
        <v>3</v>
      </c>
      <c r="C61" s="30">
        <v>590853</v>
      </c>
      <c r="D61" s="30">
        <v>2754816.4420286999</v>
      </c>
      <c r="E61" s="30">
        <v>2968834.8044272</v>
      </c>
    </row>
    <row r="62" spans="2:8" x14ac:dyDescent="0.2">
      <c r="B62" s="73">
        <v>4</v>
      </c>
      <c r="C62" s="30">
        <v>301273</v>
      </c>
      <c r="D62" s="30">
        <v>1998764.0238288001</v>
      </c>
      <c r="E62" s="30">
        <v>2166647.7514602002</v>
      </c>
      <c r="H62" s="51"/>
    </row>
    <row r="63" spans="2:8" x14ac:dyDescent="0.2">
      <c r="B63" s="73">
        <v>5</v>
      </c>
      <c r="C63" s="30">
        <v>204746</v>
      </c>
      <c r="D63" s="30">
        <v>1502543.733396</v>
      </c>
      <c r="E63" s="30">
        <v>1630897.3553803</v>
      </c>
      <c r="H63" s="51"/>
    </row>
    <row r="64" spans="2:8" x14ac:dyDescent="0.2">
      <c r="B64" s="73">
        <v>6</v>
      </c>
      <c r="C64" s="30">
        <v>142694</v>
      </c>
      <c r="D64" s="30">
        <v>1144665.0290923</v>
      </c>
      <c r="E64" s="30">
        <v>1243761.0649365999</v>
      </c>
      <c r="H64" s="51"/>
    </row>
    <row r="65" spans="2:8" x14ac:dyDescent="0.2">
      <c r="B65" s="73">
        <v>7</v>
      </c>
      <c r="C65" s="30">
        <v>122009</v>
      </c>
      <c r="D65" s="30">
        <v>883700.44301844004</v>
      </c>
      <c r="E65" s="30">
        <v>959032.56375652004</v>
      </c>
      <c r="H65" s="51"/>
    </row>
    <row r="66" spans="2:8" x14ac:dyDescent="0.2">
      <c r="B66" s="73">
        <v>8</v>
      </c>
      <c r="C66" s="30">
        <v>108220</v>
      </c>
      <c r="D66" s="30">
        <v>675074.12827643997</v>
      </c>
      <c r="E66" s="30">
        <v>731136.62447961001</v>
      </c>
      <c r="H66" s="51"/>
    </row>
    <row r="67" spans="2:8" x14ac:dyDescent="0.2">
      <c r="B67" s="73">
        <v>9</v>
      </c>
      <c r="C67" s="30">
        <v>108220</v>
      </c>
      <c r="D67" s="30">
        <v>510099.30249228003</v>
      </c>
      <c r="E67" s="30">
        <v>549845.60713438003</v>
      </c>
      <c r="H67" s="51"/>
    </row>
    <row r="68" spans="2:8" x14ac:dyDescent="0.2">
      <c r="B68" s="73">
        <v>10</v>
      </c>
      <c r="C68" s="30">
        <v>108220</v>
      </c>
      <c r="D68" s="30">
        <v>381335.13539472001</v>
      </c>
      <c r="E68" s="30">
        <v>408346.52241178002</v>
      </c>
      <c r="H68" s="51"/>
    </row>
    <row r="69" spans="2:8" x14ac:dyDescent="0.2">
      <c r="B69" s="73">
        <v>11</v>
      </c>
      <c r="C69" s="30">
        <v>101325</v>
      </c>
      <c r="D69" s="30">
        <v>287233.79883218999</v>
      </c>
      <c r="E69" s="30">
        <v>305620.38333207997</v>
      </c>
      <c r="H69" s="51"/>
    </row>
    <row r="70" spans="2:8" x14ac:dyDescent="0.2">
      <c r="B70" s="73">
        <v>12</v>
      </c>
      <c r="C70" s="30">
        <v>101325</v>
      </c>
      <c r="D70" s="30">
        <v>221268.34008947</v>
      </c>
      <c r="E70" s="30">
        <v>233130.86823018</v>
      </c>
      <c r="H70" s="51"/>
    </row>
    <row r="71" spans="2:8" x14ac:dyDescent="0.2">
      <c r="B71" s="73">
        <v>13</v>
      </c>
      <c r="C71" s="30">
        <v>101325</v>
      </c>
      <c r="D71" s="30">
        <v>177755.19630714</v>
      </c>
      <c r="E71" s="30">
        <v>185314.22671114001</v>
      </c>
      <c r="H71" s="51"/>
    </row>
    <row r="72" spans="2:8" x14ac:dyDescent="0.2">
      <c r="B72" s="73">
        <v>14</v>
      </c>
      <c r="C72" s="30">
        <v>101325</v>
      </c>
      <c r="D72" s="30">
        <v>149702.95061959999</v>
      </c>
      <c r="E72" s="30">
        <v>154487.58309847</v>
      </c>
      <c r="H72" s="51"/>
    </row>
    <row r="73" spans="2:8" x14ac:dyDescent="0.2">
      <c r="B73" s="73">
        <v>15</v>
      </c>
      <c r="C73" s="30">
        <v>101325</v>
      </c>
      <c r="D73" s="30">
        <v>131849.21391476999</v>
      </c>
      <c r="E73" s="30">
        <v>134868.09221403999</v>
      </c>
      <c r="H73" s="51"/>
    </row>
    <row r="74" spans="2:8" x14ac:dyDescent="0.2">
      <c r="B74" s="73">
        <v>16</v>
      </c>
      <c r="C74" s="30">
        <v>101325</v>
      </c>
      <c r="D74" s="30">
        <v>120558.20723045</v>
      </c>
      <c r="E74" s="30">
        <v>122460.39256094</v>
      </c>
      <c r="H74" s="51"/>
    </row>
    <row r="75" spans="2:8" x14ac:dyDescent="0.2">
      <c r="B75" s="73">
        <v>17</v>
      </c>
      <c r="C75" s="30">
        <v>101325</v>
      </c>
      <c r="D75" s="30">
        <v>113437.85200463</v>
      </c>
      <c r="E75" s="30">
        <v>114635.82637871</v>
      </c>
      <c r="H75" s="51"/>
    </row>
    <row r="76" spans="2:8" x14ac:dyDescent="0.2">
      <c r="B76" s="73">
        <v>18</v>
      </c>
      <c r="C76" s="30">
        <v>101325</v>
      </c>
      <c r="D76" s="30">
        <v>108952.64957482999</v>
      </c>
      <c r="E76" s="30">
        <v>109707.03249981</v>
      </c>
      <c r="H76" s="51"/>
    </row>
    <row r="77" spans="2:8" x14ac:dyDescent="0.2">
      <c r="B77" s="73">
        <v>19</v>
      </c>
      <c r="C77" s="30">
        <v>101325</v>
      </c>
      <c r="D77" s="30">
        <v>106128.36553200999</v>
      </c>
      <c r="E77" s="30">
        <v>106603.42366155</v>
      </c>
      <c r="H77" s="51"/>
    </row>
    <row r="78" spans="2:8" x14ac:dyDescent="0.2">
      <c r="B78" s="73">
        <v>20</v>
      </c>
      <c r="C78" s="30">
        <v>101325</v>
      </c>
      <c r="D78" s="30">
        <v>104350.02644017999</v>
      </c>
      <c r="E78" s="30">
        <v>104649.20487931999</v>
      </c>
      <c r="H78" s="51"/>
    </row>
    <row r="79" spans="2:8" x14ac:dyDescent="0.2">
      <c r="B79" s="73">
        <v>21</v>
      </c>
      <c r="C79" s="30">
        <v>101325</v>
      </c>
      <c r="D79" s="30">
        <v>103230.21034582</v>
      </c>
      <c r="E79" s="30">
        <v>103418.63774265999</v>
      </c>
      <c r="H79" s="51"/>
    </row>
    <row r="80" spans="2:8" x14ac:dyDescent="0.2">
      <c r="B80" s="73">
        <v>22</v>
      </c>
      <c r="C80" s="30">
        <v>101325</v>
      </c>
      <c r="D80" s="30">
        <v>102525.00822324</v>
      </c>
      <c r="E80" s="30">
        <v>102643.69035521</v>
      </c>
      <c r="H80" s="51"/>
    </row>
    <row r="81" spans="2:16" x14ac:dyDescent="0.2">
      <c r="B81" s="73">
        <v>23</v>
      </c>
      <c r="C81" s="30">
        <v>101325</v>
      </c>
      <c r="D81" s="30">
        <v>102080.87523026</v>
      </c>
      <c r="E81" s="30">
        <v>102155.63212117</v>
      </c>
      <c r="H81" s="51"/>
    </row>
    <row r="82" spans="2:16" x14ac:dyDescent="0.2">
      <c r="B82" s="73">
        <v>24</v>
      </c>
      <c r="C82" s="30">
        <v>101325</v>
      </c>
      <c r="D82" s="30">
        <v>101801.14430764</v>
      </c>
      <c r="E82" s="30">
        <v>101848.2355029</v>
      </c>
      <c r="H82" s="51"/>
    </row>
    <row r="83" spans="2:16" x14ac:dyDescent="0.2">
      <c r="B83" s="73">
        <v>25</v>
      </c>
      <c r="C83" s="30">
        <v>101325</v>
      </c>
      <c r="D83" s="30">
        <v>101624.95141335001</v>
      </c>
      <c r="E83" s="30">
        <v>101654.61693773999</v>
      </c>
      <c r="H83" s="51"/>
    </row>
    <row r="84" spans="2:16" x14ac:dyDescent="0.2">
      <c r="B84" s="73">
        <v>26</v>
      </c>
      <c r="C84" s="30">
        <v>101325</v>
      </c>
      <c r="D84" s="30">
        <v>101513.96630761</v>
      </c>
      <c r="E84" s="30">
        <v>101532.65528308001</v>
      </c>
      <c r="H84" s="51"/>
    </row>
    <row r="85" spans="2:16" x14ac:dyDescent="0.2">
      <c r="B85" s="73">
        <v>27</v>
      </c>
      <c r="C85" s="30">
        <v>101325</v>
      </c>
      <c r="D85" s="30">
        <v>101444.05261757001</v>
      </c>
      <c r="E85" s="30">
        <v>101455.82705228</v>
      </c>
      <c r="H85" s="30" t="s">
        <v>95</v>
      </c>
      <c r="I85" s="30" t="e">
        <f>(I40*#REF!)</f>
        <v>#REF!</v>
      </c>
      <c r="J85" s="30" t="s">
        <v>41</v>
      </c>
    </row>
    <row r="86" spans="2:16" x14ac:dyDescent="0.2">
      <c r="B86" s="73">
        <v>28</v>
      </c>
      <c r="C86" s="30">
        <v>101325</v>
      </c>
      <c r="D86" s="30">
        <v>101400.00922689</v>
      </c>
      <c r="E86" s="30">
        <v>101407.42772186</v>
      </c>
      <c r="H86" s="30" t="s">
        <v>91</v>
      </c>
      <c r="I86" s="30" t="e">
        <f>LOG((J93-J94)/(J94-J95))/LOG(L94)</f>
        <v>#VALUE!</v>
      </c>
      <c r="J86" s="30" t="s">
        <v>26</v>
      </c>
    </row>
    <row r="87" spans="2:16" x14ac:dyDescent="0.2">
      <c r="B87" s="73">
        <v>29</v>
      </c>
      <c r="C87" s="30">
        <v>101325</v>
      </c>
      <c r="D87" s="30">
        <v>101372.26194601999</v>
      </c>
      <c r="E87" s="30">
        <v>101376.93620442</v>
      </c>
      <c r="H87" s="30" t="s">
        <v>94</v>
      </c>
      <c r="I87" s="30">
        <v>1</v>
      </c>
      <c r="J87" s="30" t="s">
        <v>35</v>
      </c>
    </row>
    <row r="88" spans="2:16" x14ac:dyDescent="0.2">
      <c r="B88" s="73">
        <v>30</v>
      </c>
      <c r="C88" s="30">
        <v>101325</v>
      </c>
      <c r="D88" s="30">
        <v>101354.78190433</v>
      </c>
      <c r="E88" s="30">
        <v>101357.72736739001</v>
      </c>
      <c r="H88" s="30" t="s">
        <v>93</v>
      </c>
      <c r="I88" s="30">
        <v>12</v>
      </c>
      <c r="J88" s="30" t="s">
        <v>35</v>
      </c>
    </row>
    <row r="89" spans="2:16" x14ac:dyDescent="0.2">
      <c r="C89" s="30">
        <v>101325</v>
      </c>
      <c r="D89" s="30">
        <v>101343.76782581001</v>
      </c>
      <c r="E89" s="30">
        <v>101345.62398439999</v>
      </c>
    </row>
    <row r="90" spans="2:16" x14ac:dyDescent="0.2">
      <c r="C90" s="30">
        <v>101325</v>
      </c>
      <c r="D90" s="30">
        <v>101336.82756934001</v>
      </c>
      <c r="E90" s="30">
        <v>101337.99732893999</v>
      </c>
    </row>
    <row r="91" spans="2:16" x14ac:dyDescent="0.2">
      <c r="C91" s="30">
        <v>101325</v>
      </c>
      <c r="D91" s="30">
        <v>101332.45411799</v>
      </c>
      <c r="E91" s="30">
        <v>101333.19133844999</v>
      </c>
      <c r="H91" s="51"/>
    </row>
    <row r="92" spans="2:16" x14ac:dyDescent="0.2">
      <c r="C92" s="30">
        <v>101325</v>
      </c>
      <c r="D92" s="30">
        <v>101329.69802390999</v>
      </c>
      <c r="E92" s="30">
        <v>101330.16266364</v>
      </c>
      <c r="H92" s="51"/>
    </row>
    <row r="93" spans="2:16" x14ac:dyDescent="0.2">
      <c r="C93" s="30">
        <v>101325</v>
      </c>
      <c r="D93" s="30">
        <v>101327.96265051</v>
      </c>
      <c r="E93" s="30">
        <v>101328.25565989999</v>
      </c>
      <c r="H93" s="51"/>
    </row>
    <row r="94" spans="2:16" x14ac:dyDescent="0.2">
      <c r="C94" s="30">
        <v>101325</v>
      </c>
      <c r="D94" s="30">
        <v>101326.86836289</v>
      </c>
      <c r="E94" s="30">
        <v>101327.05314603999</v>
      </c>
      <c r="I94" s="53" t="s">
        <v>70</v>
      </c>
      <c r="J94" s="53" t="s">
        <v>87</v>
      </c>
      <c r="K94" s="53" t="s">
        <v>68</v>
      </c>
      <c r="L94" s="53" t="s">
        <v>69</v>
      </c>
      <c r="M94" s="53" t="s">
        <v>88</v>
      </c>
      <c r="N94" s="53" t="s">
        <v>89</v>
      </c>
      <c r="O94" s="53" t="s">
        <v>92</v>
      </c>
      <c r="P94" s="53" t="s">
        <v>90</v>
      </c>
    </row>
    <row r="95" spans="2:16" x14ac:dyDescent="0.2">
      <c r="C95" s="30">
        <v>101325</v>
      </c>
      <c r="D95" s="30">
        <v>101326.17830086</v>
      </c>
      <c r="E95" s="30">
        <v>101326.29483611</v>
      </c>
      <c r="I95" s="30">
        <v>0</v>
      </c>
      <c r="J95" s="30">
        <v>300</v>
      </c>
      <c r="K95" s="30">
        <f>J95*3</f>
        <v>900</v>
      </c>
      <c r="L95" s="52">
        <v>221268.3</v>
      </c>
      <c r="M95" s="30" t="s">
        <v>26</v>
      </c>
      <c r="N95" s="30"/>
      <c r="O95" s="30">
        <f>$J$55/J95</f>
        <v>0</v>
      </c>
      <c r="P95" s="30"/>
    </row>
    <row r="96" spans="2:16" x14ac:dyDescent="0.2">
      <c r="C96" s="30">
        <v>101325</v>
      </c>
      <c r="D96" s="30">
        <v>101325.74312822999</v>
      </c>
      <c r="E96" s="30">
        <v>101325.81662442999</v>
      </c>
      <c r="H96" s="30" t="s">
        <v>96</v>
      </c>
      <c r="I96" s="30">
        <v>1</v>
      </c>
      <c r="J96" s="30">
        <f>J95*4</f>
        <v>1200</v>
      </c>
      <c r="K96" s="30">
        <f t="shared" ref="K96:K99" si="5">J96*3</f>
        <v>3600</v>
      </c>
      <c r="L96" s="106">
        <v>150510.1</v>
      </c>
      <c r="M96" s="69" t="s">
        <v>26</v>
      </c>
      <c r="N96" s="103">
        <v>2</v>
      </c>
      <c r="O96" s="30">
        <f t="shared" ref="O96:O99" si="6">$J$55/J96</f>
        <v>0</v>
      </c>
      <c r="P96" s="30"/>
    </row>
    <row r="97" spans="3:16" x14ac:dyDescent="0.2">
      <c r="C97" s="30">
        <v>101325</v>
      </c>
      <c r="D97" s="30">
        <v>101325.46868637</v>
      </c>
      <c r="E97" s="30">
        <v>101325.51503997001</v>
      </c>
      <c r="H97" s="30" t="s">
        <v>97</v>
      </c>
      <c r="I97" s="30">
        <v>2</v>
      </c>
      <c r="J97" s="30">
        <f>J96*4</f>
        <v>4800</v>
      </c>
      <c r="K97" s="30">
        <f t="shared" si="5"/>
        <v>14400</v>
      </c>
      <c r="L97" s="106">
        <v>144839.6</v>
      </c>
      <c r="M97" s="70">
        <f>(L96-L97)/L96</f>
        <v>3.7675212494045249E-2</v>
      </c>
      <c r="N97" s="103">
        <v>2</v>
      </c>
      <c r="O97" s="30">
        <f t="shared" si="6"/>
        <v>0</v>
      </c>
      <c r="P97" s="104" t="e">
        <f>1.25*M97*N97^K89/(N97^K89-1)</f>
        <v>#DIV/0!</v>
      </c>
    </row>
    <row r="98" spans="3:16" x14ac:dyDescent="0.2">
      <c r="C98" s="30">
        <v>101325</v>
      </c>
      <c r="D98" s="30">
        <v>101325.29716325999</v>
      </c>
      <c r="E98" s="30">
        <v>101325.32655303</v>
      </c>
      <c r="H98" s="30" t="s">
        <v>98</v>
      </c>
      <c r="I98" s="30">
        <v>3</v>
      </c>
      <c r="J98" s="30">
        <f>J97*4</f>
        <v>19200</v>
      </c>
      <c r="K98" s="30">
        <f t="shared" si="5"/>
        <v>57600</v>
      </c>
      <c r="L98" s="53">
        <v>115202</v>
      </c>
      <c r="M98" s="70">
        <f>(L97-L98)/L97</f>
        <v>0.20462359741396693</v>
      </c>
      <c r="N98" s="103">
        <v>2</v>
      </c>
      <c r="O98" s="30">
        <f t="shared" si="6"/>
        <v>0</v>
      </c>
      <c r="P98" s="105" t="e">
        <f>1.25*M98/(N98^K89-1)</f>
        <v>#DIV/0!</v>
      </c>
    </row>
    <row r="99" spans="3:16" x14ac:dyDescent="0.2">
      <c r="C99" s="30">
        <v>101325</v>
      </c>
      <c r="D99" s="30">
        <v>101325.18841495999</v>
      </c>
      <c r="E99" s="30">
        <v>101325.20704941</v>
      </c>
      <c r="I99" s="30">
        <v>4</v>
      </c>
      <c r="J99" s="30">
        <f>J98*4</f>
        <v>76800</v>
      </c>
      <c r="K99" s="30">
        <f t="shared" si="5"/>
        <v>230400</v>
      </c>
      <c r="L99" s="30">
        <v>115442</v>
      </c>
      <c r="M99" s="70">
        <v>-6.0000000000000001E-3</v>
      </c>
      <c r="N99" s="103">
        <v>2</v>
      </c>
      <c r="O99" s="30">
        <f t="shared" si="6"/>
        <v>0</v>
      </c>
      <c r="P99" s="104"/>
    </row>
    <row r="100" spans="3:16" x14ac:dyDescent="0.2">
      <c r="C100" s="30">
        <v>101325</v>
      </c>
      <c r="D100" s="30">
        <v>101325.11946525</v>
      </c>
      <c r="E100" s="30">
        <v>101325.13128048999</v>
      </c>
      <c r="H100" s="51"/>
    </row>
    <row r="101" spans="3:16" x14ac:dyDescent="0.2">
      <c r="C101" s="30">
        <v>101325</v>
      </c>
      <c r="D101" s="30">
        <v>101325.07574817</v>
      </c>
      <c r="E101" s="30">
        <v>101325.08323973999</v>
      </c>
      <c r="H101" s="51"/>
    </row>
    <row r="102" spans="3:16" x14ac:dyDescent="0.2">
      <c r="C102" s="30">
        <v>101325</v>
      </c>
      <c r="D102" s="30">
        <v>101325.04802921999</v>
      </c>
      <c r="E102" s="30">
        <v>101325.05277936</v>
      </c>
      <c r="H102" s="51"/>
    </row>
    <row r="103" spans="3:16" x14ac:dyDescent="0.2">
      <c r="C103" s="30">
        <v>101325</v>
      </c>
      <c r="D103" s="30">
        <v>101325.03205148999</v>
      </c>
      <c r="E103" s="30">
        <v>101325.03522141</v>
      </c>
      <c r="H103" s="51"/>
    </row>
    <row r="104" spans="3:16" x14ac:dyDescent="0.2">
      <c r="C104" s="30">
        <v>101325</v>
      </c>
      <c r="D104" s="30">
        <v>101325.02138902</v>
      </c>
      <c r="E104" s="30">
        <v>101325.02350441</v>
      </c>
      <c r="H104" s="51"/>
    </row>
    <row r="105" spans="3:16" x14ac:dyDescent="0.2">
      <c r="C105" s="30">
        <v>101325</v>
      </c>
      <c r="D105" s="30">
        <v>101325.01427357001</v>
      </c>
      <c r="E105" s="30">
        <v>101325.01568524</v>
      </c>
      <c r="H105" s="51"/>
    </row>
    <row r="106" spans="3:16" x14ac:dyDescent="0.2">
      <c r="C106" s="30">
        <v>101325</v>
      </c>
      <c r="D106" s="30">
        <v>101325.00952516</v>
      </c>
      <c r="E106" s="30">
        <v>101325.01046721</v>
      </c>
      <c r="H106" s="51"/>
    </row>
    <row r="107" spans="3:16" x14ac:dyDescent="0.2">
      <c r="C107" s="30">
        <v>101325</v>
      </c>
      <c r="D107" s="30">
        <v>101325.00635638001</v>
      </c>
      <c r="E107" s="30">
        <v>101325.00698503001</v>
      </c>
      <c r="H107" s="51"/>
    </row>
    <row r="108" spans="3:16" x14ac:dyDescent="0.2">
      <c r="C108" s="30">
        <v>101325</v>
      </c>
      <c r="D108" s="30">
        <v>101325.00424174</v>
      </c>
      <c r="E108" s="30">
        <v>101325.00466125</v>
      </c>
      <c r="H108" s="51"/>
    </row>
    <row r="109" spans="3:16" x14ac:dyDescent="0.2">
      <c r="H109" s="51"/>
    </row>
    <row r="110" spans="3:16" x14ac:dyDescent="0.2">
      <c r="H110" s="51"/>
    </row>
    <row r="111" spans="3:16" x14ac:dyDescent="0.2">
      <c r="H111" s="51"/>
    </row>
    <row r="112" spans="3:16" x14ac:dyDescent="0.2">
      <c r="H112" s="51"/>
    </row>
    <row r="113" spans="8:8" x14ac:dyDescent="0.2">
      <c r="H113" s="51"/>
    </row>
    <row r="114" spans="8:8" x14ac:dyDescent="0.2">
      <c r="H114" s="51"/>
    </row>
    <row r="115" spans="8:8" x14ac:dyDescent="0.2">
      <c r="H115" s="51"/>
    </row>
    <row r="116" spans="8:8" x14ac:dyDescent="0.2">
      <c r="H116" s="51"/>
    </row>
    <row r="117" spans="8:8" x14ac:dyDescent="0.2">
      <c r="H117" s="51"/>
    </row>
    <row r="118" spans="8:8" x14ac:dyDescent="0.2">
      <c r="H118" s="51"/>
    </row>
    <row r="119" spans="8:8" x14ac:dyDescent="0.2">
      <c r="H119" s="51"/>
    </row>
    <row r="120" spans="8:8" x14ac:dyDescent="0.2">
      <c r="H120" s="51"/>
    </row>
    <row r="121" spans="8:8" x14ac:dyDescent="0.2">
      <c r="H121" s="51"/>
    </row>
    <row r="122" spans="8:8" x14ac:dyDescent="0.2">
      <c r="H122" s="51"/>
    </row>
    <row r="123" spans="8:8" x14ac:dyDescent="0.2">
      <c r="H123" s="51"/>
    </row>
    <row r="124" spans="8:8" x14ac:dyDescent="0.2">
      <c r="H124" s="51"/>
    </row>
    <row r="125" spans="8:8" x14ac:dyDescent="0.2">
      <c r="H125" s="51"/>
    </row>
    <row r="126" spans="8:8" x14ac:dyDescent="0.2">
      <c r="H126" s="51"/>
    </row>
    <row r="127" spans="8:8" x14ac:dyDescent="0.2">
      <c r="H127" s="51"/>
    </row>
    <row r="128" spans="8:8" x14ac:dyDescent="0.2">
      <c r="H128" s="51"/>
    </row>
    <row r="129" spans="8:8" x14ac:dyDescent="0.2">
      <c r="H129" s="51"/>
    </row>
    <row r="130" spans="8:8" x14ac:dyDescent="0.2">
      <c r="H130" s="51"/>
    </row>
    <row r="131" spans="8:8" x14ac:dyDescent="0.2">
      <c r="H131" s="51"/>
    </row>
    <row r="132" spans="8:8" x14ac:dyDescent="0.2">
      <c r="H132" s="51"/>
    </row>
    <row r="133" spans="8:8" x14ac:dyDescent="0.2">
      <c r="H133" s="51"/>
    </row>
    <row r="134" spans="8:8" x14ac:dyDescent="0.2">
      <c r="H134" s="51"/>
    </row>
    <row r="135" spans="8:8" x14ac:dyDescent="0.2">
      <c r="H135" s="51"/>
    </row>
    <row r="136" spans="8:8" x14ac:dyDescent="0.2">
      <c r="H136" s="51"/>
    </row>
    <row r="137" spans="8:8" x14ac:dyDescent="0.2">
      <c r="H137" s="51"/>
    </row>
    <row r="138" spans="8:8" x14ac:dyDescent="0.2">
      <c r="H138" s="51"/>
    </row>
    <row r="139" spans="8:8" x14ac:dyDescent="0.2">
      <c r="H139" s="51"/>
    </row>
    <row r="140" spans="8:8" x14ac:dyDescent="0.2">
      <c r="H140" s="51"/>
    </row>
    <row r="141" spans="8:8" x14ac:dyDescent="0.2">
      <c r="H141" s="51"/>
    </row>
    <row r="142" spans="8:8" x14ac:dyDescent="0.2">
      <c r="H142" s="51"/>
    </row>
    <row r="143" spans="8:8" x14ac:dyDescent="0.2">
      <c r="H143" s="51"/>
    </row>
    <row r="144" spans="8:8" x14ac:dyDescent="0.2">
      <c r="H144" s="51"/>
    </row>
    <row r="145" spans="8:8" x14ac:dyDescent="0.2">
      <c r="H145" s="51"/>
    </row>
    <row r="146" spans="8:8" x14ac:dyDescent="0.2">
      <c r="H146" s="51"/>
    </row>
    <row r="147" spans="8:8" x14ac:dyDescent="0.2">
      <c r="H147" s="51"/>
    </row>
    <row r="148" spans="8:8" x14ac:dyDescent="0.2">
      <c r="H148" s="51"/>
    </row>
    <row r="149" spans="8:8" x14ac:dyDescent="0.2">
      <c r="H149" s="51"/>
    </row>
    <row r="150" spans="8:8" x14ac:dyDescent="0.2">
      <c r="H150" s="51"/>
    </row>
    <row r="151" spans="8:8" x14ac:dyDescent="0.2">
      <c r="H151" s="51"/>
    </row>
    <row r="152" spans="8:8" x14ac:dyDescent="0.2">
      <c r="H152" s="51"/>
    </row>
    <row r="153" spans="8:8" x14ac:dyDescent="0.2">
      <c r="H153" s="51"/>
    </row>
    <row r="154" spans="8:8" x14ac:dyDescent="0.2">
      <c r="H154" s="51"/>
    </row>
    <row r="155" spans="8:8" x14ac:dyDescent="0.2">
      <c r="H155" s="51"/>
    </row>
    <row r="156" spans="8:8" x14ac:dyDescent="0.2">
      <c r="H156" s="51"/>
    </row>
    <row r="157" spans="8:8" x14ac:dyDescent="0.2">
      <c r="H157" s="51"/>
    </row>
    <row r="158" spans="8:8" x14ac:dyDescent="0.2">
      <c r="H158" s="51"/>
    </row>
  </sheetData>
  <mergeCells count="5">
    <mergeCell ref="B4:B5"/>
    <mergeCell ref="B2:G2"/>
    <mergeCell ref="I2:K2"/>
    <mergeCell ref="B56:C56"/>
    <mergeCell ref="B54:C5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2EDC-49EF-6C4C-B036-2F82BCFB962B}">
  <dimension ref="B1:K109"/>
  <sheetViews>
    <sheetView topLeftCell="G1" zoomScale="124" workbookViewId="0">
      <selection activeCell="H43" sqref="H43"/>
    </sheetView>
  </sheetViews>
  <sheetFormatPr baseColWidth="10" defaultRowHeight="15" x14ac:dyDescent="0.2"/>
  <cols>
    <col min="2" max="3" width="15.83203125" customWidth="1"/>
    <col min="4" max="5" width="15.83203125" style="12" customWidth="1"/>
    <col min="6" max="6" width="15.83203125" customWidth="1"/>
    <col min="7" max="7" width="15.83203125" style="12" customWidth="1"/>
    <col min="9" max="9" width="32.33203125" customWidth="1"/>
    <col min="10" max="13" width="25.83203125" customWidth="1"/>
  </cols>
  <sheetData>
    <row r="1" spans="2:11" ht="16" thickBot="1" x14ac:dyDescent="0.25"/>
    <row r="2" spans="2:11" ht="16" thickBot="1" x14ac:dyDescent="0.25">
      <c r="B2" s="125" t="s">
        <v>50</v>
      </c>
      <c r="C2" s="126"/>
      <c r="D2" s="126"/>
      <c r="E2" s="126"/>
      <c r="F2" s="126"/>
      <c r="G2" s="126"/>
      <c r="I2" s="127" t="s">
        <v>40</v>
      </c>
      <c r="J2" s="128"/>
      <c r="K2" s="129"/>
    </row>
    <row r="3" spans="2:11" x14ac:dyDescent="0.2">
      <c r="B3" s="11" t="s">
        <v>34</v>
      </c>
      <c r="C3" s="14" t="s">
        <v>63</v>
      </c>
      <c r="D3" s="15" t="s">
        <v>64</v>
      </c>
      <c r="E3" s="14" t="s">
        <v>63</v>
      </c>
      <c r="F3" s="15" t="s">
        <v>64</v>
      </c>
      <c r="G3" s="32" t="s">
        <v>51</v>
      </c>
      <c r="I3" s="10" t="s">
        <v>21</v>
      </c>
      <c r="J3" s="26">
        <f xml:space="preserve"> 0.328*25.4*10^(-3)/2</f>
        <v>4.1655999999999993E-3</v>
      </c>
      <c r="K3" s="27" t="s">
        <v>28</v>
      </c>
    </row>
    <row r="4" spans="2:11" x14ac:dyDescent="0.2">
      <c r="B4" s="115" t="s">
        <v>35</v>
      </c>
      <c r="C4" s="16" t="s">
        <v>5</v>
      </c>
      <c r="D4" s="16" t="s">
        <v>5</v>
      </c>
      <c r="E4" s="16" t="s">
        <v>36</v>
      </c>
      <c r="F4" s="16" t="s">
        <v>36</v>
      </c>
      <c r="G4" s="16" t="s">
        <v>36</v>
      </c>
      <c r="I4" s="10" t="s">
        <v>22</v>
      </c>
      <c r="J4" s="18">
        <f xml:space="preserve"> 7.94*10^(-3)</f>
        <v>7.9400000000000009E-3</v>
      </c>
      <c r="K4" s="21" t="s">
        <v>28</v>
      </c>
    </row>
    <row r="5" spans="2:11" x14ac:dyDescent="0.2">
      <c r="B5" s="115"/>
      <c r="C5" s="16" t="s">
        <v>14</v>
      </c>
      <c r="D5" s="16" t="s">
        <v>14</v>
      </c>
      <c r="E5" s="16" t="s">
        <v>14</v>
      </c>
      <c r="F5" s="16" t="s">
        <v>14</v>
      </c>
      <c r="G5" s="16" t="s">
        <v>14</v>
      </c>
      <c r="I5" s="10" t="s">
        <v>23</v>
      </c>
      <c r="J5" s="18">
        <f>J4*PI()*J3^2</f>
        <v>4.3283812240392796E-7</v>
      </c>
      <c r="K5" s="21" t="s">
        <v>27</v>
      </c>
    </row>
    <row r="6" spans="2:11" x14ac:dyDescent="0.2">
      <c r="B6" s="9">
        <v>0</v>
      </c>
      <c r="C6" s="9">
        <v>814</v>
      </c>
      <c r="D6" s="9">
        <v>815</v>
      </c>
      <c r="E6" s="9">
        <f>C6*6894.76 +101325</f>
        <v>5713659.6400000006</v>
      </c>
      <c r="F6" s="9">
        <f t="shared" ref="E6:F50" si="0">D6*6894.76 +101325</f>
        <v>5720554.4000000004</v>
      </c>
      <c r="G6" s="59">
        <f t="shared" ref="G6:G50" si="1">E6-F6</f>
        <v>-6894.7599999997765</v>
      </c>
      <c r="I6" s="10" t="s">
        <v>24</v>
      </c>
      <c r="J6" s="18">
        <f>25.08*10^(-9)/4</f>
        <v>6.2700000000000001E-9</v>
      </c>
      <c r="K6" s="21" t="s">
        <v>27</v>
      </c>
    </row>
    <row r="7" spans="2:11" x14ac:dyDescent="0.2">
      <c r="B7" s="9">
        <f t="shared" ref="B7:B50" si="2">B6+1</f>
        <v>1</v>
      </c>
      <c r="C7" s="9">
        <v>763</v>
      </c>
      <c r="D7" s="9">
        <v>401</v>
      </c>
      <c r="E7" s="9">
        <f t="shared" si="0"/>
        <v>5362026.88</v>
      </c>
      <c r="F7" s="9">
        <f t="shared" si="0"/>
        <v>2866123.7600000002</v>
      </c>
      <c r="G7" s="59">
        <f t="shared" si="1"/>
        <v>2495903.1199999996</v>
      </c>
      <c r="I7" s="10" t="s">
        <v>25</v>
      </c>
      <c r="J7" s="18">
        <f>J6/J5</f>
        <v>1.4485785044018804E-2</v>
      </c>
      <c r="K7" s="21" t="s">
        <v>26</v>
      </c>
    </row>
    <row r="8" spans="2:11" x14ac:dyDescent="0.2">
      <c r="B8" s="9">
        <f t="shared" si="2"/>
        <v>2</v>
      </c>
      <c r="C8" s="9">
        <v>630</v>
      </c>
      <c r="D8" s="9">
        <v>148</v>
      </c>
      <c r="E8" s="9">
        <f t="shared" si="0"/>
        <v>4445023.8</v>
      </c>
      <c r="F8" s="9">
        <f t="shared" si="0"/>
        <v>1121749.48</v>
      </c>
      <c r="G8" s="59">
        <f t="shared" si="1"/>
        <v>3323274.32</v>
      </c>
      <c r="I8" s="10" t="s">
        <v>39</v>
      </c>
      <c r="J8" s="18">
        <f>J3^2*PI()</f>
        <v>5.4513617431225171E-5</v>
      </c>
      <c r="K8" s="21" t="s">
        <v>41</v>
      </c>
    </row>
    <row r="9" spans="2:11" x14ac:dyDescent="0.2">
      <c r="B9" s="9">
        <f t="shared" si="2"/>
        <v>3</v>
      </c>
      <c r="C9" s="9">
        <v>506</v>
      </c>
      <c r="D9" s="9">
        <v>54</v>
      </c>
      <c r="E9" s="9">
        <f t="shared" si="0"/>
        <v>3590073.56</v>
      </c>
      <c r="F9" s="9">
        <f t="shared" si="0"/>
        <v>473642.04000000004</v>
      </c>
      <c r="G9" s="59">
        <f t="shared" si="1"/>
        <v>3116431.52</v>
      </c>
      <c r="I9" s="10" t="s">
        <v>37</v>
      </c>
      <c r="J9" s="18">
        <f>7.94*4*0.001</f>
        <v>3.1760000000000004E-2</v>
      </c>
      <c r="K9" s="21" t="s">
        <v>28</v>
      </c>
    </row>
    <row r="10" spans="2:11" x14ac:dyDescent="0.2">
      <c r="B10" s="9">
        <f t="shared" si="2"/>
        <v>4</v>
      </c>
      <c r="C10" s="9">
        <v>405</v>
      </c>
      <c r="D10" s="9">
        <v>26</v>
      </c>
      <c r="E10" s="9">
        <f t="shared" si="0"/>
        <v>2893702.8000000003</v>
      </c>
      <c r="F10" s="9">
        <f t="shared" si="0"/>
        <v>280588.76</v>
      </c>
      <c r="G10" s="59">
        <f t="shared" si="1"/>
        <v>2613114.04</v>
      </c>
      <c r="I10" s="10" t="s">
        <v>38</v>
      </c>
      <c r="J10" s="18">
        <f>2.54*0.01*6</f>
        <v>0.15240000000000001</v>
      </c>
      <c r="K10" s="21" t="s">
        <v>28</v>
      </c>
    </row>
    <row r="11" spans="2:11" x14ac:dyDescent="0.2">
      <c r="B11" s="9">
        <f t="shared" si="2"/>
        <v>5</v>
      </c>
      <c r="C11" s="9">
        <v>324</v>
      </c>
      <c r="D11" s="9">
        <v>12</v>
      </c>
      <c r="E11" s="9">
        <f t="shared" si="0"/>
        <v>2335227.2400000002</v>
      </c>
      <c r="F11" s="9">
        <f t="shared" si="0"/>
        <v>184062.12</v>
      </c>
      <c r="G11" s="59">
        <f t="shared" si="1"/>
        <v>2151165.12</v>
      </c>
      <c r="I11" s="10" t="s">
        <v>30</v>
      </c>
      <c r="J11" s="18">
        <f>1.79*10^(-5)</f>
        <v>1.7900000000000001E-5</v>
      </c>
      <c r="K11" s="21" t="s">
        <v>31</v>
      </c>
    </row>
    <row r="12" spans="2:11" x14ac:dyDescent="0.2">
      <c r="B12" s="9">
        <f t="shared" si="2"/>
        <v>6</v>
      </c>
      <c r="C12" s="9">
        <v>261</v>
      </c>
      <c r="D12" s="9">
        <v>5</v>
      </c>
      <c r="E12" s="9">
        <f t="shared" si="0"/>
        <v>1900857.36</v>
      </c>
      <c r="F12" s="9">
        <f t="shared" si="0"/>
        <v>135798.79999999999</v>
      </c>
      <c r="G12" s="59">
        <f t="shared" si="1"/>
        <v>1765058.5600000001</v>
      </c>
      <c r="I12" s="10" t="s">
        <v>33</v>
      </c>
      <c r="J12" s="18">
        <v>1.1839999999999999</v>
      </c>
      <c r="K12" s="21" t="s">
        <v>32</v>
      </c>
    </row>
    <row r="13" spans="2:11" x14ac:dyDescent="0.2">
      <c r="B13" s="9">
        <f t="shared" si="2"/>
        <v>7</v>
      </c>
      <c r="C13" s="9">
        <v>209</v>
      </c>
      <c r="D13" s="9">
        <v>2</v>
      </c>
      <c r="E13" s="9">
        <f t="shared" si="0"/>
        <v>1542329.84</v>
      </c>
      <c r="F13" s="9">
        <f t="shared" si="0"/>
        <v>115114.52</v>
      </c>
      <c r="G13" s="59">
        <f t="shared" si="1"/>
        <v>1427215.32</v>
      </c>
      <c r="I13" s="10" t="s">
        <v>47</v>
      </c>
      <c r="J13" s="18">
        <f>PI()*J3^2*200*0.001</f>
        <v>1.0902723486245034E-5</v>
      </c>
      <c r="K13" s="21"/>
    </row>
    <row r="14" spans="2:11" x14ac:dyDescent="0.2">
      <c r="B14" s="9">
        <f t="shared" si="2"/>
        <v>8</v>
      </c>
      <c r="C14" s="9">
        <v>171</v>
      </c>
      <c r="D14" s="9">
        <v>1</v>
      </c>
      <c r="E14" s="9">
        <f t="shared" si="0"/>
        <v>1280328.96</v>
      </c>
      <c r="F14" s="9">
        <f t="shared" si="0"/>
        <v>108219.76</v>
      </c>
      <c r="G14" s="59">
        <f t="shared" si="1"/>
        <v>1172109.2</v>
      </c>
      <c r="I14" s="10" t="s">
        <v>46</v>
      </c>
      <c r="J14" s="18">
        <f>PI()*J3^2*350*0.001</f>
        <v>1.9079766100928807E-5</v>
      </c>
      <c r="K14" s="21" t="s">
        <v>27</v>
      </c>
    </row>
    <row r="15" spans="2:11" x14ac:dyDescent="0.2">
      <c r="B15" s="9">
        <f t="shared" si="2"/>
        <v>9</v>
      </c>
      <c r="C15" s="9">
        <v>140</v>
      </c>
      <c r="D15" s="9">
        <v>1</v>
      </c>
      <c r="E15" s="9">
        <f t="shared" si="0"/>
        <v>1066591.3999999999</v>
      </c>
      <c r="F15" s="9">
        <f t="shared" si="0"/>
        <v>108219.76</v>
      </c>
      <c r="G15" s="59">
        <f t="shared" si="1"/>
        <v>958371.6399999999</v>
      </c>
      <c r="I15" s="130" t="s">
        <v>82</v>
      </c>
      <c r="J15" s="10">
        <f>F6</f>
        <v>5720554.4000000004</v>
      </c>
      <c r="K15" s="21" t="s">
        <v>36</v>
      </c>
    </row>
    <row r="16" spans="2:11" x14ac:dyDescent="0.2">
      <c r="B16" s="9">
        <f t="shared" si="2"/>
        <v>10</v>
      </c>
      <c r="C16" s="9">
        <v>113</v>
      </c>
      <c r="D16" s="9">
        <v>1</v>
      </c>
      <c r="E16" s="9">
        <f t="shared" si="0"/>
        <v>880432.88</v>
      </c>
      <c r="F16" s="9">
        <f t="shared" si="0"/>
        <v>108219.76</v>
      </c>
      <c r="G16" s="59">
        <f t="shared" si="1"/>
        <v>772213.12</v>
      </c>
      <c r="I16" s="131"/>
      <c r="J16" s="12">
        <f>J15/J17</f>
        <v>56.45748235874661</v>
      </c>
      <c r="K16" s="29" t="s">
        <v>54</v>
      </c>
    </row>
    <row r="17" spans="2:11" x14ac:dyDescent="0.2">
      <c r="B17" s="9">
        <f t="shared" si="2"/>
        <v>11</v>
      </c>
      <c r="C17" s="9">
        <v>93</v>
      </c>
      <c r="D17" s="9">
        <v>0</v>
      </c>
      <c r="E17" s="9">
        <f t="shared" si="0"/>
        <v>742537.68</v>
      </c>
      <c r="F17" s="9">
        <f t="shared" si="0"/>
        <v>101325</v>
      </c>
      <c r="G17" s="59">
        <f t="shared" si="1"/>
        <v>641212.68000000005</v>
      </c>
      <c r="I17" s="10" t="s">
        <v>44</v>
      </c>
      <c r="J17" s="18">
        <v>101325</v>
      </c>
      <c r="K17" s="21" t="s">
        <v>36</v>
      </c>
    </row>
    <row r="18" spans="2:11" x14ac:dyDescent="0.2">
      <c r="B18" s="9">
        <f t="shared" si="2"/>
        <v>12</v>
      </c>
      <c r="C18" s="10">
        <v>73</v>
      </c>
      <c r="D18" s="10">
        <v>0</v>
      </c>
      <c r="E18" s="10">
        <f t="shared" si="0"/>
        <v>604642.48</v>
      </c>
      <c r="F18" s="10">
        <f t="shared" si="0"/>
        <v>101325</v>
      </c>
      <c r="G18" s="33">
        <f t="shared" si="1"/>
        <v>503317.48</v>
      </c>
      <c r="I18" s="10" t="s">
        <v>45</v>
      </c>
      <c r="J18" s="18">
        <v>0.155</v>
      </c>
      <c r="K18" s="21" t="s">
        <v>26</v>
      </c>
    </row>
    <row r="19" spans="2:11" x14ac:dyDescent="0.2">
      <c r="B19" s="9">
        <f t="shared" si="2"/>
        <v>13</v>
      </c>
      <c r="C19" s="10">
        <v>60</v>
      </c>
      <c r="D19" s="10">
        <v>0</v>
      </c>
      <c r="E19" s="10">
        <f t="shared" si="0"/>
        <v>515010.60000000003</v>
      </c>
      <c r="F19" s="10">
        <f t="shared" si="0"/>
        <v>101325</v>
      </c>
      <c r="G19" s="33">
        <f t="shared" si="1"/>
        <v>413685.60000000003</v>
      </c>
      <c r="I19" s="10" t="s">
        <v>49</v>
      </c>
      <c r="J19" s="18">
        <f>J18*J11*J14*J9/(PI()*J3^2*(J15-J17))</f>
        <v>5.488535847993678E-15</v>
      </c>
      <c r="K19" s="21" t="s">
        <v>41</v>
      </c>
    </row>
    <row r="20" spans="2:11" ht="16" thickBot="1" x14ac:dyDescent="0.25">
      <c r="B20" s="9">
        <f t="shared" si="2"/>
        <v>14</v>
      </c>
      <c r="C20" s="10">
        <v>49</v>
      </c>
      <c r="D20" s="10">
        <v>0</v>
      </c>
      <c r="E20" s="10">
        <f t="shared" si="0"/>
        <v>439168.24</v>
      </c>
      <c r="F20" s="10">
        <f t="shared" si="0"/>
        <v>101325</v>
      </c>
      <c r="G20" s="33">
        <f t="shared" si="1"/>
        <v>337843.24</v>
      </c>
      <c r="I20" s="10" t="s">
        <v>48</v>
      </c>
      <c r="J20" s="34">
        <f>J18*J11*J13*J9/(PI()*J3^2*(J15-J17))</f>
        <v>3.1363061988535305E-15</v>
      </c>
      <c r="K20" s="35" t="s">
        <v>41</v>
      </c>
    </row>
    <row r="21" spans="2:11" ht="16" thickBot="1" x14ac:dyDescent="0.25">
      <c r="B21" s="9">
        <f t="shared" si="2"/>
        <v>15</v>
      </c>
      <c r="C21" s="10">
        <v>40</v>
      </c>
      <c r="D21" s="10">
        <v>0</v>
      </c>
      <c r="E21" s="10">
        <f t="shared" si="0"/>
        <v>377115.4</v>
      </c>
      <c r="F21" s="10">
        <f t="shared" si="0"/>
        <v>101325</v>
      </c>
      <c r="G21" s="33">
        <f t="shared" si="1"/>
        <v>275790.40000000002</v>
      </c>
      <c r="I21" s="10" t="s">
        <v>72</v>
      </c>
      <c r="J21" s="71">
        <f>1.7*10^8</f>
        <v>170000000</v>
      </c>
      <c r="K21" s="35" t="s">
        <v>26</v>
      </c>
    </row>
    <row r="22" spans="2:11" x14ac:dyDescent="0.2">
      <c r="B22" s="9">
        <f t="shared" si="2"/>
        <v>16</v>
      </c>
      <c r="C22" s="10">
        <v>32</v>
      </c>
      <c r="D22" s="10">
        <v>0</v>
      </c>
      <c r="E22" s="10">
        <f t="shared" si="0"/>
        <v>321957.32</v>
      </c>
      <c r="F22" s="10">
        <f t="shared" si="0"/>
        <v>101325</v>
      </c>
      <c r="G22" s="33">
        <f t="shared" si="1"/>
        <v>220632.32000000001</v>
      </c>
      <c r="I22" s="72" t="s">
        <v>74</v>
      </c>
      <c r="J22" s="52">
        <f>J11/J21</f>
        <v>1.0529411764705884E-13</v>
      </c>
      <c r="K22" s="29" t="s">
        <v>41</v>
      </c>
    </row>
    <row r="23" spans="2:11" x14ac:dyDescent="0.2">
      <c r="B23" s="9">
        <f t="shared" si="2"/>
        <v>17</v>
      </c>
      <c r="C23" s="10">
        <v>26</v>
      </c>
      <c r="D23" s="10">
        <v>0</v>
      </c>
      <c r="E23" s="10">
        <f t="shared" si="0"/>
        <v>280588.76</v>
      </c>
      <c r="F23" s="10">
        <f t="shared" si="0"/>
        <v>101325</v>
      </c>
      <c r="G23" s="33">
        <f t="shared" si="1"/>
        <v>179263.76</v>
      </c>
    </row>
    <row r="24" spans="2:11" x14ac:dyDescent="0.2">
      <c r="B24" s="9">
        <f t="shared" si="2"/>
        <v>18</v>
      </c>
      <c r="C24" s="10">
        <v>21</v>
      </c>
      <c r="D24" s="10">
        <v>0</v>
      </c>
      <c r="E24" s="10">
        <f t="shared" si="0"/>
        <v>246114.96</v>
      </c>
      <c r="F24" s="10">
        <f t="shared" si="0"/>
        <v>101325</v>
      </c>
      <c r="G24" s="33">
        <f t="shared" si="1"/>
        <v>144789.96</v>
      </c>
    </row>
    <row r="25" spans="2:11" x14ac:dyDescent="0.2">
      <c r="B25" s="9">
        <f t="shared" si="2"/>
        <v>19</v>
      </c>
      <c r="C25" s="10">
        <v>17</v>
      </c>
      <c r="D25" s="10">
        <v>0</v>
      </c>
      <c r="E25" s="10">
        <f t="shared" si="0"/>
        <v>218535.91999999998</v>
      </c>
      <c r="F25" s="10">
        <f t="shared" si="0"/>
        <v>101325</v>
      </c>
      <c r="G25" s="33">
        <f t="shared" si="1"/>
        <v>117210.91999999998</v>
      </c>
    </row>
    <row r="26" spans="2:11" x14ac:dyDescent="0.2">
      <c r="B26" s="9">
        <f t="shared" si="2"/>
        <v>20</v>
      </c>
      <c r="C26" s="10">
        <v>14</v>
      </c>
      <c r="D26" s="10">
        <v>0</v>
      </c>
      <c r="E26" s="10">
        <f t="shared" si="0"/>
        <v>197851.64</v>
      </c>
      <c r="F26" s="10">
        <f t="shared" si="0"/>
        <v>101325</v>
      </c>
      <c r="G26" s="33">
        <f t="shared" si="1"/>
        <v>96526.640000000014</v>
      </c>
    </row>
    <row r="27" spans="2:11" x14ac:dyDescent="0.2">
      <c r="B27" s="9">
        <f t="shared" si="2"/>
        <v>21</v>
      </c>
      <c r="C27" s="10">
        <v>11</v>
      </c>
      <c r="D27" s="10">
        <v>0</v>
      </c>
      <c r="E27" s="10">
        <f t="shared" si="0"/>
        <v>177167.35999999999</v>
      </c>
      <c r="F27" s="10">
        <f t="shared" si="0"/>
        <v>101325</v>
      </c>
      <c r="G27" s="33">
        <f t="shared" si="1"/>
        <v>75842.359999999986</v>
      </c>
    </row>
    <row r="28" spans="2:11" x14ac:dyDescent="0.2">
      <c r="B28" s="9">
        <f t="shared" si="2"/>
        <v>22</v>
      </c>
      <c r="C28" s="10">
        <v>9</v>
      </c>
      <c r="D28" s="10">
        <v>0</v>
      </c>
      <c r="E28" s="10">
        <f t="shared" si="0"/>
        <v>163377.84</v>
      </c>
      <c r="F28" s="10">
        <f t="shared" si="0"/>
        <v>101325</v>
      </c>
      <c r="G28" s="33">
        <f t="shared" si="1"/>
        <v>62052.84</v>
      </c>
    </row>
    <row r="29" spans="2:11" x14ac:dyDescent="0.2">
      <c r="B29" s="9">
        <f t="shared" si="2"/>
        <v>23</v>
      </c>
      <c r="C29" s="10">
        <v>8</v>
      </c>
      <c r="D29" s="10">
        <v>0</v>
      </c>
      <c r="E29" s="10">
        <f t="shared" si="0"/>
        <v>156483.08000000002</v>
      </c>
      <c r="F29" s="10">
        <f t="shared" si="0"/>
        <v>101325</v>
      </c>
      <c r="G29" s="33">
        <f t="shared" si="1"/>
        <v>55158.080000000016</v>
      </c>
    </row>
    <row r="30" spans="2:11" x14ac:dyDescent="0.2">
      <c r="B30" s="9">
        <f t="shared" si="2"/>
        <v>24</v>
      </c>
      <c r="C30" s="10">
        <v>7</v>
      </c>
      <c r="D30" s="10">
        <v>0</v>
      </c>
      <c r="E30" s="10">
        <f t="shared" si="0"/>
        <v>149588.32</v>
      </c>
      <c r="F30" s="10">
        <f t="shared" si="0"/>
        <v>101325</v>
      </c>
      <c r="G30" s="33">
        <f t="shared" si="1"/>
        <v>48263.320000000007</v>
      </c>
    </row>
    <row r="31" spans="2:11" x14ac:dyDescent="0.2">
      <c r="B31" s="9">
        <f t="shared" si="2"/>
        <v>25</v>
      </c>
      <c r="C31" s="10">
        <v>5</v>
      </c>
      <c r="D31" s="10">
        <v>0</v>
      </c>
      <c r="E31" s="10">
        <f t="shared" si="0"/>
        <v>135798.79999999999</v>
      </c>
      <c r="F31" s="10">
        <f t="shared" si="0"/>
        <v>101325</v>
      </c>
      <c r="G31" s="33">
        <f t="shared" si="1"/>
        <v>34473.799999999988</v>
      </c>
    </row>
    <row r="32" spans="2:11" x14ac:dyDescent="0.2">
      <c r="B32" s="9">
        <f t="shared" si="2"/>
        <v>26</v>
      </c>
      <c r="C32" s="10">
        <v>5</v>
      </c>
      <c r="D32" s="10">
        <v>0</v>
      </c>
      <c r="E32" s="10">
        <f t="shared" si="0"/>
        <v>135798.79999999999</v>
      </c>
      <c r="F32" s="10">
        <f t="shared" si="0"/>
        <v>101325</v>
      </c>
      <c r="G32" s="33">
        <f t="shared" si="1"/>
        <v>34473.799999999988</v>
      </c>
    </row>
    <row r="33" spans="2:7" x14ac:dyDescent="0.2">
      <c r="B33" s="9">
        <f t="shared" si="2"/>
        <v>27</v>
      </c>
      <c r="C33" s="10">
        <v>4</v>
      </c>
      <c r="D33" s="10">
        <v>0</v>
      </c>
      <c r="E33" s="10">
        <f t="shared" si="0"/>
        <v>128904.04000000001</v>
      </c>
      <c r="F33" s="10">
        <f t="shared" si="0"/>
        <v>101325</v>
      </c>
      <c r="G33" s="33">
        <f t="shared" si="1"/>
        <v>27579.040000000008</v>
      </c>
    </row>
    <row r="34" spans="2:7" x14ac:dyDescent="0.2">
      <c r="B34" s="9">
        <f t="shared" si="2"/>
        <v>28</v>
      </c>
      <c r="C34" s="10">
        <v>4</v>
      </c>
      <c r="D34" s="10">
        <v>0</v>
      </c>
      <c r="E34" s="10">
        <f t="shared" si="0"/>
        <v>128904.04000000001</v>
      </c>
      <c r="F34" s="10">
        <f t="shared" si="0"/>
        <v>101325</v>
      </c>
      <c r="G34" s="33">
        <f t="shared" si="1"/>
        <v>27579.040000000008</v>
      </c>
    </row>
    <row r="35" spans="2:7" x14ac:dyDescent="0.2">
      <c r="B35" s="9">
        <f t="shared" si="2"/>
        <v>29</v>
      </c>
      <c r="C35" s="10">
        <v>3</v>
      </c>
      <c r="D35" s="10">
        <v>0</v>
      </c>
      <c r="E35" s="10">
        <f t="shared" si="0"/>
        <v>122009.28</v>
      </c>
      <c r="F35" s="10">
        <f t="shared" si="0"/>
        <v>101325</v>
      </c>
      <c r="G35" s="33">
        <f t="shared" si="1"/>
        <v>20684.28</v>
      </c>
    </row>
    <row r="36" spans="2:7" x14ac:dyDescent="0.2">
      <c r="B36" s="9">
        <f t="shared" si="2"/>
        <v>30</v>
      </c>
      <c r="C36" s="10">
        <v>3</v>
      </c>
      <c r="D36" s="10">
        <v>0</v>
      </c>
      <c r="E36" s="10">
        <f t="shared" si="0"/>
        <v>122009.28</v>
      </c>
      <c r="F36" s="10">
        <f t="shared" si="0"/>
        <v>101325</v>
      </c>
      <c r="G36" s="33">
        <f t="shared" si="1"/>
        <v>20684.28</v>
      </c>
    </row>
    <row r="37" spans="2:7" x14ac:dyDescent="0.2">
      <c r="B37" s="9">
        <f t="shared" si="2"/>
        <v>31</v>
      </c>
      <c r="C37" s="10">
        <v>2</v>
      </c>
      <c r="D37" s="10">
        <v>0</v>
      </c>
      <c r="E37" s="10">
        <f t="shared" si="0"/>
        <v>115114.52</v>
      </c>
      <c r="F37" s="10">
        <f t="shared" si="0"/>
        <v>101325</v>
      </c>
      <c r="G37" s="33">
        <f t="shared" si="1"/>
        <v>13789.520000000004</v>
      </c>
    </row>
    <row r="38" spans="2:7" x14ac:dyDescent="0.2">
      <c r="B38" s="9">
        <f t="shared" si="2"/>
        <v>32</v>
      </c>
      <c r="C38" s="10">
        <v>2</v>
      </c>
      <c r="D38" s="10">
        <v>0</v>
      </c>
      <c r="E38" s="10">
        <f t="shared" si="0"/>
        <v>115114.52</v>
      </c>
      <c r="F38" s="10">
        <f t="shared" si="0"/>
        <v>101325</v>
      </c>
      <c r="G38" s="33">
        <f t="shared" si="1"/>
        <v>13789.520000000004</v>
      </c>
    </row>
    <row r="39" spans="2:7" x14ac:dyDescent="0.2">
      <c r="B39" s="9">
        <f t="shared" si="2"/>
        <v>33</v>
      </c>
      <c r="C39" s="10">
        <v>2</v>
      </c>
      <c r="D39" s="10">
        <v>0</v>
      </c>
      <c r="E39" s="10">
        <f t="shared" si="0"/>
        <v>115114.52</v>
      </c>
      <c r="F39" s="10">
        <f t="shared" si="0"/>
        <v>101325</v>
      </c>
      <c r="G39" s="33">
        <f t="shared" si="1"/>
        <v>13789.520000000004</v>
      </c>
    </row>
    <row r="40" spans="2:7" x14ac:dyDescent="0.2">
      <c r="B40" s="9">
        <f t="shared" si="2"/>
        <v>34</v>
      </c>
      <c r="C40" s="10">
        <v>2</v>
      </c>
      <c r="D40" s="10">
        <v>0</v>
      </c>
      <c r="E40" s="10">
        <f t="shared" si="0"/>
        <v>115114.52</v>
      </c>
      <c r="F40" s="10">
        <f t="shared" si="0"/>
        <v>101325</v>
      </c>
      <c r="G40" s="33">
        <f t="shared" si="1"/>
        <v>13789.520000000004</v>
      </c>
    </row>
    <row r="41" spans="2:7" x14ac:dyDescent="0.2">
      <c r="B41" s="9">
        <f t="shared" si="2"/>
        <v>35</v>
      </c>
      <c r="C41" s="10">
        <v>1</v>
      </c>
      <c r="D41" s="10">
        <v>0</v>
      </c>
      <c r="E41" s="10">
        <f t="shared" si="0"/>
        <v>108219.76</v>
      </c>
      <c r="F41" s="10">
        <f t="shared" si="0"/>
        <v>101325</v>
      </c>
      <c r="G41" s="33">
        <f t="shared" si="1"/>
        <v>6894.7599999999948</v>
      </c>
    </row>
    <row r="42" spans="2:7" x14ac:dyDescent="0.2">
      <c r="B42" s="9">
        <f t="shared" si="2"/>
        <v>36</v>
      </c>
      <c r="C42" s="10">
        <v>1</v>
      </c>
      <c r="D42" s="10">
        <v>0</v>
      </c>
      <c r="E42" s="10">
        <f t="shared" si="0"/>
        <v>108219.76</v>
      </c>
      <c r="F42" s="10">
        <f t="shared" si="0"/>
        <v>101325</v>
      </c>
      <c r="G42" s="33">
        <f t="shared" si="1"/>
        <v>6894.7599999999948</v>
      </c>
    </row>
    <row r="43" spans="2:7" x14ac:dyDescent="0.2">
      <c r="B43" s="9">
        <f t="shared" si="2"/>
        <v>37</v>
      </c>
      <c r="C43" s="10">
        <v>1</v>
      </c>
      <c r="D43" s="10">
        <v>0</v>
      </c>
      <c r="E43" s="10">
        <f t="shared" si="0"/>
        <v>108219.76</v>
      </c>
      <c r="F43" s="10">
        <f t="shared" si="0"/>
        <v>101325</v>
      </c>
      <c r="G43" s="33">
        <f t="shared" si="1"/>
        <v>6894.7599999999948</v>
      </c>
    </row>
    <row r="44" spans="2:7" x14ac:dyDescent="0.2">
      <c r="B44" s="9">
        <f t="shared" si="2"/>
        <v>38</v>
      </c>
      <c r="C44" s="10">
        <v>1</v>
      </c>
      <c r="D44" s="10">
        <v>0</v>
      </c>
      <c r="E44" s="10">
        <f t="shared" si="0"/>
        <v>108219.76</v>
      </c>
      <c r="F44" s="10">
        <f t="shared" si="0"/>
        <v>101325</v>
      </c>
      <c r="G44" s="33">
        <f t="shared" si="1"/>
        <v>6894.7599999999948</v>
      </c>
    </row>
    <row r="45" spans="2:7" x14ac:dyDescent="0.2">
      <c r="B45" s="9">
        <f t="shared" si="2"/>
        <v>39</v>
      </c>
      <c r="C45" s="10">
        <v>1</v>
      </c>
      <c r="D45" s="10">
        <v>0</v>
      </c>
      <c r="E45" s="10">
        <f t="shared" si="0"/>
        <v>108219.76</v>
      </c>
      <c r="F45" s="10">
        <f t="shared" si="0"/>
        <v>101325</v>
      </c>
      <c r="G45" s="33">
        <f t="shared" si="1"/>
        <v>6894.7599999999948</v>
      </c>
    </row>
    <row r="46" spans="2:7" x14ac:dyDescent="0.2">
      <c r="B46" s="9">
        <f t="shared" si="2"/>
        <v>40</v>
      </c>
      <c r="C46" s="10">
        <v>1</v>
      </c>
      <c r="D46" s="10">
        <v>0</v>
      </c>
      <c r="E46" s="10">
        <f t="shared" si="0"/>
        <v>108219.76</v>
      </c>
      <c r="F46" s="10">
        <f t="shared" si="0"/>
        <v>101325</v>
      </c>
      <c r="G46" s="33">
        <f t="shared" si="1"/>
        <v>6894.7599999999948</v>
      </c>
    </row>
    <row r="47" spans="2:7" x14ac:dyDescent="0.2">
      <c r="B47" s="9">
        <f t="shared" si="2"/>
        <v>41</v>
      </c>
      <c r="C47" s="10">
        <v>1</v>
      </c>
      <c r="D47" s="10">
        <v>0</v>
      </c>
      <c r="E47" s="10">
        <f t="shared" si="0"/>
        <v>108219.76</v>
      </c>
      <c r="F47" s="10">
        <f t="shared" si="0"/>
        <v>101325</v>
      </c>
      <c r="G47" s="33">
        <f t="shared" si="1"/>
        <v>6894.7599999999948</v>
      </c>
    </row>
    <row r="48" spans="2:7" x14ac:dyDescent="0.2">
      <c r="B48" s="9">
        <f t="shared" si="2"/>
        <v>42</v>
      </c>
      <c r="C48" s="10">
        <v>1</v>
      </c>
      <c r="D48" s="10">
        <v>0</v>
      </c>
      <c r="E48" s="10">
        <f t="shared" si="0"/>
        <v>108219.76</v>
      </c>
      <c r="F48" s="10">
        <f t="shared" si="0"/>
        <v>101325</v>
      </c>
      <c r="G48" s="33">
        <f t="shared" si="1"/>
        <v>6894.7599999999948</v>
      </c>
    </row>
    <row r="49" spans="2:7" x14ac:dyDescent="0.2">
      <c r="B49" s="9">
        <f t="shared" si="2"/>
        <v>43</v>
      </c>
      <c r="C49" s="10">
        <v>0</v>
      </c>
      <c r="D49" s="10">
        <v>0</v>
      </c>
      <c r="E49" s="10">
        <f t="shared" si="0"/>
        <v>101325</v>
      </c>
      <c r="F49" s="10">
        <f t="shared" si="0"/>
        <v>101325</v>
      </c>
      <c r="G49" s="33">
        <f t="shared" si="1"/>
        <v>0</v>
      </c>
    </row>
    <row r="50" spans="2:7" x14ac:dyDescent="0.2">
      <c r="B50" s="9">
        <f t="shared" si="2"/>
        <v>44</v>
      </c>
      <c r="C50" s="10">
        <v>0</v>
      </c>
      <c r="D50" s="10">
        <v>0</v>
      </c>
      <c r="E50" s="10">
        <f t="shared" si="0"/>
        <v>101325</v>
      </c>
      <c r="F50" s="10">
        <f t="shared" si="0"/>
        <v>101325</v>
      </c>
      <c r="G50" s="33">
        <f t="shared" si="1"/>
        <v>0</v>
      </c>
    </row>
    <row r="57" spans="2:7" x14ac:dyDescent="0.2">
      <c r="B57" s="123" t="s">
        <v>67</v>
      </c>
      <c r="C57" s="123"/>
      <c r="D57" s="123"/>
      <c r="E57" s="123"/>
    </row>
    <row r="58" spans="2:7" x14ac:dyDescent="0.2">
      <c r="B58" s="30" t="s">
        <v>78</v>
      </c>
      <c r="C58" s="30" t="s">
        <v>79</v>
      </c>
      <c r="D58" s="30" t="s">
        <v>80</v>
      </c>
      <c r="E58" s="30" t="s">
        <v>81</v>
      </c>
    </row>
    <row r="59" spans="2:7" x14ac:dyDescent="0.2">
      <c r="B59" s="30">
        <v>0</v>
      </c>
      <c r="C59" s="30">
        <v>5720554.4000000004</v>
      </c>
      <c r="D59" s="30">
        <v>5714280.4960000003</v>
      </c>
      <c r="E59" s="30">
        <v>5713660</v>
      </c>
    </row>
    <row r="60" spans="2:7" x14ac:dyDescent="0.2">
      <c r="B60" s="30">
        <v>1</v>
      </c>
      <c r="C60" s="30">
        <v>2866123.76</v>
      </c>
      <c r="D60" s="30">
        <v>5457381.7384000001</v>
      </c>
      <c r="E60" s="30">
        <v>5713660</v>
      </c>
    </row>
    <row r="61" spans="2:7" x14ac:dyDescent="0.2">
      <c r="B61" s="30">
        <v>2</v>
      </c>
      <c r="C61" s="30">
        <v>1121749.48</v>
      </c>
      <c r="D61" s="30">
        <v>4285994.1001998996</v>
      </c>
      <c r="E61" s="30">
        <v>4598941.3703295998</v>
      </c>
    </row>
    <row r="62" spans="2:7" x14ac:dyDescent="0.2">
      <c r="B62" s="30">
        <v>3</v>
      </c>
      <c r="C62" s="30">
        <v>473642.04</v>
      </c>
      <c r="D62" s="30">
        <v>3222088.9332808</v>
      </c>
      <c r="E62" s="30">
        <v>3493913.3512976002</v>
      </c>
    </row>
    <row r="63" spans="2:7" x14ac:dyDescent="0.2">
      <c r="B63" s="30">
        <v>4</v>
      </c>
      <c r="C63" s="30">
        <v>280588.76</v>
      </c>
      <c r="D63" s="30">
        <v>2537378.9492927999</v>
      </c>
      <c r="E63" s="30">
        <v>2760577.9790031002</v>
      </c>
    </row>
    <row r="64" spans="2:7" x14ac:dyDescent="0.2">
      <c r="B64" s="30">
        <v>5</v>
      </c>
      <c r="C64" s="30">
        <v>184062.12</v>
      </c>
      <c r="D64" s="30">
        <v>2069050.0347919001</v>
      </c>
      <c r="E64" s="30">
        <v>2255477.4109800998</v>
      </c>
    </row>
    <row r="65" spans="2:5" x14ac:dyDescent="0.2">
      <c r="B65" s="30">
        <v>6</v>
      </c>
      <c r="C65" s="30">
        <v>135798.79999999999</v>
      </c>
      <c r="D65" s="30">
        <v>1734218.2174575999</v>
      </c>
      <c r="E65" s="30">
        <v>1892303.654349</v>
      </c>
    </row>
    <row r="66" spans="2:5" x14ac:dyDescent="0.2">
      <c r="B66" s="30">
        <v>7</v>
      </c>
      <c r="C66" s="30">
        <v>115114.52</v>
      </c>
      <c r="D66" s="30">
        <v>1477416.5998670999</v>
      </c>
      <c r="E66" s="30">
        <v>1612149.7726012</v>
      </c>
    </row>
    <row r="67" spans="2:5" x14ac:dyDescent="0.2">
      <c r="B67" s="30">
        <v>8</v>
      </c>
      <c r="C67" s="30">
        <v>108219.76</v>
      </c>
      <c r="D67" s="30">
        <v>1260328.9646310001</v>
      </c>
      <c r="E67" s="30">
        <v>1374273.8310231001</v>
      </c>
    </row>
    <row r="68" spans="2:5" x14ac:dyDescent="0.2">
      <c r="B68" s="30">
        <v>9</v>
      </c>
      <c r="C68" s="30">
        <v>108219.76</v>
      </c>
      <c r="D68" s="30">
        <v>1063500.0135057</v>
      </c>
      <c r="E68" s="30">
        <v>1157978.2803358999</v>
      </c>
    </row>
    <row r="69" spans="2:5" x14ac:dyDescent="0.2">
      <c r="B69" s="30">
        <v>10</v>
      </c>
      <c r="C69" s="30">
        <v>108219.76</v>
      </c>
      <c r="D69" s="30">
        <v>879792.15734310006</v>
      </c>
      <c r="E69" s="30">
        <v>956101.51532209001</v>
      </c>
    </row>
    <row r="70" spans="2:5" x14ac:dyDescent="0.2">
      <c r="B70" s="30">
        <v>11</v>
      </c>
      <c r="C70" s="30">
        <v>101325</v>
      </c>
      <c r="D70" s="30">
        <v>712248.79466040002</v>
      </c>
      <c r="E70" s="30">
        <v>772669.82929714001</v>
      </c>
    </row>
    <row r="71" spans="2:5" x14ac:dyDescent="0.2">
      <c r="B71" s="30">
        <v>12</v>
      </c>
      <c r="C71" s="30">
        <v>101325</v>
      </c>
      <c r="D71" s="30">
        <v>569246.77229180001</v>
      </c>
      <c r="E71" s="30">
        <v>615524.74977121002</v>
      </c>
    </row>
    <row r="72" spans="2:5" x14ac:dyDescent="0.2">
      <c r="B72" s="30">
        <v>13</v>
      </c>
      <c r="C72" s="30">
        <v>101325</v>
      </c>
      <c r="D72" s="30">
        <v>448024.76714457001</v>
      </c>
      <c r="E72" s="30">
        <v>482313.75510393002</v>
      </c>
    </row>
    <row r="73" spans="2:5" x14ac:dyDescent="0.2">
      <c r="B73" s="30">
        <v>14</v>
      </c>
      <c r="C73" s="30">
        <v>101325</v>
      </c>
      <c r="D73" s="30">
        <v>350522.79082346999</v>
      </c>
      <c r="E73" s="30">
        <v>375168.72617963998</v>
      </c>
    </row>
    <row r="74" spans="2:5" x14ac:dyDescent="0.2">
      <c r="B74" s="30">
        <v>15</v>
      </c>
      <c r="C74" s="30">
        <v>101325</v>
      </c>
      <c r="D74" s="30">
        <v>276132.55028179003</v>
      </c>
      <c r="E74" s="30">
        <v>293421.20910087001</v>
      </c>
    </row>
    <row r="75" spans="2:5" x14ac:dyDescent="0.2">
      <c r="B75" s="30">
        <v>16</v>
      </c>
      <c r="C75" s="30">
        <v>101325</v>
      </c>
      <c r="D75" s="30">
        <v>221864.36224756</v>
      </c>
      <c r="E75" s="30">
        <v>233785.83763468001</v>
      </c>
    </row>
    <row r="76" spans="2:5" x14ac:dyDescent="0.2">
      <c r="B76" s="30">
        <v>17</v>
      </c>
      <c r="C76" s="30">
        <v>101325</v>
      </c>
      <c r="D76" s="30">
        <v>183548.29356168001</v>
      </c>
      <c r="E76" s="30">
        <v>191680.2676502</v>
      </c>
    </row>
    <row r="77" spans="2:5" x14ac:dyDescent="0.2">
      <c r="B77" s="30">
        <v>18</v>
      </c>
      <c r="C77" s="30">
        <v>101325</v>
      </c>
      <c r="D77" s="30">
        <v>157060.95818118</v>
      </c>
      <c r="E77" s="30">
        <v>162573.30569360999</v>
      </c>
    </row>
    <row r="78" spans="2:5" x14ac:dyDescent="0.2">
      <c r="B78" s="30">
        <v>19</v>
      </c>
      <c r="C78" s="30">
        <v>101325</v>
      </c>
      <c r="D78" s="30">
        <v>138978.5670487</v>
      </c>
      <c r="E78" s="30">
        <v>142702.54620735999</v>
      </c>
    </row>
    <row r="79" spans="2:5" x14ac:dyDescent="0.2">
      <c r="B79" s="30">
        <v>20</v>
      </c>
      <c r="C79" s="30">
        <v>101325</v>
      </c>
      <c r="D79" s="30">
        <v>126719.52196907</v>
      </c>
      <c r="E79" s="30">
        <v>129231.06809787999</v>
      </c>
    </row>
    <row r="80" spans="2:5" x14ac:dyDescent="0.2">
      <c r="B80" s="30">
        <v>21</v>
      </c>
      <c r="C80" s="30">
        <v>101325</v>
      </c>
      <c r="D80" s="30">
        <v>118438.51986183001</v>
      </c>
      <c r="E80" s="30">
        <v>120131.06578223</v>
      </c>
    </row>
    <row r="81" spans="2:5" x14ac:dyDescent="0.2">
      <c r="B81" s="30">
        <v>22</v>
      </c>
      <c r="C81" s="30">
        <v>101325</v>
      </c>
      <c r="D81" s="30">
        <v>112854.54683684</v>
      </c>
      <c r="E81" s="30">
        <v>113994.83168884</v>
      </c>
    </row>
    <row r="82" spans="2:5" x14ac:dyDescent="0.2">
      <c r="B82" s="30">
        <v>23</v>
      </c>
      <c r="C82" s="30">
        <v>101325</v>
      </c>
      <c r="D82" s="30">
        <v>109092.11671854999</v>
      </c>
      <c r="E82" s="30">
        <v>109860.29309731</v>
      </c>
    </row>
    <row r="83" spans="2:5" x14ac:dyDescent="0.2">
      <c r="B83" s="30">
        <v>24</v>
      </c>
      <c r="C83" s="30">
        <v>101325</v>
      </c>
      <c r="D83" s="30">
        <v>106557.71648189001</v>
      </c>
      <c r="E83" s="30">
        <v>107075.23789218</v>
      </c>
    </row>
    <row r="84" spans="2:5" x14ac:dyDescent="0.2">
      <c r="B84" s="30">
        <v>25</v>
      </c>
      <c r="C84" s="30">
        <v>101325</v>
      </c>
      <c r="D84" s="30">
        <v>104850.59137504001</v>
      </c>
      <c r="E84" s="30">
        <v>105199.27623631</v>
      </c>
    </row>
    <row r="85" spans="2:5" x14ac:dyDescent="0.2">
      <c r="B85" s="30">
        <v>26</v>
      </c>
      <c r="C85" s="30">
        <v>101325</v>
      </c>
      <c r="D85" s="30">
        <v>103700.62920882</v>
      </c>
      <c r="E85" s="30">
        <v>103935.58154815</v>
      </c>
    </row>
    <row r="86" spans="2:5" x14ac:dyDescent="0.2">
      <c r="B86" s="30">
        <v>27</v>
      </c>
      <c r="C86" s="30">
        <v>101325</v>
      </c>
      <c r="D86" s="30">
        <v>102925.90894085</v>
      </c>
      <c r="E86" s="30">
        <v>103084.24059433999</v>
      </c>
    </row>
    <row r="87" spans="2:5" x14ac:dyDescent="0.2">
      <c r="B87" s="30">
        <v>28</v>
      </c>
      <c r="C87" s="30">
        <v>101325</v>
      </c>
      <c r="D87" s="30">
        <v>102403.93031553</v>
      </c>
      <c r="E87" s="30">
        <v>102510.63770938</v>
      </c>
    </row>
    <row r="88" spans="2:5" x14ac:dyDescent="0.2">
      <c r="B88" s="30">
        <v>29</v>
      </c>
      <c r="C88" s="30">
        <v>101325</v>
      </c>
      <c r="D88" s="30">
        <v>102052.20361784</v>
      </c>
      <c r="E88" s="30">
        <v>102124.12485476999</v>
      </c>
    </row>
    <row r="89" spans="2:5" x14ac:dyDescent="0.2">
      <c r="B89" s="30">
        <v>30</v>
      </c>
      <c r="C89" s="30">
        <v>101325</v>
      </c>
      <c r="D89" s="30">
        <v>101815.17563909999</v>
      </c>
      <c r="E89" s="30">
        <v>101863.65454846001</v>
      </c>
    </row>
    <row r="90" spans="2:5" x14ac:dyDescent="0.2">
      <c r="B90" s="30">
        <v>31</v>
      </c>
      <c r="C90" s="30">
        <v>101325</v>
      </c>
      <c r="D90" s="30">
        <v>101655.43025342999</v>
      </c>
      <c r="E90" s="30">
        <v>101688.1101686</v>
      </c>
    </row>
    <row r="91" spans="2:5" x14ac:dyDescent="0.2">
      <c r="B91" s="30">
        <v>32</v>
      </c>
      <c r="C91" s="30">
        <v>101325</v>
      </c>
      <c r="D91" s="30">
        <v>101547.75941034</v>
      </c>
      <c r="E91" s="30">
        <v>101569.79056081</v>
      </c>
    </row>
    <row r="92" spans="2:5" x14ac:dyDescent="0.2">
      <c r="B92" s="30">
        <v>33</v>
      </c>
      <c r="C92" s="30">
        <v>101325</v>
      </c>
      <c r="D92" s="30">
        <v>101475.18216389</v>
      </c>
      <c r="E92" s="30">
        <v>101490.03534494</v>
      </c>
    </row>
    <row r="93" spans="2:5" x14ac:dyDescent="0.2">
      <c r="B93" s="30">
        <v>34</v>
      </c>
      <c r="C93" s="30">
        <v>101325</v>
      </c>
      <c r="D93" s="30">
        <v>101426.25691599</v>
      </c>
      <c r="E93" s="30">
        <v>101436.27133625001</v>
      </c>
    </row>
    <row r="94" spans="2:5" x14ac:dyDescent="0.2">
      <c r="B94" s="30">
        <v>35</v>
      </c>
      <c r="C94" s="30">
        <v>101325</v>
      </c>
      <c r="D94" s="30">
        <v>101393.27365680999</v>
      </c>
      <c r="E94" s="30">
        <v>101400.02599649</v>
      </c>
    </row>
    <row r="95" spans="2:5" x14ac:dyDescent="0.2">
      <c r="B95" s="30">
        <v>36</v>
      </c>
      <c r="C95" s="30">
        <v>101325</v>
      </c>
      <c r="D95" s="30">
        <v>101371.0364598</v>
      </c>
      <c r="E95" s="30">
        <v>101375.58951626001</v>
      </c>
    </row>
    <row r="96" spans="2:5" x14ac:dyDescent="0.2">
      <c r="B96" s="30">
        <v>37</v>
      </c>
      <c r="C96" s="30">
        <v>101325</v>
      </c>
      <c r="D96" s="30">
        <v>101356.04474079001</v>
      </c>
      <c r="E96" s="30">
        <v>101359.11509977</v>
      </c>
    </row>
    <row r="97" spans="2:5" x14ac:dyDescent="0.2">
      <c r="B97" s="30">
        <v>38</v>
      </c>
      <c r="C97" s="30">
        <v>101325</v>
      </c>
      <c r="D97" s="30">
        <v>101345.93586374</v>
      </c>
      <c r="E97" s="30">
        <v>101348.00644367</v>
      </c>
    </row>
    <row r="98" spans="2:5" x14ac:dyDescent="0.2">
      <c r="B98" s="30">
        <v>39</v>
      </c>
      <c r="C98" s="30">
        <v>101325</v>
      </c>
      <c r="D98" s="30">
        <v>101339.11915586999</v>
      </c>
      <c r="E98" s="30">
        <v>101340.5155559</v>
      </c>
    </row>
    <row r="99" spans="2:5" x14ac:dyDescent="0.2">
      <c r="B99" s="30">
        <v>40</v>
      </c>
      <c r="C99" s="30">
        <v>101325</v>
      </c>
      <c r="D99" s="30">
        <v>101334.52225711</v>
      </c>
      <c r="E99" s="30">
        <v>101335.4640188</v>
      </c>
    </row>
    <row r="100" spans="2:5" x14ac:dyDescent="0.2">
      <c r="B100" s="30">
        <v>41</v>
      </c>
      <c r="C100" s="30">
        <v>101325</v>
      </c>
      <c r="D100" s="30">
        <v>101331.4221841</v>
      </c>
      <c r="E100" s="30">
        <v>101332.05734517</v>
      </c>
    </row>
    <row r="101" spans="2:5" x14ac:dyDescent="0.2">
      <c r="B101" s="30">
        <v>42</v>
      </c>
      <c r="C101" s="30">
        <v>101325</v>
      </c>
      <c r="D101" s="30">
        <v>101329.33147362</v>
      </c>
      <c r="E101" s="30">
        <v>101329.75986111999</v>
      </c>
    </row>
    <row r="102" spans="2:5" x14ac:dyDescent="0.2">
      <c r="B102" s="30">
        <v>43</v>
      </c>
      <c r="C102" s="30">
        <v>101325</v>
      </c>
      <c r="D102" s="30">
        <v>101327.92271011999</v>
      </c>
      <c r="E102" s="30">
        <v>101328.21176936</v>
      </c>
    </row>
    <row r="103" spans="2:5" x14ac:dyDescent="0.2">
      <c r="B103" s="30">
        <v>44</v>
      </c>
      <c r="C103" s="30">
        <v>101325</v>
      </c>
      <c r="D103" s="30">
        <v>101326.97216301</v>
      </c>
      <c r="E103" s="30">
        <v>101327.1672121</v>
      </c>
    </row>
    <row r="104" spans="2:5" x14ac:dyDescent="0.2">
      <c r="B104" s="30">
        <v>45</v>
      </c>
      <c r="C104" s="30">
        <v>101325</v>
      </c>
      <c r="D104" s="30">
        <v>101326.33077741999</v>
      </c>
      <c r="E104" s="30">
        <v>101326.46239277</v>
      </c>
    </row>
    <row r="105" spans="2:5" x14ac:dyDescent="0.2">
      <c r="B105" s="30">
        <v>46</v>
      </c>
      <c r="C105" s="30">
        <v>101325</v>
      </c>
      <c r="D105" s="30">
        <v>101325.89799143</v>
      </c>
      <c r="E105" s="30">
        <v>101325.98680377001</v>
      </c>
    </row>
    <row r="106" spans="2:5" x14ac:dyDescent="0.2">
      <c r="B106" s="30">
        <v>47</v>
      </c>
      <c r="C106" s="30">
        <v>101325</v>
      </c>
      <c r="D106" s="30">
        <v>101325.60595698</v>
      </c>
      <c r="E106" s="30">
        <v>101325.66588679</v>
      </c>
    </row>
    <row r="107" spans="2:5" x14ac:dyDescent="0.2">
      <c r="B107" s="30">
        <v>48</v>
      </c>
      <c r="C107" s="30">
        <v>101325</v>
      </c>
      <c r="D107" s="30">
        <v>101325.40889608</v>
      </c>
      <c r="E107" s="30">
        <v>101325.44933634999</v>
      </c>
    </row>
    <row r="108" spans="2:5" x14ac:dyDescent="0.2">
      <c r="B108" s="30">
        <v>49</v>
      </c>
      <c r="C108" s="30">
        <v>101325</v>
      </c>
      <c r="D108" s="30">
        <v>101325.27711877</v>
      </c>
      <c r="E108" s="30">
        <v>101325.30452612</v>
      </c>
    </row>
    <row r="109" spans="2:5" x14ac:dyDescent="0.2">
      <c r="B109" s="30">
        <v>50</v>
      </c>
      <c r="C109" s="30">
        <v>101325</v>
      </c>
      <c r="D109" s="30">
        <v>101325.18780976</v>
      </c>
      <c r="E109" s="30">
        <v>101325.20638434999</v>
      </c>
    </row>
  </sheetData>
  <mergeCells count="5">
    <mergeCell ref="B57:E57"/>
    <mergeCell ref="B4:B5"/>
    <mergeCell ref="B2:G2"/>
    <mergeCell ref="I2:K2"/>
    <mergeCell ref="I15:I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35C2A-6350-2842-9DF1-B64F5259796A}">
  <dimension ref="B1:K110"/>
  <sheetViews>
    <sheetView topLeftCell="A58" zoomScale="124" workbookViewId="0">
      <selection activeCell="J19" sqref="J19"/>
    </sheetView>
  </sheetViews>
  <sheetFormatPr baseColWidth="10" defaultRowHeight="15" x14ac:dyDescent="0.2"/>
  <cols>
    <col min="2" max="7" width="15.83203125" customWidth="1"/>
    <col min="9" max="13" width="25.83203125" customWidth="1"/>
  </cols>
  <sheetData>
    <row r="1" spans="2:11" ht="16" thickBot="1" x14ac:dyDescent="0.25"/>
    <row r="2" spans="2:11" ht="16" thickBot="1" x14ac:dyDescent="0.25">
      <c r="B2" s="132" t="s">
        <v>53</v>
      </c>
      <c r="C2" s="132"/>
      <c r="D2" s="132"/>
      <c r="E2" s="132"/>
      <c r="F2" s="132"/>
      <c r="G2" s="132"/>
      <c r="I2" s="127" t="s">
        <v>40</v>
      </c>
      <c r="J2" s="128"/>
      <c r="K2" s="129"/>
    </row>
    <row r="3" spans="2:11" x14ac:dyDescent="0.2">
      <c r="B3" s="11" t="s">
        <v>34</v>
      </c>
      <c r="C3" s="14" t="s">
        <v>4</v>
      </c>
      <c r="D3" s="15" t="s">
        <v>7</v>
      </c>
      <c r="E3" s="14" t="s">
        <v>4</v>
      </c>
      <c r="F3" s="15" t="s">
        <v>7</v>
      </c>
      <c r="G3" s="32" t="s">
        <v>51</v>
      </c>
      <c r="I3" s="25" t="s">
        <v>21</v>
      </c>
      <c r="J3" s="26">
        <f xml:space="preserve"> 0.328*25.4*10^(-3)/2</f>
        <v>4.1655999999999993E-3</v>
      </c>
      <c r="K3" s="27" t="s">
        <v>28</v>
      </c>
    </row>
    <row r="4" spans="2:11" x14ac:dyDescent="0.2">
      <c r="B4" s="115" t="s">
        <v>35</v>
      </c>
      <c r="C4" s="16" t="s">
        <v>5</v>
      </c>
      <c r="D4" s="16" t="s">
        <v>5</v>
      </c>
      <c r="E4" s="16" t="s">
        <v>36</v>
      </c>
      <c r="F4" s="16" t="s">
        <v>36</v>
      </c>
      <c r="G4" s="16" t="s">
        <v>36</v>
      </c>
      <c r="I4" s="20" t="s">
        <v>22</v>
      </c>
      <c r="J4" s="18">
        <f xml:space="preserve"> 7.94*10^(-3)</f>
        <v>7.9400000000000009E-3</v>
      </c>
      <c r="K4" s="21" t="s">
        <v>28</v>
      </c>
    </row>
    <row r="5" spans="2:11" x14ac:dyDescent="0.2">
      <c r="B5" s="115"/>
      <c r="C5" s="16" t="s">
        <v>14</v>
      </c>
      <c r="D5" s="16" t="s">
        <v>14</v>
      </c>
      <c r="E5" s="16" t="s">
        <v>14</v>
      </c>
      <c r="F5" s="16" t="s">
        <v>14</v>
      </c>
      <c r="G5" s="16" t="s">
        <v>14</v>
      </c>
      <c r="I5" s="20" t="s">
        <v>23</v>
      </c>
      <c r="J5" s="18">
        <f>J4*PI()*J3^2</f>
        <v>4.3283812240392796E-7</v>
      </c>
      <c r="K5" s="21" t="s">
        <v>27</v>
      </c>
    </row>
    <row r="6" spans="2:11" x14ac:dyDescent="0.2">
      <c r="B6" s="55">
        <v>0</v>
      </c>
      <c r="C6" s="55">
        <v>1000</v>
      </c>
      <c r="D6" s="55">
        <v>1001</v>
      </c>
      <c r="E6" s="55">
        <f t="shared" ref="E6:F50" si="0">C6*6894.76 +101325</f>
        <v>6996085</v>
      </c>
      <c r="F6" s="55">
        <f t="shared" si="0"/>
        <v>7002979.7599999998</v>
      </c>
      <c r="G6" s="55">
        <f t="shared" ref="G6:G50" si="1">E6-F6</f>
        <v>-6894.7599999997765</v>
      </c>
      <c r="I6" s="20" t="s">
        <v>24</v>
      </c>
      <c r="J6" s="18">
        <f>25.08*10^(-9)/4</f>
        <v>6.2700000000000001E-9</v>
      </c>
      <c r="K6" s="21" t="s">
        <v>27</v>
      </c>
    </row>
    <row r="7" spans="2:11" x14ac:dyDescent="0.2">
      <c r="B7" s="55">
        <f t="shared" ref="B7:B38" si="2">B6+1</f>
        <v>1</v>
      </c>
      <c r="C7" s="55">
        <v>999</v>
      </c>
      <c r="D7" s="55">
        <v>1001</v>
      </c>
      <c r="E7" s="55">
        <f t="shared" si="0"/>
        <v>6989190.2400000002</v>
      </c>
      <c r="F7" s="55">
        <f t="shared" si="0"/>
        <v>7002979.7599999998</v>
      </c>
      <c r="G7" s="55">
        <f t="shared" si="1"/>
        <v>-13789.519999999553</v>
      </c>
      <c r="I7" s="20" t="s">
        <v>25</v>
      </c>
      <c r="J7" s="18">
        <f>J6/J5</f>
        <v>1.4485785044018804E-2</v>
      </c>
      <c r="K7" s="21" t="s">
        <v>26</v>
      </c>
    </row>
    <row r="8" spans="2:11" x14ac:dyDescent="0.2">
      <c r="B8" s="55">
        <f t="shared" si="2"/>
        <v>2</v>
      </c>
      <c r="C8" s="55">
        <v>999</v>
      </c>
      <c r="D8" s="55">
        <v>1001</v>
      </c>
      <c r="E8" s="55">
        <f t="shared" si="0"/>
        <v>6989190.2400000002</v>
      </c>
      <c r="F8" s="55">
        <f t="shared" si="0"/>
        <v>7002979.7599999998</v>
      </c>
      <c r="G8" s="55">
        <f t="shared" si="1"/>
        <v>-13789.519999999553</v>
      </c>
      <c r="I8" s="20" t="s">
        <v>39</v>
      </c>
      <c r="J8" s="18">
        <f>J3^2*PI()</f>
        <v>5.4513617431225171E-5</v>
      </c>
      <c r="K8" s="21" t="s">
        <v>41</v>
      </c>
    </row>
    <row r="9" spans="2:11" x14ac:dyDescent="0.2">
      <c r="B9" s="55">
        <f t="shared" si="2"/>
        <v>3</v>
      </c>
      <c r="C9" s="55">
        <v>947</v>
      </c>
      <c r="D9" s="55">
        <v>501</v>
      </c>
      <c r="E9" s="55">
        <f t="shared" si="0"/>
        <v>6630662.7200000007</v>
      </c>
      <c r="F9" s="55">
        <f t="shared" si="0"/>
        <v>3555599.7600000002</v>
      </c>
      <c r="G9" s="55">
        <f t="shared" si="1"/>
        <v>3075062.9600000004</v>
      </c>
      <c r="I9" s="20" t="s">
        <v>37</v>
      </c>
      <c r="J9" s="18">
        <f>7.94*4*0.001</f>
        <v>3.1760000000000004E-2</v>
      </c>
      <c r="K9" s="21" t="s">
        <v>28</v>
      </c>
    </row>
    <row r="10" spans="2:11" x14ac:dyDescent="0.2">
      <c r="B10" s="55">
        <f t="shared" si="2"/>
        <v>4</v>
      </c>
      <c r="C10" s="55">
        <v>807</v>
      </c>
      <c r="D10" s="55">
        <v>185</v>
      </c>
      <c r="E10" s="55">
        <f t="shared" si="0"/>
        <v>5665396.3200000003</v>
      </c>
      <c r="F10" s="55">
        <f t="shared" si="0"/>
        <v>1376855.6</v>
      </c>
      <c r="G10" s="55">
        <f t="shared" si="1"/>
        <v>4288540.7200000007</v>
      </c>
      <c r="I10" s="20" t="s">
        <v>38</v>
      </c>
      <c r="J10" s="18">
        <f>2.54*0.01*6</f>
        <v>0.15240000000000001</v>
      </c>
      <c r="K10" s="21" t="s">
        <v>28</v>
      </c>
    </row>
    <row r="11" spans="2:11" x14ac:dyDescent="0.2">
      <c r="B11" s="55">
        <f t="shared" si="2"/>
        <v>5</v>
      </c>
      <c r="C11" s="55">
        <v>671</v>
      </c>
      <c r="D11" s="55">
        <v>75</v>
      </c>
      <c r="E11" s="55">
        <f t="shared" si="0"/>
        <v>4727708.96</v>
      </c>
      <c r="F11" s="55">
        <f t="shared" si="0"/>
        <v>618432</v>
      </c>
      <c r="G11" s="55">
        <f t="shared" si="1"/>
        <v>4109276.96</v>
      </c>
      <c r="I11" s="20" t="s">
        <v>30</v>
      </c>
      <c r="J11" s="18">
        <f>1.79*10^(-5)</f>
        <v>1.7900000000000001E-5</v>
      </c>
      <c r="K11" s="21" t="s">
        <v>31</v>
      </c>
    </row>
    <row r="12" spans="2:11" x14ac:dyDescent="0.2">
      <c r="B12" s="55">
        <f t="shared" si="2"/>
        <v>6</v>
      </c>
      <c r="C12" s="55">
        <v>558</v>
      </c>
      <c r="D12" s="55">
        <v>30</v>
      </c>
      <c r="E12" s="55">
        <f t="shared" si="0"/>
        <v>3948601.08</v>
      </c>
      <c r="F12" s="55">
        <f t="shared" si="0"/>
        <v>308167.80000000005</v>
      </c>
      <c r="G12" s="55">
        <f t="shared" si="1"/>
        <v>3640433.2800000003</v>
      </c>
      <c r="I12" s="20" t="s">
        <v>33</v>
      </c>
      <c r="J12" s="18">
        <v>1.1839999999999999</v>
      </c>
      <c r="K12" s="21" t="s">
        <v>32</v>
      </c>
    </row>
    <row r="13" spans="2:11" x14ac:dyDescent="0.2">
      <c r="B13" s="55">
        <f t="shared" si="2"/>
        <v>7</v>
      </c>
      <c r="C13" s="55">
        <v>464</v>
      </c>
      <c r="D13" s="55">
        <v>15</v>
      </c>
      <c r="E13" s="55">
        <f t="shared" si="0"/>
        <v>3300493.64</v>
      </c>
      <c r="F13" s="55">
        <f t="shared" si="0"/>
        <v>204746.40000000002</v>
      </c>
      <c r="G13" s="55">
        <f t="shared" si="1"/>
        <v>3095747.24</v>
      </c>
      <c r="I13" s="20" t="s">
        <v>47</v>
      </c>
      <c r="J13" s="18">
        <f>PI()*J3^2*200*0.001</f>
        <v>1.0902723486245034E-5</v>
      </c>
      <c r="K13" s="21"/>
    </row>
    <row r="14" spans="2:11" x14ac:dyDescent="0.2">
      <c r="B14" s="55">
        <f t="shared" si="2"/>
        <v>8</v>
      </c>
      <c r="C14" s="55">
        <v>391</v>
      </c>
      <c r="D14" s="55">
        <v>6</v>
      </c>
      <c r="E14" s="55">
        <f t="shared" si="0"/>
        <v>2797176.16</v>
      </c>
      <c r="F14" s="55">
        <f t="shared" si="0"/>
        <v>142693.56</v>
      </c>
      <c r="G14" s="55">
        <f t="shared" si="1"/>
        <v>2654482.6</v>
      </c>
      <c r="I14" s="20" t="s">
        <v>46</v>
      </c>
      <c r="J14" s="18">
        <f>PI()*J3^2*350*0.001</f>
        <v>1.9079766100928807E-5</v>
      </c>
      <c r="K14" s="21" t="s">
        <v>27</v>
      </c>
    </row>
    <row r="15" spans="2:11" x14ac:dyDescent="0.2">
      <c r="B15" s="55">
        <f t="shared" si="2"/>
        <v>9</v>
      </c>
      <c r="C15" s="55">
        <v>326</v>
      </c>
      <c r="D15" s="55">
        <v>2</v>
      </c>
      <c r="E15" s="55">
        <f t="shared" si="0"/>
        <v>2349016.7600000002</v>
      </c>
      <c r="F15" s="55">
        <f t="shared" si="0"/>
        <v>115114.52</v>
      </c>
      <c r="G15" s="55">
        <f t="shared" si="1"/>
        <v>2233902.2400000002</v>
      </c>
      <c r="I15" s="20" t="s">
        <v>43</v>
      </c>
      <c r="J15" s="10">
        <f>F6</f>
        <v>7002979.7599999998</v>
      </c>
      <c r="K15" s="21" t="s">
        <v>36</v>
      </c>
    </row>
    <row r="16" spans="2:11" x14ac:dyDescent="0.2">
      <c r="B16" s="55">
        <f t="shared" si="2"/>
        <v>10</v>
      </c>
      <c r="C16" s="55">
        <v>271</v>
      </c>
      <c r="D16" s="55">
        <v>1</v>
      </c>
      <c r="E16" s="55">
        <f t="shared" si="0"/>
        <v>1969804.96</v>
      </c>
      <c r="F16" s="55">
        <f t="shared" si="0"/>
        <v>108219.76</v>
      </c>
      <c r="G16" s="55">
        <f t="shared" si="1"/>
        <v>1861585.2</v>
      </c>
      <c r="I16" s="20" t="s">
        <v>43</v>
      </c>
      <c r="J16" s="18">
        <f>J15/J17</f>
        <v>69.114036614853191</v>
      </c>
      <c r="K16" s="21" t="s">
        <v>54</v>
      </c>
    </row>
    <row r="17" spans="2:11" x14ac:dyDescent="0.2">
      <c r="B17" s="55">
        <f t="shared" si="2"/>
        <v>11</v>
      </c>
      <c r="C17" s="55">
        <v>225</v>
      </c>
      <c r="D17" s="55">
        <v>1</v>
      </c>
      <c r="E17" s="55">
        <f t="shared" si="0"/>
        <v>1652646</v>
      </c>
      <c r="F17" s="55">
        <f t="shared" si="0"/>
        <v>108219.76</v>
      </c>
      <c r="G17" s="55">
        <f t="shared" si="1"/>
        <v>1544426.24</v>
      </c>
      <c r="I17" s="20" t="s">
        <v>44</v>
      </c>
      <c r="J17" s="18">
        <v>101325</v>
      </c>
      <c r="K17" s="21" t="s">
        <v>36</v>
      </c>
    </row>
    <row r="18" spans="2:11" x14ac:dyDescent="0.2">
      <c r="B18" s="55">
        <f t="shared" si="2"/>
        <v>12</v>
      </c>
      <c r="C18" s="55">
        <v>187</v>
      </c>
      <c r="D18" s="55">
        <v>0</v>
      </c>
      <c r="E18" s="55">
        <f t="shared" si="0"/>
        <v>1390645.12</v>
      </c>
      <c r="F18" s="55">
        <f t="shared" si="0"/>
        <v>101325</v>
      </c>
      <c r="G18" s="55">
        <f t="shared" si="1"/>
        <v>1289320.1200000001</v>
      </c>
      <c r="I18" s="20" t="s">
        <v>45</v>
      </c>
      <c r="J18" s="18">
        <v>0.15953000000000001</v>
      </c>
      <c r="K18" s="21" t="s">
        <v>26</v>
      </c>
    </row>
    <row r="19" spans="2:11" x14ac:dyDescent="0.2">
      <c r="B19" s="13">
        <f t="shared" si="2"/>
        <v>13</v>
      </c>
      <c r="C19" s="81">
        <v>157</v>
      </c>
      <c r="D19" s="81">
        <v>0</v>
      </c>
      <c r="E19" s="81">
        <f t="shared" si="0"/>
        <v>1183802.32</v>
      </c>
      <c r="F19" s="81">
        <f t="shared" si="0"/>
        <v>101325</v>
      </c>
      <c r="G19" s="36">
        <f t="shared" si="1"/>
        <v>1082477.32</v>
      </c>
      <c r="I19" s="22" t="s">
        <v>49</v>
      </c>
      <c r="J19" s="18">
        <f>J18*J11*J14*J9/(PI()*J3^2*(J15-J17))</f>
        <v>4.5992890394882644E-15</v>
      </c>
      <c r="K19" s="21" t="s">
        <v>41</v>
      </c>
    </row>
    <row r="20" spans="2:11" x14ac:dyDescent="0.2">
      <c r="B20" s="13">
        <f t="shared" si="2"/>
        <v>14</v>
      </c>
      <c r="C20" s="81">
        <v>126</v>
      </c>
      <c r="D20" s="81">
        <v>0</v>
      </c>
      <c r="E20" s="81">
        <f t="shared" si="0"/>
        <v>970064.76</v>
      </c>
      <c r="F20" s="81">
        <f t="shared" si="0"/>
        <v>101325</v>
      </c>
      <c r="G20" s="36">
        <f t="shared" si="1"/>
        <v>868739.76</v>
      </c>
      <c r="I20" s="22" t="s">
        <v>48</v>
      </c>
      <c r="J20" s="71">
        <f>J18*J11*J13*J9/(PI()*J3^2*(J15-J17))</f>
        <v>2.6281651654218658E-15</v>
      </c>
      <c r="K20" s="29" t="s">
        <v>41</v>
      </c>
    </row>
    <row r="21" spans="2:11" x14ac:dyDescent="0.2">
      <c r="B21" s="13">
        <f t="shared" si="2"/>
        <v>15</v>
      </c>
      <c r="C21" s="81">
        <v>107</v>
      </c>
      <c r="D21" s="81">
        <v>0</v>
      </c>
      <c r="E21" s="81">
        <f t="shared" si="0"/>
        <v>839064.32000000007</v>
      </c>
      <c r="F21" s="81">
        <f t="shared" si="0"/>
        <v>101325</v>
      </c>
      <c r="G21" s="36">
        <f t="shared" si="1"/>
        <v>737739.32000000007</v>
      </c>
      <c r="I21" s="91" t="s">
        <v>72</v>
      </c>
      <c r="J21" s="18">
        <f>1.8*10^8</f>
        <v>180000000</v>
      </c>
      <c r="K21" s="50" t="s">
        <v>26</v>
      </c>
    </row>
    <row r="22" spans="2:11" x14ac:dyDescent="0.2">
      <c r="B22" s="13">
        <f t="shared" si="2"/>
        <v>16</v>
      </c>
      <c r="C22" s="81">
        <v>87</v>
      </c>
      <c r="D22" s="81">
        <v>0</v>
      </c>
      <c r="E22" s="81">
        <f t="shared" si="0"/>
        <v>701169.12</v>
      </c>
      <c r="F22" s="81">
        <f t="shared" si="0"/>
        <v>101325</v>
      </c>
      <c r="G22" s="36">
        <f t="shared" si="1"/>
        <v>599844.12</v>
      </c>
      <c r="I22" s="91" t="s">
        <v>74</v>
      </c>
      <c r="J22" s="18">
        <f>J11/J21</f>
        <v>9.9444444444444447E-14</v>
      </c>
      <c r="K22" s="50" t="s">
        <v>41</v>
      </c>
    </row>
    <row r="23" spans="2:11" x14ac:dyDescent="0.2">
      <c r="B23" s="13">
        <f t="shared" si="2"/>
        <v>17</v>
      </c>
      <c r="C23" s="81">
        <v>74</v>
      </c>
      <c r="D23" s="81">
        <v>0</v>
      </c>
      <c r="E23" s="81">
        <f t="shared" si="0"/>
        <v>611537.24</v>
      </c>
      <c r="F23" s="81">
        <f t="shared" si="0"/>
        <v>101325</v>
      </c>
      <c r="G23" s="36">
        <f t="shared" si="1"/>
        <v>510212.24</v>
      </c>
    </row>
    <row r="24" spans="2:11" x14ac:dyDescent="0.2">
      <c r="B24" s="13">
        <f t="shared" si="2"/>
        <v>18</v>
      </c>
      <c r="C24" s="81">
        <v>65</v>
      </c>
      <c r="D24" s="81">
        <v>0</v>
      </c>
      <c r="E24" s="81">
        <f t="shared" si="0"/>
        <v>549484.4</v>
      </c>
      <c r="F24" s="81">
        <f t="shared" si="0"/>
        <v>101325</v>
      </c>
      <c r="G24" s="36">
        <f t="shared" si="1"/>
        <v>448159.4</v>
      </c>
    </row>
    <row r="25" spans="2:11" x14ac:dyDescent="0.2">
      <c r="B25" s="13">
        <f t="shared" si="2"/>
        <v>19</v>
      </c>
      <c r="C25" s="81">
        <v>53</v>
      </c>
      <c r="D25" s="81">
        <v>0</v>
      </c>
      <c r="E25" s="81">
        <f t="shared" si="0"/>
        <v>466747.28</v>
      </c>
      <c r="F25" s="81">
        <f t="shared" si="0"/>
        <v>101325</v>
      </c>
      <c r="G25" s="36">
        <f t="shared" si="1"/>
        <v>365422.28</v>
      </c>
    </row>
    <row r="26" spans="2:11" x14ac:dyDescent="0.2">
      <c r="B26" s="13">
        <f t="shared" si="2"/>
        <v>20</v>
      </c>
      <c r="C26" s="81">
        <v>44</v>
      </c>
      <c r="D26" s="81">
        <v>0</v>
      </c>
      <c r="E26" s="81">
        <f t="shared" si="0"/>
        <v>404694.44</v>
      </c>
      <c r="F26" s="81">
        <f t="shared" si="0"/>
        <v>101325</v>
      </c>
      <c r="G26" s="36">
        <f t="shared" si="1"/>
        <v>303369.44</v>
      </c>
    </row>
    <row r="27" spans="2:11" x14ac:dyDescent="0.2">
      <c r="B27" s="13">
        <f t="shared" si="2"/>
        <v>21</v>
      </c>
      <c r="C27" s="81">
        <v>37</v>
      </c>
      <c r="D27" s="81">
        <v>0</v>
      </c>
      <c r="E27" s="81">
        <f t="shared" si="0"/>
        <v>356431.12</v>
      </c>
      <c r="F27" s="81">
        <f t="shared" si="0"/>
        <v>101325</v>
      </c>
      <c r="G27" s="36">
        <f t="shared" si="1"/>
        <v>255106.12</v>
      </c>
    </row>
    <row r="28" spans="2:11" x14ac:dyDescent="0.2">
      <c r="B28" s="13">
        <f t="shared" si="2"/>
        <v>22</v>
      </c>
      <c r="C28" s="81">
        <v>31</v>
      </c>
      <c r="D28" s="81">
        <v>0</v>
      </c>
      <c r="E28" s="81">
        <f t="shared" si="0"/>
        <v>315062.56</v>
      </c>
      <c r="F28" s="81">
        <f t="shared" si="0"/>
        <v>101325</v>
      </c>
      <c r="G28" s="36">
        <f t="shared" si="1"/>
        <v>213737.56</v>
      </c>
    </row>
    <row r="29" spans="2:11" x14ac:dyDescent="0.2">
      <c r="B29" s="13">
        <f t="shared" si="2"/>
        <v>23</v>
      </c>
      <c r="C29" s="81">
        <v>26</v>
      </c>
      <c r="D29" s="81">
        <v>0</v>
      </c>
      <c r="E29" s="81">
        <f t="shared" si="0"/>
        <v>280588.76</v>
      </c>
      <c r="F29" s="81">
        <f t="shared" si="0"/>
        <v>101325</v>
      </c>
      <c r="G29" s="36">
        <f t="shared" si="1"/>
        <v>179263.76</v>
      </c>
    </row>
    <row r="30" spans="2:11" x14ac:dyDescent="0.2">
      <c r="B30" s="13">
        <f t="shared" si="2"/>
        <v>24</v>
      </c>
      <c r="C30" s="81">
        <v>22</v>
      </c>
      <c r="D30" s="81">
        <v>0</v>
      </c>
      <c r="E30" s="81">
        <f t="shared" si="0"/>
        <v>253009.72</v>
      </c>
      <c r="F30" s="81">
        <f t="shared" si="0"/>
        <v>101325</v>
      </c>
      <c r="G30" s="36">
        <f t="shared" si="1"/>
        <v>151684.72</v>
      </c>
    </row>
    <row r="31" spans="2:11" x14ac:dyDescent="0.2">
      <c r="B31" s="13">
        <f t="shared" si="2"/>
        <v>25</v>
      </c>
      <c r="C31" s="81">
        <v>18</v>
      </c>
      <c r="D31" s="81">
        <v>0</v>
      </c>
      <c r="E31" s="81">
        <f t="shared" si="0"/>
        <v>225430.68</v>
      </c>
      <c r="F31" s="81">
        <f t="shared" si="0"/>
        <v>101325</v>
      </c>
      <c r="G31" s="36">
        <f t="shared" si="1"/>
        <v>124105.68</v>
      </c>
    </row>
    <row r="32" spans="2:11" x14ac:dyDescent="0.2">
      <c r="B32" s="13">
        <f t="shared" si="2"/>
        <v>26</v>
      </c>
      <c r="C32" s="81">
        <v>15</v>
      </c>
      <c r="D32" s="81">
        <v>0</v>
      </c>
      <c r="E32" s="81">
        <f t="shared" si="0"/>
        <v>204746.40000000002</v>
      </c>
      <c r="F32" s="81">
        <f t="shared" si="0"/>
        <v>101325</v>
      </c>
      <c r="G32" s="36">
        <f t="shared" si="1"/>
        <v>103421.40000000002</v>
      </c>
    </row>
    <row r="33" spans="2:8" x14ac:dyDescent="0.2">
      <c r="B33" s="13">
        <f t="shared" si="2"/>
        <v>27</v>
      </c>
      <c r="C33" s="81">
        <v>13</v>
      </c>
      <c r="D33" s="81">
        <v>0</v>
      </c>
      <c r="E33" s="81">
        <f t="shared" si="0"/>
        <v>190956.88</v>
      </c>
      <c r="F33" s="81">
        <f t="shared" si="0"/>
        <v>101325</v>
      </c>
      <c r="G33" s="36">
        <f t="shared" si="1"/>
        <v>89631.88</v>
      </c>
    </row>
    <row r="34" spans="2:8" x14ac:dyDescent="0.2">
      <c r="B34" s="13">
        <f t="shared" si="2"/>
        <v>28</v>
      </c>
      <c r="C34" s="81">
        <v>11</v>
      </c>
      <c r="D34" s="81">
        <v>0</v>
      </c>
      <c r="E34" s="81">
        <f t="shared" si="0"/>
        <v>177167.35999999999</v>
      </c>
      <c r="F34" s="81">
        <f t="shared" si="0"/>
        <v>101325</v>
      </c>
      <c r="G34" s="36">
        <f t="shared" si="1"/>
        <v>75842.359999999986</v>
      </c>
    </row>
    <row r="35" spans="2:8" x14ac:dyDescent="0.2">
      <c r="B35" s="13">
        <f t="shared" si="2"/>
        <v>29</v>
      </c>
      <c r="C35" s="81">
        <v>9</v>
      </c>
      <c r="D35" s="81">
        <v>0</v>
      </c>
      <c r="E35" s="81">
        <f t="shared" si="0"/>
        <v>163377.84</v>
      </c>
      <c r="F35" s="81">
        <f t="shared" si="0"/>
        <v>101325</v>
      </c>
      <c r="G35" s="36">
        <f t="shared" si="1"/>
        <v>62052.84</v>
      </c>
    </row>
    <row r="36" spans="2:8" x14ac:dyDescent="0.2">
      <c r="B36" s="13">
        <f t="shared" si="2"/>
        <v>30</v>
      </c>
      <c r="C36" s="81">
        <v>8</v>
      </c>
      <c r="D36" s="81">
        <v>0</v>
      </c>
      <c r="E36" s="81">
        <f t="shared" si="0"/>
        <v>156483.08000000002</v>
      </c>
      <c r="F36" s="81">
        <f t="shared" si="0"/>
        <v>101325</v>
      </c>
      <c r="G36" s="36">
        <f t="shared" si="1"/>
        <v>55158.080000000016</v>
      </c>
    </row>
    <row r="37" spans="2:8" x14ac:dyDescent="0.2">
      <c r="B37" s="13">
        <f t="shared" si="2"/>
        <v>31</v>
      </c>
      <c r="C37" s="81">
        <v>7</v>
      </c>
      <c r="D37" s="81">
        <v>0</v>
      </c>
      <c r="E37" s="81">
        <f t="shared" si="0"/>
        <v>149588.32</v>
      </c>
      <c r="F37" s="81">
        <f t="shared" si="0"/>
        <v>101325</v>
      </c>
      <c r="G37" s="36">
        <f t="shared" si="1"/>
        <v>48263.320000000007</v>
      </c>
    </row>
    <row r="38" spans="2:8" x14ac:dyDescent="0.2">
      <c r="B38" s="13">
        <f t="shared" si="2"/>
        <v>32</v>
      </c>
      <c r="C38" s="81">
        <v>6</v>
      </c>
      <c r="D38" s="81">
        <v>0</v>
      </c>
      <c r="E38" s="81">
        <f t="shared" si="0"/>
        <v>142693.56</v>
      </c>
      <c r="F38" s="81">
        <f t="shared" si="0"/>
        <v>101325</v>
      </c>
      <c r="G38" s="36">
        <f t="shared" si="1"/>
        <v>41368.559999999998</v>
      </c>
      <c r="H38" s="28"/>
    </row>
    <row r="39" spans="2:8" x14ac:dyDescent="0.2">
      <c r="B39" s="13">
        <f>B38+1</f>
        <v>33</v>
      </c>
      <c r="C39" s="81">
        <v>5</v>
      </c>
      <c r="D39" s="81">
        <v>0</v>
      </c>
      <c r="E39" s="81">
        <f t="shared" si="0"/>
        <v>135798.79999999999</v>
      </c>
      <c r="F39" s="81">
        <f t="shared" si="0"/>
        <v>101325</v>
      </c>
      <c r="G39" s="36">
        <f t="shared" si="1"/>
        <v>34473.799999999988</v>
      </c>
      <c r="H39" s="28"/>
    </row>
    <row r="40" spans="2:8" x14ac:dyDescent="0.2">
      <c r="B40" s="13">
        <f t="shared" ref="B40:B50" si="3">B39+1</f>
        <v>34</v>
      </c>
      <c r="C40" s="81">
        <v>5</v>
      </c>
      <c r="D40" s="81">
        <v>0</v>
      </c>
      <c r="E40" s="81">
        <f t="shared" si="0"/>
        <v>135798.79999999999</v>
      </c>
      <c r="F40" s="81">
        <f t="shared" si="0"/>
        <v>101325</v>
      </c>
      <c r="G40" s="36">
        <f t="shared" si="1"/>
        <v>34473.799999999988</v>
      </c>
    </row>
    <row r="41" spans="2:8" x14ac:dyDescent="0.2">
      <c r="B41" s="13">
        <f t="shared" si="3"/>
        <v>35</v>
      </c>
      <c r="C41" s="81">
        <v>4</v>
      </c>
      <c r="D41" s="81">
        <v>0</v>
      </c>
      <c r="E41" s="81">
        <f t="shared" si="0"/>
        <v>128904.04000000001</v>
      </c>
      <c r="F41" s="81">
        <f t="shared" si="0"/>
        <v>101325</v>
      </c>
      <c r="G41" s="36">
        <f t="shared" si="1"/>
        <v>27579.040000000008</v>
      </c>
    </row>
    <row r="42" spans="2:8" x14ac:dyDescent="0.2">
      <c r="B42" s="13">
        <f t="shared" si="3"/>
        <v>36</v>
      </c>
      <c r="C42" s="81">
        <v>3</v>
      </c>
      <c r="D42" s="81">
        <v>0</v>
      </c>
      <c r="E42" s="81">
        <f t="shared" si="0"/>
        <v>122009.28</v>
      </c>
      <c r="F42" s="81">
        <f t="shared" si="0"/>
        <v>101325</v>
      </c>
      <c r="G42" s="36">
        <f t="shared" si="1"/>
        <v>20684.28</v>
      </c>
    </row>
    <row r="43" spans="2:8" x14ac:dyDescent="0.2">
      <c r="B43" s="13">
        <f t="shared" si="3"/>
        <v>37</v>
      </c>
      <c r="C43" s="81">
        <v>3</v>
      </c>
      <c r="D43" s="81">
        <v>0</v>
      </c>
      <c r="E43" s="81">
        <f t="shared" si="0"/>
        <v>122009.28</v>
      </c>
      <c r="F43" s="81">
        <f t="shared" si="0"/>
        <v>101325</v>
      </c>
      <c r="G43" s="36">
        <f t="shared" si="1"/>
        <v>20684.28</v>
      </c>
    </row>
    <row r="44" spans="2:8" x14ac:dyDescent="0.2">
      <c r="B44" s="13">
        <f t="shared" si="3"/>
        <v>38</v>
      </c>
      <c r="C44" s="81">
        <v>3</v>
      </c>
      <c r="D44" s="81">
        <v>0</v>
      </c>
      <c r="E44" s="81">
        <f t="shared" si="0"/>
        <v>122009.28</v>
      </c>
      <c r="F44" s="81">
        <f t="shared" si="0"/>
        <v>101325</v>
      </c>
      <c r="G44" s="36">
        <f t="shared" si="1"/>
        <v>20684.28</v>
      </c>
    </row>
    <row r="45" spans="2:8" x14ac:dyDescent="0.2">
      <c r="B45" s="13">
        <f t="shared" si="3"/>
        <v>39</v>
      </c>
      <c r="C45" s="81">
        <v>2</v>
      </c>
      <c r="D45" s="81">
        <v>0</v>
      </c>
      <c r="E45" s="81">
        <f t="shared" si="0"/>
        <v>115114.52</v>
      </c>
      <c r="F45" s="81">
        <f t="shared" si="0"/>
        <v>101325</v>
      </c>
      <c r="G45" s="36">
        <f t="shared" si="1"/>
        <v>13789.520000000004</v>
      </c>
    </row>
    <row r="46" spans="2:8" x14ac:dyDescent="0.2">
      <c r="B46" s="13">
        <f t="shared" si="3"/>
        <v>40</v>
      </c>
      <c r="C46" s="81">
        <v>2</v>
      </c>
      <c r="D46" s="81">
        <v>0</v>
      </c>
      <c r="E46" s="81">
        <f t="shared" si="0"/>
        <v>115114.52</v>
      </c>
      <c r="F46" s="81">
        <f t="shared" si="0"/>
        <v>101325</v>
      </c>
      <c r="G46" s="36">
        <f t="shared" si="1"/>
        <v>13789.520000000004</v>
      </c>
    </row>
    <row r="47" spans="2:8" x14ac:dyDescent="0.2">
      <c r="B47" s="13">
        <f t="shared" si="3"/>
        <v>41</v>
      </c>
      <c r="C47" s="81">
        <v>2</v>
      </c>
      <c r="D47" s="81">
        <v>0</v>
      </c>
      <c r="E47" s="81">
        <f t="shared" si="0"/>
        <v>115114.52</v>
      </c>
      <c r="F47" s="81">
        <f t="shared" si="0"/>
        <v>101325</v>
      </c>
      <c r="G47" s="36">
        <f t="shared" si="1"/>
        <v>13789.520000000004</v>
      </c>
    </row>
    <row r="48" spans="2:8" x14ac:dyDescent="0.2">
      <c r="B48" s="13">
        <f t="shared" si="3"/>
        <v>42</v>
      </c>
      <c r="C48" s="81">
        <v>2</v>
      </c>
      <c r="D48" s="81">
        <v>0</v>
      </c>
      <c r="E48" s="81">
        <f t="shared" si="0"/>
        <v>115114.52</v>
      </c>
      <c r="F48" s="81">
        <f t="shared" si="0"/>
        <v>101325</v>
      </c>
      <c r="G48" s="36">
        <f t="shared" si="1"/>
        <v>13789.520000000004</v>
      </c>
    </row>
    <row r="49" spans="2:7" x14ac:dyDescent="0.2">
      <c r="B49" s="13">
        <f t="shared" si="3"/>
        <v>43</v>
      </c>
      <c r="C49" s="81">
        <v>1</v>
      </c>
      <c r="D49" s="81">
        <v>0</v>
      </c>
      <c r="E49" s="81">
        <f t="shared" si="0"/>
        <v>108219.76</v>
      </c>
      <c r="F49" s="81">
        <f t="shared" si="0"/>
        <v>101325</v>
      </c>
      <c r="G49" s="36">
        <f t="shared" si="1"/>
        <v>6894.7599999999948</v>
      </c>
    </row>
    <row r="50" spans="2:7" x14ac:dyDescent="0.2">
      <c r="B50" s="13">
        <f t="shared" si="3"/>
        <v>44</v>
      </c>
      <c r="C50" s="81">
        <v>1</v>
      </c>
      <c r="D50" s="81">
        <v>0</v>
      </c>
      <c r="E50" s="81">
        <f t="shared" si="0"/>
        <v>108219.76</v>
      </c>
      <c r="F50" s="81">
        <f t="shared" si="0"/>
        <v>101325</v>
      </c>
      <c r="G50" s="36">
        <f t="shared" si="1"/>
        <v>6894.7599999999948</v>
      </c>
    </row>
    <row r="58" spans="2:7" x14ac:dyDescent="0.2">
      <c r="B58" s="123" t="s">
        <v>67</v>
      </c>
      <c r="C58" s="123"/>
      <c r="D58" s="123"/>
      <c r="E58" s="123"/>
    </row>
    <row r="59" spans="2:7" x14ac:dyDescent="0.2">
      <c r="B59" s="30" t="s">
        <v>78</v>
      </c>
      <c r="C59" s="30" t="s">
        <v>79</v>
      </c>
      <c r="D59" s="30" t="s">
        <v>80</v>
      </c>
      <c r="E59" s="30" t="s">
        <v>81</v>
      </c>
    </row>
    <row r="60" spans="2:7" x14ac:dyDescent="0.2">
      <c r="B60" s="30">
        <v>0</v>
      </c>
      <c r="C60" s="30">
        <v>7002980</v>
      </c>
      <c r="D60" s="30">
        <v>7002980</v>
      </c>
      <c r="E60" s="30">
        <v>7002980</v>
      </c>
    </row>
    <row r="61" spans="2:7" x14ac:dyDescent="0.2">
      <c r="B61" s="30">
        <f>B60+1</f>
        <v>1</v>
      </c>
      <c r="C61" s="30">
        <v>7002980</v>
      </c>
      <c r="D61" s="30">
        <v>7002980</v>
      </c>
      <c r="E61" s="30">
        <v>7002980</v>
      </c>
    </row>
    <row r="62" spans="2:7" x14ac:dyDescent="0.2">
      <c r="B62" s="30">
        <f t="shared" ref="B62:B110" si="4">B61+1</f>
        <v>2</v>
      </c>
      <c r="C62" s="30">
        <v>7002980</v>
      </c>
      <c r="D62" s="30">
        <v>7002979.9999999003</v>
      </c>
      <c r="E62" s="30">
        <v>7002979.9999999003</v>
      </c>
    </row>
    <row r="63" spans="2:7" x14ac:dyDescent="0.2">
      <c r="B63" s="30">
        <f t="shared" si="4"/>
        <v>3</v>
      </c>
      <c r="C63" s="30">
        <v>3555600</v>
      </c>
      <c r="D63" s="30">
        <v>6692715.7999999002</v>
      </c>
      <c r="E63" s="30">
        <v>7002979.9999999003</v>
      </c>
    </row>
    <row r="64" spans="2:7" x14ac:dyDescent="0.2">
      <c r="B64" s="30">
        <f t="shared" si="4"/>
        <v>4</v>
      </c>
      <c r="C64" s="30">
        <v>1376856</v>
      </c>
      <c r="D64" s="30">
        <v>5305467.9555930998</v>
      </c>
      <c r="E64" s="30">
        <v>5694011.9951572996</v>
      </c>
    </row>
    <row r="65" spans="2:5" x14ac:dyDescent="0.2">
      <c r="B65" s="30">
        <f t="shared" si="4"/>
        <v>5</v>
      </c>
      <c r="C65" s="30">
        <v>618432</v>
      </c>
      <c r="D65" s="30">
        <v>4041329.1311038998</v>
      </c>
      <c r="E65" s="30">
        <v>4379857.4187955</v>
      </c>
    </row>
    <row r="66" spans="2:5" x14ac:dyDescent="0.2">
      <c r="B66" s="30">
        <f t="shared" si="4"/>
        <v>6</v>
      </c>
      <c r="C66" s="30">
        <v>308168</v>
      </c>
      <c r="D66" s="30">
        <v>3205114.1116590998</v>
      </c>
      <c r="E66" s="30">
        <v>3491625.2655595001</v>
      </c>
    </row>
    <row r="67" spans="2:5" x14ac:dyDescent="0.2">
      <c r="B67" s="30">
        <f t="shared" si="4"/>
        <v>7</v>
      </c>
      <c r="C67" s="30">
        <v>204746</v>
      </c>
      <c r="D67" s="30">
        <v>2685998.5866445</v>
      </c>
      <c r="E67" s="30">
        <v>2931397.1941148001</v>
      </c>
    </row>
    <row r="68" spans="2:5" x14ac:dyDescent="0.2">
      <c r="B68" s="30">
        <f t="shared" si="4"/>
        <v>8</v>
      </c>
      <c r="C68" s="30">
        <v>142694</v>
      </c>
      <c r="D68" s="30">
        <v>2313167.2868296001</v>
      </c>
      <c r="E68" s="30">
        <v>2527829.4800326</v>
      </c>
    </row>
    <row r="69" spans="2:5" x14ac:dyDescent="0.2">
      <c r="B69" s="30">
        <f t="shared" si="4"/>
        <v>9</v>
      </c>
      <c r="C69" s="30">
        <v>115115</v>
      </c>
      <c r="D69" s="30">
        <v>2039699.6697239999</v>
      </c>
      <c r="E69" s="30">
        <v>2230043.2084879</v>
      </c>
    </row>
    <row r="70" spans="2:5" x14ac:dyDescent="0.2">
      <c r="B70" s="30">
        <f t="shared" si="4"/>
        <v>10</v>
      </c>
      <c r="C70" s="30">
        <v>108220</v>
      </c>
      <c r="D70" s="30">
        <v>1816069.9933144001</v>
      </c>
      <c r="E70" s="30">
        <v>1984978.2344114</v>
      </c>
    </row>
    <row r="71" spans="2:5" x14ac:dyDescent="0.2">
      <c r="B71" s="30">
        <f t="shared" si="4"/>
        <v>11</v>
      </c>
      <c r="C71" s="30">
        <v>108220</v>
      </c>
      <c r="D71" s="30">
        <v>1608888.7232551</v>
      </c>
      <c r="E71" s="30">
        <v>1757306.5090715999</v>
      </c>
    </row>
    <row r="72" spans="2:5" x14ac:dyDescent="0.2">
      <c r="B72" s="30">
        <f t="shared" si="4"/>
        <v>12</v>
      </c>
      <c r="C72" s="30">
        <v>101325</v>
      </c>
      <c r="D72" s="30">
        <v>1407122.645334</v>
      </c>
      <c r="E72" s="30">
        <v>1536267.4674</v>
      </c>
    </row>
    <row r="73" spans="2:5" x14ac:dyDescent="0.2">
      <c r="B73" s="30">
        <f t="shared" si="4"/>
        <v>13</v>
      </c>
      <c r="C73" s="30">
        <v>101325</v>
      </c>
      <c r="D73" s="30">
        <v>1222314.4254848999</v>
      </c>
      <c r="E73" s="30">
        <v>1333181.5115218</v>
      </c>
    </row>
    <row r="74" spans="2:5" x14ac:dyDescent="0.2">
      <c r="B74" s="30">
        <f t="shared" si="4"/>
        <v>14</v>
      </c>
      <c r="C74" s="30">
        <v>101325</v>
      </c>
      <c r="D74" s="30">
        <v>1045482.5305946</v>
      </c>
      <c r="E74" s="30">
        <v>1138860.7479061999</v>
      </c>
    </row>
    <row r="75" spans="2:5" x14ac:dyDescent="0.2">
      <c r="B75" s="30">
        <f t="shared" si="4"/>
        <v>15</v>
      </c>
      <c r="C75" s="30">
        <v>101325</v>
      </c>
      <c r="D75" s="30">
        <v>878800.88680675998</v>
      </c>
      <c r="E75" s="30">
        <v>955694.10638105997</v>
      </c>
    </row>
    <row r="76" spans="2:5" x14ac:dyDescent="0.2">
      <c r="B76" s="30">
        <f t="shared" si="4"/>
        <v>16</v>
      </c>
      <c r="C76" s="30">
        <v>101325</v>
      </c>
      <c r="D76" s="30">
        <v>725007.19330951001</v>
      </c>
      <c r="E76" s="30">
        <v>786690.04759285995</v>
      </c>
    </row>
    <row r="77" spans="2:5" x14ac:dyDescent="0.2">
      <c r="B77" s="30">
        <f t="shared" si="4"/>
        <v>17</v>
      </c>
      <c r="C77" s="30">
        <v>101325</v>
      </c>
      <c r="D77" s="30">
        <v>587269.83984675002</v>
      </c>
      <c r="E77" s="30">
        <v>635330.31851291005</v>
      </c>
    </row>
    <row r="78" spans="2:5" x14ac:dyDescent="0.2">
      <c r="B78" s="30">
        <f t="shared" si="4"/>
        <v>18</v>
      </c>
      <c r="C78" s="30">
        <v>101325</v>
      </c>
      <c r="D78" s="30">
        <v>468659.46344010002</v>
      </c>
      <c r="E78" s="30">
        <v>504989.24553856999</v>
      </c>
    </row>
    <row r="79" spans="2:5" x14ac:dyDescent="0.2">
      <c r="B79" s="30">
        <f t="shared" si="4"/>
        <v>19</v>
      </c>
      <c r="C79" s="30">
        <v>101325</v>
      </c>
      <c r="D79" s="30">
        <v>371193.52186993998</v>
      </c>
      <c r="E79" s="30">
        <v>397883.81524169003</v>
      </c>
    </row>
    <row r="80" spans="2:5" x14ac:dyDescent="0.2">
      <c r="B80" s="30">
        <f t="shared" si="4"/>
        <v>20</v>
      </c>
      <c r="C80" s="30">
        <v>101325</v>
      </c>
      <c r="D80" s="30">
        <v>294916.86347530998</v>
      </c>
      <c r="E80" s="30">
        <v>314063.31151133002</v>
      </c>
    </row>
    <row r="81" spans="2:5" x14ac:dyDescent="0.2">
      <c r="B81" s="30">
        <f t="shared" si="4"/>
        <v>21</v>
      </c>
      <c r="C81" s="30">
        <v>101325</v>
      </c>
      <c r="D81" s="30">
        <v>237768.24702852001</v>
      </c>
      <c r="E81" s="30">
        <v>251262.63409727</v>
      </c>
    </row>
    <row r="82" spans="2:5" x14ac:dyDescent="0.2">
      <c r="B82" s="30">
        <f t="shared" si="4"/>
        <v>22</v>
      </c>
      <c r="C82" s="30">
        <v>101325</v>
      </c>
      <c r="D82" s="30">
        <v>196366.20591362001</v>
      </c>
      <c r="E82" s="30">
        <v>205765.88561937</v>
      </c>
    </row>
    <row r="83" spans="2:5" x14ac:dyDescent="0.2">
      <c r="B83" s="30">
        <f t="shared" si="4"/>
        <v>23</v>
      </c>
      <c r="C83" s="30">
        <v>101325</v>
      </c>
      <c r="D83" s="30">
        <v>167053.69467363</v>
      </c>
      <c r="E83" s="30">
        <v>173554.33480618001</v>
      </c>
    </row>
    <row r="84" spans="2:5" x14ac:dyDescent="0.2">
      <c r="B84" s="30">
        <f t="shared" si="4"/>
        <v>24</v>
      </c>
      <c r="C84" s="30">
        <v>101325</v>
      </c>
      <c r="D84" s="30">
        <v>146596.6488695</v>
      </c>
      <c r="E84" s="30">
        <v>151074.06469176</v>
      </c>
    </row>
    <row r="85" spans="2:5" x14ac:dyDescent="0.2">
      <c r="B85" s="30">
        <f t="shared" si="4"/>
        <v>25</v>
      </c>
      <c r="C85" s="30">
        <v>101325</v>
      </c>
      <c r="D85" s="30">
        <v>132439.14531424001</v>
      </c>
      <c r="E85" s="30">
        <v>135516.36847717999</v>
      </c>
    </row>
    <row r="86" spans="2:5" x14ac:dyDescent="0.2">
      <c r="B86" s="30">
        <f t="shared" si="4"/>
        <v>26</v>
      </c>
      <c r="C86" s="30">
        <v>101325</v>
      </c>
      <c r="D86" s="30">
        <v>122686.53559709</v>
      </c>
      <c r="E86" s="30">
        <v>124799.21494186</v>
      </c>
    </row>
    <row r="87" spans="2:5" x14ac:dyDescent="0.2">
      <c r="B87" s="30">
        <f t="shared" si="4"/>
        <v>27</v>
      </c>
      <c r="C87" s="30">
        <v>101325</v>
      </c>
      <c r="D87" s="30">
        <v>115984.37064851</v>
      </c>
      <c r="E87" s="30">
        <v>117434.19851484</v>
      </c>
    </row>
    <row r="88" spans="2:5" x14ac:dyDescent="0.2">
      <c r="B88" s="30">
        <f t="shared" si="4"/>
        <v>28</v>
      </c>
      <c r="C88" s="30">
        <v>101325</v>
      </c>
      <c r="D88" s="30">
        <v>111383.75261968</v>
      </c>
      <c r="E88" s="30">
        <v>112378.57430733999</v>
      </c>
    </row>
    <row r="89" spans="2:5" x14ac:dyDescent="0.2">
      <c r="B89" s="30">
        <f t="shared" si="4"/>
        <v>29</v>
      </c>
      <c r="C89" s="30">
        <v>101325</v>
      </c>
      <c r="D89" s="30">
        <v>108227.16565715001</v>
      </c>
      <c r="E89" s="30">
        <v>108909.79742544</v>
      </c>
    </row>
    <row r="90" spans="2:5" x14ac:dyDescent="0.2">
      <c r="B90" s="30">
        <f t="shared" si="4"/>
        <v>30</v>
      </c>
      <c r="C90" s="30">
        <v>101325</v>
      </c>
      <c r="D90" s="30">
        <v>106061.61158933</v>
      </c>
      <c r="E90" s="30">
        <v>106530.06768058</v>
      </c>
    </row>
    <row r="91" spans="2:5" x14ac:dyDescent="0.2">
      <c r="B91" s="30">
        <f t="shared" si="4"/>
        <v>31</v>
      </c>
      <c r="C91" s="30">
        <v>101325</v>
      </c>
      <c r="D91" s="30">
        <v>104575.88173859</v>
      </c>
      <c r="E91" s="30">
        <v>104897.39751492999</v>
      </c>
    </row>
    <row r="92" spans="2:5" x14ac:dyDescent="0.2">
      <c r="B92" s="30">
        <f t="shared" si="4"/>
        <v>32</v>
      </c>
      <c r="C92" s="30">
        <v>101325</v>
      </c>
      <c r="D92" s="30">
        <v>103556.44479618</v>
      </c>
      <c r="E92" s="30">
        <v>103777.13713865999</v>
      </c>
    </row>
    <row r="93" spans="2:5" x14ac:dyDescent="0.2">
      <c r="B93" s="30">
        <f t="shared" si="4"/>
        <v>33</v>
      </c>
      <c r="C93" s="30">
        <v>101325</v>
      </c>
      <c r="D93" s="30">
        <v>102856.86209915001</v>
      </c>
      <c r="E93" s="30">
        <v>103008.36494412999</v>
      </c>
    </row>
    <row r="94" spans="2:5" x14ac:dyDescent="0.2">
      <c r="B94" s="30">
        <f t="shared" si="4"/>
        <v>34</v>
      </c>
      <c r="C94" s="30">
        <v>101325</v>
      </c>
      <c r="D94" s="30">
        <v>102376.71338307</v>
      </c>
      <c r="E94" s="30">
        <v>102480.72899238</v>
      </c>
    </row>
    <row r="95" spans="2:5" x14ac:dyDescent="0.2">
      <c r="B95" s="30">
        <f t="shared" si="4"/>
        <v>35</v>
      </c>
      <c r="C95" s="30">
        <v>101325</v>
      </c>
      <c r="D95" s="30">
        <v>102047.12899555999</v>
      </c>
      <c r="E95" s="30">
        <v>102118.54834677</v>
      </c>
    </row>
    <row r="96" spans="2:5" x14ac:dyDescent="0.2">
      <c r="B96" s="30">
        <f t="shared" si="4"/>
        <v>36</v>
      </c>
      <c r="C96" s="30">
        <v>101325</v>
      </c>
      <c r="D96" s="30">
        <v>101820.86961323</v>
      </c>
      <c r="E96" s="30">
        <v>101869.91166288999</v>
      </c>
    </row>
    <row r="97" spans="2:5" x14ac:dyDescent="0.2">
      <c r="B97" s="30">
        <f t="shared" si="4"/>
        <v>37</v>
      </c>
      <c r="C97" s="30">
        <v>101325</v>
      </c>
      <c r="D97" s="30">
        <v>101665.5284127</v>
      </c>
      <c r="E97" s="30">
        <v>101699.20704692999</v>
      </c>
    </row>
    <row r="98" spans="2:5" x14ac:dyDescent="0.2">
      <c r="B98" s="30">
        <f t="shared" si="4"/>
        <v>38</v>
      </c>
      <c r="C98" s="30">
        <v>101325</v>
      </c>
      <c r="D98" s="30">
        <v>101558.86594103</v>
      </c>
      <c r="E98" s="30">
        <v>101581.9955396</v>
      </c>
    </row>
    <row r="99" spans="2:5" x14ac:dyDescent="0.2">
      <c r="B99" s="30">
        <f t="shared" si="4"/>
        <v>39</v>
      </c>
      <c r="C99" s="30">
        <v>101325</v>
      </c>
      <c r="D99" s="30">
        <v>101485.62202706</v>
      </c>
      <c r="E99" s="30">
        <v>101501.50772205</v>
      </c>
    </row>
    <row r="100" spans="2:5" x14ac:dyDescent="0.2">
      <c r="B100" s="30">
        <f t="shared" si="4"/>
        <v>40</v>
      </c>
      <c r="C100" s="30">
        <v>101325</v>
      </c>
      <c r="D100" s="30">
        <v>101435.32266631001</v>
      </c>
      <c r="E100" s="30">
        <v>101446.23369923999</v>
      </c>
    </row>
    <row r="101" spans="2:5" x14ac:dyDescent="0.2">
      <c r="B101" s="30">
        <f t="shared" si="4"/>
        <v>41</v>
      </c>
      <c r="C101" s="30">
        <v>101325</v>
      </c>
      <c r="D101" s="30">
        <v>101400.77800871</v>
      </c>
      <c r="E101" s="30">
        <v>101408.27253704</v>
      </c>
    </row>
    <row r="102" spans="2:5" x14ac:dyDescent="0.2">
      <c r="B102" s="30">
        <f t="shared" si="4"/>
        <v>42</v>
      </c>
      <c r="C102" s="30">
        <v>101325</v>
      </c>
      <c r="D102" s="30">
        <v>101377.05205781</v>
      </c>
      <c r="E102" s="30">
        <v>101382.20006353001</v>
      </c>
    </row>
    <row r="103" spans="2:5" x14ac:dyDescent="0.2">
      <c r="B103" s="30">
        <f t="shared" si="4"/>
        <v>43</v>
      </c>
      <c r="C103" s="30">
        <v>101325</v>
      </c>
      <c r="D103" s="30">
        <v>101360.75580535</v>
      </c>
      <c r="E103" s="30">
        <v>101364.29209379001</v>
      </c>
    </row>
    <row r="104" spans="2:5" x14ac:dyDescent="0.2">
      <c r="B104" s="30">
        <f t="shared" si="4"/>
        <v>44</v>
      </c>
      <c r="C104" s="30">
        <v>101325</v>
      </c>
      <c r="D104" s="30">
        <v>101349.56319301001</v>
      </c>
      <c r="E104" s="30">
        <v>101351.99251979</v>
      </c>
    </row>
    <row r="105" spans="2:5" x14ac:dyDescent="0.2">
      <c r="B105" s="30">
        <f t="shared" si="4"/>
        <v>45</v>
      </c>
      <c r="C105" s="30">
        <v>101325</v>
      </c>
      <c r="D105" s="30">
        <v>101341.87457509</v>
      </c>
      <c r="E105" s="30">
        <v>101343.54348911</v>
      </c>
    </row>
    <row r="106" spans="2:5" x14ac:dyDescent="0.2">
      <c r="B106" s="30">
        <f t="shared" si="4"/>
        <v>46</v>
      </c>
      <c r="C106" s="30">
        <v>101325</v>
      </c>
      <c r="D106" s="30">
        <v>101336.59281125</v>
      </c>
      <c r="E106" s="30">
        <v>101337.73935302001</v>
      </c>
    </row>
    <row r="107" spans="2:5" x14ac:dyDescent="0.2">
      <c r="B107" s="30">
        <f t="shared" si="4"/>
        <v>47</v>
      </c>
      <c r="C107" s="30">
        <v>101325</v>
      </c>
      <c r="D107" s="30">
        <v>101332.96435903999</v>
      </c>
      <c r="E107" s="30">
        <v>101333.7520429</v>
      </c>
    </row>
    <row r="108" spans="2:5" x14ac:dyDescent="0.2">
      <c r="B108" s="30">
        <f t="shared" si="4"/>
        <v>48</v>
      </c>
      <c r="C108" s="30">
        <v>101325</v>
      </c>
      <c r="D108" s="30">
        <v>101330.47163868</v>
      </c>
      <c r="E108" s="30">
        <v>101331.01278976</v>
      </c>
    </row>
    <row r="109" spans="2:5" x14ac:dyDescent="0.2">
      <c r="B109" s="30">
        <f t="shared" si="4"/>
        <v>49</v>
      </c>
      <c r="C109" s="30">
        <v>101325</v>
      </c>
      <c r="D109" s="30">
        <v>101328.75912690999</v>
      </c>
      <c r="E109" s="30">
        <v>101329.13090869</v>
      </c>
    </row>
    <row r="110" spans="2:5" x14ac:dyDescent="0.2">
      <c r="B110" s="30">
        <f t="shared" si="4"/>
        <v>50</v>
      </c>
      <c r="C110" s="30">
        <v>101325</v>
      </c>
      <c r="D110" s="30">
        <v>101327.58366489</v>
      </c>
      <c r="E110" s="30">
        <v>101327.83919219</v>
      </c>
    </row>
  </sheetData>
  <mergeCells count="4">
    <mergeCell ref="B4:B5"/>
    <mergeCell ref="B2:G2"/>
    <mergeCell ref="I2:K2"/>
    <mergeCell ref="B58:E5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27697-73EA-964F-94AA-D392B7499209}">
  <dimension ref="B1:O111"/>
  <sheetViews>
    <sheetView zoomScale="124" workbookViewId="0">
      <selection activeCell="D31" sqref="D31"/>
    </sheetView>
  </sheetViews>
  <sheetFormatPr baseColWidth="10" defaultRowHeight="15" x14ac:dyDescent="0.2"/>
  <cols>
    <col min="2" max="7" width="15.83203125" customWidth="1"/>
    <col min="9" max="9" width="20" customWidth="1"/>
    <col min="10" max="10" width="17" customWidth="1"/>
    <col min="11" max="11" width="21" customWidth="1"/>
    <col min="12" max="13" width="25.83203125" customWidth="1"/>
    <col min="14" max="14" width="18.6640625" customWidth="1"/>
  </cols>
  <sheetData>
    <row r="1" spans="2:11" ht="16" thickBot="1" x14ac:dyDescent="0.25"/>
    <row r="2" spans="2:11" ht="16" thickBot="1" x14ac:dyDescent="0.25">
      <c r="B2" s="133" t="s">
        <v>84</v>
      </c>
      <c r="C2" s="133"/>
      <c r="D2" s="133"/>
      <c r="E2" s="133"/>
      <c r="F2" s="133"/>
      <c r="G2" s="133"/>
      <c r="I2" s="127" t="s">
        <v>40</v>
      </c>
      <c r="J2" s="128"/>
      <c r="K2" s="129"/>
    </row>
    <row r="3" spans="2:11" x14ac:dyDescent="0.2">
      <c r="B3" s="11" t="s">
        <v>34</v>
      </c>
      <c r="C3" s="14" t="s">
        <v>4</v>
      </c>
      <c r="D3" s="15" t="s">
        <v>7</v>
      </c>
      <c r="E3" s="14" t="s">
        <v>4</v>
      </c>
      <c r="F3" s="15" t="s">
        <v>7</v>
      </c>
      <c r="G3" s="32" t="s">
        <v>51</v>
      </c>
      <c r="I3" s="39" t="s">
        <v>21</v>
      </c>
      <c r="J3" s="26">
        <f xml:space="preserve"> 0.328*25.4*10^(-3)/2</f>
        <v>4.1655999999999993E-3</v>
      </c>
      <c r="K3" s="27" t="s">
        <v>28</v>
      </c>
    </row>
    <row r="4" spans="2:11" x14ac:dyDescent="0.2">
      <c r="B4" s="115" t="s">
        <v>35</v>
      </c>
      <c r="C4" s="16" t="s">
        <v>5</v>
      </c>
      <c r="D4" s="16" t="s">
        <v>5</v>
      </c>
      <c r="E4" s="16" t="s">
        <v>36</v>
      </c>
      <c r="F4" s="16" t="s">
        <v>36</v>
      </c>
      <c r="G4" s="16" t="s">
        <v>36</v>
      </c>
      <c r="I4" s="40" t="s">
        <v>22</v>
      </c>
      <c r="J4" s="18">
        <f xml:space="preserve"> 7.94*10^(-3)</f>
        <v>7.9400000000000009E-3</v>
      </c>
      <c r="K4" s="21" t="s">
        <v>28</v>
      </c>
    </row>
    <row r="5" spans="2:11" x14ac:dyDescent="0.2">
      <c r="B5" s="115"/>
      <c r="C5" s="16" t="s">
        <v>14</v>
      </c>
      <c r="D5" s="16" t="s">
        <v>14</v>
      </c>
      <c r="E5" s="16" t="s">
        <v>14</v>
      </c>
      <c r="F5" s="16" t="s">
        <v>14</v>
      </c>
      <c r="G5" s="16" t="s">
        <v>14</v>
      </c>
      <c r="I5" s="40" t="s">
        <v>23</v>
      </c>
      <c r="J5" s="18">
        <f>J4*PI()*J3^2</f>
        <v>4.3283812240392796E-7</v>
      </c>
      <c r="K5" s="21" t="s">
        <v>27</v>
      </c>
    </row>
    <row r="6" spans="2:11" x14ac:dyDescent="0.2">
      <c r="B6" s="55">
        <v>0</v>
      </c>
      <c r="C6" s="55">
        <v>612</v>
      </c>
      <c r="D6" s="55">
        <v>612</v>
      </c>
      <c r="E6" s="55">
        <v>4320918.12</v>
      </c>
      <c r="F6" s="55">
        <v>4320918.12</v>
      </c>
      <c r="G6" s="55">
        <f>E6-F6</f>
        <v>0</v>
      </c>
      <c r="I6" s="40" t="s">
        <v>24</v>
      </c>
      <c r="J6" s="18">
        <f>25.08*10^(-9)/4</f>
        <v>6.2700000000000001E-9</v>
      </c>
      <c r="K6" s="21" t="s">
        <v>27</v>
      </c>
    </row>
    <row r="7" spans="2:11" x14ac:dyDescent="0.2">
      <c r="B7" s="55">
        <f t="shared" ref="B7:B51" si="0">B6+1</f>
        <v>1</v>
      </c>
      <c r="C7" s="55">
        <v>611</v>
      </c>
      <c r="D7" s="55">
        <v>612</v>
      </c>
      <c r="E7" s="55">
        <v>4314023.3600000003</v>
      </c>
      <c r="F7" s="55">
        <v>4320918.12</v>
      </c>
      <c r="G7" s="55">
        <f t="shared" ref="G7:G51" si="1">E7-F7</f>
        <v>-6894.7599999997765</v>
      </c>
      <c r="I7" s="40" t="s">
        <v>25</v>
      </c>
      <c r="J7" s="18">
        <f>J6/J5</f>
        <v>1.4485785044018804E-2</v>
      </c>
      <c r="K7" s="21" t="s">
        <v>26</v>
      </c>
    </row>
    <row r="8" spans="2:11" x14ac:dyDescent="0.2">
      <c r="B8" s="55">
        <f t="shared" si="0"/>
        <v>2</v>
      </c>
      <c r="C8" s="55">
        <v>590</v>
      </c>
      <c r="D8" s="55">
        <v>311</v>
      </c>
      <c r="E8" s="55">
        <v>4169233.4</v>
      </c>
      <c r="F8" s="55">
        <v>2245595.36</v>
      </c>
      <c r="G8" s="55">
        <f t="shared" si="1"/>
        <v>1923638.04</v>
      </c>
      <c r="I8" s="40" t="s">
        <v>39</v>
      </c>
      <c r="J8" s="18">
        <f>J3^2*PI()</f>
        <v>5.4513617431225171E-5</v>
      </c>
      <c r="K8" s="21" t="s">
        <v>41</v>
      </c>
    </row>
    <row r="9" spans="2:11" x14ac:dyDescent="0.2">
      <c r="B9" s="55">
        <f t="shared" si="0"/>
        <v>3</v>
      </c>
      <c r="C9" s="55">
        <v>503</v>
      </c>
      <c r="D9" s="55">
        <v>115</v>
      </c>
      <c r="E9" s="55">
        <v>3569389.2800000003</v>
      </c>
      <c r="F9" s="55">
        <v>894222.4</v>
      </c>
      <c r="G9" s="55">
        <f t="shared" si="1"/>
        <v>2675166.8800000004</v>
      </c>
      <c r="I9" s="40" t="s">
        <v>37</v>
      </c>
      <c r="J9" s="18">
        <f>7.94*4*0.001</f>
        <v>3.1760000000000004E-2</v>
      </c>
      <c r="K9" s="21" t="s">
        <v>28</v>
      </c>
    </row>
    <row r="10" spans="2:11" x14ac:dyDescent="0.2">
      <c r="B10" s="55">
        <f t="shared" si="0"/>
        <v>4</v>
      </c>
      <c r="C10" s="55">
        <v>430</v>
      </c>
      <c r="D10" s="55">
        <v>42</v>
      </c>
      <c r="E10" s="55">
        <v>3066071.8000000003</v>
      </c>
      <c r="F10" s="55">
        <v>390904.92</v>
      </c>
      <c r="G10" s="55">
        <f t="shared" si="1"/>
        <v>2675166.8800000004</v>
      </c>
      <c r="I10" s="40" t="s">
        <v>38</v>
      </c>
      <c r="J10" s="18">
        <f>2.54*0.01*6</f>
        <v>0.15240000000000001</v>
      </c>
      <c r="K10" s="21" t="s">
        <v>28</v>
      </c>
    </row>
    <row r="11" spans="2:11" x14ac:dyDescent="0.2">
      <c r="B11" s="55">
        <f t="shared" si="0"/>
        <v>5</v>
      </c>
      <c r="C11" s="55">
        <v>361</v>
      </c>
      <c r="D11" s="55">
        <v>20</v>
      </c>
      <c r="E11" s="55">
        <v>2590333.36</v>
      </c>
      <c r="F11" s="55">
        <v>239220.2</v>
      </c>
      <c r="G11" s="55">
        <f t="shared" si="1"/>
        <v>2351113.1599999997</v>
      </c>
      <c r="I11" s="40" t="s">
        <v>30</v>
      </c>
      <c r="J11" s="18">
        <f>1.79*10^(-5)</f>
        <v>1.7900000000000001E-5</v>
      </c>
      <c r="K11" s="21" t="s">
        <v>31</v>
      </c>
    </row>
    <row r="12" spans="2:11" x14ac:dyDescent="0.2">
      <c r="B12" s="55">
        <f t="shared" si="0"/>
        <v>6</v>
      </c>
      <c r="C12" s="55">
        <v>305</v>
      </c>
      <c r="D12" s="55">
        <v>10</v>
      </c>
      <c r="E12" s="55">
        <v>2204226.8000000003</v>
      </c>
      <c r="F12" s="55">
        <v>170272.6</v>
      </c>
      <c r="G12" s="55">
        <f t="shared" si="1"/>
        <v>2033954.2000000002</v>
      </c>
      <c r="I12" s="40" t="s">
        <v>33</v>
      </c>
      <c r="J12" s="18">
        <v>1.1839999999999999</v>
      </c>
      <c r="K12" s="21" t="s">
        <v>32</v>
      </c>
    </row>
    <row r="13" spans="2:11" x14ac:dyDescent="0.2">
      <c r="B13" s="55">
        <f t="shared" si="0"/>
        <v>7</v>
      </c>
      <c r="C13" s="55">
        <v>257</v>
      </c>
      <c r="D13" s="55">
        <v>4</v>
      </c>
      <c r="E13" s="55">
        <v>1873278.32</v>
      </c>
      <c r="F13" s="55">
        <v>128904.04000000001</v>
      </c>
      <c r="G13" s="55">
        <f t="shared" si="1"/>
        <v>1744374.28</v>
      </c>
      <c r="I13" s="40" t="s">
        <v>47</v>
      </c>
      <c r="J13" s="18">
        <f>PI()*J3^2*200*0.001</f>
        <v>1.0902723486245034E-5</v>
      </c>
      <c r="K13" s="21"/>
    </row>
    <row r="14" spans="2:11" x14ac:dyDescent="0.2">
      <c r="B14" s="55">
        <f t="shared" si="0"/>
        <v>8</v>
      </c>
      <c r="C14" s="55">
        <v>219</v>
      </c>
      <c r="D14" s="55">
        <v>2</v>
      </c>
      <c r="E14" s="55">
        <v>1611277.44</v>
      </c>
      <c r="F14" s="55">
        <v>115114.52</v>
      </c>
      <c r="G14" s="55">
        <f t="shared" si="1"/>
        <v>1496162.92</v>
      </c>
      <c r="I14" s="40" t="s">
        <v>46</v>
      </c>
      <c r="J14" s="18">
        <f>PI()*J3^2*350*0.001</f>
        <v>1.9079766100928807E-5</v>
      </c>
      <c r="K14" s="21" t="s">
        <v>27</v>
      </c>
    </row>
    <row r="15" spans="2:11" x14ac:dyDescent="0.2">
      <c r="B15" s="55">
        <f t="shared" si="0"/>
        <v>9</v>
      </c>
      <c r="C15" s="55">
        <v>179</v>
      </c>
      <c r="D15" s="55">
        <v>1</v>
      </c>
      <c r="E15" s="55">
        <v>1335487.04</v>
      </c>
      <c r="F15" s="55">
        <v>108219.76</v>
      </c>
      <c r="G15" s="55">
        <f t="shared" si="1"/>
        <v>1227267.28</v>
      </c>
      <c r="I15" s="40" t="s">
        <v>43</v>
      </c>
      <c r="J15" s="37">
        <v>1011433</v>
      </c>
      <c r="K15" s="21" t="s">
        <v>36</v>
      </c>
    </row>
    <row r="16" spans="2:11" x14ac:dyDescent="0.2">
      <c r="B16" s="55">
        <f t="shared" si="0"/>
        <v>10</v>
      </c>
      <c r="C16" s="55">
        <v>151</v>
      </c>
      <c r="D16" s="55">
        <v>1</v>
      </c>
      <c r="E16" s="55">
        <v>1142433.76</v>
      </c>
      <c r="F16" s="55">
        <v>108219.76</v>
      </c>
      <c r="G16" s="55">
        <f t="shared" si="1"/>
        <v>1034214</v>
      </c>
      <c r="I16" s="40" t="s">
        <v>43</v>
      </c>
      <c r="J16" s="12">
        <f>J15/J17</f>
        <v>9.9820676042437704</v>
      </c>
      <c r="K16" s="29" t="s">
        <v>54</v>
      </c>
    </row>
    <row r="17" spans="2:11" x14ac:dyDescent="0.2">
      <c r="B17" s="55">
        <f t="shared" si="0"/>
        <v>11</v>
      </c>
      <c r="C17" s="55">
        <v>132</v>
      </c>
      <c r="D17" s="55">
        <v>0</v>
      </c>
      <c r="E17" s="55">
        <v>1011433.3200000001</v>
      </c>
      <c r="F17" s="55">
        <v>101325</v>
      </c>
      <c r="G17" s="55">
        <f t="shared" si="1"/>
        <v>910108.32000000007</v>
      </c>
      <c r="I17" s="40" t="s">
        <v>44</v>
      </c>
      <c r="J17" s="18">
        <v>101325</v>
      </c>
      <c r="K17" s="21" t="s">
        <v>36</v>
      </c>
    </row>
    <row r="18" spans="2:11" x14ac:dyDescent="0.2">
      <c r="B18" s="37">
        <f t="shared" si="0"/>
        <v>12</v>
      </c>
      <c r="C18" s="37">
        <v>111</v>
      </c>
      <c r="D18" s="37">
        <v>0</v>
      </c>
      <c r="E18" s="37">
        <v>866643.36</v>
      </c>
      <c r="F18" s="38">
        <v>101325</v>
      </c>
      <c r="G18" s="38">
        <f t="shared" si="1"/>
        <v>765318.36</v>
      </c>
      <c r="I18" s="40" t="s">
        <v>45</v>
      </c>
      <c r="J18" s="18">
        <v>0.13900000000000001</v>
      </c>
      <c r="K18" s="21" t="s">
        <v>26</v>
      </c>
    </row>
    <row r="19" spans="2:11" x14ac:dyDescent="0.2">
      <c r="B19" s="37">
        <f t="shared" si="0"/>
        <v>13</v>
      </c>
      <c r="C19" s="37">
        <v>97</v>
      </c>
      <c r="D19" s="37">
        <v>0</v>
      </c>
      <c r="E19" s="37">
        <v>770116.72</v>
      </c>
      <c r="F19" s="38">
        <v>101325</v>
      </c>
      <c r="G19" s="38">
        <f t="shared" si="1"/>
        <v>668791.72</v>
      </c>
      <c r="I19" s="41" t="s">
        <v>49</v>
      </c>
      <c r="J19" s="18">
        <f>J18*J11*J14*J9/(PI()*J3^2*(J15-J17))</f>
        <v>3.0389491796577991E-14</v>
      </c>
      <c r="K19" s="21" t="s">
        <v>41</v>
      </c>
    </row>
    <row r="20" spans="2:11" ht="16" thickBot="1" x14ac:dyDescent="0.25">
      <c r="B20" s="37">
        <f t="shared" si="0"/>
        <v>14</v>
      </c>
      <c r="C20" s="37">
        <v>82</v>
      </c>
      <c r="D20" s="37">
        <v>0</v>
      </c>
      <c r="E20" s="37">
        <v>666695.32000000007</v>
      </c>
      <c r="F20" s="38">
        <v>101325</v>
      </c>
      <c r="G20" s="38">
        <f t="shared" si="1"/>
        <v>565370.32000000007</v>
      </c>
      <c r="I20" s="42" t="s">
        <v>48</v>
      </c>
      <c r="J20" s="34">
        <f>J18*J11*J13*J9/(PI()*J3^2*(J15-J17))</f>
        <v>1.7365423883758853E-14</v>
      </c>
      <c r="K20" s="35" t="s">
        <v>41</v>
      </c>
    </row>
    <row r="21" spans="2:11" x14ac:dyDescent="0.2">
      <c r="B21" s="37">
        <f t="shared" si="0"/>
        <v>15</v>
      </c>
      <c r="C21" s="37">
        <v>69</v>
      </c>
      <c r="D21" s="37">
        <v>0</v>
      </c>
      <c r="E21" s="37">
        <v>577063.43999999994</v>
      </c>
      <c r="F21" s="38">
        <v>101325</v>
      </c>
      <c r="G21" s="38">
        <f t="shared" si="1"/>
        <v>475738.43999999994</v>
      </c>
      <c r="I21" s="41" t="s">
        <v>72</v>
      </c>
      <c r="J21" s="18">
        <f>2.3*10^8</f>
        <v>229999999.99999997</v>
      </c>
      <c r="K21" s="50" t="s">
        <v>26</v>
      </c>
    </row>
    <row r="22" spans="2:11" ht="16" thickBot="1" x14ac:dyDescent="0.25">
      <c r="B22" s="37">
        <f t="shared" si="0"/>
        <v>16</v>
      </c>
      <c r="C22" s="37">
        <v>59</v>
      </c>
      <c r="D22" s="37">
        <v>0</v>
      </c>
      <c r="E22" s="37">
        <v>508115.84</v>
      </c>
      <c r="F22" s="38">
        <v>101325</v>
      </c>
      <c r="G22" s="38">
        <f t="shared" si="1"/>
        <v>406790.84</v>
      </c>
      <c r="I22" s="42" t="s">
        <v>74</v>
      </c>
      <c r="J22" s="18">
        <f>J11/J21</f>
        <v>7.782608695652176E-14</v>
      </c>
      <c r="K22" s="50" t="s">
        <v>41</v>
      </c>
    </row>
    <row r="23" spans="2:11" x14ac:dyDescent="0.2">
      <c r="B23" s="37">
        <f t="shared" si="0"/>
        <v>17</v>
      </c>
      <c r="C23" s="37">
        <v>49</v>
      </c>
      <c r="D23" s="37">
        <v>0</v>
      </c>
      <c r="E23" s="37">
        <v>439168.24</v>
      </c>
      <c r="F23" s="38">
        <v>101325</v>
      </c>
      <c r="G23" s="38">
        <f t="shared" si="1"/>
        <v>337843.24</v>
      </c>
    </row>
    <row r="24" spans="2:11" x14ac:dyDescent="0.2">
      <c r="B24" s="37">
        <f t="shared" si="0"/>
        <v>18</v>
      </c>
      <c r="C24" s="37">
        <v>42</v>
      </c>
      <c r="D24" s="37">
        <v>0</v>
      </c>
      <c r="E24" s="37">
        <v>390904.92</v>
      </c>
      <c r="F24" s="38">
        <v>101325</v>
      </c>
      <c r="G24" s="38">
        <f t="shared" si="1"/>
        <v>289579.92</v>
      </c>
    </row>
    <row r="25" spans="2:11" x14ac:dyDescent="0.2">
      <c r="B25" s="37">
        <f t="shared" si="0"/>
        <v>19</v>
      </c>
      <c r="C25" s="37">
        <v>35</v>
      </c>
      <c r="D25" s="37">
        <v>0</v>
      </c>
      <c r="E25" s="37">
        <v>342641.6</v>
      </c>
      <c r="F25" s="38">
        <v>101325</v>
      </c>
      <c r="G25" s="38">
        <f t="shared" si="1"/>
        <v>241316.59999999998</v>
      </c>
    </row>
    <row r="26" spans="2:11" x14ac:dyDescent="0.2">
      <c r="B26" s="37">
        <f t="shared" si="0"/>
        <v>20</v>
      </c>
      <c r="C26" s="37">
        <v>30</v>
      </c>
      <c r="D26" s="37">
        <v>0</v>
      </c>
      <c r="E26" s="37">
        <v>308167.80000000005</v>
      </c>
      <c r="F26" s="38">
        <v>101325</v>
      </c>
      <c r="G26" s="38">
        <f t="shared" si="1"/>
        <v>206842.80000000005</v>
      </c>
    </row>
    <row r="27" spans="2:11" x14ac:dyDescent="0.2">
      <c r="B27" s="37">
        <f t="shared" si="0"/>
        <v>21</v>
      </c>
      <c r="C27" s="37">
        <v>26</v>
      </c>
      <c r="D27" s="37">
        <v>0</v>
      </c>
      <c r="E27" s="37">
        <v>280588.76</v>
      </c>
      <c r="F27" s="38">
        <v>101325</v>
      </c>
      <c r="G27" s="38">
        <f t="shared" si="1"/>
        <v>179263.76</v>
      </c>
    </row>
    <row r="28" spans="2:11" x14ac:dyDescent="0.2">
      <c r="B28" s="37">
        <f t="shared" si="0"/>
        <v>22</v>
      </c>
      <c r="C28" s="37">
        <v>22</v>
      </c>
      <c r="D28" s="37">
        <v>0</v>
      </c>
      <c r="E28" s="37">
        <v>253009.72</v>
      </c>
      <c r="F28" s="38">
        <v>101325</v>
      </c>
      <c r="G28" s="38">
        <f t="shared" si="1"/>
        <v>151684.72</v>
      </c>
    </row>
    <row r="29" spans="2:11" x14ac:dyDescent="0.2">
      <c r="B29" s="37">
        <f t="shared" si="0"/>
        <v>23</v>
      </c>
      <c r="C29" s="37">
        <v>19</v>
      </c>
      <c r="D29" s="37">
        <v>0</v>
      </c>
      <c r="E29" s="37">
        <v>232325.44</v>
      </c>
      <c r="F29" s="38">
        <v>101325</v>
      </c>
      <c r="G29" s="38">
        <f t="shared" si="1"/>
        <v>131000.44</v>
      </c>
    </row>
    <row r="30" spans="2:11" x14ac:dyDescent="0.2">
      <c r="B30" s="37">
        <f t="shared" si="0"/>
        <v>24</v>
      </c>
      <c r="C30" s="37">
        <v>16</v>
      </c>
      <c r="D30" s="37">
        <v>0</v>
      </c>
      <c r="E30" s="37">
        <v>211641.16</v>
      </c>
      <c r="F30" s="38">
        <v>101325</v>
      </c>
      <c r="G30" s="38">
        <f t="shared" si="1"/>
        <v>110316.16</v>
      </c>
    </row>
    <row r="31" spans="2:11" x14ac:dyDescent="0.2">
      <c r="B31" s="37">
        <f t="shared" si="0"/>
        <v>25</v>
      </c>
      <c r="C31" s="37">
        <v>14</v>
      </c>
      <c r="D31" s="37">
        <v>0</v>
      </c>
      <c r="E31" s="37">
        <v>197851.64</v>
      </c>
      <c r="F31" s="38">
        <v>101325</v>
      </c>
      <c r="G31" s="38">
        <f t="shared" si="1"/>
        <v>96526.640000000014</v>
      </c>
    </row>
    <row r="32" spans="2:11" x14ac:dyDescent="0.2">
      <c r="B32" s="37">
        <f t="shared" si="0"/>
        <v>26</v>
      </c>
      <c r="C32" s="37">
        <v>12</v>
      </c>
      <c r="D32" s="37">
        <v>0</v>
      </c>
      <c r="E32" s="37">
        <v>184062.12</v>
      </c>
      <c r="F32" s="38">
        <v>101325</v>
      </c>
      <c r="G32" s="38">
        <f t="shared" si="1"/>
        <v>82737.119999999995</v>
      </c>
    </row>
    <row r="33" spans="2:8" x14ac:dyDescent="0.2">
      <c r="B33" s="37">
        <f t="shared" si="0"/>
        <v>27</v>
      </c>
      <c r="C33" s="37">
        <v>11</v>
      </c>
      <c r="D33" s="37">
        <v>0</v>
      </c>
      <c r="E33" s="37">
        <v>177167.35999999999</v>
      </c>
      <c r="F33" s="38">
        <v>101325</v>
      </c>
      <c r="G33" s="38">
        <f t="shared" si="1"/>
        <v>75842.359999999986</v>
      </c>
    </row>
    <row r="34" spans="2:8" x14ac:dyDescent="0.2">
      <c r="B34" s="37">
        <f t="shared" si="0"/>
        <v>28</v>
      </c>
      <c r="C34" s="37">
        <v>9</v>
      </c>
      <c r="D34" s="37">
        <v>0</v>
      </c>
      <c r="E34" s="37">
        <v>163377.84</v>
      </c>
      <c r="F34" s="38">
        <v>101325</v>
      </c>
      <c r="G34" s="38">
        <f t="shared" si="1"/>
        <v>62052.84</v>
      </c>
    </row>
    <row r="35" spans="2:8" x14ac:dyDescent="0.2">
      <c r="B35" s="37">
        <f t="shared" si="0"/>
        <v>29</v>
      </c>
      <c r="C35" s="37">
        <v>8</v>
      </c>
      <c r="D35" s="37">
        <v>0</v>
      </c>
      <c r="E35" s="37">
        <v>156483.08000000002</v>
      </c>
      <c r="F35" s="38">
        <v>101325</v>
      </c>
      <c r="G35" s="38">
        <f t="shared" si="1"/>
        <v>55158.080000000016</v>
      </c>
    </row>
    <row r="36" spans="2:8" x14ac:dyDescent="0.2">
      <c r="B36" s="37">
        <f t="shared" si="0"/>
        <v>30</v>
      </c>
      <c r="C36" s="37">
        <v>7</v>
      </c>
      <c r="D36" s="37">
        <v>0</v>
      </c>
      <c r="E36" s="37">
        <v>149588.32</v>
      </c>
      <c r="F36" s="38">
        <v>101325</v>
      </c>
      <c r="G36" s="38">
        <f t="shared" si="1"/>
        <v>48263.320000000007</v>
      </c>
    </row>
    <row r="37" spans="2:8" x14ac:dyDescent="0.2">
      <c r="B37" s="37">
        <f t="shared" si="0"/>
        <v>31</v>
      </c>
      <c r="C37" s="37">
        <v>6</v>
      </c>
      <c r="D37" s="37">
        <v>0</v>
      </c>
      <c r="E37" s="37">
        <v>142693.56</v>
      </c>
      <c r="F37" s="38">
        <v>101325</v>
      </c>
      <c r="G37" s="38">
        <f t="shared" si="1"/>
        <v>41368.559999999998</v>
      </c>
    </row>
    <row r="38" spans="2:8" x14ac:dyDescent="0.2">
      <c r="B38" s="37">
        <f t="shared" si="0"/>
        <v>32</v>
      </c>
      <c r="C38" s="37">
        <v>6</v>
      </c>
      <c r="D38" s="37">
        <v>0</v>
      </c>
      <c r="E38" s="37">
        <v>142693.56</v>
      </c>
      <c r="F38" s="38">
        <v>101325</v>
      </c>
      <c r="G38" s="38">
        <f t="shared" si="1"/>
        <v>41368.559999999998</v>
      </c>
      <c r="H38" s="28"/>
    </row>
    <row r="39" spans="2:8" x14ac:dyDescent="0.2">
      <c r="B39" s="37">
        <f t="shared" si="0"/>
        <v>33</v>
      </c>
      <c r="C39" s="37">
        <v>5</v>
      </c>
      <c r="D39" s="37">
        <v>0</v>
      </c>
      <c r="E39" s="37">
        <v>135798.79999999999</v>
      </c>
      <c r="F39" s="38">
        <v>101325</v>
      </c>
      <c r="G39" s="38">
        <f t="shared" si="1"/>
        <v>34473.799999999988</v>
      </c>
      <c r="H39" s="28"/>
    </row>
    <row r="40" spans="2:8" x14ac:dyDescent="0.2">
      <c r="B40" s="37">
        <f t="shared" si="0"/>
        <v>34</v>
      </c>
      <c r="C40" s="37">
        <v>4</v>
      </c>
      <c r="D40" s="37">
        <v>0</v>
      </c>
      <c r="E40" s="37">
        <v>128904.04000000001</v>
      </c>
      <c r="F40" s="38">
        <v>101325</v>
      </c>
      <c r="G40" s="38">
        <f t="shared" si="1"/>
        <v>27579.040000000008</v>
      </c>
    </row>
    <row r="41" spans="2:8" x14ac:dyDescent="0.2">
      <c r="B41" s="37">
        <f t="shared" si="0"/>
        <v>35</v>
      </c>
      <c r="C41" s="37">
        <v>4</v>
      </c>
      <c r="D41" s="37">
        <v>0</v>
      </c>
      <c r="E41" s="37">
        <v>128904.04000000001</v>
      </c>
      <c r="F41" s="38">
        <v>101325</v>
      </c>
      <c r="G41" s="38">
        <f t="shared" si="1"/>
        <v>27579.040000000008</v>
      </c>
    </row>
    <row r="42" spans="2:8" x14ac:dyDescent="0.2">
      <c r="B42" s="37">
        <f t="shared" si="0"/>
        <v>36</v>
      </c>
      <c r="C42" s="37">
        <v>3</v>
      </c>
      <c r="D42" s="37">
        <v>0</v>
      </c>
      <c r="E42" s="37">
        <v>122009.28</v>
      </c>
      <c r="F42" s="38">
        <v>101325</v>
      </c>
      <c r="G42" s="38">
        <f t="shared" si="1"/>
        <v>20684.28</v>
      </c>
    </row>
    <row r="43" spans="2:8" x14ac:dyDescent="0.2">
      <c r="B43" s="37">
        <f t="shared" si="0"/>
        <v>37</v>
      </c>
      <c r="C43" s="37">
        <v>3</v>
      </c>
      <c r="D43" s="37">
        <v>0</v>
      </c>
      <c r="E43" s="37">
        <v>122009.28</v>
      </c>
      <c r="F43" s="38">
        <v>101325</v>
      </c>
      <c r="G43" s="38">
        <f t="shared" si="1"/>
        <v>20684.28</v>
      </c>
    </row>
    <row r="44" spans="2:8" x14ac:dyDescent="0.2">
      <c r="B44" s="37">
        <f t="shared" si="0"/>
        <v>38</v>
      </c>
      <c r="C44" s="37">
        <v>3</v>
      </c>
      <c r="D44" s="37">
        <v>0</v>
      </c>
      <c r="E44" s="37">
        <v>122009.28</v>
      </c>
      <c r="F44" s="38">
        <v>101325</v>
      </c>
      <c r="G44" s="38">
        <f t="shared" si="1"/>
        <v>20684.28</v>
      </c>
    </row>
    <row r="45" spans="2:8" x14ac:dyDescent="0.2">
      <c r="B45" s="37">
        <f t="shared" si="0"/>
        <v>39</v>
      </c>
      <c r="C45" s="37">
        <v>2</v>
      </c>
      <c r="D45" s="37">
        <v>0</v>
      </c>
      <c r="E45" s="37">
        <v>115114.52</v>
      </c>
      <c r="F45" s="38">
        <v>101325</v>
      </c>
      <c r="G45" s="38">
        <f t="shared" si="1"/>
        <v>13789.520000000004</v>
      </c>
    </row>
    <row r="46" spans="2:8" x14ac:dyDescent="0.2">
      <c r="B46" s="37">
        <f t="shared" si="0"/>
        <v>40</v>
      </c>
      <c r="C46" s="37">
        <v>2</v>
      </c>
      <c r="D46" s="37">
        <v>0</v>
      </c>
      <c r="E46" s="37">
        <v>115114.52</v>
      </c>
      <c r="F46" s="38">
        <v>101325</v>
      </c>
      <c r="G46" s="38">
        <f t="shared" si="1"/>
        <v>13789.520000000004</v>
      </c>
    </row>
    <row r="47" spans="2:8" x14ac:dyDescent="0.2">
      <c r="B47" s="37">
        <f t="shared" si="0"/>
        <v>41</v>
      </c>
      <c r="C47" s="37">
        <v>2</v>
      </c>
      <c r="D47" s="37">
        <v>0</v>
      </c>
      <c r="E47" s="37">
        <v>115114.52</v>
      </c>
      <c r="F47" s="38">
        <v>101325</v>
      </c>
      <c r="G47" s="38">
        <f t="shared" si="1"/>
        <v>13789.520000000004</v>
      </c>
    </row>
    <row r="48" spans="2:8" x14ac:dyDescent="0.2">
      <c r="B48" s="37">
        <f t="shared" si="0"/>
        <v>42</v>
      </c>
      <c r="C48" s="37">
        <v>2</v>
      </c>
      <c r="D48" s="37">
        <v>0</v>
      </c>
      <c r="E48" s="37">
        <v>115114.52</v>
      </c>
      <c r="F48" s="38">
        <v>101325</v>
      </c>
      <c r="G48" s="38">
        <f t="shared" si="1"/>
        <v>13789.520000000004</v>
      </c>
    </row>
    <row r="49" spans="2:15" x14ac:dyDescent="0.2">
      <c r="B49" s="37">
        <f t="shared" si="0"/>
        <v>43</v>
      </c>
      <c r="C49" s="37">
        <v>2</v>
      </c>
      <c r="D49" s="37">
        <v>0</v>
      </c>
      <c r="E49" s="37">
        <v>115114.52</v>
      </c>
      <c r="F49" s="38">
        <v>101325</v>
      </c>
      <c r="G49" s="38">
        <f t="shared" si="1"/>
        <v>13789.520000000004</v>
      </c>
    </row>
    <row r="50" spans="2:15" x14ac:dyDescent="0.2">
      <c r="B50" s="37">
        <f t="shared" si="0"/>
        <v>44</v>
      </c>
      <c r="C50" s="37">
        <v>1</v>
      </c>
      <c r="D50" s="37">
        <v>0</v>
      </c>
      <c r="E50" s="37">
        <v>108219.76</v>
      </c>
      <c r="F50" s="38">
        <v>101325</v>
      </c>
      <c r="G50" s="38">
        <f t="shared" si="1"/>
        <v>6894.7599999999948</v>
      </c>
    </row>
    <row r="51" spans="2:15" x14ac:dyDescent="0.2">
      <c r="B51" s="37">
        <f t="shared" si="0"/>
        <v>45</v>
      </c>
      <c r="C51" s="37">
        <v>1</v>
      </c>
      <c r="D51" s="37">
        <v>0</v>
      </c>
      <c r="E51" s="37">
        <v>108219.76</v>
      </c>
      <c r="F51" s="38">
        <v>101325</v>
      </c>
      <c r="G51" s="38">
        <f t="shared" si="1"/>
        <v>6894.7599999999948</v>
      </c>
    </row>
    <row r="55" spans="2:15" x14ac:dyDescent="0.2">
      <c r="I55" s="30" t="s">
        <v>95</v>
      </c>
      <c r="J55" s="30">
        <f>(J10*J3)</f>
        <v>6.3483743999999994E-4</v>
      </c>
      <c r="K55" s="30" t="s">
        <v>41</v>
      </c>
    </row>
    <row r="56" spans="2:15" x14ac:dyDescent="0.2">
      <c r="I56" s="30" t="s">
        <v>91</v>
      </c>
      <c r="J56" s="30">
        <f>LOG((K63-K64)/(K64-K65))/LOG(M64)</f>
        <v>5.3029428001713832</v>
      </c>
      <c r="K56" s="30" t="s">
        <v>26</v>
      </c>
    </row>
    <row r="57" spans="2:15" x14ac:dyDescent="0.2">
      <c r="I57" s="30" t="s">
        <v>94</v>
      </c>
      <c r="J57" s="30">
        <v>1</v>
      </c>
      <c r="K57" s="30" t="s">
        <v>35</v>
      </c>
    </row>
    <row r="58" spans="2:15" x14ac:dyDescent="0.2">
      <c r="I58" s="30" t="s">
        <v>93</v>
      </c>
      <c r="J58" s="30">
        <v>20</v>
      </c>
      <c r="K58" s="30" t="s">
        <v>35</v>
      </c>
    </row>
    <row r="59" spans="2:15" x14ac:dyDescent="0.2">
      <c r="B59" s="123" t="s">
        <v>67</v>
      </c>
      <c r="C59" s="123"/>
      <c r="D59" s="123"/>
      <c r="E59" s="123"/>
    </row>
    <row r="60" spans="2:15" x14ac:dyDescent="0.2">
      <c r="B60" s="30" t="s">
        <v>78</v>
      </c>
      <c r="C60" s="30" t="s">
        <v>79</v>
      </c>
      <c r="D60" s="30" t="s">
        <v>80</v>
      </c>
      <c r="E60" s="30" t="s">
        <v>81</v>
      </c>
    </row>
    <row r="61" spans="2:15" x14ac:dyDescent="0.2">
      <c r="B61" s="30">
        <v>0</v>
      </c>
      <c r="C61" s="30">
        <v>5720554.4000000004</v>
      </c>
      <c r="D61" s="30">
        <v>4446885.2759999996</v>
      </c>
      <c r="E61" s="30">
        <v>4320918</v>
      </c>
      <c r="H61" s="53" t="s">
        <v>70</v>
      </c>
      <c r="I61" s="53" t="s">
        <v>87</v>
      </c>
      <c r="J61" s="53" t="s">
        <v>68</v>
      </c>
      <c r="K61" s="53" t="s">
        <v>69</v>
      </c>
      <c r="L61" s="53" t="s">
        <v>88</v>
      </c>
      <c r="M61" s="53" t="s">
        <v>89</v>
      </c>
      <c r="N61" s="53" t="s">
        <v>92</v>
      </c>
      <c r="O61" s="53" t="s">
        <v>90</v>
      </c>
    </row>
    <row r="62" spans="2:15" x14ac:dyDescent="0.2">
      <c r="B62" s="30">
        <f>B61+1</f>
        <v>1</v>
      </c>
      <c r="C62" s="30">
        <v>2866123.76</v>
      </c>
      <c r="D62" s="30">
        <v>4189986.5183999999</v>
      </c>
      <c r="E62" s="30">
        <v>4320918</v>
      </c>
      <c r="H62" s="30">
        <v>0</v>
      </c>
      <c r="I62" s="30">
        <v>300</v>
      </c>
      <c r="J62" s="30">
        <f>I62*3</f>
        <v>900</v>
      </c>
      <c r="K62" s="30">
        <v>207037</v>
      </c>
      <c r="L62" s="30" t="s">
        <v>26</v>
      </c>
      <c r="M62" s="30"/>
      <c r="N62" s="30">
        <f>$J$55/I62</f>
        <v>2.1161247999999997E-6</v>
      </c>
      <c r="O62" s="30"/>
    </row>
    <row r="63" spans="2:15" x14ac:dyDescent="0.2">
      <c r="B63" s="30">
        <f t="shared" ref="B63:B111" si="2">B62+1</f>
        <v>2</v>
      </c>
      <c r="C63" s="30">
        <v>1121749.48</v>
      </c>
      <c r="D63" s="30">
        <v>3579797.7615566999</v>
      </c>
      <c r="E63" s="30">
        <v>3822901.4377545998</v>
      </c>
      <c r="G63" s="30" t="s">
        <v>96</v>
      </c>
      <c r="H63" s="30">
        <v>1</v>
      </c>
      <c r="I63" s="30">
        <f>I62*4</f>
        <v>1200</v>
      </c>
      <c r="J63" s="30">
        <f t="shared" ref="J63:J66" si="3">I63*3</f>
        <v>3600</v>
      </c>
      <c r="K63" s="53">
        <v>119614</v>
      </c>
      <c r="L63" s="69" t="s">
        <v>26</v>
      </c>
      <c r="M63" s="103">
        <v>2</v>
      </c>
      <c r="N63" s="30">
        <f t="shared" ref="N63:N66" si="4">$J$55/I63</f>
        <v>5.2903119999999993E-7</v>
      </c>
      <c r="O63" s="30"/>
    </row>
    <row r="64" spans="2:15" x14ac:dyDescent="0.2">
      <c r="B64" s="30">
        <f t="shared" si="2"/>
        <v>3</v>
      </c>
      <c r="C64" s="30">
        <v>473642.04</v>
      </c>
      <c r="D64" s="30">
        <v>2844710.7839708999</v>
      </c>
      <c r="E64" s="30">
        <v>3079212.0883197002</v>
      </c>
      <c r="G64" s="30" t="s">
        <v>97</v>
      </c>
      <c r="H64" s="30">
        <v>2</v>
      </c>
      <c r="I64" s="30">
        <f>I63*4</f>
        <v>4800</v>
      </c>
      <c r="J64" s="30">
        <f t="shared" si="3"/>
        <v>14400</v>
      </c>
      <c r="K64" s="53">
        <v>115311</v>
      </c>
      <c r="L64" s="70">
        <f>(K63-K64)/K63</f>
        <v>3.5974049860384237E-2</v>
      </c>
      <c r="M64" s="103">
        <v>2</v>
      </c>
      <c r="N64" s="30">
        <f t="shared" si="4"/>
        <v>1.3225779999999998E-7</v>
      </c>
      <c r="O64" s="104">
        <f>1.25*L64*M64^J56/(M64^J56-1)</f>
        <v>4.6136247183247908E-2</v>
      </c>
    </row>
    <row r="65" spans="2:15" x14ac:dyDescent="0.2">
      <c r="B65" s="30">
        <f t="shared" si="2"/>
        <v>4</v>
      </c>
      <c r="C65" s="30">
        <v>280588.76</v>
      </c>
      <c r="D65" s="30">
        <v>2349600.5484810001</v>
      </c>
      <c r="E65" s="30">
        <v>2554228.0880010999</v>
      </c>
      <c r="G65" s="30" t="s">
        <v>98</v>
      </c>
      <c r="H65" s="30">
        <v>3</v>
      </c>
      <c r="I65" s="30">
        <f>I64*4</f>
        <v>19200</v>
      </c>
      <c r="J65" s="30">
        <f t="shared" si="3"/>
        <v>57600</v>
      </c>
      <c r="K65" s="53">
        <v>115202</v>
      </c>
      <c r="L65" s="70">
        <f>(K64-K65)/K64</f>
        <v>9.4526974876637962E-4</v>
      </c>
      <c r="M65" s="103">
        <v>2</v>
      </c>
      <c r="N65" s="30">
        <f t="shared" si="4"/>
        <v>3.3064449999999995E-8</v>
      </c>
      <c r="O65" s="105">
        <f>1.25*L65/(M65^J56-1)</f>
        <v>3.070887059356682E-5</v>
      </c>
    </row>
    <row r="66" spans="2:15" x14ac:dyDescent="0.2">
      <c r="B66" s="30">
        <f t="shared" si="2"/>
        <v>5</v>
      </c>
      <c r="C66" s="30">
        <v>184062.12</v>
      </c>
      <c r="D66" s="30">
        <v>2004328.8404834</v>
      </c>
      <c r="E66" s="30">
        <v>2184355.2194324001</v>
      </c>
      <c r="H66" s="30">
        <v>4</v>
      </c>
      <c r="I66" s="30">
        <f>I65*4</f>
        <v>76800</v>
      </c>
      <c r="J66" s="30">
        <f t="shared" si="3"/>
        <v>230400</v>
      </c>
      <c r="K66" s="30">
        <v>115442</v>
      </c>
      <c r="L66" s="70">
        <v>-6.0000000000000001E-3</v>
      </c>
      <c r="M66" s="103">
        <v>2</v>
      </c>
      <c r="N66" s="30">
        <f t="shared" si="4"/>
        <v>8.2661124999999988E-9</v>
      </c>
      <c r="O66" s="104"/>
    </row>
    <row r="67" spans="2:15" x14ac:dyDescent="0.2">
      <c r="B67" s="30">
        <f t="shared" si="2"/>
        <v>6</v>
      </c>
      <c r="C67" s="30">
        <v>135798.79999999999</v>
      </c>
      <c r="D67" s="30">
        <v>1754445.7938808</v>
      </c>
      <c r="E67" s="30">
        <v>1914531.7603086</v>
      </c>
    </row>
    <row r="68" spans="2:15" x14ac:dyDescent="0.2">
      <c r="B68" s="30">
        <f t="shared" si="2"/>
        <v>7</v>
      </c>
      <c r="C68" s="30">
        <v>115114.52</v>
      </c>
      <c r="D68" s="30">
        <v>1561123.3993476001</v>
      </c>
      <c r="E68" s="30">
        <v>1704135.2665358</v>
      </c>
    </row>
    <row r="69" spans="2:15" x14ac:dyDescent="0.2">
      <c r="B69" s="30">
        <f t="shared" si="2"/>
        <v>8</v>
      </c>
      <c r="C69" s="30">
        <v>108219.76</v>
      </c>
      <c r="D69" s="30">
        <v>1395920.6946985</v>
      </c>
      <c r="E69" s="30">
        <v>1523275.7321961999</v>
      </c>
    </row>
    <row r="70" spans="2:15" x14ac:dyDescent="0.2">
      <c r="B70" s="30">
        <f t="shared" si="2"/>
        <v>9</v>
      </c>
      <c r="C70" s="30">
        <v>108219.76</v>
      </c>
      <c r="D70" s="30">
        <v>1243405.5470328999</v>
      </c>
      <c r="E70" s="30">
        <v>1355676.6688273</v>
      </c>
    </row>
    <row r="71" spans="2:15" x14ac:dyDescent="0.2">
      <c r="B71" s="30">
        <f t="shared" si="2"/>
        <v>10</v>
      </c>
      <c r="C71" s="30">
        <v>108219.76</v>
      </c>
      <c r="D71" s="30">
        <v>1096433.3102656</v>
      </c>
      <c r="E71" s="30">
        <v>1194168.7163358</v>
      </c>
    </row>
    <row r="72" spans="2:15" x14ac:dyDescent="0.2">
      <c r="B72" s="30">
        <f t="shared" si="2"/>
        <v>11</v>
      </c>
      <c r="C72" s="30">
        <v>101325</v>
      </c>
      <c r="D72" s="30">
        <v>955568.34446147003</v>
      </c>
      <c r="E72" s="30">
        <v>1040053.9499577</v>
      </c>
    </row>
    <row r="73" spans="2:15" x14ac:dyDescent="0.2">
      <c r="B73" s="30">
        <f t="shared" si="2"/>
        <v>12</v>
      </c>
      <c r="C73" s="30">
        <v>101325</v>
      </c>
      <c r="D73" s="30">
        <v>828189.56912212004</v>
      </c>
      <c r="E73" s="30">
        <v>900077.27376056998</v>
      </c>
    </row>
    <row r="74" spans="2:15" x14ac:dyDescent="0.2">
      <c r="B74" s="30">
        <f t="shared" si="2"/>
        <v>13</v>
      </c>
      <c r="C74" s="30">
        <v>101325</v>
      </c>
      <c r="D74" s="30">
        <v>709190.58068722999</v>
      </c>
      <c r="E74" s="30">
        <v>769309.15460134996</v>
      </c>
    </row>
    <row r="75" spans="2:15" x14ac:dyDescent="0.2">
      <c r="B75" s="30">
        <f t="shared" si="2"/>
        <v>14</v>
      </c>
      <c r="C75" s="30">
        <v>101325</v>
      </c>
      <c r="D75" s="30">
        <v>600164.29158326006</v>
      </c>
      <c r="E75" s="30">
        <v>649500.04569589999</v>
      </c>
    </row>
    <row r="76" spans="2:15" x14ac:dyDescent="0.2">
      <c r="B76" s="30">
        <f t="shared" si="2"/>
        <v>15</v>
      </c>
      <c r="C76" s="30">
        <v>101325</v>
      </c>
      <c r="D76" s="30">
        <v>502683.86034504999</v>
      </c>
      <c r="E76" s="30">
        <v>542378.69268687</v>
      </c>
    </row>
    <row r="77" spans="2:15" x14ac:dyDescent="0.2">
      <c r="B77" s="30">
        <f t="shared" si="2"/>
        <v>16</v>
      </c>
      <c r="C77" s="30">
        <v>101325</v>
      </c>
      <c r="D77" s="30">
        <v>418016.02535240998</v>
      </c>
      <c r="E77" s="30">
        <v>449337.11577187001</v>
      </c>
    </row>
    <row r="78" spans="2:15" x14ac:dyDescent="0.2">
      <c r="B78" s="30">
        <f t="shared" si="2"/>
        <v>17</v>
      </c>
      <c r="C78" s="30">
        <v>101325</v>
      </c>
      <c r="D78" s="30">
        <v>346775.96892203001</v>
      </c>
      <c r="E78" s="30">
        <v>371051.33947476</v>
      </c>
    </row>
    <row r="79" spans="2:15" x14ac:dyDescent="0.2">
      <c r="B79" s="30">
        <f t="shared" si="2"/>
        <v>18</v>
      </c>
      <c r="C79" s="30">
        <v>101325</v>
      </c>
      <c r="D79" s="30">
        <v>288698.59641848999</v>
      </c>
      <c r="E79" s="30">
        <v>307230.05100933003</v>
      </c>
    </row>
    <row r="80" spans="2:15" x14ac:dyDescent="0.2">
      <c r="B80" s="30">
        <f t="shared" si="2"/>
        <v>19</v>
      </c>
      <c r="C80" s="30">
        <v>101325</v>
      </c>
      <c r="D80" s="30">
        <v>242675.45979892</v>
      </c>
      <c r="E80" s="30">
        <v>256655.17560320999</v>
      </c>
    </row>
    <row r="81" spans="2:5" x14ac:dyDescent="0.2">
      <c r="B81" s="30">
        <f t="shared" si="2"/>
        <v>20</v>
      </c>
      <c r="C81" s="30">
        <v>101325</v>
      </c>
      <c r="D81" s="30">
        <v>207037.11210498001</v>
      </c>
      <c r="E81" s="30">
        <v>217492.15615932</v>
      </c>
    </row>
    <row r="82" spans="2:5" x14ac:dyDescent="0.2">
      <c r="B82" s="30">
        <f t="shared" si="2"/>
        <v>21</v>
      </c>
      <c r="C82" s="30">
        <v>101325</v>
      </c>
      <c r="D82" s="30">
        <v>179914.26734567</v>
      </c>
      <c r="E82" s="30">
        <v>187686.83224799001</v>
      </c>
    </row>
    <row r="83" spans="2:5" x14ac:dyDescent="0.2">
      <c r="B83" s="30">
        <f t="shared" si="2"/>
        <v>22</v>
      </c>
      <c r="C83" s="30">
        <v>101325</v>
      </c>
      <c r="D83" s="30">
        <v>159522.26789053</v>
      </c>
      <c r="E83" s="30">
        <v>165278.04163794001</v>
      </c>
    </row>
    <row r="84" spans="2:5" x14ac:dyDescent="0.2">
      <c r="B84" s="30">
        <f t="shared" si="2"/>
        <v>23</v>
      </c>
      <c r="C84" s="30">
        <v>101325</v>
      </c>
      <c r="D84" s="30">
        <v>144315.42666115999</v>
      </c>
      <c r="E84" s="30">
        <v>148567.22710018</v>
      </c>
    </row>
    <row r="85" spans="2:5" x14ac:dyDescent="0.2">
      <c r="B85" s="30">
        <f t="shared" si="2"/>
        <v>24</v>
      </c>
      <c r="C85" s="30">
        <v>101325</v>
      </c>
      <c r="D85" s="30">
        <v>133034.77252572001</v>
      </c>
      <c r="E85" s="30">
        <v>136170.90387442001</v>
      </c>
    </row>
    <row r="86" spans="2:5" x14ac:dyDescent="0.2">
      <c r="B86" s="30">
        <f t="shared" si="2"/>
        <v>25</v>
      </c>
      <c r="C86" s="30">
        <v>101325</v>
      </c>
      <c r="D86" s="30">
        <v>124693.96492585</v>
      </c>
      <c r="E86" s="30">
        <v>127005.18123719</v>
      </c>
    </row>
    <row r="87" spans="2:5" x14ac:dyDescent="0.2">
      <c r="B87" s="30">
        <f t="shared" si="2"/>
        <v>26</v>
      </c>
      <c r="C87" s="30">
        <v>101325</v>
      </c>
      <c r="D87" s="30">
        <v>118538.97371631001</v>
      </c>
      <c r="E87" s="30">
        <v>120241.45463331</v>
      </c>
    </row>
    <row r="88" spans="2:5" x14ac:dyDescent="0.2">
      <c r="B88" s="30">
        <f t="shared" si="2"/>
        <v>27</v>
      </c>
      <c r="C88" s="30">
        <v>101325</v>
      </c>
      <c r="D88" s="30">
        <v>114002.13420566</v>
      </c>
      <c r="E88" s="30">
        <v>115255.91670951</v>
      </c>
    </row>
    <row r="89" spans="2:5" x14ac:dyDescent="0.2">
      <c r="B89" s="30">
        <f t="shared" si="2"/>
        <v>28</v>
      </c>
      <c r="C89" s="30">
        <v>101325</v>
      </c>
      <c r="D89" s="30">
        <v>110660.11206149</v>
      </c>
      <c r="E89" s="30">
        <v>111583.36490274</v>
      </c>
    </row>
    <row r="90" spans="2:5" x14ac:dyDescent="0.2">
      <c r="B90" s="30">
        <f t="shared" si="2"/>
        <v>29</v>
      </c>
      <c r="C90" s="30">
        <v>101325</v>
      </c>
      <c r="D90" s="30">
        <v>108199.01301471</v>
      </c>
      <c r="E90" s="30">
        <v>108878.86045573</v>
      </c>
    </row>
    <row r="91" spans="2:5" x14ac:dyDescent="0.2">
      <c r="B91" s="30">
        <f t="shared" si="2"/>
        <v>30</v>
      </c>
      <c r="C91" s="30">
        <v>101325</v>
      </c>
      <c r="D91" s="30">
        <v>106386.87833494</v>
      </c>
      <c r="E91" s="30">
        <v>106887.50366477</v>
      </c>
    </row>
    <row r="92" spans="2:5" x14ac:dyDescent="0.2">
      <c r="B92" s="30">
        <f t="shared" si="2"/>
        <v>31</v>
      </c>
      <c r="C92" s="30">
        <v>101325</v>
      </c>
      <c r="D92" s="30">
        <v>105052.63040172</v>
      </c>
      <c r="E92" s="30">
        <v>105421.29714475</v>
      </c>
    </row>
    <row r="93" spans="2:5" x14ac:dyDescent="0.2">
      <c r="B93" s="30">
        <f t="shared" si="2"/>
        <v>32</v>
      </c>
      <c r="C93" s="30">
        <v>101325</v>
      </c>
      <c r="D93" s="30">
        <v>104070.22348633999</v>
      </c>
      <c r="E93" s="30">
        <v>104341.72910585999</v>
      </c>
    </row>
    <row r="94" spans="2:5" x14ac:dyDescent="0.2">
      <c r="B94" s="30">
        <f t="shared" si="2"/>
        <v>33</v>
      </c>
      <c r="C94" s="30">
        <v>101325</v>
      </c>
      <c r="D94" s="30">
        <v>103346.84403887</v>
      </c>
      <c r="E94" s="30">
        <v>103546.80663612</v>
      </c>
    </row>
    <row r="95" spans="2:5" x14ac:dyDescent="0.2">
      <c r="B95" s="30">
        <f t="shared" si="2"/>
        <v>34</v>
      </c>
      <c r="C95" s="30">
        <v>101325</v>
      </c>
      <c r="D95" s="30">
        <v>102814.16450107</v>
      </c>
      <c r="E95" s="30">
        <v>102961.44450668</v>
      </c>
    </row>
    <row r="96" spans="2:5" x14ac:dyDescent="0.2">
      <c r="B96" s="30">
        <f t="shared" si="2"/>
        <v>35</v>
      </c>
      <c r="C96" s="30">
        <v>101325</v>
      </c>
      <c r="D96" s="30">
        <v>102421.88755371999</v>
      </c>
      <c r="E96" s="30">
        <v>102530.37093814999</v>
      </c>
    </row>
    <row r="97" spans="2:5" x14ac:dyDescent="0.2">
      <c r="B97" s="30">
        <f t="shared" si="2"/>
        <v>36</v>
      </c>
      <c r="C97" s="30">
        <v>101325</v>
      </c>
      <c r="D97" s="30">
        <v>102132.98817052</v>
      </c>
      <c r="E97" s="30">
        <v>102212.89908849</v>
      </c>
    </row>
    <row r="98" spans="2:5" x14ac:dyDescent="0.2">
      <c r="B98" s="30">
        <f t="shared" si="2"/>
        <v>37</v>
      </c>
      <c r="C98" s="30">
        <v>101325</v>
      </c>
      <c r="D98" s="30">
        <v>101920.21011616</v>
      </c>
      <c r="E98" s="30">
        <v>101979.07705072001</v>
      </c>
    </row>
    <row r="99" spans="2:5" x14ac:dyDescent="0.2">
      <c r="B99" s="30">
        <f t="shared" si="2"/>
        <v>38</v>
      </c>
      <c r="C99" s="30">
        <v>101325</v>
      </c>
      <c r="D99" s="30">
        <v>101763.48722024</v>
      </c>
      <c r="E99" s="30">
        <v>101806.85408818</v>
      </c>
    </row>
    <row r="100" spans="2:5" x14ac:dyDescent="0.2">
      <c r="B100" s="30">
        <f t="shared" si="2"/>
        <v>39</v>
      </c>
      <c r="C100" s="30">
        <v>101325</v>
      </c>
      <c r="D100" s="30">
        <v>101648.04665459</v>
      </c>
      <c r="E100" s="30">
        <v>101679.99632373</v>
      </c>
    </row>
    <row r="101" spans="2:5" x14ac:dyDescent="0.2">
      <c r="B101" s="30">
        <f t="shared" si="2"/>
        <v>40</v>
      </c>
      <c r="C101" s="30">
        <v>101325</v>
      </c>
      <c r="D101" s="30">
        <v>101563.0086767</v>
      </c>
      <c r="E101" s="30">
        <v>101586.54799637001</v>
      </c>
    </row>
    <row r="102" spans="2:5" x14ac:dyDescent="0.2">
      <c r="B102" s="30">
        <f t="shared" si="2"/>
        <v>41</v>
      </c>
      <c r="C102" s="30">
        <v>101325</v>
      </c>
      <c r="D102" s="30">
        <v>101500.3632335</v>
      </c>
      <c r="E102" s="30">
        <v>101517.70685</v>
      </c>
    </row>
    <row r="103" spans="2:5" x14ac:dyDescent="0.2">
      <c r="B103" s="30">
        <f t="shared" si="2"/>
        <v>42</v>
      </c>
      <c r="C103" s="30">
        <v>101325</v>
      </c>
      <c r="D103" s="30">
        <v>101454.21160095</v>
      </c>
      <c r="E103" s="30">
        <v>101466.99077028</v>
      </c>
    </row>
    <row r="104" spans="2:5" x14ac:dyDescent="0.2">
      <c r="B104" s="30">
        <f t="shared" si="2"/>
        <v>43</v>
      </c>
      <c r="C104" s="30">
        <v>101325</v>
      </c>
      <c r="D104" s="30">
        <v>101420.20958753</v>
      </c>
      <c r="E104" s="30">
        <v>101429.62592037</v>
      </c>
    </row>
    <row r="105" spans="2:5" x14ac:dyDescent="0.2">
      <c r="B105" s="30">
        <f t="shared" si="2"/>
        <v>44</v>
      </c>
      <c r="C105" s="30">
        <v>101325</v>
      </c>
      <c r="D105" s="30">
        <v>101395.15765877</v>
      </c>
      <c r="E105" s="30">
        <v>101402.09632832</v>
      </c>
    </row>
    <row r="106" spans="2:5" x14ac:dyDescent="0.2">
      <c r="B106" s="30">
        <f t="shared" si="2"/>
        <v>45</v>
      </c>
      <c r="C106" s="30">
        <v>101324</v>
      </c>
      <c r="D106" s="30">
        <v>101376.60919030001</v>
      </c>
      <c r="E106" s="30">
        <v>101381.81229703</v>
      </c>
    </row>
    <row r="107" spans="2:5" x14ac:dyDescent="0.2">
      <c r="B107" s="30">
        <f t="shared" si="2"/>
        <v>46</v>
      </c>
      <c r="C107" s="30">
        <v>101324</v>
      </c>
      <c r="D107" s="30">
        <v>101362.68368271001</v>
      </c>
      <c r="E107" s="30">
        <v>101366.50954144</v>
      </c>
    </row>
    <row r="108" spans="2:5" x14ac:dyDescent="0.2">
      <c r="B108" s="30">
        <f t="shared" si="2"/>
        <v>47</v>
      </c>
      <c r="C108" s="30">
        <v>101324</v>
      </c>
      <c r="D108" s="30">
        <v>101352.48879495999</v>
      </c>
      <c r="E108" s="30">
        <v>101355.30636808999</v>
      </c>
    </row>
    <row r="109" spans="2:5" x14ac:dyDescent="0.2">
      <c r="B109" s="30">
        <f t="shared" si="2"/>
        <v>48</v>
      </c>
      <c r="C109" s="30">
        <v>101324</v>
      </c>
      <c r="D109" s="30">
        <v>101344.99044846999</v>
      </c>
      <c r="E109" s="30">
        <v>101347.06642689</v>
      </c>
    </row>
    <row r="110" spans="2:5" x14ac:dyDescent="0.2">
      <c r="B110" s="30">
        <f t="shared" si="2"/>
        <v>49</v>
      </c>
      <c r="C110" s="30">
        <v>101324</v>
      </c>
      <c r="D110" s="30">
        <v>101339.46847370001</v>
      </c>
      <c r="E110" s="30">
        <v>101340.99832275001</v>
      </c>
    </row>
    <row r="111" spans="2:5" x14ac:dyDescent="0.2">
      <c r="B111" s="30">
        <f t="shared" si="2"/>
        <v>50</v>
      </c>
      <c r="C111" s="30">
        <v>101324</v>
      </c>
      <c r="D111" s="30">
        <v>101335.40009015</v>
      </c>
      <c r="E111" s="30">
        <v>101336.52757159001</v>
      </c>
    </row>
  </sheetData>
  <mergeCells count="4">
    <mergeCell ref="B2:G2"/>
    <mergeCell ref="I2:K2"/>
    <mergeCell ref="B4:B5"/>
    <mergeCell ref="B59:E5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2515F-1150-8D4A-96D8-09F1FE3E7262}">
  <dimension ref="B1:K121"/>
  <sheetViews>
    <sheetView zoomScale="124" workbookViewId="0">
      <selection activeCell="E6" sqref="E6:F62"/>
    </sheetView>
  </sheetViews>
  <sheetFormatPr baseColWidth="10" defaultRowHeight="15" x14ac:dyDescent="0.2"/>
  <cols>
    <col min="2" max="7" width="15.83203125" customWidth="1"/>
    <col min="9" max="13" width="25.83203125" customWidth="1"/>
  </cols>
  <sheetData>
    <row r="1" spans="2:11" ht="16" thickBot="1" x14ac:dyDescent="0.25"/>
    <row r="2" spans="2:11" ht="16" thickBot="1" x14ac:dyDescent="0.25">
      <c r="B2" s="134" t="s">
        <v>86</v>
      </c>
      <c r="C2" s="134"/>
      <c r="D2" s="134"/>
      <c r="E2" s="134"/>
      <c r="F2" s="134"/>
      <c r="G2" s="134"/>
      <c r="I2" s="127" t="s">
        <v>40</v>
      </c>
      <c r="J2" s="128"/>
      <c r="K2" s="129"/>
    </row>
    <row r="3" spans="2:11" x14ac:dyDescent="0.2">
      <c r="B3" s="11" t="s">
        <v>34</v>
      </c>
      <c r="C3" s="14" t="s">
        <v>4</v>
      </c>
      <c r="D3" s="15" t="s">
        <v>7</v>
      </c>
      <c r="E3" s="14" t="s">
        <v>4</v>
      </c>
      <c r="F3" s="15" t="s">
        <v>7</v>
      </c>
      <c r="G3" s="32" t="s">
        <v>51</v>
      </c>
      <c r="I3" s="92" t="s">
        <v>21</v>
      </c>
      <c r="J3" s="26">
        <f xml:space="preserve"> 0.328*25.4*10^(-3)/2</f>
        <v>4.1655999999999993E-3</v>
      </c>
      <c r="K3" s="27" t="s">
        <v>28</v>
      </c>
    </row>
    <row r="4" spans="2:11" x14ac:dyDescent="0.2">
      <c r="B4" s="115" t="s">
        <v>35</v>
      </c>
      <c r="C4" s="16" t="s">
        <v>5</v>
      </c>
      <c r="D4" s="16" t="s">
        <v>5</v>
      </c>
      <c r="E4" s="16" t="s">
        <v>36</v>
      </c>
      <c r="F4" s="16" t="s">
        <v>36</v>
      </c>
      <c r="G4" s="16" t="s">
        <v>36</v>
      </c>
      <c r="I4" s="93" t="s">
        <v>22</v>
      </c>
      <c r="J4" s="18">
        <f xml:space="preserve"> 7.94*10^(-3)</f>
        <v>7.9400000000000009E-3</v>
      </c>
      <c r="K4" s="21" t="s">
        <v>28</v>
      </c>
    </row>
    <row r="5" spans="2:11" x14ac:dyDescent="0.2">
      <c r="B5" s="115"/>
      <c r="C5" s="16" t="s">
        <v>14</v>
      </c>
      <c r="D5" s="16" t="s">
        <v>14</v>
      </c>
      <c r="E5" s="16" t="s">
        <v>14</v>
      </c>
      <c r="F5" s="16" t="s">
        <v>14</v>
      </c>
      <c r="G5" s="16" t="s">
        <v>14</v>
      </c>
      <c r="I5" s="93" t="s">
        <v>23</v>
      </c>
      <c r="J5" s="18">
        <f>J4*PI()*J3^2</f>
        <v>4.3283812240392796E-7</v>
      </c>
      <c r="K5" s="21" t="s">
        <v>27</v>
      </c>
    </row>
    <row r="6" spans="2:11" x14ac:dyDescent="0.2">
      <c r="B6" s="9">
        <v>0</v>
      </c>
      <c r="C6" s="9">
        <v>812</v>
      </c>
      <c r="D6" s="9">
        <v>812</v>
      </c>
      <c r="E6" s="9">
        <v>5699870.1200000001</v>
      </c>
      <c r="F6" s="9">
        <v>5699870.1200000001</v>
      </c>
      <c r="G6" s="9">
        <f>E6-F6</f>
        <v>0</v>
      </c>
      <c r="I6" s="93" t="s">
        <v>24</v>
      </c>
      <c r="J6" s="18">
        <f>25.08*10^(-9)/4</f>
        <v>6.2700000000000001E-9</v>
      </c>
      <c r="K6" s="21" t="s">
        <v>27</v>
      </c>
    </row>
    <row r="7" spans="2:11" x14ac:dyDescent="0.2">
      <c r="B7" s="9">
        <f t="shared" ref="B7:B61" si="0">B6+1</f>
        <v>1</v>
      </c>
      <c r="C7" s="9">
        <v>748</v>
      </c>
      <c r="D7" s="9">
        <v>307</v>
      </c>
      <c r="E7" s="9">
        <v>5258605.4800000004</v>
      </c>
      <c r="F7" s="9">
        <v>2218016.3200000003</v>
      </c>
      <c r="G7" s="9">
        <f t="shared" ref="G7:G61" si="1">E7-F7</f>
        <v>3040589.16</v>
      </c>
      <c r="I7" s="93" t="s">
        <v>25</v>
      </c>
      <c r="J7" s="18">
        <f>J6/J5</f>
        <v>1.4485785044018804E-2</v>
      </c>
      <c r="K7" s="21" t="s">
        <v>26</v>
      </c>
    </row>
    <row r="8" spans="2:11" x14ac:dyDescent="0.2">
      <c r="B8" s="9">
        <f t="shared" si="0"/>
        <v>2</v>
      </c>
      <c r="C8" s="9">
        <v>638</v>
      </c>
      <c r="D8" s="9">
        <v>113</v>
      </c>
      <c r="E8" s="9">
        <v>4500181.88</v>
      </c>
      <c r="F8" s="9">
        <v>880432.88</v>
      </c>
      <c r="G8" s="9">
        <f t="shared" si="1"/>
        <v>3619749</v>
      </c>
      <c r="I8" s="93" t="s">
        <v>39</v>
      </c>
      <c r="J8" s="18">
        <f>J3^2*PI()</f>
        <v>5.4513617431225171E-5</v>
      </c>
      <c r="K8" s="21" t="s">
        <v>41</v>
      </c>
    </row>
    <row r="9" spans="2:11" x14ac:dyDescent="0.2">
      <c r="B9" s="9">
        <f t="shared" si="0"/>
        <v>3</v>
      </c>
      <c r="C9" s="9">
        <v>538</v>
      </c>
      <c r="D9" s="9">
        <v>42</v>
      </c>
      <c r="E9" s="9">
        <v>3810705.88</v>
      </c>
      <c r="F9" s="9">
        <v>390904.92</v>
      </c>
      <c r="G9" s="9">
        <f t="shared" si="1"/>
        <v>3419800.96</v>
      </c>
      <c r="I9" s="93" t="s">
        <v>37</v>
      </c>
      <c r="J9" s="18">
        <f>7.94*4*0.001</f>
        <v>3.1760000000000004E-2</v>
      </c>
      <c r="K9" s="21" t="s">
        <v>28</v>
      </c>
    </row>
    <row r="10" spans="2:11" x14ac:dyDescent="0.2">
      <c r="B10" s="9">
        <f t="shared" si="0"/>
        <v>4</v>
      </c>
      <c r="C10" s="9">
        <v>454</v>
      </c>
      <c r="D10" s="9">
        <v>20</v>
      </c>
      <c r="E10" s="9">
        <v>3231546.04</v>
      </c>
      <c r="F10" s="9">
        <v>239220.2</v>
      </c>
      <c r="G10" s="9">
        <f t="shared" si="1"/>
        <v>2992325.84</v>
      </c>
      <c r="I10" s="93" t="s">
        <v>38</v>
      </c>
      <c r="J10" s="18">
        <f>2.54*0.01*6</f>
        <v>0.15240000000000001</v>
      </c>
      <c r="K10" s="21" t="s">
        <v>28</v>
      </c>
    </row>
    <row r="11" spans="2:11" x14ac:dyDescent="0.2">
      <c r="B11" s="9">
        <f t="shared" si="0"/>
        <v>5</v>
      </c>
      <c r="C11" s="9">
        <v>382</v>
      </c>
      <c r="D11" s="9">
        <v>9</v>
      </c>
      <c r="E11" s="9">
        <v>2735123.3200000003</v>
      </c>
      <c r="F11" s="9">
        <v>163377.84</v>
      </c>
      <c r="G11" s="9">
        <f t="shared" si="1"/>
        <v>2571745.4800000004</v>
      </c>
      <c r="I11" s="93" t="s">
        <v>30</v>
      </c>
      <c r="J11" s="18">
        <f>1.79*10^(-5)</f>
        <v>1.7900000000000001E-5</v>
      </c>
      <c r="K11" s="21" t="s">
        <v>31</v>
      </c>
    </row>
    <row r="12" spans="2:11" x14ac:dyDescent="0.2">
      <c r="B12" s="9">
        <f t="shared" si="0"/>
        <v>6</v>
      </c>
      <c r="C12" s="9">
        <v>324</v>
      </c>
      <c r="D12" s="9">
        <v>4</v>
      </c>
      <c r="E12" s="9">
        <v>2335227.2400000002</v>
      </c>
      <c r="F12" s="9">
        <v>128904.04000000001</v>
      </c>
      <c r="G12" s="9">
        <f t="shared" si="1"/>
        <v>2206323.2000000002</v>
      </c>
      <c r="I12" s="93" t="s">
        <v>33</v>
      </c>
      <c r="J12" s="18">
        <v>1.1839999999999999</v>
      </c>
      <c r="K12" s="21" t="s">
        <v>32</v>
      </c>
    </row>
    <row r="13" spans="2:11" x14ac:dyDescent="0.2">
      <c r="B13" s="9">
        <f t="shared" si="0"/>
        <v>7</v>
      </c>
      <c r="C13" s="9">
        <v>274</v>
      </c>
      <c r="D13" s="9">
        <v>2</v>
      </c>
      <c r="E13" s="9">
        <v>1990489.24</v>
      </c>
      <c r="F13" s="9">
        <v>115114.52</v>
      </c>
      <c r="G13" s="9">
        <f t="shared" si="1"/>
        <v>1875374.72</v>
      </c>
      <c r="I13" s="93" t="s">
        <v>47</v>
      </c>
      <c r="J13" s="18">
        <f>PI()*J3^2*200*0.001</f>
        <v>1.0902723486245034E-5</v>
      </c>
      <c r="K13" s="21"/>
    </row>
    <row r="14" spans="2:11" x14ac:dyDescent="0.2">
      <c r="B14" s="9">
        <f t="shared" si="0"/>
        <v>8</v>
      </c>
      <c r="C14" s="9">
        <v>235</v>
      </c>
      <c r="D14" s="9">
        <v>1</v>
      </c>
      <c r="E14" s="9">
        <v>1721593.6</v>
      </c>
      <c r="F14" s="9">
        <v>108219.76</v>
      </c>
      <c r="G14" s="9">
        <f t="shared" si="1"/>
        <v>1613373.84</v>
      </c>
      <c r="I14" s="93" t="s">
        <v>46</v>
      </c>
      <c r="J14" s="18">
        <f>PI()*J3^2*350*0.001</f>
        <v>1.9079766100928807E-5</v>
      </c>
      <c r="K14" s="21" t="s">
        <v>27</v>
      </c>
    </row>
    <row r="15" spans="2:11" x14ac:dyDescent="0.2">
      <c r="B15" s="9">
        <f t="shared" si="0"/>
        <v>9</v>
      </c>
      <c r="C15" s="9">
        <v>196</v>
      </c>
      <c r="D15" s="9">
        <v>1</v>
      </c>
      <c r="E15" s="9">
        <v>1452697.96</v>
      </c>
      <c r="F15" s="9">
        <v>108219.76</v>
      </c>
      <c r="G15" s="9">
        <f t="shared" si="1"/>
        <v>1344478.2</v>
      </c>
      <c r="I15" s="93" t="s">
        <v>43</v>
      </c>
      <c r="J15" s="87">
        <v>1238960</v>
      </c>
      <c r="K15" s="21" t="s">
        <v>36</v>
      </c>
    </row>
    <row r="16" spans="2:11" x14ac:dyDescent="0.2">
      <c r="B16" s="9">
        <f t="shared" si="0"/>
        <v>10</v>
      </c>
      <c r="C16" s="9">
        <v>165</v>
      </c>
      <c r="D16" s="9">
        <v>0</v>
      </c>
      <c r="E16" s="9">
        <v>1238960.4000000001</v>
      </c>
      <c r="F16" s="9">
        <v>101325</v>
      </c>
      <c r="G16" s="9">
        <f t="shared" si="1"/>
        <v>1137635.4000000001</v>
      </c>
      <c r="I16" s="94" t="s">
        <v>43</v>
      </c>
      <c r="J16" s="12">
        <f>J15/J17</f>
        <v>12.227584505304712</v>
      </c>
      <c r="K16" s="29" t="s">
        <v>54</v>
      </c>
    </row>
    <row r="17" spans="2:11" x14ac:dyDescent="0.2">
      <c r="B17" s="87">
        <f t="shared" si="0"/>
        <v>11</v>
      </c>
      <c r="C17" s="87">
        <v>144</v>
      </c>
      <c r="D17" s="87">
        <v>0</v>
      </c>
      <c r="E17" s="87">
        <v>1094170.44</v>
      </c>
      <c r="F17" s="87">
        <v>101325</v>
      </c>
      <c r="G17" s="87">
        <f t="shared" si="1"/>
        <v>992845.44</v>
      </c>
      <c r="I17" s="93" t="s">
        <v>44</v>
      </c>
      <c r="J17" s="18">
        <v>101325</v>
      </c>
      <c r="K17" s="21" t="s">
        <v>36</v>
      </c>
    </row>
    <row r="18" spans="2:11" x14ac:dyDescent="0.2">
      <c r="B18" s="87">
        <f t="shared" si="0"/>
        <v>12</v>
      </c>
      <c r="C18" s="87">
        <v>124</v>
      </c>
      <c r="D18" s="87">
        <v>0</v>
      </c>
      <c r="E18" s="87">
        <v>956275.24</v>
      </c>
      <c r="F18" s="87">
        <v>101325</v>
      </c>
      <c r="G18" s="87">
        <f t="shared" si="1"/>
        <v>854950.24</v>
      </c>
      <c r="I18" s="93" t="s">
        <v>45</v>
      </c>
      <c r="J18" s="18">
        <v>0.127</v>
      </c>
      <c r="K18" s="21" t="s">
        <v>26</v>
      </c>
    </row>
    <row r="19" spans="2:11" x14ac:dyDescent="0.2">
      <c r="B19" s="87">
        <f t="shared" si="0"/>
        <v>13</v>
      </c>
      <c r="C19" s="87">
        <v>105</v>
      </c>
      <c r="D19" s="87">
        <v>0</v>
      </c>
      <c r="E19" s="87">
        <v>825274.8</v>
      </c>
      <c r="F19" s="87">
        <v>101325</v>
      </c>
      <c r="G19" s="87">
        <f t="shared" si="1"/>
        <v>723949.8</v>
      </c>
      <c r="I19" s="95" t="s">
        <v>49</v>
      </c>
      <c r="J19" s="18">
        <f>J18*J11*J14*J9/(PI()*J3^2*(J15-J17))</f>
        <v>2.2212750838362042E-14</v>
      </c>
      <c r="K19" s="21" t="s">
        <v>41</v>
      </c>
    </row>
    <row r="20" spans="2:11" ht="16" thickBot="1" x14ac:dyDescent="0.25">
      <c r="B20" s="87">
        <f t="shared" si="0"/>
        <v>14</v>
      </c>
      <c r="C20" s="87">
        <v>84</v>
      </c>
      <c r="D20" s="87">
        <v>0</v>
      </c>
      <c r="E20" s="87">
        <v>680484.84</v>
      </c>
      <c r="F20" s="87">
        <v>101325</v>
      </c>
      <c r="G20" s="87">
        <f t="shared" si="1"/>
        <v>579159.84</v>
      </c>
      <c r="I20" s="96" t="s">
        <v>48</v>
      </c>
      <c r="J20" s="34">
        <f>J18*J11*J13*J9/(PI()*J3^2*(J15-J17))</f>
        <v>1.2693000479064026E-14</v>
      </c>
      <c r="K20" s="35" t="s">
        <v>41</v>
      </c>
    </row>
    <row r="21" spans="2:11" x14ac:dyDescent="0.2">
      <c r="B21" s="87">
        <f t="shared" si="0"/>
        <v>15</v>
      </c>
      <c r="C21" s="87">
        <v>76</v>
      </c>
      <c r="D21" s="87">
        <v>0</v>
      </c>
      <c r="E21" s="87">
        <v>625326.76</v>
      </c>
      <c r="F21" s="87">
        <v>101325</v>
      </c>
      <c r="G21" s="87">
        <f t="shared" si="1"/>
        <v>524001.76</v>
      </c>
      <c r="I21" s="93" t="s">
        <v>72</v>
      </c>
      <c r="J21" s="18">
        <f>1.9*10^8</f>
        <v>190000000</v>
      </c>
      <c r="K21" s="50" t="s">
        <v>26</v>
      </c>
    </row>
    <row r="22" spans="2:11" x14ac:dyDescent="0.2">
      <c r="B22" s="87">
        <f t="shared" si="0"/>
        <v>16</v>
      </c>
      <c r="C22" s="87">
        <v>64</v>
      </c>
      <c r="D22" s="87">
        <v>0</v>
      </c>
      <c r="E22" s="87">
        <v>542589.64</v>
      </c>
      <c r="F22" s="87">
        <v>101325</v>
      </c>
      <c r="G22" s="87">
        <f t="shared" si="1"/>
        <v>441264.64000000001</v>
      </c>
      <c r="I22" s="95" t="s">
        <v>74</v>
      </c>
      <c r="J22" s="18">
        <f>J11/J21</f>
        <v>9.421052631578948E-14</v>
      </c>
      <c r="K22" s="50" t="s">
        <v>41</v>
      </c>
    </row>
    <row r="23" spans="2:11" x14ac:dyDescent="0.2">
      <c r="B23" s="87">
        <f t="shared" si="0"/>
        <v>17</v>
      </c>
      <c r="C23" s="87">
        <v>54</v>
      </c>
      <c r="D23" s="87">
        <v>0</v>
      </c>
      <c r="E23" s="87">
        <v>473642.04000000004</v>
      </c>
      <c r="F23" s="87">
        <v>101325</v>
      </c>
      <c r="G23" s="87">
        <f t="shared" si="1"/>
        <v>372317.04000000004</v>
      </c>
    </row>
    <row r="24" spans="2:11" x14ac:dyDescent="0.2">
      <c r="B24" s="87">
        <f t="shared" si="0"/>
        <v>18</v>
      </c>
      <c r="C24" s="87">
        <v>46</v>
      </c>
      <c r="D24" s="87">
        <v>0</v>
      </c>
      <c r="E24" s="87">
        <v>418483.96</v>
      </c>
      <c r="F24" s="87">
        <v>101325</v>
      </c>
      <c r="G24" s="87">
        <f t="shared" si="1"/>
        <v>317158.96000000002</v>
      </c>
    </row>
    <row r="25" spans="2:11" x14ac:dyDescent="0.2">
      <c r="B25" s="87">
        <f t="shared" si="0"/>
        <v>19</v>
      </c>
      <c r="C25" s="87">
        <v>39</v>
      </c>
      <c r="D25" s="87">
        <v>0</v>
      </c>
      <c r="E25" s="87">
        <v>370220.64</v>
      </c>
      <c r="F25" s="87">
        <v>101325</v>
      </c>
      <c r="G25" s="87">
        <f t="shared" si="1"/>
        <v>268895.64</v>
      </c>
    </row>
    <row r="26" spans="2:11" x14ac:dyDescent="0.2">
      <c r="B26" s="87">
        <f t="shared" si="0"/>
        <v>20</v>
      </c>
      <c r="C26" s="87">
        <v>33</v>
      </c>
      <c r="D26" s="87">
        <v>0</v>
      </c>
      <c r="E26" s="87">
        <v>328852.08</v>
      </c>
      <c r="F26" s="87">
        <v>101325</v>
      </c>
      <c r="G26" s="87">
        <f t="shared" si="1"/>
        <v>227527.08000000002</v>
      </c>
    </row>
    <row r="27" spans="2:11" x14ac:dyDescent="0.2">
      <c r="B27" s="87">
        <f t="shared" si="0"/>
        <v>21</v>
      </c>
      <c r="C27" s="87">
        <v>28</v>
      </c>
      <c r="D27" s="87">
        <v>0</v>
      </c>
      <c r="E27" s="87">
        <v>294378.28000000003</v>
      </c>
      <c r="F27" s="87">
        <v>101325</v>
      </c>
      <c r="G27" s="87">
        <f t="shared" si="1"/>
        <v>193053.28000000003</v>
      </c>
    </row>
    <row r="28" spans="2:11" x14ac:dyDescent="0.2">
      <c r="B28" s="87">
        <f t="shared" si="0"/>
        <v>22</v>
      </c>
      <c r="C28" s="87">
        <v>24</v>
      </c>
      <c r="D28" s="87">
        <v>0</v>
      </c>
      <c r="E28" s="87">
        <v>266799.24</v>
      </c>
      <c r="F28" s="87">
        <v>101325</v>
      </c>
      <c r="G28" s="87">
        <f t="shared" si="1"/>
        <v>165474.23999999999</v>
      </c>
    </row>
    <row r="29" spans="2:11" x14ac:dyDescent="0.2">
      <c r="B29" s="87">
        <f t="shared" si="0"/>
        <v>23</v>
      </c>
      <c r="C29" s="87">
        <v>21</v>
      </c>
      <c r="D29" s="87">
        <v>0</v>
      </c>
      <c r="E29" s="87">
        <v>246114.96</v>
      </c>
      <c r="F29" s="87">
        <v>101325</v>
      </c>
      <c r="G29" s="87">
        <f t="shared" si="1"/>
        <v>144789.96</v>
      </c>
    </row>
    <row r="30" spans="2:11" x14ac:dyDescent="0.2">
      <c r="B30" s="87">
        <f t="shared" si="0"/>
        <v>24</v>
      </c>
      <c r="C30" s="87">
        <v>18</v>
      </c>
      <c r="D30" s="87">
        <v>0</v>
      </c>
      <c r="E30" s="87">
        <v>225430.68</v>
      </c>
      <c r="F30" s="87">
        <v>101325</v>
      </c>
      <c r="G30" s="87">
        <f t="shared" si="1"/>
        <v>124105.68</v>
      </c>
    </row>
    <row r="31" spans="2:11" x14ac:dyDescent="0.2">
      <c r="B31" s="87">
        <f t="shared" si="0"/>
        <v>25</v>
      </c>
      <c r="C31" s="87">
        <v>15</v>
      </c>
      <c r="D31" s="87">
        <v>0</v>
      </c>
      <c r="E31" s="87">
        <v>204746.40000000002</v>
      </c>
      <c r="F31" s="87">
        <v>101325</v>
      </c>
      <c r="G31" s="87">
        <f t="shared" si="1"/>
        <v>103421.40000000002</v>
      </c>
    </row>
    <row r="32" spans="2:11" x14ac:dyDescent="0.2">
      <c r="B32" s="87">
        <f t="shared" si="0"/>
        <v>26</v>
      </c>
      <c r="C32" s="87">
        <v>13</v>
      </c>
      <c r="D32" s="87">
        <v>0</v>
      </c>
      <c r="E32" s="87">
        <v>190956.88</v>
      </c>
      <c r="F32" s="87">
        <v>101325</v>
      </c>
      <c r="G32" s="87">
        <f t="shared" si="1"/>
        <v>89631.88</v>
      </c>
    </row>
    <row r="33" spans="2:8" x14ac:dyDescent="0.2">
      <c r="B33" s="87">
        <f t="shared" si="0"/>
        <v>27</v>
      </c>
      <c r="C33" s="87">
        <v>12</v>
      </c>
      <c r="D33" s="87">
        <v>0</v>
      </c>
      <c r="E33" s="87">
        <v>184062.12</v>
      </c>
      <c r="F33" s="87">
        <v>101325</v>
      </c>
      <c r="G33" s="87">
        <f t="shared" si="1"/>
        <v>82737.119999999995</v>
      </c>
    </row>
    <row r="34" spans="2:8" x14ac:dyDescent="0.2">
      <c r="B34" s="87">
        <f t="shared" si="0"/>
        <v>28</v>
      </c>
      <c r="C34" s="87">
        <v>10</v>
      </c>
      <c r="D34" s="87">
        <v>0</v>
      </c>
      <c r="E34" s="87">
        <v>170272.6</v>
      </c>
      <c r="F34" s="87">
        <v>101325</v>
      </c>
      <c r="G34" s="87">
        <f t="shared" si="1"/>
        <v>68947.600000000006</v>
      </c>
    </row>
    <row r="35" spans="2:8" x14ac:dyDescent="0.2">
      <c r="B35" s="87">
        <f t="shared" si="0"/>
        <v>29</v>
      </c>
      <c r="C35" s="87">
        <v>9</v>
      </c>
      <c r="D35" s="87">
        <v>0</v>
      </c>
      <c r="E35" s="87">
        <v>163377.84</v>
      </c>
      <c r="F35" s="87">
        <v>101325</v>
      </c>
      <c r="G35" s="87">
        <f t="shared" si="1"/>
        <v>62052.84</v>
      </c>
    </row>
    <row r="36" spans="2:8" x14ac:dyDescent="0.2">
      <c r="B36" s="87">
        <f t="shared" si="0"/>
        <v>30</v>
      </c>
      <c r="C36" s="87">
        <v>8</v>
      </c>
      <c r="D36" s="87">
        <v>0</v>
      </c>
      <c r="E36" s="87">
        <v>156483.08000000002</v>
      </c>
      <c r="F36" s="87">
        <v>101325</v>
      </c>
      <c r="G36" s="87">
        <f t="shared" si="1"/>
        <v>55158.080000000016</v>
      </c>
    </row>
    <row r="37" spans="2:8" x14ac:dyDescent="0.2">
      <c r="B37" s="87">
        <f t="shared" si="0"/>
        <v>31</v>
      </c>
      <c r="C37" s="87">
        <v>7</v>
      </c>
      <c r="D37" s="87">
        <v>0</v>
      </c>
      <c r="E37" s="87">
        <v>149588.32</v>
      </c>
      <c r="F37" s="87">
        <v>101325</v>
      </c>
      <c r="G37" s="87">
        <f t="shared" si="1"/>
        <v>48263.320000000007</v>
      </c>
    </row>
    <row r="38" spans="2:8" x14ac:dyDescent="0.2">
      <c r="B38" s="87">
        <f t="shared" si="0"/>
        <v>32</v>
      </c>
      <c r="C38" s="87">
        <v>6</v>
      </c>
      <c r="D38" s="87">
        <v>0</v>
      </c>
      <c r="E38" s="87">
        <v>142693.56</v>
      </c>
      <c r="F38" s="87">
        <v>101325</v>
      </c>
      <c r="G38" s="87">
        <f t="shared" si="1"/>
        <v>41368.559999999998</v>
      </c>
      <c r="H38" s="28"/>
    </row>
    <row r="39" spans="2:8" x14ac:dyDescent="0.2">
      <c r="B39" s="87">
        <f t="shared" si="0"/>
        <v>33</v>
      </c>
      <c r="C39" s="87">
        <v>5</v>
      </c>
      <c r="D39" s="87">
        <v>0</v>
      </c>
      <c r="E39" s="87">
        <v>135798.79999999999</v>
      </c>
      <c r="F39" s="87">
        <v>101325</v>
      </c>
      <c r="G39" s="87">
        <f t="shared" si="1"/>
        <v>34473.799999999988</v>
      </c>
      <c r="H39" s="28"/>
    </row>
    <row r="40" spans="2:8" x14ac:dyDescent="0.2">
      <c r="B40" s="87">
        <f t="shared" si="0"/>
        <v>34</v>
      </c>
      <c r="C40" s="87">
        <v>5</v>
      </c>
      <c r="D40" s="87">
        <v>0</v>
      </c>
      <c r="E40" s="87">
        <v>135798.79999999999</v>
      </c>
      <c r="F40" s="87">
        <v>101325</v>
      </c>
      <c r="G40" s="87">
        <f t="shared" si="1"/>
        <v>34473.799999999988</v>
      </c>
    </row>
    <row r="41" spans="2:8" x14ac:dyDescent="0.2">
      <c r="B41" s="87">
        <f t="shared" si="0"/>
        <v>35</v>
      </c>
      <c r="C41" s="87">
        <v>4</v>
      </c>
      <c r="D41" s="87">
        <v>0</v>
      </c>
      <c r="E41" s="87">
        <v>128904.04000000001</v>
      </c>
      <c r="F41" s="87">
        <v>101325</v>
      </c>
      <c r="G41" s="87">
        <f t="shared" si="1"/>
        <v>27579.040000000008</v>
      </c>
    </row>
    <row r="42" spans="2:8" x14ac:dyDescent="0.2">
      <c r="B42" s="87">
        <f t="shared" si="0"/>
        <v>36</v>
      </c>
      <c r="C42" s="87">
        <v>4</v>
      </c>
      <c r="D42" s="87">
        <v>0</v>
      </c>
      <c r="E42" s="87">
        <v>128904.04000000001</v>
      </c>
      <c r="F42" s="87">
        <v>101325</v>
      </c>
      <c r="G42" s="87">
        <f t="shared" si="1"/>
        <v>27579.040000000008</v>
      </c>
    </row>
    <row r="43" spans="2:8" x14ac:dyDescent="0.2">
      <c r="B43" s="87">
        <f t="shared" si="0"/>
        <v>37</v>
      </c>
      <c r="C43" s="87">
        <v>3</v>
      </c>
      <c r="D43" s="87">
        <v>0</v>
      </c>
      <c r="E43" s="87">
        <v>122009.28</v>
      </c>
      <c r="F43" s="87">
        <v>101325</v>
      </c>
      <c r="G43" s="87">
        <f t="shared" si="1"/>
        <v>20684.28</v>
      </c>
    </row>
    <row r="44" spans="2:8" x14ac:dyDescent="0.2">
      <c r="B44" s="87">
        <f t="shared" si="0"/>
        <v>38</v>
      </c>
      <c r="C44" s="87">
        <v>3</v>
      </c>
      <c r="D44" s="87">
        <v>0</v>
      </c>
      <c r="E44" s="87">
        <v>122009.28</v>
      </c>
      <c r="F44" s="87">
        <v>101325</v>
      </c>
      <c r="G44" s="87">
        <f t="shared" si="1"/>
        <v>20684.28</v>
      </c>
    </row>
    <row r="45" spans="2:8" x14ac:dyDescent="0.2">
      <c r="B45" s="87">
        <f t="shared" si="0"/>
        <v>39</v>
      </c>
      <c r="C45" s="87">
        <v>3</v>
      </c>
      <c r="D45" s="87">
        <v>0</v>
      </c>
      <c r="E45" s="87">
        <v>122009.28</v>
      </c>
      <c r="F45" s="87">
        <v>101325</v>
      </c>
      <c r="G45" s="87">
        <f t="shared" si="1"/>
        <v>20684.28</v>
      </c>
    </row>
    <row r="46" spans="2:8" x14ac:dyDescent="0.2">
      <c r="B46" s="87">
        <f t="shared" si="0"/>
        <v>40</v>
      </c>
      <c r="C46" s="87">
        <v>2</v>
      </c>
      <c r="D46" s="87">
        <v>0</v>
      </c>
      <c r="E46" s="87">
        <v>115114.52</v>
      </c>
      <c r="F46" s="87">
        <v>101325</v>
      </c>
      <c r="G46" s="87">
        <f t="shared" si="1"/>
        <v>13789.520000000004</v>
      </c>
    </row>
    <row r="47" spans="2:8" x14ac:dyDescent="0.2">
      <c r="B47" s="87">
        <f t="shared" si="0"/>
        <v>41</v>
      </c>
      <c r="C47" s="87">
        <v>2</v>
      </c>
      <c r="D47" s="87">
        <v>0</v>
      </c>
      <c r="E47" s="87">
        <v>115114.52</v>
      </c>
      <c r="F47" s="87">
        <v>101325</v>
      </c>
      <c r="G47" s="87">
        <f t="shared" si="1"/>
        <v>13789.520000000004</v>
      </c>
    </row>
    <row r="48" spans="2:8" x14ac:dyDescent="0.2">
      <c r="B48" s="87">
        <f t="shared" si="0"/>
        <v>42</v>
      </c>
      <c r="C48" s="87">
        <v>2</v>
      </c>
      <c r="D48" s="87">
        <v>0</v>
      </c>
      <c r="E48" s="87">
        <v>115114.52</v>
      </c>
      <c r="F48" s="87">
        <v>101325</v>
      </c>
      <c r="G48" s="87">
        <f t="shared" si="1"/>
        <v>13789.520000000004</v>
      </c>
    </row>
    <row r="49" spans="2:7" x14ac:dyDescent="0.2">
      <c r="B49" s="87">
        <f t="shared" si="0"/>
        <v>43</v>
      </c>
      <c r="C49" s="87">
        <v>2</v>
      </c>
      <c r="D49" s="87">
        <v>0</v>
      </c>
      <c r="E49" s="87">
        <v>115114.52</v>
      </c>
      <c r="F49" s="87">
        <v>101325</v>
      </c>
      <c r="G49" s="87">
        <f t="shared" si="1"/>
        <v>13789.520000000004</v>
      </c>
    </row>
    <row r="50" spans="2:7" x14ac:dyDescent="0.2">
      <c r="B50" s="87">
        <f t="shared" si="0"/>
        <v>44</v>
      </c>
      <c r="C50" s="87">
        <v>2</v>
      </c>
      <c r="D50" s="87">
        <v>0</v>
      </c>
      <c r="E50" s="87">
        <v>115114.52</v>
      </c>
      <c r="F50" s="87">
        <v>101325</v>
      </c>
      <c r="G50" s="87">
        <f t="shared" si="1"/>
        <v>13789.520000000004</v>
      </c>
    </row>
    <row r="51" spans="2:7" x14ac:dyDescent="0.2">
      <c r="B51" s="87">
        <f t="shared" si="0"/>
        <v>45</v>
      </c>
      <c r="C51" s="87">
        <v>1</v>
      </c>
      <c r="D51" s="87">
        <v>0</v>
      </c>
      <c r="E51" s="87">
        <v>108219.76</v>
      </c>
      <c r="F51" s="87">
        <v>101325</v>
      </c>
      <c r="G51" s="87">
        <f t="shared" si="1"/>
        <v>6894.7599999999948</v>
      </c>
    </row>
    <row r="52" spans="2:7" x14ac:dyDescent="0.2">
      <c r="B52" s="87">
        <f t="shared" si="0"/>
        <v>46</v>
      </c>
      <c r="C52" s="87">
        <v>1</v>
      </c>
      <c r="D52" s="87">
        <v>0</v>
      </c>
      <c r="E52" s="87">
        <v>108219.76</v>
      </c>
      <c r="F52" s="87">
        <v>101325</v>
      </c>
      <c r="G52" s="87">
        <f t="shared" si="1"/>
        <v>6894.7599999999948</v>
      </c>
    </row>
    <row r="53" spans="2:7" x14ac:dyDescent="0.2">
      <c r="B53" s="87">
        <f t="shared" si="0"/>
        <v>47</v>
      </c>
      <c r="C53" s="87">
        <v>1</v>
      </c>
      <c r="D53" s="87">
        <v>0</v>
      </c>
      <c r="E53" s="87">
        <v>108219.76</v>
      </c>
      <c r="F53" s="87">
        <v>101325</v>
      </c>
      <c r="G53" s="87">
        <f t="shared" si="1"/>
        <v>6894.7599999999948</v>
      </c>
    </row>
    <row r="54" spans="2:7" x14ac:dyDescent="0.2">
      <c r="B54" s="87">
        <f t="shared" si="0"/>
        <v>48</v>
      </c>
      <c r="C54" s="87">
        <v>1</v>
      </c>
      <c r="D54" s="87">
        <v>0</v>
      </c>
      <c r="E54" s="87">
        <v>108219.76</v>
      </c>
      <c r="F54" s="87">
        <v>101325</v>
      </c>
      <c r="G54" s="87">
        <f t="shared" si="1"/>
        <v>6894.7599999999948</v>
      </c>
    </row>
    <row r="55" spans="2:7" x14ac:dyDescent="0.2">
      <c r="B55" s="87">
        <f t="shared" si="0"/>
        <v>49</v>
      </c>
      <c r="C55" s="87">
        <v>1</v>
      </c>
      <c r="D55" s="87">
        <v>0</v>
      </c>
      <c r="E55" s="87">
        <v>108219.76</v>
      </c>
      <c r="F55" s="87">
        <v>101325</v>
      </c>
      <c r="G55" s="87">
        <f t="shared" si="1"/>
        <v>6894.7599999999948</v>
      </c>
    </row>
    <row r="56" spans="2:7" x14ac:dyDescent="0.2">
      <c r="B56" s="87">
        <f t="shared" si="0"/>
        <v>50</v>
      </c>
      <c r="C56" s="87">
        <v>1</v>
      </c>
      <c r="D56" s="87">
        <v>0</v>
      </c>
      <c r="E56" s="87">
        <v>108219.76</v>
      </c>
      <c r="F56" s="87">
        <v>101325</v>
      </c>
      <c r="G56" s="87">
        <f t="shared" si="1"/>
        <v>6894.7599999999948</v>
      </c>
    </row>
    <row r="57" spans="2:7" x14ac:dyDescent="0.2">
      <c r="B57" s="87">
        <f t="shared" si="0"/>
        <v>51</v>
      </c>
      <c r="C57" s="87">
        <v>1</v>
      </c>
      <c r="D57" s="87">
        <v>0</v>
      </c>
      <c r="E57" s="87">
        <v>108219.76</v>
      </c>
      <c r="F57" s="87">
        <v>101325</v>
      </c>
      <c r="G57" s="87">
        <f t="shared" si="1"/>
        <v>6894.7599999999948</v>
      </c>
    </row>
    <row r="58" spans="2:7" x14ac:dyDescent="0.2">
      <c r="B58" s="87">
        <f t="shared" si="0"/>
        <v>52</v>
      </c>
      <c r="C58" s="87">
        <v>1</v>
      </c>
      <c r="D58" s="87">
        <v>0</v>
      </c>
      <c r="E58" s="87">
        <v>108219.76</v>
      </c>
      <c r="F58" s="87">
        <v>101325</v>
      </c>
      <c r="G58" s="87">
        <f t="shared" si="1"/>
        <v>6894.7599999999948</v>
      </c>
    </row>
    <row r="59" spans="2:7" x14ac:dyDescent="0.2">
      <c r="B59" s="87">
        <f t="shared" si="0"/>
        <v>53</v>
      </c>
      <c r="C59" s="87">
        <v>1</v>
      </c>
      <c r="D59" s="87">
        <v>0</v>
      </c>
      <c r="E59" s="87">
        <v>108219.76</v>
      </c>
      <c r="F59" s="87">
        <v>101325</v>
      </c>
      <c r="G59" s="87">
        <f t="shared" si="1"/>
        <v>6894.7599999999948</v>
      </c>
    </row>
    <row r="60" spans="2:7" x14ac:dyDescent="0.2">
      <c r="B60" s="87">
        <f t="shared" si="0"/>
        <v>54</v>
      </c>
      <c r="C60" s="87">
        <v>0</v>
      </c>
      <c r="D60" s="87">
        <v>0</v>
      </c>
      <c r="E60" s="87">
        <v>101325</v>
      </c>
      <c r="F60" s="87">
        <v>101325</v>
      </c>
      <c r="G60" s="87">
        <f t="shared" si="1"/>
        <v>0</v>
      </c>
    </row>
    <row r="61" spans="2:7" x14ac:dyDescent="0.2">
      <c r="B61" s="87">
        <f t="shared" si="0"/>
        <v>55</v>
      </c>
      <c r="C61" s="87">
        <v>0</v>
      </c>
      <c r="D61" s="87">
        <v>0</v>
      </c>
      <c r="E61" s="87">
        <v>101325</v>
      </c>
      <c r="F61" s="87">
        <v>101325</v>
      </c>
      <c r="G61" s="87">
        <f t="shared" si="1"/>
        <v>0</v>
      </c>
    </row>
    <row r="69" spans="2:5" x14ac:dyDescent="0.2">
      <c r="B69" s="123" t="s">
        <v>67</v>
      </c>
      <c r="C69" s="123"/>
      <c r="D69" s="123"/>
      <c r="E69" s="123"/>
    </row>
    <row r="70" spans="2:5" x14ac:dyDescent="0.2">
      <c r="B70" s="30" t="s">
        <v>78</v>
      </c>
      <c r="C70" s="30" t="s">
        <v>79</v>
      </c>
      <c r="D70" s="30" t="s">
        <v>80</v>
      </c>
      <c r="E70" s="30" t="s">
        <v>81</v>
      </c>
    </row>
    <row r="71" spans="2:5" x14ac:dyDescent="0.2">
      <c r="B71" s="30">
        <v>0</v>
      </c>
      <c r="C71" s="30">
        <v>5699870</v>
      </c>
      <c r="D71" s="30">
        <v>5699870</v>
      </c>
      <c r="E71" s="30">
        <v>5699870</v>
      </c>
    </row>
    <row r="72" spans="2:5" x14ac:dyDescent="0.2">
      <c r="B72" s="30">
        <f>B71+1</f>
        <v>1</v>
      </c>
      <c r="C72" s="30">
        <v>2218016</v>
      </c>
      <c r="D72" s="30">
        <v>5386503.1399999997</v>
      </c>
      <c r="E72" s="30">
        <v>5699870</v>
      </c>
    </row>
    <row r="73" spans="2:5" x14ac:dyDescent="0.2">
      <c r="B73" s="30">
        <f t="shared" ref="B73:B121" si="2">B72+1</f>
        <v>2</v>
      </c>
      <c r="C73" s="30">
        <v>880433</v>
      </c>
      <c r="D73" s="30">
        <v>4153875.4118817998</v>
      </c>
      <c r="E73" s="30">
        <v>4477622.4636064004</v>
      </c>
    </row>
    <row r="74" spans="2:5" x14ac:dyDescent="0.2">
      <c r="B74" s="30">
        <f t="shared" si="2"/>
        <v>3</v>
      </c>
      <c r="C74" s="30">
        <v>390905</v>
      </c>
      <c r="D74" s="30">
        <v>3231075.7282836</v>
      </c>
      <c r="E74" s="30">
        <v>3511971.7343775998</v>
      </c>
    </row>
    <row r="75" spans="2:5" x14ac:dyDescent="0.2">
      <c r="B75" s="30">
        <f t="shared" si="2"/>
        <v>4</v>
      </c>
      <c r="C75" s="30">
        <v>239220</v>
      </c>
      <c r="D75" s="30">
        <v>2660525.7426009001</v>
      </c>
      <c r="E75" s="30">
        <v>2899995.5413197</v>
      </c>
    </row>
    <row r="76" spans="2:5" x14ac:dyDescent="0.2">
      <c r="B76" s="30">
        <f t="shared" si="2"/>
        <v>5</v>
      </c>
      <c r="C76" s="30">
        <v>163378</v>
      </c>
      <c r="D76" s="30">
        <v>2267880.6075204001</v>
      </c>
      <c r="E76" s="30">
        <v>2476018.2280444</v>
      </c>
    </row>
    <row r="77" spans="2:5" x14ac:dyDescent="0.2">
      <c r="B77" s="30">
        <f t="shared" si="2"/>
        <v>6</v>
      </c>
      <c r="C77" s="30">
        <v>128904</v>
      </c>
      <c r="D77" s="30">
        <v>1981903.3133113999</v>
      </c>
      <c r="E77" s="30">
        <v>2165166.9816609002</v>
      </c>
    </row>
    <row r="78" spans="2:5" x14ac:dyDescent="0.2">
      <c r="B78" s="30">
        <f t="shared" si="2"/>
        <v>7</v>
      </c>
      <c r="C78" s="30">
        <v>115115</v>
      </c>
      <c r="D78" s="30">
        <v>1751332.0402301</v>
      </c>
      <c r="E78" s="30">
        <v>1913155.7035496</v>
      </c>
    </row>
    <row r="79" spans="2:5" x14ac:dyDescent="0.2">
      <c r="B79" s="30">
        <f t="shared" si="2"/>
        <v>8</v>
      </c>
      <c r="C79" s="30">
        <v>108220</v>
      </c>
      <c r="D79" s="30">
        <v>1546449.6156121001</v>
      </c>
      <c r="E79" s="30">
        <v>1688692.1050682</v>
      </c>
    </row>
    <row r="80" spans="2:5" x14ac:dyDescent="0.2">
      <c r="B80" s="30">
        <f t="shared" si="2"/>
        <v>9</v>
      </c>
      <c r="C80" s="30">
        <v>108220</v>
      </c>
      <c r="D80" s="30">
        <v>1357574.3339317001</v>
      </c>
      <c r="E80" s="30">
        <v>1481136.8504744</v>
      </c>
    </row>
    <row r="81" spans="2:5" x14ac:dyDescent="0.2">
      <c r="B81" s="30">
        <f t="shared" si="2"/>
        <v>10</v>
      </c>
      <c r="C81" s="30">
        <v>101325</v>
      </c>
      <c r="D81" s="30">
        <v>1175254.9772248</v>
      </c>
      <c r="E81" s="30">
        <v>1281467.8321152001</v>
      </c>
    </row>
    <row r="82" spans="2:5" x14ac:dyDescent="0.2">
      <c r="B82" s="30">
        <f t="shared" si="2"/>
        <v>11</v>
      </c>
      <c r="C82" s="30">
        <v>101325</v>
      </c>
      <c r="D82" s="30">
        <v>1009626.2657914</v>
      </c>
      <c r="E82" s="30">
        <v>1099458.2591114</v>
      </c>
    </row>
    <row r="83" spans="2:5" x14ac:dyDescent="0.2">
      <c r="B83" s="30">
        <f t="shared" si="2"/>
        <v>12</v>
      </c>
      <c r="C83" s="30">
        <v>101325</v>
      </c>
      <c r="D83" s="30">
        <v>853537.11268612999</v>
      </c>
      <c r="E83" s="30">
        <v>927931.71723750001</v>
      </c>
    </row>
    <row r="84" spans="2:5" x14ac:dyDescent="0.2">
      <c r="B84" s="30">
        <f t="shared" si="2"/>
        <v>13</v>
      </c>
      <c r="C84" s="30">
        <v>101325</v>
      </c>
      <c r="D84" s="30">
        <v>709402.37174603995</v>
      </c>
      <c r="E84" s="30">
        <v>769541.89202862</v>
      </c>
    </row>
    <row r="85" spans="2:5" x14ac:dyDescent="0.2">
      <c r="B85" s="30">
        <f t="shared" si="2"/>
        <v>14</v>
      </c>
      <c r="C85" s="30">
        <v>101325</v>
      </c>
      <c r="D85" s="30">
        <v>579953.77870725002</v>
      </c>
      <c r="E85" s="30">
        <v>627290.69088709005</v>
      </c>
    </row>
    <row r="86" spans="2:5" x14ac:dyDescent="0.2">
      <c r="B86" s="30">
        <f t="shared" si="2"/>
        <v>15</v>
      </c>
      <c r="C86" s="30">
        <v>101325</v>
      </c>
      <c r="D86" s="30">
        <v>467807.08613051998</v>
      </c>
      <c r="E86" s="30">
        <v>504052.56717639999</v>
      </c>
    </row>
    <row r="87" spans="2:5" x14ac:dyDescent="0.2">
      <c r="B87" s="30">
        <f t="shared" si="2"/>
        <v>16</v>
      </c>
      <c r="C87" s="30">
        <v>101325</v>
      </c>
      <c r="D87" s="30">
        <v>374704.19361757999</v>
      </c>
      <c r="E87" s="30">
        <v>401741.69628305</v>
      </c>
    </row>
    <row r="88" spans="2:5" x14ac:dyDescent="0.2">
      <c r="B88" s="30">
        <f t="shared" si="2"/>
        <v>17</v>
      </c>
      <c r="C88" s="30">
        <v>101325</v>
      </c>
      <c r="D88" s="30">
        <v>300781.06341055001</v>
      </c>
      <c r="E88" s="30">
        <v>320507.48726433999</v>
      </c>
    </row>
    <row r="89" spans="2:5" x14ac:dyDescent="0.2">
      <c r="B89" s="30">
        <f t="shared" si="2"/>
        <v>18</v>
      </c>
      <c r="C89" s="30">
        <v>101325</v>
      </c>
      <c r="D89" s="30">
        <v>244415.63736115</v>
      </c>
      <c r="E89" s="30">
        <v>258567.45863862999</v>
      </c>
    </row>
    <row r="90" spans="2:5" x14ac:dyDescent="0.2">
      <c r="B90" s="30">
        <f t="shared" si="2"/>
        <v>19</v>
      </c>
      <c r="C90" s="30">
        <v>101325</v>
      </c>
      <c r="D90" s="30">
        <v>202795.74811625999</v>
      </c>
      <c r="E90" s="30">
        <v>212831.31661127001</v>
      </c>
    </row>
    <row r="91" spans="2:5" x14ac:dyDescent="0.2">
      <c r="B91" s="30">
        <f t="shared" si="2"/>
        <v>20</v>
      </c>
      <c r="C91" s="30">
        <v>101325</v>
      </c>
      <c r="D91" s="30">
        <v>172754.33826851001</v>
      </c>
      <c r="E91" s="30">
        <v>179818.77831704999</v>
      </c>
    </row>
    <row r="92" spans="2:5" x14ac:dyDescent="0.2">
      <c r="B92" s="30">
        <f t="shared" si="2"/>
        <v>21</v>
      </c>
      <c r="C92" s="30">
        <v>101325</v>
      </c>
      <c r="D92" s="30">
        <v>151387.80311702</v>
      </c>
      <c r="E92" s="30">
        <v>156339.06935937001</v>
      </c>
    </row>
    <row r="93" spans="2:5" x14ac:dyDescent="0.2">
      <c r="B93" s="30">
        <f t="shared" si="2"/>
        <v>22</v>
      </c>
      <c r="C93" s="30">
        <v>101325</v>
      </c>
      <c r="D93" s="30">
        <v>136326.93764577</v>
      </c>
      <c r="E93" s="30">
        <v>139788.66774261001</v>
      </c>
    </row>
    <row r="94" spans="2:5" x14ac:dyDescent="0.2">
      <c r="B94" s="30">
        <f t="shared" si="2"/>
        <v>23</v>
      </c>
      <c r="C94" s="30">
        <v>101325</v>
      </c>
      <c r="D94" s="30">
        <v>125765.68308459999</v>
      </c>
      <c r="E94" s="30">
        <v>128182.89349956</v>
      </c>
    </row>
    <row r="95" spans="2:5" x14ac:dyDescent="0.2">
      <c r="B95" s="30">
        <f t="shared" si="2"/>
        <v>24</v>
      </c>
      <c r="C95" s="30">
        <v>101325</v>
      </c>
      <c r="D95" s="30">
        <v>118380.72824108999</v>
      </c>
      <c r="E95" s="30">
        <v>120067.55850668999</v>
      </c>
    </row>
    <row r="96" spans="2:5" x14ac:dyDescent="0.2">
      <c r="B96" s="30">
        <f t="shared" si="2"/>
        <v>25</v>
      </c>
      <c r="C96" s="30">
        <v>101325</v>
      </c>
      <c r="D96" s="30">
        <v>113224.33894954</v>
      </c>
      <c r="E96" s="30">
        <v>114401.19664785</v>
      </c>
    </row>
    <row r="97" spans="2:5" x14ac:dyDescent="0.2">
      <c r="B97" s="30">
        <f t="shared" si="2"/>
        <v>26</v>
      </c>
      <c r="C97" s="30">
        <v>101325</v>
      </c>
      <c r="D97" s="30">
        <v>109626.45617794</v>
      </c>
      <c r="E97" s="30">
        <v>110447.47931641999</v>
      </c>
    </row>
    <row r="98" spans="2:5" x14ac:dyDescent="0.2">
      <c r="B98" s="30">
        <f t="shared" si="2"/>
        <v>27</v>
      </c>
      <c r="C98" s="30">
        <v>101325</v>
      </c>
      <c r="D98" s="30">
        <v>107116.68535791</v>
      </c>
      <c r="E98" s="30">
        <v>107689.48940429</v>
      </c>
    </row>
    <row r="99" spans="2:5" x14ac:dyDescent="0.2">
      <c r="B99" s="30">
        <f t="shared" si="2"/>
        <v>28</v>
      </c>
      <c r="C99" s="30">
        <v>101325</v>
      </c>
      <c r="D99" s="30">
        <v>105366.03253993001</v>
      </c>
      <c r="E99" s="30">
        <v>105765.69509882</v>
      </c>
    </row>
    <row r="100" spans="2:5" x14ac:dyDescent="0.2">
      <c r="B100" s="30">
        <f t="shared" si="2"/>
        <v>29</v>
      </c>
      <c r="C100" s="30">
        <v>101325</v>
      </c>
      <c r="D100" s="30">
        <v>104144.82708174</v>
      </c>
      <c r="E100" s="30">
        <v>104423.71107884</v>
      </c>
    </row>
    <row r="101" spans="2:5" x14ac:dyDescent="0.2">
      <c r="B101" s="30">
        <f t="shared" si="2"/>
        <v>30</v>
      </c>
      <c r="C101" s="30">
        <v>101325</v>
      </c>
      <c r="D101" s="30">
        <v>103292.86604614</v>
      </c>
      <c r="E101" s="30">
        <v>103487.49016058999</v>
      </c>
    </row>
    <row r="102" spans="2:5" x14ac:dyDescent="0.2">
      <c r="B102" s="30">
        <f t="shared" si="2"/>
        <v>31</v>
      </c>
      <c r="C102" s="30">
        <v>101325</v>
      </c>
      <c r="D102" s="30">
        <v>102698.43933525</v>
      </c>
      <c r="E102" s="30">
        <v>102834.27399478</v>
      </c>
    </row>
    <row r="103" spans="2:5" x14ac:dyDescent="0.2">
      <c r="B103" s="30">
        <f t="shared" si="2"/>
        <v>32</v>
      </c>
      <c r="C103" s="30">
        <v>101325</v>
      </c>
      <c r="D103" s="30">
        <v>102283.65298869</v>
      </c>
      <c r="E103" s="30">
        <v>102378.46482274</v>
      </c>
    </row>
    <row r="104" spans="2:5" x14ac:dyDescent="0.2">
      <c r="B104" s="30">
        <f t="shared" si="2"/>
        <v>33</v>
      </c>
      <c r="C104" s="30">
        <v>101325</v>
      </c>
      <c r="D104" s="30">
        <v>101994.18825712999</v>
      </c>
      <c r="E104" s="30">
        <v>102060.37171113001</v>
      </c>
    </row>
    <row r="105" spans="2:5" x14ac:dyDescent="0.2">
      <c r="B105" s="30">
        <f t="shared" si="2"/>
        <v>34</v>
      </c>
      <c r="C105" s="30">
        <v>101325</v>
      </c>
      <c r="D105" s="30">
        <v>101792.161622</v>
      </c>
      <c r="E105" s="30">
        <v>101838.36441978</v>
      </c>
    </row>
    <row r="106" spans="2:5" x14ac:dyDescent="0.2">
      <c r="B106" s="30">
        <f t="shared" si="2"/>
        <v>35</v>
      </c>
      <c r="C106" s="30">
        <v>101325</v>
      </c>
      <c r="D106" s="30">
        <v>101651.14962439</v>
      </c>
      <c r="E106" s="30">
        <v>101683.40618065</v>
      </c>
    </row>
    <row r="107" spans="2:5" x14ac:dyDescent="0.2">
      <c r="B107" s="30">
        <f t="shared" si="2"/>
        <v>36</v>
      </c>
      <c r="C107" s="30">
        <v>101325</v>
      </c>
      <c r="D107" s="30">
        <v>101552.71582831</v>
      </c>
      <c r="E107" s="30">
        <v>101575.23717397</v>
      </c>
    </row>
    <row r="108" spans="2:5" x14ac:dyDescent="0.2">
      <c r="B108" s="30">
        <f t="shared" si="2"/>
        <v>37</v>
      </c>
      <c r="C108" s="30">
        <v>101325</v>
      </c>
      <c r="D108" s="30">
        <v>101483.99877142999</v>
      </c>
      <c r="E108" s="30">
        <v>101499.72392465</v>
      </c>
    </row>
    <row r="109" spans="2:5" x14ac:dyDescent="0.2">
      <c r="B109" s="30">
        <f t="shared" si="2"/>
        <v>38</v>
      </c>
      <c r="C109" s="30">
        <v>101325</v>
      </c>
      <c r="D109" s="30">
        <v>101436.02385110001</v>
      </c>
      <c r="E109" s="30">
        <v>101447.00423198</v>
      </c>
    </row>
    <row r="110" spans="2:5" x14ac:dyDescent="0.2">
      <c r="B110" s="30">
        <f t="shared" si="2"/>
        <v>39</v>
      </c>
      <c r="C110" s="30">
        <v>101325</v>
      </c>
      <c r="D110" s="30">
        <v>101402.52801505</v>
      </c>
      <c r="E110" s="30">
        <v>101410.19562093999</v>
      </c>
    </row>
    <row r="111" spans="2:5" x14ac:dyDescent="0.2">
      <c r="B111" s="30">
        <f t="shared" si="2"/>
        <v>40</v>
      </c>
      <c r="C111" s="30">
        <v>101325</v>
      </c>
      <c r="D111" s="30">
        <v>101379.14008120001</v>
      </c>
      <c r="E111" s="30">
        <v>101384.49459473</v>
      </c>
    </row>
    <row r="112" spans="2:5" x14ac:dyDescent="0.2">
      <c r="B112" s="30">
        <f t="shared" si="2"/>
        <v>41</v>
      </c>
      <c r="C112" s="30">
        <v>101325</v>
      </c>
      <c r="D112" s="30">
        <v>101362.81046232001</v>
      </c>
      <c r="E112" s="30">
        <v>101366.54995859</v>
      </c>
    </row>
    <row r="113" spans="2:5" x14ac:dyDescent="0.2">
      <c r="B113" s="30">
        <f t="shared" si="2"/>
        <v>42</v>
      </c>
      <c r="C113" s="30">
        <v>101325</v>
      </c>
      <c r="D113" s="30">
        <v>101351.40700996001</v>
      </c>
      <c r="E113" s="30">
        <v>101354.01869226</v>
      </c>
    </row>
    <row r="114" spans="2:5" x14ac:dyDescent="0.2">
      <c r="B114" s="30">
        <f t="shared" si="2"/>
        <v>43</v>
      </c>
      <c r="C114" s="30">
        <v>101325</v>
      </c>
      <c r="D114" s="30">
        <v>101343.4433118</v>
      </c>
      <c r="E114" s="30">
        <v>101345.2673756</v>
      </c>
    </row>
    <row r="115" spans="2:5" x14ac:dyDescent="0.2">
      <c r="B115" s="30">
        <f t="shared" si="2"/>
        <v>44</v>
      </c>
      <c r="C115" s="30">
        <v>101325</v>
      </c>
      <c r="D115" s="30">
        <v>101337.88158746</v>
      </c>
      <c r="E115" s="30">
        <v>101339.15559061</v>
      </c>
    </row>
    <row r="116" spans="2:5" x14ac:dyDescent="0.2">
      <c r="B116" s="30">
        <f t="shared" si="2"/>
        <v>45</v>
      </c>
      <c r="C116" s="30">
        <v>101325</v>
      </c>
      <c r="D116" s="30">
        <v>101333.99723577</v>
      </c>
      <c r="E116" s="30">
        <v>101334.88707226999</v>
      </c>
    </row>
    <row r="117" spans="2:5" x14ac:dyDescent="0.2">
      <c r="B117" s="30">
        <f t="shared" si="2"/>
        <v>46</v>
      </c>
      <c r="C117" s="30">
        <v>101325</v>
      </c>
      <c r="D117" s="30">
        <v>101331.28429501</v>
      </c>
      <c r="E117" s="30">
        <v>101331.90581868999</v>
      </c>
    </row>
    <row r="118" spans="2:5" x14ac:dyDescent="0.2">
      <c r="B118" s="30">
        <f t="shared" si="2"/>
        <v>47</v>
      </c>
      <c r="C118" s="30">
        <v>101325</v>
      </c>
      <c r="D118" s="30">
        <v>101329.38945255001</v>
      </c>
      <c r="E118" s="30">
        <v>101329.82357424</v>
      </c>
    </row>
    <row r="119" spans="2:5" x14ac:dyDescent="0.2">
      <c r="B119" s="30">
        <f t="shared" si="2"/>
        <v>48</v>
      </c>
      <c r="C119" s="30">
        <v>101325</v>
      </c>
      <c r="D119" s="30">
        <v>101328.06716999</v>
      </c>
      <c r="E119" s="30">
        <v>101328.37051646999</v>
      </c>
    </row>
    <row r="120" spans="2:5" x14ac:dyDescent="0.2">
      <c r="B120" s="30">
        <f t="shared" si="2"/>
        <v>49</v>
      </c>
      <c r="C120" s="30">
        <v>101325</v>
      </c>
      <c r="D120" s="30">
        <v>101327.14323124</v>
      </c>
      <c r="E120" s="30">
        <v>101327.35519916</v>
      </c>
    </row>
    <row r="121" spans="2:5" x14ac:dyDescent="0.2">
      <c r="B121" s="30">
        <f t="shared" si="2"/>
        <v>50</v>
      </c>
      <c r="C121" s="30">
        <v>101325</v>
      </c>
      <c r="D121" s="30">
        <v>101326.49762371001</v>
      </c>
      <c r="E121" s="30">
        <v>101326.64574034</v>
      </c>
    </row>
  </sheetData>
  <mergeCells count="4">
    <mergeCell ref="B2:G2"/>
    <mergeCell ref="I2:K2"/>
    <mergeCell ref="B4:B5"/>
    <mergeCell ref="B69:E6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3F7F0-DD75-5D4D-982D-6A114AC75FE1}">
  <dimension ref="B1:K125"/>
  <sheetViews>
    <sheetView zoomScale="124" workbookViewId="0">
      <selection activeCell="I60" sqref="I60"/>
    </sheetView>
  </sheetViews>
  <sheetFormatPr baseColWidth="10" defaultRowHeight="15" x14ac:dyDescent="0.2"/>
  <cols>
    <col min="2" max="5" width="15.83203125" customWidth="1"/>
    <col min="6" max="6" width="15.83203125" style="1" customWidth="1"/>
    <col min="7" max="7" width="15.83203125" customWidth="1"/>
    <col min="9" max="13" width="25.83203125" customWidth="1"/>
  </cols>
  <sheetData>
    <row r="1" spans="2:11" ht="16" thickBot="1" x14ac:dyDescent="0.25"/>
    <row r="2" spans="2:11" ht="16" thickBot="1" x14ac:dyDescent="0.25">
      <c r="B2" s="135" t="s">
        <v>85</v>
      </c>
      <c r="C2" s="135"/>
      <c r="D2" s="135"/>
      <c r="E2" s="135"/>
      <c r="F2" s="135"/>
      <c r="G2" s="135"/>
      <c r="I2" s="127" t="s">
        <v>40</v>
      </c>
      <c r="J2" s="128"/>
      <c r="K2" s="129"/>
    </row>
    <row r="3" spans="2:11" x14ac:dyDescent="0.2">
      <c r="B3" s="11" t="s">
        <v>34</v>
      </c>
      <c r="C3" s="14" t="s">
        <v>4</v>
      </c>
      <c r="D3" s="15" t="s">
        <v>7</v>
      </c>
      <c r="E3" s="14" t="s">
        <v>4</v>
      </c>
      <c r="F3" s="15" t="s">
        <v>7</v>
      </c>
      <c r="G3" s="32" t="s">
        <v>51</v>
      </c>
      <c r="I3" s="44" t="s">
        <v>21</v>
      </c>
      <c r="J3" s="26">
        <f xml:space="preserve"> 0.328*25.4*10^(-3)/2</f>
        <v>4.1655999999999993E-3</v>
      </c>
      <c r="K3" s="27" t="s">
        <v>28</v>
      </c>
    </row>
    <row r="4" spans="2:11" x14ac:dyDescent="0.2">
      <c r="B4" s="115" t="s">
        <v>35</v>
      </c>
      <c r="C4" s="16" t="s">
        <v>5</v>
      </c>
      <c r="D4" s="16" t="s">
        <v>5</v>
      </c>
      <c r="E4" s="16" t="s">
        <v>36</v>
      </c>
      <c r="F4" s="16" t="s">
        <v>36</v>
      </c>
      <c r="G4" s="16" t="s">
        <v>36</v>
      </c>
      <c r="I4" s="45" t="s">
        <v>22</v>
      </c>
      <c r="J4" s="18">
        <f xml:space="preserve"> 7.94*10^(-3)</f>
        <v>7.9400000000000009E-3</v>
      </c>
      <c r="K4" s="21" t="s">
        <v>28</v>
      </c>
    </row>
    <row r="5" spans="2:11" x14ac:dyDescent="0.2">
      <c r="B5" s="115"/>
      <c r="C5" s="16" t="s">
        <v>14</v>
      </c>
      <c r="D5" s="16" t="s">
        <v>14</v>
      </c>
      <c r="E5" s="16" t="s">
        <v>14</v>
      </c>
      <c r="F5" s="16" t="s">
        <v>14</v>
      </c>
      <c r="G5" s="16" t="s">
        <v>14</v>
      </c>
      <c r="I5" s="45" t="s">
        <v>23</v>
      </c>
      <c r="J5" s="18">
        <f>J4*PI()*J3^2</f>
        <v>4.3283812240392796E-7</v>
      </c>
      <c r="K5" s="21" t="s">
        <v>27</v>
      </c>
    </row>
    <row r="6" spans="2:11" x14ac:dyDescent="0.2">
      <c r="B6" s="9">
        <v>0</v>
      </c>
      <c r="C6" s="99">
        <v>990</v>
      </c>
      <c r="D6" s="100">
        <v>991</v>
      </c>
      <c r="E6" s="100">
        <v>6927137</v>
      </c>
      <c r="F6" s="100">
        <v>6934032</v>
      </c>
      <c r="G6" s="9">
        <f>-(F6-E6)</f>
        <v>-6895</v>
      </c>
      <c r="I6" s="45" t="s">
        <v>24</v>
      </c>
      <c r="J6" s="18">
        <f>25.08*10^(-9)/4</f>
        <v>6.2700000000000001E-9</v>
      </c>
      <c r="K6" s="21" t="s">
        <v>27</v>
      </c>
    </row>
    <row r="7" spans="2:11" x14ac:dyDescent="0.2">
      <c r="B7" s="9">
        <f t="shared" ref="B7:B65" si="0">B6+1</f>
        <v>1</v>
      </c>
      <c r="C7" s="101">
        <v>989</v>
      </c>
      <c r="D7" s="102">
        <v>990</v>
      </c>
      <c r="E7" s="102">
        <v>6920243</v>
      </c>
      <c r="F7" s="102">
        <v>6927137</v>
      </c>
      <c r="G7" s="9">
        <f t="shared" ref="G7:G65" si="1">-(F7-E7)</f>
        <v>-6894</v>
      </c>
      <c r="I7" s="45" t="s">
        <v>25</v>
      </c>
      <c r="J7" s="18">
        <f>J6/J5</f>
        <v>1.4485785044018804E-2</v>
      </c>
      <c r="K7" s="21" t="s">
        <v>26</v>
      </c>
    </row>
    <row r="8" spans="2:11" x14ac:dyDescent="0.2">
      <c r="B8" s="9">
        <f t="shared" si="0"/>
        <v>2</v>
      </c>
      <c r="C8" s="101">
        <v>989</v>
      </c>
      <c r="D8" s="102">
        <v>990</v>
      </c>
      <c r="E8" s="102">
        <v>6920243</v>
      </c>
      <c r="F8" s="102">
        <v>6927137</v>
      </c>
      <c r="G8" s="9">
        <f t="shared" si="1"/>
        <v>-6894</v>
      </c>
      <c r="I8" s="45" t="s">
        <v>39</v>
      </c>
      <c r="J8" s="18">
        <f>J3^2*PI()</f>
        <v>5.4513617431225171E-5</v>
      </c>
      <c r="K8" s="21" t="s">
        <v>41</v>
      </c>
    </row>
    <row r="9" spans="2:11" x14ac:dyDescent="0.2">
      <c r="B9" s="9">
        <f t="shared" si="0"/>
        <v>3</v>
      </c>
      <c r="C9" s="101">
        <v>925</v>
      </c>
      <c r="D9" s="102">
        <v>420</v>
      </c>
      <c r="E9" s="102">
        <v>6478978</v>
      </c>
      <c r="F9" s="102">
        <v>2997124</v>
      </c>
      <c r="G9" s="9">
        <f t="shared" si="1"/>
        <v>3481854</v>
      </c>
      <c r="I9" s="45" t="s">
        <v>37</v>
      </c>
      <c r="J9" s="18">
        <f>7.94*4*0.001</f>
        <v>3.1760000000000004E-2</v>
      </c>
      <c r="K9" s="21" t="s">
        <v>28</v>
      </c>
    </row>
    <row r="10" spans="2:11" x14ac:dyDescent="0.2">
      <c r="B10" s="9">
        <f t="shared" si="0"/>
        <v>4</v>
      </c>
      <c r="C10" s="101">
        <v>794</v>
      </c>
      <c r="D10" s="102">
        <v>155</v>
      </c>
      <c r="E10" s="102">
        <v>5575764</v>
      </c>
      <c r="F10" s="102">
        <v>1170013</v>
      </c>
      <c r="G10" s="9">
        <f t="shared" si="1"/>
        <v>4405751</v>
      </c>
      <c r="I10" s="45" t="s">
        <v>38</v>
      </c>
      <c r="J10" s="18">
        <f>2.54*0.01*6</f>
        <v>0.15240000000000001</v>
      </c>
      <c r="K10" s="21" t="s">
        <v>28</v>
      </c>
    </row>
    <row r="11" spans="2:11" x14ac:dyDescent="0.2">
      <c r="B11" s="9">
        <f t="shared" si="0"/>
        <v>5</v>
      </c>
      <c r="C11" s="101">
        <v>672</v>
      </c>
      <c r="D11" s="102">
        <v>63</v>
      </c>
      <c r="E11" s="102">
        <v>4734604</v>
      </c>
      <c r="F11" s="102">
        <v>535695</v>
      </c>
      <c r="G11" s="9">
        <f t="shared" si="1"/>
        <v>4198909</v>
      </c>
      <c r="I11" s="45" t="s">
        <v>30</v>
      </c>
      <c r="J11" s="18">
        <f>1.79*10^(-5)</f>
        <v>1.7900000000000001E-5</v>
      </c>
      <c r="K11" s="21" t="s">
        <v>31</v>
      </c>
    </row>
    <row r="12" spans="2:11" x14ac:dyDescent="0.2">
      <c r="B12" s="9">
        <f t="shared" si="0"/>
        <v>6</v>
      </c>
      <c r="C12" s="101">
        <v>568</v>
      </c>
      <c r="D12" s="102">
        <v>22</v>
      </c>
      <c r="E12" s="102">
        <v>4017549</v>
      </c>
      <c r="F12" s="102">
        <v>253010</v>
      </c>
      <c r="G12" s="9">
        <f t="shared" si="1"/>
        <v>3764539</v>
      </c>
      <c r="I12" s="45" t="s">
        <v>33</v>
      </c>
      <c r="J12" s="18">
        <v>1.1839999999999999</v>
      </c>
      <c r="K12" s="21" t="s">
        <v>32</v>
      </c>
    </row>
    <row r="13" spans="2:11" x14ac:dyDescent="0.2">
      <c r="B13" s="9">
        <f t="shared" si="0"/>
        <v>7</v>
      </c>
      <c r="C13" s="101">
        <v>482</v>
      </c>
      <c r="D13" s="102">
        <v>13</v>
      </c>
      <c r="E13" s="102">
        <v>3424599</v>
      </c>
      <c r="F13" s="102">
        <v>190957</v>
      </c>
      <c r="G13" s="9">
        <f t="shared" si="1"/>
        <v>3233642</v>
      </c>
      <c r="I13" s="45" t="s">
        <v>47</v>
      </c>
      <c r="J13" s="18">
        <f>PI()*J3^2*200*0.001</f>
        <v>1.0902723486245034E-5</v>
      </c>
      <c r="K13" s="21"/>
    </row>
    <row r="14" spans="2:11" x14ac:dyDescent="0.2">
      <c r="B14" s="9">
        <f t="shared" si="0"/>
        <v>8</v>
      </c>
      <c r="C14" s="101">
        <v>415</v>
      </c>
      <c r="D14" s="102">
        <v>5</v>
      </c>
      <c r="E14" s="102">
        <v>2962650</v>
      </c>
      <c r="F14" s="102">
        <v>135799</v>
      </c>
      <c r="G14" s="9">
        <f t="shared" si="1"/>
        <v>2826851</v>
      </c>
      <c r="I14" s="45" t="s">
        <v>46</v>
      </c>
      <c r="J14" s="18">
        <f>PI()*J3^2*350*0.001</f>
        <v>1.9079766100928807E-5</v>
      </c>
      <c r="K14" s="21" t="s">
        <v>27</v>
      </c>
    </row>
    <row r="15" spans="2:11" x14ac:dyDescent="0.2">
      <c r="B15" s="9">
        <f t="shared" si="0"/>
        <v>9</v>
      </c>
      <c r="C15" s="101">
        <v>353</v>
      </c>
      <c r="D15" s="102">
        <v>2</v>
      </c>
      <c r="E15" s="102">
        <v>2535175</v>
      </c>
      <c r="F15" s="102">
        <v>115115</v>
      </c>
      <c r="G15" s="9">
        <f t="shared" si="1"/>
        <v>2420060</v>
      </c>
      <c r="I15" s="45" t="s">
        <v>43</v>
      </c>
      <c r="J15" s="43">
        <v>1583698</v>
      </c>
      <c r="K15" s="21" t="s">
        <v>36</v>
      </c>
    </row>
    <row r="16" spans="2:11" x14ac:dyDescent="0.2">
      <c r="B16" s="9">
        <f t="shared" si="0"/>
        <v>10</v>
      </c>
      <c r="C16" s="101">
        <v>299</v>
      </c>
      <c r="D16" s="102">
        <v>1</v>
      </c>
      <c r="E16" s="102">
        <v>2162858</v>
      </c>
      <c r="F16" s="102">
        <v>108220</v>
      </c>
      <c r="G16" s="9">
        <f t="shared" si="1"/>
        <v>2054638</v>
      </c>
      <c r="I16" s="49" t="s">
        <v>43</v>
      </c>
      <c r="J16" s="12">
        <f>J15/J17</f>
        <v>15.629884036516161</v>
      </c>
      <c r="K16" s="29" t="s">
        <v>54</v>
      </c>
    </row>
    <row r="17" spans="2:11" x14ac:dyDescent="0.2">
      <c r="B17" s="9">
        <f t="shared" si="0"/>
        <v>11</v>
      </c>
      <c r="C17" s="101">
        <v>254</v>
      </c>
      <c r="D17" s="102">
        <v>1</v>
      </c>
      <c r="E17" s="102">
        <v>1852594</v>
      </c>
      <c r="F17" s="102">
        <v>108220</v>
      </c>
      <c r="G17" s="9">
        <f t="shared" si="1"/>
        <v>1744374</v>
      </c>
      <c r="I17" s="45" t="s">
        <v>44</v>
      </c>
      <c r="J17" s="18">
        <v>101325</v>
      </c>
      <c r="K17" s="21" t="s">
        <v>36</v>
      </c>
    </row>
    <row r="18" spans="2:11" x14ac:dyDescent="0.2">
      <c r="B18" s="9">
        <f t="shared" si="0"/>
        <v>12</v>
      </c>
      <c r="C18" s="101">
        <v>215</v>
      </c>
      <c r="D18" s="102">
        <v>0</v>
      </c>
      <c r="E18" s="102">
        <v>1583698</v>
      </c>
      <c r="F18" s="102">
        <v>101325</v>
      </c>
      <c r="G18" s="9">
        <f t="shared" si="1"/>
        <v>1482373</v>
      </c>
      <c r="I18" s="45" t="s">
        <v>45</v>
      </c>
      <c r="J18" s="18">
        <v>0.128</v>
      </c>
      <c r="K18" s="21" t="s">
        <v>26</v>
      </c>
    </row>
    <row r="19" spans="2:11" x14ac:dyDescent="0.2">
      <c r="B19" s="43">
        <f t="shared" si="0"/>
        <v>13</v>
      </c>
      <c r="C19" s="97">
        <v>185</v>
      </c>
      <c r="D19" s="98">
        <v>0</v>
      </c>
      <c r="E19" s="98">
        <v>1376856</v>
      </c>
      <c r="F19" s="98">
        <v>101325</v>
      </c>
      <c r="G19" s="43">
        <f t="shared" si="1"/>
        <v>1275531</v>
      </c>
      <c r="I19" s="46" t="s">
        <v>49</v>
      </c>
      <c r="J19" s="18">
        <f>J18*J11*J14*J9/(PI()*J3^2*(J15-J17))</f>
        <v>1.7181221730293253E-14</v>
      </c>
      <c r="K19" s="21" t="s">
        <v>41</v>
      </c>
    </row>
    <row r="20" spans="2:11" ht="16" thickBot="1" x14ac:dyDescent="0.25">
      <c r="B20" s="43">
        <f t="shared" si="0"/>
        <v>14</v>
      </c>
      <c r="C20" s="97">
        <v>154</v>
      </c>
      <c r="D20" s="98">
        <v>0</v>
      </c>
      <c r="E20" s="98">
        <v>1163118</v>
      </c>
      <c r="F20" s="98">
        <v>101325</v>
      </c>
      <c r="G20" s="43">
        <f t="shared" si="1"/>
        <v>1061793</v>
      </c>
      <c r="I20" s="47" t="s">
        <v>48</v>
      </c>
      <c r="J20" s="34">
        <f>J18*J11*J13*J9/(PI()*J3^2*(J15-J17))</f>
        <v>9.8178409887390027E-15</v>
      </c>
      <c r="K20" s="35" t="s">
        <v>41</v>
      </c>
    </row>
    <row r="21" spans="2:11" x14ac:dyDescent="0.2">
      <c r="B21" s="43">
        <f t="shared" si="0"/>
        <v>15</v>
      </c>
      <c r="C21" s="97">
        <v>135</v>
      </c>
      <c r="D21" s="98">
        <v>0</v>
      </c>
      <c r="E21" s="98">
        <v>1032118</v>
      </c>
      <c r="F21" s="98">
        <v>101325</v>
      </c>
      <c r="G21" s="43">
        <f t="shared" si="1"/>
        <v>930793</v>
      </c>
      <c r="I21" s="45" t="s">
        <v>72</v>
      </c>
      <c r="J21" s="18">
        <f>1.9*10^8</f>
        <v>190000000</v>
      </c>
      <c r="K21" s="50" t="s">
        <v>26</v>
      </c>
    </row>
    <row r="22" spans="2:11" x14ac:dyDescent="0.2">
      <c r="B22" s="43">
        <f t="shared" si="0"/>
        <v>16</v>
      </c>
      <c r="C22" s="97">
        <v>114</v>
      </c>
      <c r="D22" s="98">
        <v>0</v>
      </c>
      <c r="E22" s="98">
        <v>887328</v>
      </c>
      <c r="F22" s="98">
        <v>101325</v>
      </c>
      <c r="G22" s="43">
        <f t="shared" si="1"/>
        <v>786003</v>
      </c>
      <c r="I22" s="46" t="s">
        <v>74</v>
      </c>
      <c r="J22" s="18">
        <f>J11/J21</f>
        <v>9.421052631578948E-14</v>
      </c>
      <c r="K22" s="50" t="s">
        <v>41</v>
      </c>
    </row>
    <row r="23" spans="2:11" x14ac:dyDescent="0.2">
      <c r="B23" s="43">
        <f t="shared" si="0"/>
        <v>17</v>
      </c>
      <c r="C23" s="97">
        <v>100</v>
      </c>
      <c r="D23" s="98">
        <v>0</v>
      </c>
      <c r="E23" s="98">
        <v>790801</v>
      </c>
      <c r="F23" s="98">
        <v>101325</v>
      </c>
      <c r="G23" s="43">
        <f t="shared" si="1"/>
        <v>689476</v>
      </c>
    </row>
    <row r="24" spans="2:11" x14ac:dyDescent="0.2">
      <c r="B24" s="43">
        <f t="shared" si="0"/>
        <v>18</v>
      </c>
      <c r="C24" s="97">
        <v>79</v>
      </c>
      <c r="D24" s="98">
        <v>0</v>
      </c>
      <c r="E24" s="98">
        <v>646011</v>
      </c>
      <c r="F24" s="98">
        <v>101325</v>
      </c>
      <c r="G24" s="43">
        <f t="shared" si="1"/>
        <v>544686</v>
      </c>
    </row>
    <row r="25" spans="2:11" x14ac:dyDescent="0.2">
      <c r="B25" s="43">
        <f t="shared" si="0"/>
        <v>19</v>
      </c>
      <c r="C25" s="97">
        <v>72</v>
      </c>
      <c r="D25" s="98">
        <v>0</v>
      </c>
      <c r="E25" s="98">
        <v>597748</v>
      </c>
      <c r="F25" s="98">
        <v>101325</v>
      </c>
      <c r="G25" s="43">
        <f t="shared" si="1"/>
        <v>496423</v>
      </c>
    </row>
    <row r="26" spans="2:11" x14ac:dyDescent="0.2">
      <c r="B26" s="43">
        <f t="shared" si="0"/>
        <v>20</v>
      </c>
      <c r="C26" s="97">
        <v>61</v>
      </c>
      <c r="D26" s="98">
        <v>0</v>
      </c>
      <c r="E26" s="98">
        <v>521905</v>
      </c>
      <c r="F26" s="98">
        <v>101325</v>
      </c>
      <c r="G26" s="43">
        <f t="shared" si="1"/>
        <v>420580</v>
      </c>
    </row>
    <row r="27" spans="2:11" x14ac:dyDescent="0.2">
      <c r="B27" s="43">
        <f t="shared" si="0"/>
        <v>21</v>
      </c>
      <c r="C27" s="97">
        <v>52</v>
      </c>
      <c r="D27" s="98">
        <v>0</v>
      </c>
      <c r="E27" s="98">
        <v>459853</v>
      </c>
      <c r="F27" s="98">
        <v>101325</v>
      </c>
      <c r="G27" s="43">
        <f t="shared" si="1"/>
        <v>358528</v>
      </c>
    </row>
    <row r="28" spans="2:11" x14ac:dyDescent="0.2">
      <c r="B28" s="43">
        <f t="shared" si="0"/>
        <v>22</v>
      </c>
      <c r="C28" s="97">
        <v>44</v>
      </c>
      <c r="D28" s="98">
        <v>0</v>
      </c>
      <c r="E28" s="98">
        <v>404694</v>
      </c>
      <c r="F28" s="98">
        <v>101325</v>
      </c>
      <c r="G28" s="43">
        <f t="shared" si="1"/>
        <v>303369</v>
      </c>
    </row>
    <row r="29" spans="2:11" x14ac:dyDescent="0.2">
      <c r="B29" s="43">
        <f t="shared" si="0"/>
        <v>23</v>
      </c>
      <c r="C29" s="97">
        <v>37</v>
      </c>
      <c r="D29" s="98">
        <v>0</v>
      </c>
      <c r="E29" s="98">
        <v>356431</v>
      </c>
      <c r="F29" s="98">
        <v>101325</v>
      </c>
      <c r="G29" s="43">
        <f t="shared" si="1"/>
        <v>255106</v>
      </c>
    </row>
    <row r="30" spans="2:11" x14ac:dyDescent="0.2">
      <c r="B30" s="43">
        <f t="shared" si="0"/>
        <v>24</v>
      </c>
      <c r="C30" s="97">
        <v>32</v>
      </c>
      <c r="D30" s="98">
        <v>0</v>
      </c>
      <c r="E30" s="98">
        <v>321957</v>
      </c>
      <c r="F30" s="98">
        <v>101325</v>
      </c>
      <c r="G30" s="43">
        <f t="shared" si="1"/>
        <v>220632</v>
      </c>
    </row>
    <row r="31" spans="2:11" x14ac:dyDescent="0.2">
      <c r="B31" s="43">
        <f t="shared" si="0"/>
        <v>25</v>
      </c>
      <c r="C31" s="97">
        <v>27</v>
      </c>
      <c r="D31" s="98">
        <v>0</v>
      </c>
      <c r="E31" s="98">
        <v>287484</v>
      </c>
      <c r="F31" s="98">
        <v>101325</v>
      </c>
      <c r="G31" s="43">
        <f t="shared" si="1"/>
        <v>186159</v>
      </c>
    </row>
    <row r="32" spans="2:11" x14ac:dyDescent="0.2">
      <c r="B32" s="43">
        <f t="shared" si="0"/>
        <v>26</v>
      </c>
      <c r="C32" s="97">
        <v>23</v>
      </c>
      <c r="D32" s="98">
        <v>0</v>
      </c>
      <c r="E32" s="98">
        <v>259904</v>
      </c>
      <c r="F32" s="98">
        <v>101325</v>
      </c>
      <c r="G32" s="43">
        <f t="shared" si="1"/>
        <v>158579</v>
      </c>
    </row>
    <row r="33" spans="2:8" x14ac:dyDescent="0.2">
      <c r="B33" s="43">
        <f t="shared" si="0"/>
        <v>27</v>
      </c>
      <c r="C33" s="97">
        <v>20</v>
      </c>
      <c r="D33" s="98">
        <v>0</v>
      </c>
      <c r="E33" s="98">
        <v>239220</v>
      </c>
      <c r="F33" s="98">
        <v>101325</v>
      </c>
      <c r="G33" s="43">
        <f t="shared" si="1"/>
        <v>137895</v>
      </c>
    </row>
    <row r="34" spans="2:8" x14ac:dyDescent="0.2">
      <c r="B34" s="43">
        <f t="shared" si="0"/>
        <v>28</v>
      </c>
      <c r="C34" s="97">
        <v>17</v>
      </c>
      <c r="D34" s="98">
        <v>0</v>
      </c>
      <c r="E34" s="98">
        <v>218536</v>
      </c>
      <c r="F34" s="98">
        <v>101325</v>
      </c>
      <c r="G34" s="43">
        <f t="shared" si="1"/>
        <v>117211</v>
      </c>
    </row>
    <row r="35" spans="2:8" x14ac:dyDescent="0.2">
      <c r="B35" s="43">
        <f t="shared" si="0"/>
        <v>29</v>
      </c>
      <c r="C35" s="97">
        <v>15</v>
      </c>
      <c r="D35" s="98">
        <v>0</v>
      </c>
      <c r="E35" s="98">
        <v>204746</v>
      </c>
      <c r="F35" s="98">
        <v>101325</v>
      </c>
      <c r="G35" s="43">
        <f t="shared" si="1"/>
        <v>103421</v>
      </c>
    </row>
    <row r="36" spans="2:8" x14ac:dyDescent="0.2">
      <c r="B36" s="43">
        <f t="shared" si="0"/>
        <v>30</v>
      </c>
      <c r="C36" s="97">
        <v>13</v>
      </c>
      <c r="D36" s="98">
        <v>0</v>
      </c>
      <c r="E36" s="98">
        <v>190957</v>
      </c>
      <c r="F36" s="98">
        <v>101325</v>
      </c>
      <c r="G36" s="43">
        <f t="shared" si="1"/>
        <v>89632</v>
      </c>
    </row>
    <row r="37" spans="2:8" x14ac:dyDescent="0.2">
      <c r="B37" s="43">
        <f t="shared" si="0"/>
        <v>31</v>
      </c>
      <c r="C37" s="97">
        <v>11</v>
      </c>
      <c r="D37" s="98">
        <v>0</v>
      </c>
      <c r="E37" s="98">
        <v>177167</v>
      </c>
      <c r="F37" s="98">
        <v>101325</v>
      </c>
      <c r="G37" s="43">
        <f t="shared" si="1"/>
        <v>75842</v>
      </c>
    </row>
    <row r="38" spans="2:8" x14ac:dyDescent="0.2">
      <c r="B38" s="43">
        <f t="shared" si="0"/>
        <v>32</v>
      </c>
      <c r="C38" s="97">
        <v>10</v>
      </c>
      <c r="D38" s="98">
        <v>0</v>
      </c>
      <c r="E38" s="98">
        <v>170273</v>
      </c>
      <c r="F38" s="98">
        <v>101325</v>
      </c>
      <c r="G38" s="43">
        <f t="shared" si="1"/>
        <v>68948</v>
      </c>
      <c r="H38" s="28"/>
    </row>
    <row r="39" spans="2:8" x14ac:dyDescent="0.2">
      <c r="B39" s="43">
        <f t="shared" si="0"/>
        <v>33</v>
      </c>
      <c r="C39" s="97">
        <v>8</v>
      </c>
      <c r="D39" s="98">
        <v>0</v>
      </c>
      <c r="E39" s="98">
        <v>156483</v>
      </c>
      <c r="F39" s="98">
        <v>101325</v>
      </c>
      <c r="G39" s="43">
        <f t="shared" si="1"/>
        <v>55158</v>
      </c>
      <c r="H39" s="28"/>
    </row>
    <row r="40" spans="2:8" x14ac:dyDescent="0.2">
      <c r="B40" s="43">
        <f t="shared" si="0"/>
        <v>34</v>
      </c>
      <c r="C40" s="97">
        <v>7</v>
      </c>
      <c r="D40" s="98">
        <v>0</v>
      </c>
      <c r="E40" s="98">
        <v>149588</v>
      </c>
      <c r="F40" s="98">
        <v>101325</v>
      </c>
      <c r="G40" s="43">
        <f t="shared" si="1"/>
        <v>48263</v>
      </c>
    </row>
    <row r="41" spans="2:8" x14ac:dyDescent="0.2">
      <c r="B41" s="43">
        <f t="shared" si="0"/>
        <v>35</v>
      </c>
      <c r="C41" s="97">
        <v>6</v>
      </c>
      <c r="D41" s="98">
        <v>0</v>
      </c>
      <c r="E41" s="98">
        <v>142694</v>
      </c>
      <c r="F41" s="98">
        <v>101325</v>
      </c>
      <c r="G41" s="43">
        <f t="shared" si="1"/>
        <v>41369</v>
      </c>
    </row>
    <row r="42" spans="2:8" x14ac:dyDescent="0.2">
      <c r="B42" s="43">
        <f t="shared" si="0"/>
        <v>36</v>
      </c>
      <c r="C42" s="97">
        <v>6</v>
      </c>
      <c r="D42" s="98">
        <v>0</v>
      </c>
      <c r="E42" s="98">
        <v>142694</v>
      </c>
      <c r="F42" s="98">
        <v>101325</v>
      </c>
      <c r="G42" s="43">
        <f t="shared" si="1"/>
        <v>41369</v>
      </c>
    </row>
    <row r="43" spans="2:8" x14ac:dyDescent="0.2">
      <c r="B43" s="43">
        <f t="shared" si="0"/>
        <v>37</v>
      </c>
      <c r="C43" s="97">
        <v>5</v>
      </c>
      <c r="D43" s="98">
        <v>0</v>
      </c>
      <c r="E43" s="98">
        <v>135799</v>
      </c>
      <c r="F43" s="98">
        <v>101325</v>
      </c>
      <c r="G43" s="43">
        <f t="shared" si="1"/>
        <v>34474</v>
      </c>
    </row>
    <row r="44" spans="2:8" x14ac:dyDescent="0.2">
      <c r="B44" s="43">
        <f t="shared" si="0"/>
        <v>38</v>
      </c>
      <c r="C44" s="97">
        <v>4</v>
      </c>
      <c r="D44" s="98">
        <v>0</v>
      </c>
      <c r="E44" s="98">
        <v>128904</v>
      </c>
      <c r="F44" s="98">
        <v>101325</v>
      </c>
      <c r="G44" s="43">
        <f t="shared" si="1"/>
        <v>27579</v>
      </c>
    </row>
    <row r="45" spans="2:8" x14ac:dyDescent="0.2">
      <c r="B45" s="43">
        <f t="shared" si="0"/>
        <v>39</v>
      </c>
      <c r="C45" s="97">
        <v>4</v>
      </c>
      <c r="D45" s="98">
        <v>0</v>
      </c>
      <c r="E45" s="98">
        <v>128904</v>
      </c>
      <c r="F45" s="98">
        <v>101325</v>
      </c>
      <c r="G45" s="43">
        <f t="shared" si="1"/>
        <v>27579</v>
      </c>
    </row>
    <row r="46" spans="2:8" x14ac:dyDescent="0.2">
      <c r="B46" s="43">
        <f t="shared" si="0"/>
        <v>40</v>
      </c>
      <c r="C46" s="97">
        <v>3</v>
      </c>
      <c r="D46" s="98">
        <v>0</v>
      </c>
      <c r="E46" s="98">
        <v>122009</v>
      </c>
      <c r="F46" s="98">
        <v>101325</v>
      </c>
      <c r="G46" s="43">
        <f t="shared" si="1"/>
        <v>20684</v>
      </c>
    </row>
    <row r="47" spans="2:8" x14ac:dyDescent="0.2">
      <c r="B47" s="43">
        <f t="shared" si="0"/>
        <v>41</v>
      </c>
      <c r="C47" s="97">
        <v>3</v>
      </c>
      <c r="D47" s="98">
        <v>0</v>
      </c>
      <c r="E47" s="98">
        <v>122009</v>
      </c>
      <c r="F47" s="98">
        <v>101325</v>
      </c>
      <c r="G47" s="43">
        <f t="shared" si="1"/>
        <v>20684</v>
      </c>
    </row>
    <row r="48" spans="2:8" x14ac:dyDescent="0.2">
      <c r="B48" s="43">
        <f t="shared" si="0"/>
        <v>42</v>
      </c>
      <c r="C48" s="97">
        <v>3</v>
      </c>
      <c r="D48" s="98">
        <v>0</v>
      </c>
      <c r="E48" s="98">
        <v>122009</v>
      </c>
      <c r="F48" s="98">
        <v>101325</v>
      </c>
      <c r="G48" s="43">
        <f t="shared" si="1"/>
        <v>20684</v>
      </c>
    </row>
    <row r="49" spans="2:7" x14ac:dyDescent="0.2">
      <c r="B49" s="43">
        <f t="shared" si="0"/>
        <v>43</v>
      </c>
      <c r="C49" s="97">
        <v>3</v>
      </c>
      <c r="D49" s="98">
        <v>0</v>
      </c>
      <c r="E49" s="98">
        <v>122009</v>
      </c>
      <c r="F49" s="98">
        <v>101325</v>
      </c>
      <c r="G49" s="43">
        <f t="shared" si="1"/>
        <v>20684</v>
      </c>
    </row>
    <row r="50" spans="2:7" x14ac:dyDescent="0.2">
      <c r="B50" s="43">
        <f t="shared" si="0"/>
        <v>44</v>
      </c>
      <c r="C50" s="97">
        <v>2</v>
      </c>
      <c r="D50" s="98">
        <v>0</v>
      </c>
      <c r="E50" s="98">
        <v>115115</v>
      </c>
      <c r="F50" s="98">
        <v>101325</v>
      </c>
      <c r="G50" s="43">
        <f t="shared" si="1"/>
        <v>13790</v>
      </c>
    </row>
    <row r="51" spans="2:7" x14ac:dyDescent="0.2">
      <c r="B51" s="43">
        <f t="shared" si="0"/>
        <v>45</v>
      </c>
      <c r="C51" s="97">
        <v>2</v>
      </c>
      <c r="D51" s="98">
        <v>0</v>
      </c>
      <c r="E51" s="98">
        <v>115115</v>
      </c>
      <c r="F51" s="98">
        <v>101325</v>
      </c>
      <c r="G51" s="43">
        <f t="shared" si="1"/>
        <v>13790</v>
      </c>
    </row>
    <row r="52" spans="2:7" x14ac:dyDescent="0.2">
      <c r="B52" s="43">
        <f t="shared" si="0"/>
        <v>46</v>
      </c>
      <c r="C52" s="97">
        <v>2</v>
      </c>
      <c r="D52" s="98">
        <v>0</v>
      </c>
      <c r="E52" s="98">
        <v>115115</v>
      </c>
      <c r="F52" s="98">
        <v>101325</v>
      </c>
      <c r="G52" s="43">
        <f t="shared" si="1"/>
        <v>13790</v>
      </c>
    </row>
    <row r="53" spans="2:7" x14ac:dyDescent="0.2">
      <c r="B53" s="43">
        <f t="shared" si="0"/>
        <v>47</v>
      </c>
      <c r="C53" s="97">
        <v>2</v>
      </c>
      <c r="D53" s="98">
        <v>0</v>
      </c>
      <c r="E53" s="98">
        <v>115115</v>
      </c>
      <c r="F53" s="98">
        <v>101325</v>
      </c>
      <c r="G53" s="43">
        <f t="shared" si="1"/>
        <v>13790</v>
      </c>
    </row>
    <row r="54" spans="2:7" x14ac:dyDescent="0.2">
      <c r="B54" s="43">
        <f t="shared" si="0"/>
        <v>48</v>
      </c>
      <c r="C54" s="97">
        <v>1</v>
      </c>
      <c r="D54" s="98">
        <v>0</v>
      </c>
      <c r="E54" s="98">
        <v>108220</v>
      </c>
      <c r="F54" s="98">
        <v>101325</v>
      </c>
      <c r="G54" s="43">
        <f t="shared" si="1"/>
        <v>6895</v>
      </c>
    </row>
    <row r="55" spans="2:7" x14ac:dyDescent="0.2">
      <c r="B55" s="43">
        <f t="shared" si="0"/>
        <v>49</v>
      </c>
      <c r="C55" s="97">
        <v>1</v>
      </c>
      <c r="D55" s="98">
        <v>0</v>
      </c>
      <c r="E55" s="98">
        <v>108220</v>
      </c>
      <c r="F55" s="98">
        <v>101325</v>
      </c>
      <c r="G55" s="43">
        <f t="shared" si="1"/>
        <v>6895</v>
      </c>
    </row>
    <row r="56" spans="2:7" x14ac:dyDescent="0.2">
      <c r="B56" s="43">
        <f t="shared" si="0"/>
        <v>50</v>
      </c>
      <c r="C56" s="97">
        <v>1</v>
      </c>
      <c r="D56" s="98">
        <v>0</v>
      </c>
      <c r="E56" s="98">
        <v>108220</v>
      </c>
      <c r="F56" s="98">
        <v>101325</v>
      </c>
      <c r="G56" s="43">
        <f t="shared" si="1"/>
        <v>6895</v>
      </c>
    </row>
    <row r="57" spans="2:7" x14ac:dyDescent="0.2">
      <c r="B57" s="43">
        <f t="shared" si="0"/>
        <v>51</v>
      </c>
      <c r="C57" s="97">
        <v>1</v>
      </c>
      <c r="D57" s="98">
        <v>0</v>
      </c>
      <c r="E57" s="98">
        <v>108220</v>
      </c>
      <c r="F57" s="98">
        <v>101325</v>
      </c>
      <c r="G57" s="43">
        <f t="shared" si="1"/>
        <v>6895</v>
      </c>
    </row>
    <row r="58" spans="2:7" x14ac:dyDescent="0.2">
      <c r="B58" s="43">
        <f t="shared" si="0"/>
        <v>52</v>
      </c>
      <c r="C58" s="97">
        <v>1</v>
      </c>
      <c r="D58" s="98">
        <v>0</v>
      </c>
      <c r="E58" s="98">
        <v>108220</v>
      </c>
      <c r="F58" s="98">
        <v>101325</v>
      </c>
      <c r="G58" s="43">
        <f t="shared" si="1"/>
        <v>6895</v>
      </c>
    </row>
    <row r="59" spans="2:7" x14ac:dyDescent="0.2">
      <c r="B59" s="43">
        <f t="shared" si="0"/>
        <v>53</v>
      </c>
      <c r="C59" s="97">
        <v>1</v>
      </c>
      <c r="D59" s="98">
        <v>0</v>
      </c>
      <c r="E59" s="98">
        <v>108220</v>
      </c>
      <c r="F59" s="98">
        <v>101325</v>
      </c>
      <c r="G59" s="43">
        <f t="shared" si="1"/>
        <v>6895</v>
      </c>
    </row>
    <row r="60" spans="2:7" x14ac:dyDescent="0.2">
      <c r="B60" s="43">
        <f t="shared" si="0"/>
        <v>54</v>
      </c>
      <c r="C60" s="97">
        <v>1</v>
      </c>
      <c r="D60" s="98">
        <v>0</v>
      </c>
      <c r="E60" s="98">
        <v>108220</v>
      </c>
      <c r="F60" s="98">
        <v>101325</v>
      </c>
      <c r="G60" s="43">
        <f t="shared" si="1"/>
        <v>6895</v>
      </c>
    </row>
    <row r="61" spans="2:7" x14ac:dyDescent="0.2">
      <c r="B61" s="43">
        <f t="shared" si="0"/>
        <v>55</v>
      </c>
      <c r="C61" s="97">
        <v>1</v>
      </c>
      <c r="D61" s="98">
        <v>0</v>
      </c>
      <c r="E61" s="98">
        <v>108220</v>
      </c>
      <c r="F61" s="98">
        <v>101325</v>
      </c>
      <c r="G61" s="43">
        <f t="shared" si="1"/>
        <v>6895</v>
      </c>
    </row>
    <row r="62" spans="2:7" x14ac:dyDescent="0.2">
      <c r="B62" s="43">
        <f t="shared" si="0"/>
        <v>56</v>
      </c>
      <c r="C62" s="97">
        <v>1</v>
      </c>
      <c r="D62" s="98">
        <v>0</v>
      </c>
      <c r="E62" s="98">
        <v>108220</v>
      </c>
      <c r="F62" s="98">
        <v>101325</v>
      </c>
      <c r="G62" s="43">
        <f t="shared" si="1"/>
        <v>6895</v>
      </c>
    </row>
    <row r="63" spans="2:7" x14ac:dyDescent="0.2">
      <c r="B63" s="43">
        <f t="shared" si="0"/>
        <v>57</v>
      </c>
      <c r="C63" s="97">
        <v>1</v>
      </c>
      <c r="D63" s="98">
        <v>0</v>
      </c>
      <c r="E63" s="98">
        <v>108220</v>
      </c>
      <c r="F63" s="98">
        <v>101325</v>
      </c>
      <c r="G63" s="43">
        <f t="shared" si="1"/>
        <v>6895</v>
      </c>
    </row>
    <row r="64" spans="2:7" x14ac:dyDescent="0.2">
      <c r="B64" s="43">
        <f t="shared" si="0"/>
        <v>58</v>
      </c>
      <c r="C64" s="97">
        <v>0</v>
      </c>
      <c r="D64" s="98">
        <v>0</v>
      </c>
      <c r="E64" s="98">
        <v>101325</v>
      </c>
      <c r="F64" s="98">
        <v>101325</v>
      </c>
      <c r="G64" s="43">
        <f t="shared" si="1"/>
        <v>0</v>
      </c>
    </row>
    <row r="65" spans="2:7" x14ac:dyDescent="0.2">
      <c r="B65" s="43">
        <f t="shared" si="0"/>
        <v>59</v>
      </c>
      <c r="C65" s="97">
        <v>0</v>
      </c>
      <c r="D65" s="98">
        <v>0</v>
      </c>
      <c r="E65" s="98">
        <v>101325</v>
      </c>
      <c r="F65" s="98">
        <v>101325</v>
      </c>
      <c r="G65" s="43">
        <f t="shared" si="1"/>
        <v>0</v>
      </c>
    </row>
    <row r="69" spans="2:7" ht="16" customHeight="1" x14ac:dyDescent="0.2"/>
    <row r="73" spans="2:7" x14ac:dyDescent="0.2">
      <c r="B73" s="123" t="s">
        <v>67</v>
      </c>
      <c r="C73" s="123"/>
      <c r="D73" s="123"/>
      <c r="E73" s="123"/>
    </row>
    <row r="74" spans="2:7" x14ac:dyDescent="0.2">
      <c r="B74" s="30" t="s">
        <v>78</v>
      </c>
      <c r="C74" s="30" t="s">
        <v>79</v>
      </c>
      <c r="D74" s="30" t="s">
        <v>80</v>
      </c>
      <c r="E74" s="30" t="s">
        <v>81</v>
      </c>
    </row>
    <row r="75" spans="2:7" x14ac:dyDescent="0.2">
      <c r="B75" s="30">
        <v>0</v>
      </c>
      <c r="C75" s="30">
        <v>6934032</v>
      </c>
      <c r="D75" s="30">
        <v>6934032</v>
      </c>
      <c r="E75" s="30">
        <v>6934032</v>
      </c>
    </row>
    <row r="76" spans="2:7" x14ac:dyDescent="0.2">
      <c r="B76" s="30">
        <f>B75+1</f>
        <v>1</v>
      </c>
      <c r="C76" s="30">
        <v>6927137</v>
      </c>
      <c r="D76" s="30">
        <v>6933411.4500000002</v>
      </c>
      <c r="E76" s="30">
        <v>6934032</v>
      </c>
    </row>
    <row r="77" spans="2:7" x14ac:dyDescent="0.2">
      <c r="B77" s="30">
        <f t="shared" ref="B77:B125" si="2">B76+1</f>
        <v>2</v>
      </c>
      <c r="C77" s="30">
        <v>6927137</v>
      </c>
      <c r="D77" s="30">
        <v>6930937.7511657001</v>
      </c>
      <c r="E77" s="30">
        <v>6931313.6496326998</v>
      </c>
    </row>
    <row r="78" spans="2:7" x14ac:dyDescent="0.2">
      <c r="B78" s="30">
        <f t="shared" si="2"/>
        <v>3</v>
      </c>
      <c r="C78" s="30">
        <v>2997124</v>
      </c>
      <c r="D78" s="30">
        <v>6575971.8788575996</v>
      </c>
      <c r="E78" s="30">
        <v>6929923.8668764997</v>
      </c>
    </row>
    <row r="79" spans="2:7" x14ac:dyDescent="0.2">
      <c r="B79" s="30">
        <f t="shared" si="2"/>
        <v>4</v>
      </c>
      <c r="C79" s="30">
        <v>1170013</v>
      </c>
      <c r="D79" s="30">
        <v>5129012.2173378998</v>
      </c>
      <c r="E79" s="30">
        <v>5520561.5904812003</v>
      </c>
    </row>
    <row r="80" spans="2:7" x14ac:dyDescent="0.2">
      <c r="B80" s="30">
        <f t="shared" si="2"/>
        <v>5</v>
      </c>
      <c r="C80" s="30">
        <v>535695</v>
      </c>
      <c r="D80" s="30">
        <v>3973687.0700824</v>
      </c>
      <c r="E80" s="30">
        <v>4313708.2638267996</v>
      </c>
    </row>
    <row r="81" spans="2:5" x14ac:dyDescent="0.2">
      <c r="B81" s="30">
        <f t="shared" si="2"/>
        <v>6</v>
      </c>
      <c r="C81" s="30">
        <v>253010</v>
      </c>
      <c r="D81" s="30">
        <v>3227722.2713739998</v>
      </c>
      <c r="E81" s="30">
        <v>3521924.5839275001</v>
      </c>
    </row>
    <row r="82" spans="2:5" x14ac:dyDescent="0.2">
      <c r="B82" s="30">
        <f t="shared" si="2"/>
        <v>7</v>
      </c>
      <c r="C82" s="30">
        <v>190957</v>
      </c>
      <c r="D82" s="30">
        <v>2794587.0916432999</v>
      </c>
      <c r="E82" s="30">
        <v>3052088.9688388002</v>
      </c>
    </row>
    <row r="83" spans="2:5" x14ac:dyDescent="0.2">
      <c r="B83" s="30">
        <f t="shared" si="2"/>
        <v>8</v>
      </c>
      <c r="C83" s="30">
        <v>135799</v>
      </c>
      <c r="D83" s="30">
        <v>2454091.5435067001</v>
      </c>
      <c r="E83" s="30">
        <v>2683373.2236338002</v>
      </c>
    </row>
    <row r="84" spans="2:5" x14ac:dyDescent="0.2">
      <c r="B84" s="30">
        <f t="shared" si="2"/>
        <v>9</v>
      </c>
      <c r="C84" s="30">
        <v>115115</v>
      </c>
      <c r="D84" s="30">
        <v>2201657.1867714999</v>
      </c>
      <c r="E84" s="30">
        <v>2408018.5019466998</v>
      </c>
    </row>
    <row r="85" spans="2:5" x14ac:dyDescent="0.2">
      <c r="B85" s="30">
        <f t="shared" si="2"/>
        <v>10</v>
      </c>
      <c r="C85" s="30">
        <v>108220</v>
      </c>
      <c r="D85" s="30">
        <v>1986248.8781024001</v>
      </c>
      <c r="E85" s="30">
        <v>2171987.9979146998</v>
      </c>
    </row>
    <row r="86" spans="2:5" x14ac:dyDescent="0.2">
      <c r="B86" s="30">
        <f t="shared" si="2"/>
        <v>11</v>
      </c>
      <c r="C86" s="30">
        <v>108220</v>
      </c>
      <c r="D86" s="30">
        <v>1785951.9352734</v>
      </c>
      <c r="E86" s="30">
        <v>1951881.4673333999</v>
      </c>
    </row>
    <row r="87" spans="2:5" x14ac:dyDescent="0.2">
      <c r="B87" s="30">
        <f t="shared" si="2"/>
        <v>12</v>
      </c>
      <c r="C87" s="30">
        <v>101325</v>
      </c>
      <c r="D87" s="30">
        <v>1589530.8928956999</v>
      </c>
      <c r="E87" s="30">
        <v>1736716.0910942</v>
      </c>
    </row>
    <row r="88" spans="2:5" x14ac:dyDescent="0.2">
      <c r="B88" s="30">
        <f t="shared" si="2"/>
        <v>13</v>
      </c>
      <c r="C88" s="30">
        <v>101325</v>
      </c>
      <c r="D88" s="30">
        <v>1408402.0419349</v>
      </c>
      <c r="E88" s="30">
        <v>1537673.3977307</v>
      </c>
    </row>
    <row r="89" spans="2:5" x14ac:dyDescent="0.2">
      <c r="B89" s="30">
        <f t="shared" si="2"/>
        <v>14</v>
      </c>
      <c r="C89" s="30">
        <v>101325</v>
      </c>
      <c r="D89" s="30">
        <v>1232904.1630289</v>
      </c>
      <c r="E89" s="30">
        <v>1344818.5857460999</v>
      </c>
    </row>
    <row r="90" spans="2:5" x14ac:dyDescent="0.2">
      <c r="B90" s="30">
        <f t="shared" si="2"/>
        <v>15</v>
      </c>
      <c r="C90" s="30">
        <v>101325</v>
      </c>
      <c r="D90" s="30">
        <v>1064426.1004961999</v>
      </c>
      <c r="E90" s="30">
        <v>1159677.8576882</v>
      </c>
    </row>
    <row r="91" spans="2:5" x14ac:dyDescent="0.2">
      <c r="B91" s="30">
        <f t="shared" si="2"/>
        <v>16</v>
      </c>
      <c r="C91" s="30">
        <v>101325</v>
      </c>
      <c r="D91" s="30">
        <v>904769.33540125005</v>
      </c>
      <c r="E91" s="30">
        <v>984230.86307830003</v>
      </c>
    </row>
    <row r="92" spans="2:5" x14ac:dyDescent="0.2">
      <c r="B92" s="30">
        <f t="shared" si="2"/>
        <v>17</v>
      </c>
      <c r="C92" s="30">
        <v>101325</v>
      </c>
      <c r="D92" s="30">
        <v>756206.55588024005</v>
      </c>
      <c r="E92" s="30">
        <v>820975.06140685</v>
      </c>
    </row>
    <row r="93" spans="2:5" x14ac:dyDescent="0.2">
      <c r="B93" s="30">
        <f t="shared" si="2"/>
        <v>18</v>
      </c>
      <c r="C93" s="30">
        <v>101325</v>
      </c>
      <c r="D93" s="30">
        <v>621412.19251935999</v>
      </c>
      <c r="E93" s="30">
        <v>672849.38738391001</v>
      </c>
    </row>
    <row r="94" spans="2:5" x14ac:dyDescent="0.2">
      <c r="B94" s="30">
        <f t="shared" si="2"/>
        <v>19</v>
      </c>
      <c r="C94" s="30">
        <v>101325</v>
      </c>
      <c r="D94" s="30">
        <v>503130.74249615002</v>
      </c>
      <c r="E94" s="30">
        <v>542869.77197379002</v>
      </c>
    </row>
    <row r="95" spans="2:5" x14ac:dyDescent="0.2">
      <c r="B95" s="30">
        <f t="shared" si="2"/>
        <v>20</v>
      </c>
      <c r="C95" s="30">
        <v>101325</v>
      </c>
      <c r="D95" s="30">
        <v>403500.59484765999</v>
      </c>
      <c r="E95" s="30">
        <v>433386.09323919</v>
      </c>
    </row>
    <row r="96" spans="2:5" x14ac:dyDescent="0.2">
      <c r="B96" s="30">
        <f t="shared" si="2"/>
        <v>21</v>
      </c>
      <c r="C96" s="30">
        <v>101325</v>
      </c>
      <c r="D96" s="30">
        <v>323248.06046270998</v>
      </c>
      <c r="E96" s="30">
        <v>345196.49501397001</v>
      </c>
    </row>
    <row r="97" spans="2:5" x14ac:dyDescent="0.2">
      <c r="B97" s="30">
        <f t="shared" si="2"/>
        <v>22</v>
      </c>
      <c r="C97" s="30">
        <v>101325</v>
      </c>
      <c r="D97" s="30">
        <v>261295.30332641001</v>
      </c>
      <c r="E97" s="30">
        <v>277116.54211693001</v>
      </c>
    </row>
    <row r="98" spans="2:5" x14ac:dyDescent="0.2">
      <c r="B98" s="30">
        <f t="shared" si="2"/>
        <v>23</v>
      </c>
      <c r="C98" s="30">
        <v>101325</v>
      </c>
      <c r="D98" s="30">
        <v>215122.55352883</v>
      </c>
      <c r="E98" s="30">
        <v>226377.25662509</v>
      </c>
    </row>
    <row r="99" spans="2:5" x14ac:dyDescent="0.2">
      <c r="B99" s="30">
        <f t="shared" si="2"/>
        <v>24</v>
      </c>
      <c r="C99" s="30">
        <v>101325</v>
      </c>
      <c r="D99" s="30">
        <v>181585.15991297999</v>
      </c>
      <c r="E99" s="30">
        <v>189522.97792634999</v>
      </c>
    </row>
    <row r="100" spans="2:5" x14ac:dyDescent="0.2">
      <c r="B100" s="30">
        <f t="shared" si="2"/>
        <v>25</v>
      </c>
      <c r="C100" s="30">
        <v>101325</v>
      </c>
      <c r="D100" s="30">
        <v>157638.98852017999</v>
      </c>
      <c r="E100" s="30">
        <v>163208.50386833001</v>
      </c>
    </row>
    <row r="101" spans="2:5" x14ac:dyDescent="0.2">
      <c r="B101" s="30">
        <f t="shared" si="2"/>
        <v>26</v>
      </c>
      <c r="C101" s="30">
        <v>101325</v>
      </c>
      <c r="D101" s="30">
        <v>140721.40622408999</v>
      </c>
      <c r="E101" s="30">
        <v>144617.75409241</v>
      </c>
    </row>
    <row r="102" spans="2:5" x14ac:dyDescent="0.2">
      <c r="B102" s="30">
        <f t="shared" si="2"/>
        <v>27</v>
      </c>
      <c r="C102" s="30">
        <v>101325</v>
      </c>
      <c r="D102" s="30">
        <v>128843.30032281</v>
      </c>
      <c r="E102" s="30">
        <v>131564.89046462</v>
      </c>
    </row>
    <row r="103" spans="2:5" x14ac:dyDescent="0.2">
      <c r="B103" s="30">
        <f t="shared" si="2"/>
        <v>28</v>
      </c>
      <c r="C103" s="30">
        <v>101325</v>
      </c>
      <c r="D103" s="30">
        <v>120532.10504999</v>
      </c>
      <c r="E103" s="30">
        <v>122431.70884614</v>
      </c>
    </row>
    <row r="104" spans="2:5" x14ac:dyDescent="0.2">
      <c r="B104" s="30">
        <f t="shared" si="2"/>
        <v>29</v>
      </c>
      <c r="C104" s="30">
        <v>101325</v>
      </c>
      <c r="D104" s="30">
        <v>114727.08258669999</v>
      </c>
      <c r="E104" s="30">
        <v>116052.56328209001</v>
      </c>
    </row>
    <row r="105" spans="2:5" x14ac:dyDescent="0.2">
      <c r="B105" s="30">
        <f t="shared" si="2"/>
        <v>30</v>
      </c>
      <c r="C105" s="30">
        <v>101325</v>
      </c>
      <c r="D105" s="30">
        <v>110675.93591026</v>
      </c>
      <c r="E105" s="30">
        <v>111600.75374754</v>
      </c>
    </row>
    <row r="106" spans="2:5" x14ac:dyDescent="0.2">
      <c r="B106" s="30">
        <f t="shared" si="2"/>
        <v>31</v>
      </c>
      <c r="C106" s="30">
        <v>101325</v>
      </c>
      <c r="D106" s="30">
        <v>107849.69491073</v>
      </c>
      <c r="E106" s="30">
        <v>108494.99440739</v>
      </c>
    </row>
    <row r="107" spans="2:5" x14ac:dyDescent="0.2">
      <c r="B107" s="30">
        <f t="shared" si="2"/>
        <v>32</v>
      </c>
      <c r="C107" s="30">
        <v>101325</v>
      </c>
      <c r="D107" s="30">
        <v>105878.12108924999</v>
      </c>
      <c r="E107" s="30">
        <v>106328.42976841</v>
      </c>
    </row>
    <row r="108" spans="2:5" x14ac:dyDescent="0.2">
      <c r="B108" s="30">
        <f t="shared" si="2"/>
        <v>33</v>
      </c>
      <c r="C108" s="30">
        <v>101325</v>
      </c>
      <c r="D108" s="30">
        <v>104502.67244027001</v>
      </c>
      <c r="E108" s="30">
        <v>104816.94773656</v>
      </c>
    </row>
    <row r="109" spans="2:5" x14ac:dyDescent="0.2">
      <c r="B109" s="30">
        <f t="shared" si="2"/>
        <v>34</v>
      </c>
      <c r="C109" s="30">
        <v>101325</v>
      </c>
      <c r="D109" s="30">
        <v>103542.99046751</v>
      </c>
      <c r="E109" s="30">
        <v>103762.3521621</v>
      </c>
    </row>
    <row r="110" spans="2:5" x14ac:dyDescent="0.2">
      <c r="B110" s="30">
        <f t="shared" si="2"/>
        <v>35</v>
      </c>
      <c r="C110" s="30">
        <v>101325</v>
      </c>
      <c r="D110" s="30">
        <v>102873.308926</v>
      </c>
      <c r="E110" s="30">
        <v>103026.43838022</v>
      </c>
    </row>
    <row r="111" spans="2:5" x14ac:dyDescent="0.2">
      <c r="B111" s="30">
        <f t="shared" si="2"/>
        <v>36</v>
      </c>
      <c r="C111" s="30">
        <v>101325</v>
      </c>
      <c r="D111" s="30">
        <v>102405.93261477</v>
      </c>
      <c r="E111" s="30">
        <v>102512.83803821</v>
      </c>
    </row>
    <row r="112" spans="2:5" x14ac:dyDescent="0.2">
      <c r="B112" s="30">
        <f t="shared" si="2"/>
        <v>37</v>
      </c>
      <c r="C112" s="30">
        <v>101325</v>
      </c>
      <c r="D112" s="30">
        <v>102079.70662927</v>
      </c>
      <c r="E112" s="30">
        <v>102154.34794425</v>
      </c>
    </row>
    <row r="113" spans="2:5" x14ac:dyDescent="0.2">
      <c r="B113" s="30">
        <f t="shared" si="2"/>
        <v>38</v>
      </c>
      <c r="C113" s="30">
        <v>101325</v>
      </c>
      <c r="D113" s="30">
        <v>101851.97732368</v>
      </c>
      <c r="E113" s="30">
        <v>101904.09596009</v>
      </c>
    </row>
    <row r="114" spans="2:5" x14ac:dyDescent="0.2">
      <c r="B114" s="30">
        <f t="shared" si="2"/>
        <v>39</v>
      </c>
      <c r="C114" s="30">
        <v>101325</v>
      </c>
      <c r="D114" s="30">
        <v>101692.9899177</v>
      </c>
      <c r="E114" s="30">
        <v>101729.38452495</v>
      </c>
    </row>
    <row r="115" spans="2:5" x14ac:dyDescent="0.2">
      <c r="B115" s="30">
        <f t="shared" si="2"/>
        <v>40</v>
      </c>
      <c r="C115" s="30">
        <v>101325</v>
      </c>
      <c r="D115" s="30">
        <v>101581.98524853001</v>
      </c>
      <c r="E115" s="30">
        <v>101607.40137202</v>
      </c>
    </row>
    <row r="116" spans="2:5" x14ac:dyDescent="0.2">
      <c r="B116" s="30">
        <f t="shared" si="2"/>
        <v>41</v>
      </c>
      <c r="C116" s="30">
        <v>101325</v>
      </c>
      <c r="D116" s="30">
        <v>101504.47491629</v>
      </c>
      <c r="E116" s="30">
        <v>101522.22518273001</v>
      </c>
    </row>
    <row r="117" spans="2:5" x14ac:dyDescent="0.2">
      <c r="B117" s="30">
        <f t="shared" si="2"/>
        <v>42</v>
      </c>
      <c r="C117" s="30">
        <v>101325</v>
      </c>
      <c r="D117" s="30">
        <v>101450.34863422</v>
      </c>
      <c r="E117" s="30">
        <v>101462.74575189</v>
      </c>
    </row>
    <row r="118" spans="2:5" x14ac:dyDescent="0.2">
      <c r="B118" s="30">
        <f t="shared" si="2"/>
        <v>43</v>
      </c>
      <c r="C118" s="30">
        <v>101325</v>
      </c>
      <c r="D118" s="30">
        <v>101412.54936253</v>
      </c>
      <c r="E118" s="30">
        <v>101421.20809068999</v>
      </c>
    </row>
    <row r="119" spans="2:5" x14ac:dyDescent="0.2">
      <c r="B119" s="30">
        <f t="shared" si="2"/>
        <v>44</v>
      </c>
      <c r="C119" s="30">
        <v>101325</v>
      </c>
      <c r="D119" s="30">
        <v>101386.15069361</v>
      </c>
      <c r="E119" s="30">
        <v>101392.19856439999</v>
      </c>
    </row>
    <row r="120" spans="2:5" x14ac:dyDescent="0.2">
      <c r="B120" s="30">
        <f t="shared" si="2"/>
        <v>45</v>
      </c>
      <c r="C120" s="30">
        <v>101325</v>
      </c>
      <c r="D120" s="30">
        <v>101367.71323740001</v>
      </c>
      <c r="E120" s="30">
        <v>101371.93762351001</v>
      </c>
    </row>
    <row r="121" spans="2:5" x14ac:dyDescent="0.2">
      <c r="B121" s="30">
        <f t="shared" si="2"/>
        <v>46</v>
      </c>
      <c r="C121" s="30">
        <v>101325</v>
      </c>
      <c r="D121" s="30">
        <v>101354.83671675999</v>
      </c>
      <c r="E121" s="30">
        <v>101357.78760082999</v>
      </c>
    </row>
    <row r="122" spans="2:5" x14ac:dyDescent="0.2">
      <c r="B122" s="30">
        <f t="shared" si="2"/>
        <v>47</v>
      </c>
      <c r="C122" s="30">
        <v>101325</v>
      </c>
      <c r="D122" s="30">
        <v>101345.84242139</v>
      </c>
      <c r="E122" s="30">
        <v>101347.90375976999</v>
      </c>
    </row>
    <row r="123" spans="2:5" x14ac:dyDescent="0.2">
      <c r="B123" s="30">
        <f t="shared" si="2"/>
        <v>48</v>
      </c>
      <c r="C123" s="30">
        <v>101325</v>
      </c>
      <c r="D123" s="30">
        <v>101339.55968876</v>
      </c>
      <c r="E123" s="30">
        <v>101340.99965796999</v>
      </c>
    </row>
    <row r="124" spans="2:5" x14ac:dyDescent="0.2">
      <c r="B124" s="30">
        <f t="shared" si="2"/>
        <v>49</v>
      </c>
      <c r="C124" s="30">
        <v>101325</v>
      </c>
      <c r="D124" s="30">
        <v>101335.17094027001</v>
      </c>
      <c r="E124" s="30">
        <v>101336.17685744</v>
      </c>
    </row>
    <row r="125" spans="2:5" x14ac:dyDescent="0.2">
      <c r="B125" s="30">
        <f t="shared" si="2"/>
        <v>50</v>
      </c>
      <c r="C125" s="30">
        <v>101325</v>
      </c>
      <c r="D125" s="30">
        <v>101332.10515654999</v>
      </c>
      <c r="E125" s="30">
        <v>101332.80786433999</v>
      </c>
    </row>
  </sheetData>
  <mergeCells count="4">
    <mergeCell ref="B2:G2"/>
    <mergeCell ref="I2:K2"/>
    <mergeCell ref="B4:B5"/>
    <mergeCell ref="B73:E7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C4D39-993A-3E4C-9CB6-6B1A73ACB1BC}">
  <dimension ref="A1"/>
  <sheetViews>
    <sheetView topLeftCell="A2" zoomScale="82" workbookViewId="0">
      <selection activeCell="K62" sqref="K62"/>
    </sheetView>
  </sheetViews>
  <sheetFormatPr baseColWidth="10" defaultRowHeight="15" x14ac:dyDescent="0.2"/>
  <cols>
    <col min="16" max="16" width="15.1640625" customWidth="1"/>
    <col min="17" max="17" width="14.33203125" customWidth="1"/>
    <col min="18" max="18" width="13.6640625" customWidth="1"/>
    <col min="19" max="19" width="14.83203125" customWidth="1"/>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771547420392945A5AA4F8CD134A74E" ma:contentTypeVersion="8" ma:contentTypeDescription="Create a new document." ma:contentTypeScope="" ma:versionID="5b69d6d14c9dd7edb07a42e96a0f0f44">
  <xsd:schema xmlns:xsd="http://www.w3.org/2001/XMLSchema" xmlns:xs="http://www.w3.org/2001/XMLSchema" xmlns:p="http://schemas.microsoft.com/office/2006/metadata/properties" xmlns:ns2="6710c9da-4e1d-4ad5-8c80-5f9ebd64c1c5" xmlns:ns3="f2f2b82d-f96d-45ab-80cb-2a1cadaacc42" targetNamespace="http://schemas.microsoft.com/office/2006/metadata/properties" ma:root="true" ma:fieldsID="ce0ae42b116f43f70e3d6cd80869ecd6" ns2:_="" ns3:_="">
    <xsd:import namespace="6710c9da-4e1d-4ad5-8c80-5f9ebd64c1c5"/>
    <xsd:import namespace="f2f2b82d-f96d-45ab-80cb-2a1cadaacc4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10c9da-4e1d-4ad5-8c80-5f9ebd64c1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f2b82d-f96d-45ab-80cb-2a1cadaacc4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8D1B858-7BF3-4A3F-BB3C-990709C46362}">
  <ds:schemaRefs>
    <ds:schemaRef ds:uri="http://schemas.microsoft.com/sharepoint/v3/contenttype/forms"/>
  </ds:schemaRefs>
</ds:datastoreItem>
</file>

<file path=customXml/itemProps2.xml><?xml version="1.0" encoding="utf-8"?>
<ds:datastoreItem xmlns:ds="http://schemas.openxmlformats.org/officeDocument/2006/customXml" ds:itemID="{1B904B92-E6FB-4A1F-AF63-48741E6C40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10c9da-4e1d-4ad5-8c80-5f9ebd64c1c5"/>
    <ds:schemaRef ds:uri="f2f2b82d-f96d-45ab-80cb-2a1cadaacc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C4DE5C-3D91-432F-A902-E584DD56CB26}">
  <ds:schemaRefs>
    <ds:schemaRef ds:uri="http://schemas.microsoft.com/office/infopath/2007/PartnerControls"/>
    <ds:schemaRef ds:uri="http://schemas.microsoft.com/office/2006/documentManagement/types"/>
    <ds:schemaRef ds:uri="http://purl.org/dc/terms/"/>
    <ds:schemaRef ds:uri="http://www.w3.org/XML/1998/namespace"/>
    <ds:schemaRef ds:uri="6710c9da-4e1d-4ad5-8c80-5f9ebd64c1c5"/>
    <ds:schemaRef ds:uri="http://purl.org/dc/dcmitype/"/>
    <ds:schemaRef ds:uri="http://purl.org/dc/elements/1.1/"/>
    <ds:schemaRef ds:uri="http://schemas.openxmlformats.org/package/2006/metadata/core-properties"/>
    <ds:schemaRef ds:uri="f2f2b82d-f96d-45ab-80cb-2a1cadaacc42"/>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Experiment 1</vt:lpstr>
      <vt:lpstr>Experiment 2</vt:lpstr>
      <vt:lpstr>Experiment 3</vt:lpstr>
      <vt:lpstr>Experiment 4</vt:lpstr>
      <vt:lpstr>Experiment 5</vt:lpstr>
      <vt:lpstr>Experiment 6</vt:lpstr>
      <vt:lpstr>Comparison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Microsoft Office User</cp:lastModifiedBy>
  <cp:revision/>
  <dcterms:created xsi:type="dcterms:W3CDTF">2022-09-28T21:13:58Z</dcterms:created>
  <dcterms:modified xsi:type="dcterms:W3CDTF">2023-06-28T19:05:41Z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0x0101007771547420392945A5AA4F8CD134A74E</vt:lpwstr>
  </property>
</Properties>
</file>