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B1203076-2D4D-A25B-A398-973B695A806A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s\Desktop\Poly courses\Excel BA files\project\"/>
    </mc:Choice>
  </mc:AlternateContent>
  <xr:revisionPtr revIDLastSave="0" documentId="8_{1C47CFE8-2193-4A9D-B47D-EE9485F3FA41}" xr6:coauthVersionLast="47" xr6:coauthVersionMax="47" xr10:uidLastSave="{00000000-0000-0000-0000-000000000000}"/>
  <bookViews>
    <workbookView xWindow="-21930" yWindow="1680" windowWidth="21600" windowHeight="11325" tabRatio="945" firstSheet="3" activeTab="3" xr2:uid="{00000000-000D-0000-FFFF-FFFF00000000}"/>
  </bookViews>
  <sheets>
    <sheet name="LLH" sheetId="48" r:id="rId1"/>
    <sheet name="Answer Report 1" sheetId="46" r:id="rId2"/>
    <sheet name="Sensitivity Report 1" sheetId="47" r:id="rId3"/>
    <sheet name="Home" sheetId="1" r:id="rId4"/>
    <sheet name="Users" sheetId="3" r:id="rId5"/>
    <sheet name="Input" sheetId="2" r:id="rId6"/>
    <sheet name="Isetan Home" sheetId="18" r:id="rId7"/>
    <sheet name="Comparison Home" sheetId="19" r:id="rId8"/>
    <sheet name="CDashboard CF Danny" sheetId="4" r:id="rId9"/>
    <sheet name="CControl CF Danny" sheetId="5" r:id="rId10"/>
    <sheet name="CData CF Danny" sheetId="6" r:id="rId11"/>
    <sheet name="Dashboard CF Danny" sheetId="20" r:id="rId12"/>
    <sheet name="Control CF Danny" sheetId="21" r:id="rId13"/>
    <sheet name="Data CF Danny" sheetId="22" r:id="rId14"/>
    <sheet name="CDashboard IS Phone" sheetId="13" r:id="rId15"/>
    <sheet name="CControl IS Phone" sheetId="12" r:id="rId16"/>
    <sheet name="CData IS Phone" sheetId="14" r:id="rId17"/>
    <sheet name="Dashboard IS Phone" sheetId="24" r:id="rId18"/>
    <sheet name="Control IS Phone" sheetId="23" r:id="rId19"/>
    <sheet name="Dashboard BS Yk" sheetId="27" r:id="rId20"/>
    <sheet name="CDashboard BS Yk" sheetId="28" r:id="rId21"/>
    <sheet name="Control BS YK" sheetId="25" r:id="rId22"/>
    <sheet name="Data BS Yk" sheetId="26" r:id="rId23"/>
    <sheet name="CDashboard LQ Suganya" sheetId="31" r:id="rId24"/>
    <sheet name="Control LQ Suganya" sheetId="30" r:id="rId25"/>
    <sheet name="Data LQ Suganya" sheetId="29" r:id="rId26"/>
    <sheet name="Dashboard Profitability Prisca" sheetId="36" r:id="rId27"/>
    <sheet name="Dashboard Explanation Prisca" sheetId="37" r:id="rId28"/>
    <sheet name="Control Profitability Prisca" sheetId="35" r:id="rId29"/>
    <sheet name="Financial Ratios" sheetId="44" r:id="rId30"/>
    <sheet name="ISETAN IS" sheetId="41" r:id="rId31"/>
    <sheet name="ISETAN BS" sheetId="42" r:id="rId32"/>
    <sheet name="ISETAN CF" sheetId="43" r:id="rId33"/>
    <sheet name="METRO IS" sheetId="38" r:id="rId34"/>
    <sheet name="METRO BS" sheetId="39" r:id="rId35"/>
    <sheet name="METRO CF" sheetId="40" r:id="rId36"/>
  </sheets>
  <externalReferences>
    <externalReference r:id="rId37"/>
  </externalReferences>
  <definedNames>
    <definedName name="AC_row">'Control LQ Suganya'!#REF!</definedName>
    <definedName name="accpayisetan_row">'Control LQ Suganya'!#REF!</definedName>
    <definedName name="accrec_row">'Control LQ Suganya'!#REF!</definedName>
    <definedName name="ActFull">'Control CF Danny'!$C$2</definedName>
    <definedName name="ActiFull">'CControl CF Danny'!$C$2</definedName>
    <definedName name="ActiShort">'CControl CF Danny'!$E$2</definedName>
    <definedName name="ActivFull">'CControl CF Danny'!$J$11</definedName>
    <definedName name="ActivShort">'CControl CF Danny'!$L$11</definedName>
    <definedName name="ActShort">'Control CF Danny'!$E$2</definedName>
    <definedName name="AP_row">'Control LQ Suganya'!#REF!</definedName>
    <definedName name="assets_name">'Control Profitability Prisca'!$E$57</definedName>
    <definedName name="AXNAM">'Control LQ Suganya'!$I$5:$J$10</definedName>
    <definedName name="Cashflow_Link">'CControl CF Danny'!$B$2</definedName>
    <definedName name="Cashfull">'CControl CF Danny'!$A$2:$A$5</definedName>
    <definedName name="Cashfulll">'CControl CF Danny'!$H$11:$H$16</definedName>
    <definedName name="Cashfulll_Link">'CControl CF Danny'!$I$11</definedName>
    <definedName name="CAssets">'Data BS Yk'!$B$8:$E$9</definedName>
    <definedName name="Catagory">'CControl IS Phone'!$A$30:$A$32</definedName>
    <definedName name="CCEY_Name">'Data CF Danny'!$B$7:$E$7</definedName>
    <definedName name="Cffull">'Control CF Danny'!$A$2:$A$7</definedName>
    <definedName name="Cffull_Link">'Control CF Danny'!$B$2</definedName>
    <definedName name="Change">'CControl IS Phone'!$B$23:$B$24</definedName>
    <definedName name="Change_chosen">'CControl IS Phone'!$D$23</definedName>
    <definedName name="Change_chosen1">'CControl IS Phone'!$H$23</definedName>
    <definedName name="CLiabilities">'Data BS Yk'!$B$18:$E$19</definedName>
    <definedName name="compare_npm">'Control Profitability Prisca'!$B$40</definedName>
    <definedName name="comparison_npm">'Control Profitability Prisca'!$B$40:$F$40</definedName>
    <definedName name="D_choose1">'Control Profitability Prisca'!$G$30</definedName>
    <definedName name="D_choosen">'Control Profitability Prisca'!$C$30</definedName>
    <definedName name="D_name">'Control Profitability Prisca'!$E$30:$E$31</definedName>
    <definedName name="D_row">'Control Profitability Prisca'!$B$30</definedName>
    <definedName name="D_Row1">'Control Profitability Prisca'!$F$30</definedName>
    <definedName name="Dac">'CControl CF Danny'!$O$3</definedName>
    <definedName name="data_npm1">'Control Profitability Prisca'!$B$3:$E$4</definedName>
    <definedName name="Data_ROA1">'Control Profitability Prisca'!$P$3:$S$4</definedName>
    <definedName name="data_ROE1">'Control Profitability Prisca'!$J$3:$M$4</definedName>
    <definedName name="DCCEY_Name">'CData CF Danny'!$B$2:$E$3</definedName>
    <definedName name="dept_row">'Control LQ Suganya'!#REF!</definedName>
    <definedName name="DFY_Name">'CData CF Danny'!$B$14:$E$15</definedName>
    <definedName name="Dhc">'CControl CF Danny'!$M$3</definedName>
    <definedName name="diff_amt">'Control Profitability Prisca'!$B$25</definedName>
    <definedName name="diff_amt2">'Control Profitability Prisca'!$G$25</definedName>
    <definedName name="diff_amt3">'Control Profitability Prisca'!$O$25</definedName>
    <definedName name="diff_npm1">'Control Profitability Prisca'!$B$39</definedName>
    <definedName name="diff3">'Control Profitability Prisca'!$O$24</definedName>
    <definedName name="difference">'Control Profitability Prisca'!$B$24</definedName>
    <definedName name="difference2">'Control Profitability Prisca'!$G$24</definedName>
    <definedName name="DIY_Name">'CData CF Danny'!$B$10:$E$11</definedName>
    <definedName name="Dlc">'CControl CF Danny'!$N$3</definedName>
    <definedName name="DName">'CControl CF Danny'!$B$13</definedName>
    <definedName name="DOCF_Name">'CData CF Danny'!$B$22:$E$23</definedName>
    <definedName name="DOY_Name">'CData CF Danny'!$B$6:$E$7</definedName>
    <definedName name="DPBT_Name">'CData CF Danny'!$B$18:$E$19</definedName>
    <definedName name="EPS">'CData IS Phone'!$B$10:$E$11</definedName>
    <definedName name="Exp_chosen">'CControl IS Phone'!$D$55</definedName>
    <definedName name="Exp_Chosen1">'Control IS Phone'!$D$20</definedName>
    <definedName name="FS_diff">'Control Profitability Prisca'!$B$26</definedName>
    <definedName name="FY_Name">'Data CF Danny'!$B$6:$E$6</definedName>
    <definedName name="I_Equity">'Control Profitability Prisca'!$W$18:$Z$18</definedName>
    <definedName name="I_Income">'Control Profitability Prisca'!$W$12:$Z$12</definedName>
    <definedName name="I_Income1">'Control Profitability Prisca'!$W$17:$Z$17</definedName>
    <definedName name="I_INCOME2">'Control Profitability Prisca'!$W$25:$Z$25</definedName>
    <definedName name="I_P">'Control Profitability Prisca'!$W$8:$Z$8</definedName>
    <definedName name="I_R">'Control Profitability Prisca'!$W$7:$Z$7</definedName>
    <definedName name="I_R13">'Control Profitability Prisca'!$W$7</definedName>
    <definedName name="I_ROA">'Control Profitability Prisca'!$W$25:$Z$26</definedName>
    <definedName name="I_ROE">'Control Profitability Prisca'!$W$17:$Z$18</definedName>
    <definedName name="I_TA">'Control Profitability Prisca'!$W$26:$Z$26</definedName>
    <definedName name="income_name">'Control Profitability Prisca'!$E$56</definedName>
    <definedName name="inv_row">'Control LQ Suganya'!#REF!</definedName>
    <definedName name="invisetan_row">'Control LQ Suganya'!#REF!</definedName>
    <definedName name="IS_name">'Control Profitability Prisca'!$B$19</definedName>
    <definedName name="IS_NPM">'Control Profitability Prisca'!$W$7:$Z$8</definedName>
    <definedName name="Ise">'Control IS Phone'!$B$3:$B$6</definedName>
    <definedName name="IseExp">'CData IS Phone'!$B$18:$C$21</definedName>
    <definedName name="Isetan_LQ">'Data LQ Suganya'!$H$7:$K$12</definedName>
    <definedName name="Isetan_quickratio">'Data LQ Suganya'!$H$4:$K$5</definedName>
    <definedName name="IY_Name">'Data CF Danny'!$B$5:$E$5</definedName>
    <definedName name="liquidity_row">'Control LQ Suganya'!$D$3</definedName>
    <definedName name="M_Equity">'Control Profitability Prisca'!$W$13:$Z$13</definedName>
    <definedName name="M_Income">'Control Profitability Prisca'!$W$12:$Z$12</definedName>
    <definedName name="M_Income2">'Control Profitability Prisca'!$W$21:$Z$21</definedName>
    <definedName name="M_Name">'Control Profitability Prisca'!$C$19</definedName>
    <definedName name="M_NPM">'Control Profitability Prisca'!$W$2:$Z$3</definedName>
    <definedName name="M_P">'Control Profitability Prisca'!$W$3:$Z$3</definedName>
    <definedName name="M_R">'Control Profitability Prisca'!$W$2:$Z$2</definedName>
    <definedName name="M_R13">'Control Profitability Prisca'!$W$2</definedName>
    <definedName name="M_ROA">'Control Profitability Prisca'!$W$21:$Z$22</definedName>
    <definedName name="M_ROE">'Control Profitability Prisca'!$W$12:$Z$13</definedName>
    <definedName name="M_TA">'Control Profitability Prisca'!$W$22:$Z$22</definedName>
    <definedName name="Metro_currentratio">'Data LQ Suganya'!$C$4:$F$5</definedName>
    <definedName name="Metro_LQ">'Data LQ Suganya'!$C$7:$F$12</definedName>
    <definedName name="mm_choosen">'Control Profitability Prisca'!$K$30</definedName>
    <definedName name="Mm_Income">'Control Profitability Prisca'!$W$12:$Z$12</definedName>
    <definedName name="mm_row">'Control Profitability Prisca'!$J$30</definedName>
    <definedName name="NCAssets">'Data BS Yk'!$B$5:$E$6</definedName>
    <definedName name="NCLiabilities">'Data BS Yk'!$B$15:$E$16</definedName>
    <definedName name="NetProfit">'CData IS Phone'!$B$6:$E$7</definedName>
    <definedName name="NPM_choosen1">'Control Profitability Prisca'!$C$30</definedName>
    <definedName name="NPM_IDiff">'Control Profitability Prisca'!$B$37:$E$37</definedName>
    <definedName name="NPM_IS">'Control Profitability Prisca'!$B$20</definedName>
    <definedName name="NPM_Mdiff">'Control Profitability Prisca'!$B$36:$E$36</definedName>
    <definedName name="NPM_Metro">'Control Profitability Prisca'!$C$20</definedName>
    <definedName name="NPM_Row1">'Control Profitability Prisca'!$B$30</definedName>
    <definedName name="OCF_Name">'Data CF Danny'!$B$3:$E$3</definedName>
    <definedName name="OY_Name">'Data CF Danny'!$B$4:$E$4</definedName>
    <definedName name="pass">Users!$B:$C</definedName>
    <definedName name="PBT_Name">'Data CF Danny'!$B$2:$E$2</definedName>
    <definedName name="Revenue">'CData IS Phone'!$B$2:$E$3</definedName>
    <definedName name="ROA_choose">'Control Profitability Prisca'!$C$57</definedName>
    <definedName name="roa_comparison">'Control Profitability Prisca'!$G$63</definedName>
    <definedName name="ROA_IS">'Control Profitability Prisca'!$P$20</definedName>
    <definedName name="ROA_M">'Control Profitability Prisca'!$Q$20</definedName>
    <definedName name="ROA_row">'Control Profitability Prisca'!$B$57</definedName>
    <definedName name="roa_total_i">'Control Profitability Prisca'!$F$64</definedName>
    <definedName name="roa_total_m">'Control Profitability Prisca'!$F$63</definedName>
    <definedName name="ROE_amt">'Control Profitability Prisca'!$H$20</definedName>
    <definedName name="ROE_choose1">'Control Profitability Prisca'!$C$45</definedName>
    <definedName name="ROE_diffs">'Control Profitability Prisca'!$G$50</definedName>
    <definedName name="ROE_M">'Control Profitability Prisca'!$I$20</definedName>
    <definedName name="ROE_Row1">'Control Profitability Prisca'!$B$45</definedName>
    <definedName name="Row_Cat">'CControl IS Phone'!$B$30</definedName>
    <definedName name="Row_Change">'CControl IS Phone'!$C$23</definedName>
    <definedName name="Row_change1">'CControl IS Phone'!$G$23</definedName>
    <definedName name="Row_exp">'CControl IS Phone'!$C$55</definedName>
    <definedName name="Row_Exp1">'Control IS Phone'!$C$20</definedName>
    <definedName name="Row_Ise2">'Control IS Phone'!$C$3</definedName>
    <definedName name="Row_Year">'CControl IS Phone'!$B$2</definedName>
    <definedName name="Row_Year1">'CControl IS Phone'!$F$2</definedName>
    <definedName name="Row_Year2">'CControl IS Phone'!#REF!</definedName>
    <definedName name="solver_adj" localSheetId="0" hidden="1">LLH!$B$14:$D$15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LLH!$I$14:$I$18</definedName>
    <definedName name="solver_lhs2" localSheetId="0" hidden="1">LLH!$I$19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LLH!$B$18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hs1" localSheetId="0" hidden="1">LLH!$K$14:$K$18</definedName>
    <definedName name="solver_rhs2" localSheetId="0" hidden="1">LLH!$K$19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d_row">'Control LQ Suganya'!$F$13</definedName>
    <definedName name="Total_I_NPM">'Control Profitability Prisca'!$F$37</definedName>
    <definedName name="total_M_NPM">'Control Profitability Prisca'!$F$36</definedName>
    <definedName name="total_roe_I">'Control Profitability Prisca'!$F$51</definedName>
    <definedName name="total_roe_M">'Control Profitability Prisca'!$F$50</definedName>
    <definedName name="TotalAssets">'Data BS Yk'!$B$2:$E$3</definedName>
    <definedName name="TotalCI_Loss">'CData IS Phone'!$B$14:$E$15</definedName>
    <definedName name="TotalLiabilities">'Data BS Yk'!$B$12:$E$13</definedName>
    <definedName name="users">Users!$A:$B</definedName>
    <definedName name="Year">'CControl IS Phone'!$A$2:$A$5</definedName>
    <definedName name="Year_Choosen">#REF!</definedName>
    <definedName name="Year_Choosen1">'Control Profitability Prisca'!$C$8</definedName>
    <definedName name="Year_choosenn">#REF!</definedName>
    <definedName name="Year_Chosen">'CControl IS Phone'!$C$2</definedName>
    <definedName name="Year_chosen1">'CControl IS Phone'!$G$2</definedName>
    <definedName name="Year_chosen2">'CControl IS Phone'!#REF!</definedName>
    <definedName name="year_row">'Control LQ Suganya'!$B$14</definedName>
    <definedName name="Year_Roww">'Control Profitability Prisca'!$B$8</definedName>
    <definedName name="Year1">'CControl IS Phone'!$E$2:$E$5</definedName>
    <definedName name="Year2">'CControl IS Phone'!$A$41:$A$44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48" l="1"/>
  <c r="E14" i="48"/>
  <c r="I14" i="48" s="1"/>
  <c r="K14" i="48"/>
  <c r="E15" i="48"/>
  <c r="I15" i="48" s="1"/>
  <c r="K15" i="48"/>
  <c r="B16" i="48"/>
  <c r="I16" i="48" s="1"/>
  <c r="C16" i="48"/>
  <c r="I17" i="48" s="1"/>
  <c r="D16" i="48"/>
  <c r="I18" i="48" s="1"/>
  <c r="K16" i="48"/>
  <c r="K17" i="48"/>
  <c r="B18" i="48"/>
  <c r="K18" i="48"/>
  <c r="C4" i="44"/>
  <c r="D4" i="44"/>
  <c r="E4" i="44"/>
  <c r="F4" i="44"/>
  <c r="H4" i="44"/>
  <c r="I4" i="44"/>
  <c r="J4" i="44"/>
  <c r="K4" i="44"/>
  <c r="K5" i="44" s="1"/>
  <c r="C5" i="44"/>
  <c r="D5" i="44"/>
  <c r="E5" i="44"/>
  <c r="F5" i="44"/>
  <c r="H5" i="44"/>
  <c r="I5" i="44"/>
  <c r="J5" i="44"/>
  <c r="C6" i="44"/>
  <c r="D6" i="44"/>
  <c r="E6" i="44"/>
  <c r="F6" i="44"/>
  <c r="H6" i="44"/>
  <c r="I6" i="44"/>
  <c r="J6" i="44"/>
  <c r="K6" i="44"/>
  <c r="C7" i="44"/>
  <c r="D7" i="44"/>
  <c r="E7" i="44"/>
  <c r="F7" i="44"/>
  <c r="H7" i="44"/>
  <c r="I7" i="44"/>
  <c r="J7" i="44"/>
  <c r="K7" i="44"/>
  <c r="C10" i="44"/>
  <c r="D10" i="44"/>
  <c r="E10" i="44"/>
  <c r="F10" i="44"/>
  <c r="H10" i="44"/>
  <c r="I10" i="44"/>
  <c r="J10" i="44"/>
  <c r="K10" i="44"/>
  <c r="C11" i="44"/>
  <c r="D11" i="44"/>
  <c r="E11" i="44"/>
  <c r="F11" i="44"/>
  <c r="H11" i="44"/>
  <c r="I11" i="44"/>
  <c r="J11" i="44"/>
  <c r="K11" i="44"/>
  <c r="C14" i="44"/>
  <c r="D14" i="44"/>
  <c r="E14" i="44"/>
  <c r="F14" i="44"/>
  <c r="H14" i="44"/>
  <c r="H15" i="44" s="1"/>
  <c r="I14" i="44"/>
  <c r="J14" i="44"/>
  <c r="K14" i="44"/>
  <c r="K15" i="44" s="1"/>
  <c r="C15" i="44"/>
  <c r="D15" i="44"/>
  <c r="E15" i="44"/>
  <c r="F15" i="44"/>
  <c r="I15" i="44"/>
  <c r="J15" i="44"/>
  <c r="C16" i="44"/>
  <c r="D16" i="44"/>
  <c r="E16" i="44"/>
  <c r="F16" i="44"/>
  <c r="H16" i="44"/>
  <c r="H17" i="44" s="1"/>
  <c r="I16" i="44"/>
  <c r="J16" i="44"/>
  <c r="J17" i="44" s="1"/>
  <c r="K16" i="44"/>
  <c r="K17" i="44" s="1"/>
  <c r="C17" i="44"/>
  <c r="D17" i="44"/>
  <c r="E17" i="44"/>
  <c r="F17" i="44"/>
  <c r="I17" i="44"/>
  <c r="C18" i="44"/>
  <c r="D18" i="44"/>
  <c r="E18" i="44"/>
  <c r="F18" i="44"/>
  <c r="H18" i="44"/>
  <c r="I18" i="44"/>
  <c r="J18" i="44"/>
  <c r="J19" i="44" s="1"/>
  <c r="K18" i="44"/>
  <c r="K19" i="44" s="1"/>
  <c r="C19" i="44"/>
  <c r="D19" i="44"/>
  <c r="E19" i="44"/>
  <c r="F19" i="44"/>
  <c r="H19" i="44"/>
  <c r="I19" i="44"/>
  <c r="C22" i="44"/>
  <c r="D22" i="44"/>
  <c r="E22" i="44"/>
  <c r="F22" i="44"/>
  <c r="H22" i="44"/>
  <c r="I22" i="44"/>
  <c r="J22" i="44"/>
  <c r="K22" i="44"/>
  <c r="C25" i="44"/>
  <c r="D25" i="44"/>
  <c r="E25" i="44"/>
  <c r="F25" i="44"/>
  <c r="H25" i="44"/>
  <c r="I25" i="44"/>
  <c r="J25" i="44"/>
  <c r="K25" i="44"/>
  <c r="C26" i="44"/>
  <c r="D26" i="44"/>
  <c r="E26" i="44"/>
  <c r="F26" i="44"/>
  <c r="H26" i="44"/>
  <c r="I26" i="44"/>
  <c r="J26" i="44"/>
  <c r="K26" i="44"/>
  <c r="C27" i="44"/>
  <c r="D27" i="44"/>
  <c r="E27" i="44"/>
  <c r="F27" i="44"/>
  <c r="H27" i="44"/>
  <c r="I27" i="44"/>
  <c r="J27" i="44"/>
  <c r="K27" i="44"/>
  <c r="C28" i="44"/>
  <c r="D28" i="44"/>
  <c r="E28" i="44"/>
  <c r="F28" i="44"/>
  <c r="H28" i="44"/>
  <c r="I28" i="44"/>
  <c r="J28" i="44"/>
  <c r="K28" i="44"/>
  <c r="C29" i="42"/>
  <c r="G10" i="41"/>
  <c r="H10" i="41"/>
  <c r="I10" i="41"/>
  <c r="J10" i="41"/>
  <c r="G11" i="41"/>
  <c r="H11" i="41"/>
  <c r="I11" i="41"/>
  <c r="J11" i="41"/>
  <c r="D27" i="39"/>
  <c r="E28" i="38"/>
  <c r="E34" i="38" s="1"/>
  <c r="E55" i="38"/>
  <c r="E16" i="48" l="1"/>
  <c r="D3" i="23"/>
  <c r="C30" i="12"/>
  <c r="B37" i="12" s="1"/>
  <c r="B38" i="12" s="1"/>
  <c r="B3" i="37" l="1"/>
  <c r="M13" i="37"/>
  <c r="M14" i="37"/>
  <c r="M15" i="37"/>
  <c r="B33" i="37"/>
  <c r="M41" i="37"/>
  <c r="M42" i="37"/>
  <c r="M43" i="37"/>
  <c r="M44" i="37"/>
  <c r="B66" i="37"/>
  <c r="M74" i="37"/>
  <c r="M75" i="37"/>
  <c r="M76" i="37"/>
  <c r="B12" i="36"/>
  <c r="B35" i="36"/>
  <c r="B59" i="36"/>
  <c r="B3" i="35"/>
  <c r="C3" i="35"/>
  <c r="D3" i="35"/>
  <c r="E3" i="35"/>
  <c r="J3" i="35"/>
  <c r="K3" i="35"/>
  <c r="L3" i="35"/>
  <c r="M3" i="35"/>
  <c r="P3" i="35"/>
  <c r="Q3" i="35"/>
  <c r="R3" i="35"/>
  <c r="S3" i="35"/>
  <c r="B4" i="35"/>
  <c r="C4" i="35"/>
  <c r="D4" i="35"/>
  <c r="E4" i="35"/>
  <c r="J4" i="35"/>
  <c r="K4" i="35"/>
  <c r="L4" i="35"/>
  <c r="M4" i="35"/>
  <c r="P4" i="35"/>
  <c r="Q4" i="35"/>
  <c r="R4" i="35"/>
  <c r="S4" i="35"/>
  <c r="C8" i="35"/>
  <c r="C15" i="35"/>
  <c r="D15" i="35"/>
  <c r="E15" i="35"/>
  <c r="I15" i="35"/>
  <c r="J15" i="35"/>
  <c r="K15" i="35"/>
  <c r="Q15" i="35"/>
  <c r="R15" i="35"/>
  <c r="S15" i="35"/>
  <c r="C16" i="35"/>
  <c r="D16" i="35"/>
  <c r="E16" i="35"/>
  <c r="H16" i="35"/>
  <c r="I16" i="35"/>
  <c r="J16" i="35"/>
  <c r="K16" i="35"/>
  <c r="Q16" i="35"/>
  <c r="R16" i="35"/>
  <c r="S16" i="35"/>
  <c r="B20" i="35"/>
  <c r="C20" i="35"/>
  <c r="H20" i="35"/>
  <c r="I20" i="35"/>
  <c r="G24" i="35" s="1"/>
  <c r="P20" i="35"/>
  <c r="Q20" i="35"/>
  <c r="C30" i="35"/>
  <c r="G32" i="35" s="1"/>
  <c r="G30" i="35"/>
  <c r="L30" i="35"/>
  <c r="K34" i="35"/>
  <c r="C34" i="12"/>
  <c r="B36" i="35"/>
  <c r="M69" i="36" l="1"/>
  <c r="O24" i="35"/>
  <c r="B24" i="35"/>
  <c r="A20" i="35"/>
  <c r="O20" i="35"/>
  <c r="G25" i="35"/>
  <c r="M44" i="36" s="1"/>
  <c r="O25" i="35"/>
  <c r="B26" i="35"/>
  <c r="M43" i="36"/>
  <c r="A36" i="35"/>
  <c r="B25" i="35"/>
  <c r="M23" i="36"/>
  <c r="G20" i="35"/>
  <c r="A37" i="35"/>
  <c r="C45" i="35"/>
  <c r="G44" i="35" s="1"/>
  <c r="D36" i="35"/>
  <c r="C36" i="35"/>
  <c r="E37" i="35"/>
  <c r="D37" i="35"/>
  <c r="D50" i="35"/>
  <c r="E36" i="35"/>
  <c r="C37" i="35"/>
  <c r="B50" i="35"/>
  <c r="E50" i="35"/>
  <c r="C50" i="35"/>
  <c r="B37" i="35"/>
  <c r="F36" i="35" l="1"/>
  <c r="M70" i="36"/>
  <c r="M24" i="36"/>
  <c r="E40" i="35"/>
  <c r="E38" i="35"/>
  <c r="C38" i="35"/>
  <c r="C40" i="35"/>
  <c r="B38" i="35"/>
  <c r="F37" i="35"/>
  <c r="M10" i="37" s="1"/>
  <c r="B40" i="35"/>
  <c r="D38" i="35"/>
  <c r="D40" i="35"/>
  <c r="A50" i="35"/>
  <c r="F50" i="35"/>
  <c r="A51" i="35"/>
  <c r="C57" i="35"/>
  <c r="F56" i="35" s="1"/>
  <c r="B51" i="35"/>
  <c r="E63" i="35"/>
  <c r="D63" i="35"/>
  <c r="B63" i="35"/>
  <c r="C63" i="35"/>
  <c r="D51" i="35"/>
  <c r="E51" i="35"/>
  <c r="C51" i="35"/>
  <c r="F38" i="35" l="1"/>
  <c r="F40" i="35"/>
  <c r="B39" i="35"/>
  <c r="M11" i="37" s="1"/>
  <c r="F51" i="35"/>
  <c r="M38" i="37" s="1"/>
  <c r="A63" i="35"/>
  <c r="F63" i="35"/>
  <c r="A64" i="35"/>
  <c r="C64" i="35"/>
  <c r="E64" i="35"/>
  <c r="D64" i="35"/>
  <c r="B64" i="35"/>
  <c r="G50" i="35" l="1"/>
  <c r="M39" i="37" s="1"/>
  <c r="F64" i="35"/>
  <c r="G63" i="35" s="1"/>
  <c r="M72" i="37" s="1"/>
  <c r="M71" i="37" l="1"/>
  <c r="I103" i="25"/>
  <c r="I101" i="25"/>
  <c r="I65" i="25"/>
  <c r="I63" i="25"/>
  <c r="C2" i="5" l="1"/>
  <c r="E2" i="5"/>
  <c r="L11" i="5"/>
  <c r="B13" i="5" s="1"/>
  <c r="J11" i="5"/>
  <c r="H2" i="5" s="1"/>
  <c r="E2" i="21"/>
  <c r="C2" i="21"/>
  <c r="I3" i="5"/>
  <c r="D20" i="23" l="1"/>
  <c r="B26" i="23" s="1"/>
  <c r="C26" i="23"/>
  <c r="D26" i="23"/>
  <c r="B20" i="14"/>
  <c r="B21" i="14"/>
  <c r="C16" i="23"/>
  <c r="O13" i="24" s="1"/>
  <c r="B40" i="12"/>
  <c r="O67" i="13" s="1"/>
  <c r="E26" i="23" l="1"/>
  <c r="C29" i="23" s="1"/>
  <c r="O40" i="24" s="1"/>
  <c r="C28" i="23"/>
  <c r="A3" i="30" l="1"/>
  <c r="G3" i="30"/>
  <c r="A4" i="30"/>
  <c r="G4" i="30"/>
  <c r="A5" i="30"/>
  <c r="E3" i="30" s="1"/>
  <c r="F3" i="30" s="1"/>
  <c r="B19" i="30" s="1"/>
  <c r="A6" i="30"/>
  <c r="A7" i="30"/>
  <c r="J7" i="30"/>
  <c r="A8" i="30"/>
  <c r="E13" i="30"/>
  <c r="C14" i="30"/>
  <c r="E14" i="30"/>
  <c r="G13" i="30" s="1"/>
  <c r="B20" i="30"/>
  <c r="B21" i="30"/>
  <c r="C20" i="30" l="1"/>
  <c r="C21" i="30"/>
  <c r="G23" i="30"/>
  <c r="A24" i="30"/>
  <c r="D25" i="30"/>
  <c r="D26" i="30"/>
  <c r="D27" i="30"/>
  <c r="I27" i="30"/>
  <c r="I28" i="30"/>
  <c r="A30" i="30"/>
  <c r="A39" i="30"/>
  <c r="E41" i="30"/>
  <c r="B41" i="30"/>
  <c r="I18" i="30"/>
  <c r="H18" i="30"/>
  <c r="C41" i="30"/>
  <c r="G18" i="30"/>
  <c r="J18" i="30"/>
  <c r="D41" i="30"/>
  <c r="H17" i="30"/>
  <c r="K18" i="30" l="1"/>
  <c r="G25" i="30"/>
  <c r="F41" i="30"/>
  <c r="I17" i="30"/>
  <c r="J17" i="30"/>
  <c r="G17" i="30"/>
  <c r="C42" i="30"/>
  <c r="E42" i="30"/>
  <c r="D42" i="30"/>
  <c r="B42" i="30"/>
  <c r="L18" i="30" l="1"/>
  <c r="G24" i="30"/>
  <c r="K17" i="30"/>
  <c r="L17" i="30"/>
  <c r="I19" i="30"/>
  <c r="I20" i="30" s="1"/>
  <c r="F31" i="30" s="1"/>
  <c r="K19" i="30"/>
  <c r="K20" i="30" s="1"/>
  <c r="F32" i="30" s="1"/>
  <c r="J19" i="30"/>
  <c r="J20" i="30" s="1"/>
  <c r="F42" i="30"/>
  <c r="B43" i="30"/>
  <c r="H41" i="30" s="1"/>
  <c r="C43" i="30"/>
  <c r="H42" i="30" s="1"/>
  <c r="D43" i="30"/>
  <c r="D44" i="30" s="1"/>
  <c r="A48" i="30" s="1"/>
  <c r="F30" i="30" l="1"/>
  <c r="B44" i="30"/>
  <c r="A47" i="30" s="1"/>
  <c r="C44" i="30"/>
  <c r="A46" i="30" s="1"/>
  <c r="D6" i="25" l="1"/>
  <c r="I6" i="25" s="1"/>
  <c r="E6" i="25"/>
  <c r="A11" i="25" s="1"/>
  <c r="C12" i="25"/>
  <c r="A12" i="25" l="1"/>
  <c r="C16" i="25"/>
  <c r="A19" i="25" s="1"/>
  <c r="B24" i="25"/>
  <c r="B30" i="25" s="1"/>
  <c r="I24" i="25"/>
  <c r="Q58" i="27" s="1"/>
  <c r="D34" i="25"/>
  <c r="I34" i="25" s="1"/>
  <c r="E34" i="25"/>
  <c r="A39" i="25" s="1"/>
  <c r="E12" i="25"/>
  <c r="B12" i="25"/>
  <c r="D12" i="25"/>
  <c r="B40" i="25"/>
  <c r="I7" i="25" l="1"/>
  <c r="I8" i="25"/>
  <c r="I10" i="25" s="1"/>
  <c r="Q24" i="27" s="1"/>
  <c r="F12" i="25"/>
  <c r="S7" i="25" s="1"/>
  <c r="I12" i="25"/>
  <c r="J12" i="25" s="1"/>
  <c r="K12" i="25" s="1"/>
  <c r="S9" i="25" s="1"/>
  <c r="C30" i="25"/>
  <c r="I26" i="25" s="1"/>
  <c r="C20" i="25"/>
  <c r="I25" i="25"/>
  <c r="A40" i="25"/>
  <c r="B20" i="25"/>
  <c r="G12" i="25"/>
  <c r="H12" i="25" s="1"/>
  <c r="S6" i="25" s="1"/>
  <c r="S8" i="25" s="1"/>
  <c r="Q27" i="27" s="1"/>
  <c r="S10" i="25"/>
  <c r="D20" i="25"/>
  <c r="A20" i="25"/>
  <c r="E20" i="25"/>
  <c r="C44" i="25"/>
  <c r="A47" i="25" s="1"/>
  <c r="B52" i="25"/>
  <c r="C58" i="25" s="1"/>
  <c r="I52" i="25"/>
  <c r="Q130" i="27" s="1"/>
  <c r="B58" i="25"/>
  <c r="D66" i="25"/>
  <c r="E66" i="25"/>
  <c r="E40" i="25"/>
  <c r="C40" i="25"/>
  <c r="D40" i="25"/>
  <c r="S11" i="25" l="1"/>
  <c r="Q30" i="27" s="1"/>
  <c r="I27" i="25"/>
  <c r="Q59" i="27" s="1"/>
  <c r="A71" i="25"/>
  <c r="A85" i="25"/>
  <c r="I94" i="25"/>
  <c r="O38" i="28" s="1"/>
  <c r="I88" i="25"/>
  <c r="I82" i="25"/>
  <c r="I62" i="25"/>
  <c r="B75" i="25"/>
  <c r="I54" i="25"/>
  <c r="I40" i="25"/>
  <c r="B48" i="25"/>
  <c r="F40" i="25"/>
  <c r="I36" i="25"/>
  <c r="I35" i="25"/>
  <c r="C48" i="25"/>
  <c r="D48" i="25"/>
  <c r="I53" i="25"/>
  <c r="A48" i="25"/>
  <c r="E48" i="25"/>
  <c r="I81" i="25"/>
  <c r="J81" i="25"/>
  <c r="K81" i="25"/>
  <c r="I83" i="25"/>
  <c r="B73" i="25"/>
  <c r="C72" i="25"/>
  <c r="C73" i="25"/>
  <c r="B72" i="25"/>
  <c r="E73" i="25"/>
  <c r="E72" i="25"/>
  <c r="D72" i="25"/>
  <c r="D73" i="25"/>
  <c r="B86" i="25"/>
  <c r="I64" i="25" l="1"/>
  <c r="K63" i="25"/>
  <c r="I66" i="25"/>
  <c r="K65" i="25"/>
  <c r="J65" i="25"/>
  <c r="J63" i="25"/>
  <c r="I38" i="25"/>
  <c r="Q97" i="27" s="1"/>
  <c r="I55" i="25"/>
  <c r="Q131" i="27" s="1"/>
  <c r="G40" i="25"/>
  <c r="H40" i="25" s="1"/>
  <c r="S34" i="25" s="1"/>
  <c r="S35" i="25"/>
  <c r="S38" i="25"/>
  <c r="J40" i="25"/>
  <c r="K40" i="25" s="1"/>
  <c r="S37" i="25" s="1"/>
  <c r="D86" i="25"/>
  <c r="E86" i="25"/>
  <c r="C86" i="25"/>
  <c r="B87" i="25"/>
  <c r="I67" i="25" l="1"/>
  <c r="O20" i="28" s="1"/>
  <c r="K86" i="25"/>
  <c r="J86" i="25"/>
  <c r="I86" i="25"/>
  <c r="K87" i="25"/>
  <c r="J87" i="25"/>
  <c r="I87" i="25"/>
  <c r="K84" i="25"/>
  <c r="K85" i="25"/>
  <c r="J84" i="25"/>
  <c r="J85" i="25"/>
  <c r="I84" i="25"/>
  <c r="I85" i="25"/>
  <c r="S36" i="25"/>
  <c r="Q100" i="27" s="1"/>
  <c r="S39" i="25"/>
  <c r="Q103" i="27" s="1"/>
  <c r="C90" i="25"/>
  <c r="A94" i="25" s="1"/>
  <c r="B93" i="25" s="1"/>
  <c r="I93" i="25"/>
  <c r="D100" i="25"/>
  <c r="I128" i="25" s="1"/>
  <c r="O83" i="28" s="1"/>
  <c r="E100" i="25"/>
  <c r="E87" i="25"/>
  <c r="C87" i="25"/>
  <c r="D87" i="25"/>
  <c r="A105" i="25" l="1"/>
  <c r="A119" i="25"/>
  <c r="I100" i="25"/>
  <c r="I116" i="25"/>
  <c r="I122" i="25"/>
  <c r="B109" i="25"/>
  <c r="K92" i="25"/>
  <c r="J91" i="25"/>
  <c r="J89" i="25"/>
  <c r="K90" i="25"/>
  <c r="I91" i="25"/>
  <c r="J92" i="25"/>
  <c r="I89" i="25"/>
  <c r="I90" i="25"/>
  <c r="I92" i="25"/>
  <c r="J90" i="25"/>
  <c r="K91" i="25"/>
  <c r="K89" i="25"/>
  <c r="B96" i="25"/>
  <c r="B95" i="25"/>
  <c r="C96" i="25"/>
  <c r="D95" i="25"/>
  <c r="C95" i="25"/>
  <c r="D96" i="25"/>
  <c r="E95" i="25"/>
  <c r="I115" i="25"/>
  <c r="J115" i="25"/>
  <c r="K115" i="25"/>
  <c r="I117" i="25"/>
  <c r="E106" i="25"/>
  <c r="B107" i="25"/>
  <c r="E107" i="25"/>
  <c r="C106" i="25"/>
  <c r="D106" i="25"/>
  <c r="B106" i="25"/>
  <c r="C107" i="25"/>
  <c r="D107" i="25"/>
  <c r="B120" i="25"/>
  <c r="I102" i="25" l="1"/>
  <c r="K101" i="25"/>
  <c r="I104" i="25"/>
  <c r="K103" i="25"/>
  <c r="J103" i="25"/>
  <c r="J101" i="25"/>
  <c r="K95" i="25"/>
  <c r="O45" i="28" s="1"/>
  <c r="J95" i="25"/>
  <c r="O42" i="28" s="1"/>
  <c r="I95" i="25"/>
  <c r="O39" i="28" s="1"/>
  <c r="B121" i="25"/>
  <c r="E120" i="25"/>
  <c r="D120" i="25"/>
  <c r="C120" i="25"/>
  <c r="K121" i="25" l="1"/>
  <c r="J121" i="25"/>
  <c r="I121" i="25"/>
  <c r="K120" i="25"/>
  <c r="J120" i="25"/>
  <c r="I120" i="25"/>
  <c r="I105" i="25"/>
  <c r="O66" i="28" s="1"/>
  <c r="J118" i="25"/>
  <c r="K119" i="25"/>
  <c r="K118" i="25"/>
  <c r="I118" i="25"/>
  <c r="J119" i="25"/>
  <c r="I119" i="25"/>
  <c r="C124" i="25"/>
  <c r="A128" i="25" s="1"/>
  <c r="I127" i="25"/>
  <c r="E121" i="25"/>
  <c r="D121" i="25"/>
  <c r="C121" i="25"/>
  <c r="C129" i="25" l="1"/>
  <c r="B127" i="25"/>
  <c r="B129" i="25"/>
  <c r="K125" i="25"/>
  <c r="K123" i="25"/>
  <c r="C130" i="25"/>
  <c r="J123" i="25"/>
  <c r="K126" i="25"/>
  <c r="K124" i="25"/>
  <c r="J125" i="25"/>
  <c r="I123" i="25"/>
  <c r="I126" i="25"/>
  <c r="I124" i="25"/>
  <c r="J124" i="25"/>
  <c r="J126" i="25"/>
  <c r="I125" i="25"/>
  <c r="B130" i="25"/>
  <c r="E129" i="25"/>
  <c r="D129" i="25"/>
  <c r="D130" i="25"/>
  <c r="C12" i="23" l="1"/>
  <c r="B9" i="23"/>
  <c r="I129" i="25"/>
  <c r="O84" i="28" s="1"/>
  <c r="K129" i="25"/>
  <c r="O90" i="28" s="1"/>
  <c r="J129" i="25"/>
  <c r="O87" i="28" s="1"/>
  <c r="H2" i="21"/>
  <c r="L3" i="21"/>
  <c r="J3" i="21"/>
  <c r="E9" i="23"/>
  <c r="D9" i="23"/>
  <c r="C9" i="23"/>
  <c r="F9" i="23"/>
  <c r="I3" i="21"/>
  <c r="K3" i="21"/>
  <c r="I9" i="23" l="1"/>
  <c r="C15" i="23" s="1"/>
  <c r="O19" i="24" s="1"/>
  <c r="H9" i="23"/>
  <c r="G9" i="23"/>
  <c r="G10" i="23" s="1"/>
  <c r="G11" i="23" s="1"/>
  <c r="C13" i="23" s="1"/>
  <c r="O15" i="24" s="1"/>
  <c r="A12" i="21"/>
  <c r="N22" i="20" s="1"/>
  <c r="A11" i="21"/>
  <c r="N20" i="20" s="1"/>
  <c r="A10" i="21"/>
  <c r="N18" i="20" s="1"/>
  <c r="H10" i="23" l="1"/>
  <c r="H11" i="23" s="1"/>
  <c r="C14" i="23" s="1"/>
  <c r="C2" i="12"/>
  <c r="B7" i="12" s="1"/>
  <c r="G2" i="12"/>
  <c r="E11" i="12" s="1"/>
  <c r="B6" i="12"/>
  <c r="C8" i="12" s="1"/>
  <c r="F8" i="12"/>
  <c r="F9" i="12"/>
  <c r="O17" i="24" l="1"/>
  <c r="F10" i="12"/>
  <c r="B13" i="12" s="1"/>
  <c r="O28" i="13" s="1"/>
  <c r="F7" i="12"/>
  <c r="C9" i="12"/>
  <c r="C10" i="12" s="1"/>
  <c r="B11" i="12"/>
  <c r="D23" i="12"/>
  <c r="A27" i="12" s="1"/>
  <c r="H23" i="12"/>
  <c r="F26" i="12" s="1"/>
  <c r="C19" i="12"/>
  <c r="F20" i="12"/>
  <c r="E20" i="12"/>
  <c r="E19" i="12"/>
  <c r="C20" i="12"/>
  <c r="D19" i="12"/>
  <c r="D20" i="12"/>
  <c r="F19" i="12"/>
  <c r="B12" i="12" l="1"/>
  <c r="B28" i="13" s="1"/>
  <c r="A26" i="12"/>
  <c r="E15" i="12"/>
  <c r="C16" i="12"/>
  <c r="C15" i="12"/>
  <c r="D16" i="12"/>
  <c r="D15" i="12"/>
  <c r="E16" i="12"/>
  <c r="F35" i="12"/>
  <c r="D35" i="12"/>
  <c r="D34" i="12"/>
  <c r="F34" i="12"/>
  <c r="E35" i="12"/>
  <c r="E34" i="12"/>
  <c r="C35" i="12"/>
  <c r="H35" i="12" l="1"/>
  <c r="I35" i="12"/>
  <c r="J35" i="12"/>
  <c r="G35" i="12"/>
  <c r="J34" i="12"/>
  <c r="G34" i="12"/>
  <c r="B41" i="12" s="1"/>
  <c r="O68" i="13" s="1"/>
  <c r="H34" i="12"/>
  <c r="I34" i="12"/>
  <c r="J4" i="5"/>
  <c r="I4" i="5"/>
  <c r="J3" i="5"/>
  <c r="L4" i="5"/>
  <c r="L3" i="5"/>
  <c r="K4" i="5"/>
  <c r="K3" i="5"/>
  <c r="J38" i="12" l="1"/>
  <c r="J39" i="12" s="1"/>
  <c r="F44" i="12" s="1"/>
  <c r="U73" i="13" s="1"/>
  <c r="J36" i="12"/>
  <c r="J37" i="12" s="1"/>
  <c r="B44" i="12" s="1"/>
  <c r="U69" i="13" s="1"/>
  <c r="I38" i="12"/>
  <c r="I39" i="12" s="1"/>
  <c r="F43" i="12" s="1"/>
  <c r="U72" i="13" s="1"/>
  <c r="I36" i="12"/>
  <c r="F41" i="12"/>
  <c r="O69" i="13" s="1"/>
  <c r="F42" i="12"/>
  <c r="O73" i="13" s="1"/>
  <c r="B42" i="12"/>
  <c r="O72" i="13" s="1"/>
  <c r="A19" i="5"/>
  <c r="N25" i="4" s="1"/>
  <c r="A18" i="5"/>
  <c r="N23" i="4" s="1"/>
  <c r="A17" i="5"/>
  <c r="N21" i="4" s="1"/>
  <c r="A16" i="5"/>
  <c r="N19" i="4" s="1"/>
  <c r="N3" i="5"/>
  <c r="N12" i="20" s="1"/>
  <c r="M3" i="5"/>
  <c r="I37" i="12" l="1"/>
  <c r="B43" i="12" s="1"/>
  <c r="U68" i="13" s="1"/>
  <c r="N10" i="4"/>
  <c r="N10" i="20"/>
  <c r="N12" i="4"/>
  <c r="O3" i="5"/>
  <c r="N14" i="20" s="1"/>
  <c r="N14" i="4" l="1"/>
</calcChain>
</file>

<file path=xl/sharedStrings.xml><?xml version="1.0" encoding="utf-8"?>
<sst xmlns="http://schemas.openxmlformats.org/spreadsheetml/2006/main" count="1179" uniqueCount="538">
  <si>
    <t>Username</t>
  </si>
  <si>
    <t>Password</t>
  </si>
  <si>
    <t>Danny</t>
  </si>
  <si>
    <t>Yankai</t>
  </si>
  <si>
    <t>Phone</t>
  </si>
  <si>
    <t>Suganya</t>
  </si>
  <si>
    <t>Prisca</t>
  </si>
  <si>
    <t>Cash &amp; Cash Equivalents</t>
  </si>
  <si>
    <t>Isetan</t>
  </si>
  <si>
    <t>Metro</t>
  </si>
  <si>
    <t>Operating</t>
  </si>
  <si>
    <t>Investing</t>
  </si>
  <si>
    <t>Financing</t>
  </si>
  <si>
    <t>Cell Link</t>
  </si>
  <si>
    <t>Reverse</t>
  </si>
  <si>
    <t>Admin</t>
  </si>
  <si>
    <t>Cash &amp; Cash Equivalents Activities</t>
  </si>
  <si>
    <t>Operating Activities</t>
  </si>
  <si>
    <t xml:space="preserve">Investing Activities </t>
  </si>
  <si>
    <t>Financing Activities</t>
  </si>
  <si>
    <t>Cash Flow Activities Full Name</t>
  </si>
  <si>
    <t>Cash Flow Activities Short Form</t>
  </si>
  <si>
    <t>CCEY_Name</t>
  </si>
  <si>
    <t>OY_Name</t>
  </si>
  <si>
    <t>IY_Name</t>
  </si>
  <si>
    <t>FY_Name</t>
  </si>
  <si>
    <t>Determination of table:</t>
  </si>
  <si>
    <t>Highest</t>
  </si>
  <si>
    <t>Lowest</t>
  </si>
  <si>
    <t>Average</t>
  </si>
  <si>
    <t>Revenue ($)</t>
  </si>
  <si>
    <t>Earnings Per Share(cents per share)</t>
  </si>
  <si>
    <t>Cellink</t>
  </si>
  <si>
    <t>Revenue</t>
  </si>
  <si>
    <t>NetProfit</t>
  </si>
  <si>
    <t>Max</t>
  </si>
  <si>
    <t>Min</t>
  </si>
  <si>
    <t>Total</t>
  </si>
  <si>
    <t>Difference</t>
  </si>
  <si>
    <t>Avg</t>
  </si>
  <si>
    <t>Percentage</t>
  </si>
  <si>
    <t>Dollar</t>
  </si>
  <si>
    <t>Format</t>
  </si>
  <si>
    <t>2015-2016</t>
  </si>
  <si>
    <t>2014-2015</t>
  </si>
  <si>
    <t>2013-2014</t>
  </si>
  <si>
    <t>Change in Revenue</t>
  </si>
  <si>
    <t>Chart 10</t>
  </si>
  <si>
    <t>Axis Title</t>
  </si>
  <si>
    <t>2015 to 2016</t>
  </si>
  <si>
    <t>2014 to 2015</t>
  </si>
  <si>
    <t>2013 to 2014</t>
  </si>
  <si>
    <t>Chart Title</t>
  </si>
  <si>
    <t>Unit</t>
  </si>
  <si>
    <t>Cliabilities</t>
  </si>
  <si>
    <t>Current Liabilities</t>
  </si>
  <si>
    <t>NCLiabilities</t>
  </si>
  <si>
    <t>Non-Current Liabilities</t>
  </si>
  <si>
    <t>TotalLiabilities</t>
  </si>
  <si>
    <t>Total Liabilities</t>
  </si>
  <si>
    <t>Commentaries</t>
  </si>
  <si>
    <t>Reverse Array</t>
  </si>
  <si>
    <t>Data Array</t>
  </si>
  <si>
    <t>Tables</t>
  </si>
  <si>
    <t>Chart 9</t>
  </si>
  <si>
    <t>Year</t>
  </si>
  <si>
    <t>Commentaries:</t>
  </si>
  <si>
    <t>Chart 8</t>
  </si>
  <si>
    <t>Cassets</t>
  </si>
  <si>
    <t>Current Assets</t>
  </si>
  <si>
    <t>NCAssets</t>
  </si>
  <si>
    <t>Non-Current Assets</t>
  </si>
  <si>
    <t>TotalAssets</t>
  </si>
  <si>
    <t>Total Assets</t>
  </si>
  <si>
    <t>Chart 7</t>
  </si>
  <si>
    <t>Row Number</t>
  </si>
  <si>
    <t>Company</t>
  </si>
  <si>
    <t>Chart 6</t>
  </si>
  <si>
    <t>Current Liabilities: Non-Current Liabilities</t>
  </si>
  <si>
    <t>Match</t>
  </si>
  <si>
    <t>Chart5</t>
  </si>
  <si>
    <t>Chart4</t>
  </si>
  <si>
    <t>Chart3</t>
  </si>
  <si>
    <t>Current Assets : Non-Current Assets</t>
  </si>
  <si>
    <t>Chart2</t>
  </si>
  <si>
    <t>Chart1</t>
  </si>
  <si>
    <t>Current</t>
  </si>
  <si>
    <t>Non-curent</t>
  </si>
  <si>
    <t>Non-current</t>
  </si>
  <si>
    <t>2016
$'000</t>
  </si>
  <si>
    <t>2015
$'000</t>
  </si>
  <si>
    <t>2014
$'000</t>
  </si>
  <si>
    <t>2013
$'000</t>
  </si>
  <si>
    <t>Liabilities</t>
  </si>
  <si>
    <t>Assets</t>
  </si>
  <si>
    <t xml:space="preserve">Comparison Analysis </t>
  </si>
  <si>
    <t>Isetan Cash Flow Statement</t>
  </si>
  <si>
    <t>Investing Activities</t>
  </si>
  <si>
    <t>Profit before tax</t>
  </si>
  <si>
    <t>Operating Cash Flows before working capital changes</t>
  </si>
  <si>
    <t>Operating cash flows before Working Capital Changes</t>
  </si>
  <si>
    <t>Operating cash flows before working capital changes</t>
  </si>
  <si>
    <t>Cash Flow Full</t>
  </si>
  <si>
    <t>Cash Flow Short</t>
  </si>
  <si>
    <t>OCF_Name</t>
  </si>
  <si>
    <t>PBT_Name</t>
  </si>
  <si>
    <t>EPS</t>
  </si>
  <si>
    <t>remained the same over the past 4 years</t>
  </si>
  <si>
    <t>Days to pay payable</t>
  </si>
  <si>
    <t>Accounts payable turnover</t>
  </si>
  <si>
    <t>Days to sell inventory</t>
  </si>
  <si>
    <t>Inventory turnover</t>
  </si>
  <si>
    <t>Days to collect receivable</t>
  </si>
  <si>
    <t>Accounts receivable turnover</t>
  </si>
  <si>
    <t>Quick ratio</t>
  </si>
  <si>
    <t>Current ratio</t>
  </si>
  <si>
    <t>Isetan Singapore Limited</t>
  </si>
  <si>
    <t>Metro Holdings Ltd</t>
  </si>
  <si>
    <t>Metro Holdings Pte Ltd</t>
  </si>
  <si>
    <t>isetan</t>
  </si>
  <si>
    <t>metro</t>
  </si>
  <si>
    <t>reverse</t>
  </si>
  <si>
    <t xml:space="preserve">cell link </t>
  </si>
  <si>
    <t xml:space="preserve">year </t>
  </si>
  <si>
    <t xml:space="preserve">reverse </t>
  </si>
  <si>
    <t>DPP</t>
  </si>
  <si>
    <t>AP Turnover</t>
  </si>
  <si>
    <t>DSI</t>
  </si>
  <si>
    <t>DCR</t>
  </si>
  <si>
    <t>AR Turnover</t>
  </si>
  <si>
    <t>Liquidity</t>
  </si>
  <si>
    <t>total</t>
  </si>
  <si>
    <t>ROA</t>
  </si>
  <si>
    <t>I_ROA</t>
  </si>
  <si>
    <t>M_ROA</t>
  </si>
  <si>
    <t xml:space="preserve"> Total Assets</t>
  </si>
  <si>
    <t xml:space="preserve"> Income</t>
  </si>
  <si>
    <t>ROE</t>
  </si>
  <si>
    <t xml:space="preserve"> Total Equity</t>
  </si>
  <si>
    <t>I_ROE</t>
  </si>
  <si>
    <t xml:space="preserve"> Income </t>
  </si>
  <si>
    <t>M_ROE</t>
  </si>
  <si>
    <t>IS_NPM</t>
  </si>
  <si>
    <t>Net Profit Margin</t>
  </si>
  <si>
    <t>M_NPM</t>
  </si>
  <si>
    <t>cell link</t>
  </si>
  <si>
    <t xml:space="preserve"> Profit before Tax</t>
  </si>
  <si>
    <t xml:space="preserve"> Revenue</t>
  </si>
  <si>
    <t>Income for the Year</t>
  </si>
  <si>
    <t>Isetan Singapore Limited Income / Financial Statement</t>
  </si>
  <si>
    <t>Metro Holdings Ltd Income/ Financial Statement</t>
  </si>
  <si>
    <t>Return on Assets</t>
  </si>
  <si>
    <t>Total Equity</t>
  </si>
  <si>
    <t>Issetan Singapore Limited Income / Financial Statement</t>
  </si>
  <si>
    <t>Column</t>
  </si>
  <si>
    <t>Metro Holdings Ltd Income / Financial Statement</t>
  </si>
  <si>
    <t>Return of Equity</t>
  </si>
  <si>
    <t>Profit before Tax</t>
  </si>
  <si>
    <t>Years</t>
  </si>
  <si>
    <t>Isetan Singapore Limited Income Statement</t>
  </si>
  <si>
    <t>Department</t>
  </si>
  <si>
    <t>Metro Holdings Ltd Income Statement</t>
  </si>
  <si>
    <t>Return on Equity</t>
  </si>
  <si>
    <t>Causes:</t>
  </si>
  <si>
    <t>Expenses</t>
  </si>
  <si>
    <t>COGS</t>
  </si>
  <si>
    <t>Isetan Expenes</t>
  </si>
  <si>
    <t>Operating Exp</t>
  </si>
  <si>
    <t>cellink</t>
  </si>
  <si>
    <t>Net Profit ($) before tax</t>
  </si>
  <si>
    <t>($)'000</t>
  </si>
  <si>
    <t>CASH FLOWS</t>
  </si>
  <si>
    <t>INCOME STATEMENT</t>
  </si>
  <si>
    <t>BALANCE SHEET</t>
  </si>
  <si>
    <t>LIQUIDITY</t>
  </si>
  <si>
    <t>Profitability</t>
  </si>
  <si>
    <t>Total Comprehensive Income</t>
  </si>
  <si>
    <t>TotalCI_Loss</t>
  </si>
  <si>
    <t xml:space="preserve">Non-controlling interests </t>
  </si>
  <si>
    <t xml:space="preserve">Owners of the Company </t>
  </si>
  <si>
    <t>Total comprehensive income attributable to:</t>
  </si>
  <si>
    <t xml:space="preserve">Total comprehensive income for the financial year </t>
  </si>
  <si>
    <t xml:space="preserve">Other comprehensive income for the financial  year, net of tax </t>
  </si>
  <si>
    <t xml:space="preserve">Share of other comprehensive (expense)/income of associates and joint ventures </t>
  </si>
  <si>
    <t>-</t>
  </si>
  <si>
    <t xml:space="preserve">Translation and other reserve of joint ventures/associates transferred to profit or loss upon disposal </t>
  </si>
  <si>
    <t xml:space="preserve">Changes in fair value of available-for-sale financial assets </t>
  </si>
  <si>
    <t xml:space="preserve">Impairment of available-for-sale financial assets taken to income statement </t>
  </si>
  <si>
    <t>Currency translation adjustments on foreign operations, associates and joint ventures</t>
  </si>
  <si>
    <t xml:space="preserve">Items that may be reclassified subsequently to profit or loss </t>
  </si>
  <si>
    <t xml:space="preserve">Reversal of fair value changes on available-for-sale financial assets which became an associate </t>
  </si>
  <si>
    <t>Share of other comprehensive income of an associate</t>
  </si>
  <si>
    <t xml:space="preserve">Items that will not be reclassified to profit or loss </t>
  </si>
  <si>
    <t xml:space="preserve">Other comprehensive income: </t>
  </si>
  <si>
    <t>Profit net of taxation</t>
  </si>
  <si>
    <t xml:space="preserve">Diluted </t>
  </si>
  <si>
    <t xml:space="preserve">Basic </t>
  </si>
  <si>
    <t>Earnings per share (Cents per share)</t>
  </si>
  <si>
    <t>Non-controlling interests</t>
  </si>
  <si>
    <t xml:space="preserve">Attributable to: </t>
  </si>
  <si>
    <t xml:space="preserve">Profit net of taxation </t>
  </si>
  <si>
    <t>Taxation</t>
  </si>
  <si>
    <t xml:space="preserve">Profit from operations before taxation </t>
  </si>
  <si>
    <t xml:space="preserve"> Share of joint ventures’ results, net of tax</t>
  </si>
  <si>
    <t>Share of associates’ results, net of tax</t>
  </si>
  <si>
    <t xml:space="preserve">Finance costs </t>
  </si>
  <si>
    <t xml:space="preserve">Profit/Loss from operating activities </t>
  </si>
  <si>
    <t>General and administrative expenses</t>
  </si>
  <si>
    <t>Impairment of available-for-sale investments</t>
  </si>
  <si>
    <t>Impairment of plant and equipment</t>
  </si>
  <si>
    <t>Impairment of amount due from a joint venture</t>
  </si>
  <si>
    <t xml:space="preserve">(Deficit)/gain from fair value adjustments on  investment properties </t>
  </si>
  <si>
    <t xml:space="preserve">Changes in fair value of short term investments </t>
  </si>
  <si>
    <t xml:space="preserve">Gain on disposal of asset held-for-sale </t>
  </si>
  <si>
    <t>Other income including interest income</t>
  </si>
  <si>
    <t>Gross Profit</t>
  </si>
  <si>
    <t>Cost of Revenue</t>
  </si>
  <si>
    <t>2016 
$’000</t>
  </si>
  <si>
    <t>2015
$’000</t>
  </si>
  <si>
    <t>2014
$’000</t>
  </si>
  <si>
    <t>2013
$’000</t>
  </si>
  <si>
    <t>Metro Holdings Ltd
Income Statement</t>
  </si>
  <si>
    <t xml:space="preserve">Total equity and liabilities </t>
  </si>
  <si>
    <t xml:space="preserve">Total equity </t>
  </si>
  <si>
    <t xml:space="preserve">Reserve of asset held for sale </t>
  </si>
  <si>
    <t>Reserves</t>
  </si>
  <si>
    <t>Treasury shares</t>
  </si>
  <si>
    <t xml:space="preserve">Share capital </t>
  </si>
  <si>
    <t>Equity attributable to owners of  the Company</t>
  </si>
  <si>
    <t xml:space="preserve">Net assets </t>
  </si>
  <si>
    <t xml:space="preserve">Total liabilities </t>
  </si>
  <si>
    <t xml:space="preserve">Deferred taxation </t>
  </si>
  <si>
    <t>Defered income</t>
  </si>
  <si>
    <t xml:space="preserve">Other payables </t>
  </si>
  <si>
    <t xml:space="preserve">Amounts due to subsidiaries </t>
  </si>
  <si>
    <t xml:space="preserve">Bank borrowings </t>
  </si>
  <si>
    <t>Non-current liabilities</t>
  </si>
  <si>
    <t>Net current assets</t>
  </si>
  <si>
    <t>Provision for taxation</t>
  </si>
  <si>
    <t>Amount due to an associate</t>
  </si>
  <si>
    <t xml:space="preserve">Accounts and other payables </t>
  </si>
  <si>
    <t>Bank borrowings</t>
  </si>
  <si>
    <t>Current liabilities</t>
  </si>
  <si>
    <t>EQUITY AND LIABILITIES</t>
  </si>
  <si>
    <t xml:space="preserve">Asset held-for-sale </t>
  </si>
  <si>
    <t xml:space="preserve">Cash and cash equivalents </t>
  </si>
  <si>
    <t>Pledged fixed and bank deposits</t>
  </si>
  <si>
    <t xml:space="preserve">Short term investments </t>
  </si>
  <si>
    <t xml:space="preserve">Tax recoverable </t>
  </si>
  <si>
    <t xml:space="preserve">Accounts and other receivables </t>
  </si>
  <si>
    <t>Amounts due from a joint venture</t>
  </si>
  <si>
    <t>Amounts due from an associate</t>
  </si>
  <si>
    <t>Prepayments</t>
  </si>
  <si>
    <t>Inventories</t>
  </si>
  <si>
    <t xml:space="preserve">Development property </t>
  </si>
  <si>
    <t>Current assets</t>
  </si>
  <si>
    <t>Other receivable</t>
  </si>
  <si>
    <t>Investments</t>
  </si>
  <si>
    <t xml:space="preserve">Amounts due from jointly controlled entities </t>
  </si>
  <si>
    <t>Joint ventures</t>
  </si>
  <si>
    <t xml:space="preserve">Amounts due from associates </t>
  </si>
  <si>
    <t>Associates</t>
  </si>
  <si>
    <t xml:space="preserve">Amounts due from subsidiaries </t>
  </si>
  <si>
    <t>Subsidiaries</t>
  </si>
  <si>
    <t xml:space="preserve">Investment properties </t>
  </si>
  <si>
    <t>Property, plant and equipment</t>
  </si>
  <si>
    <t>ASSETS</t>
  </si>
  <si>
    <t>Metro Holdings Ltd
Statement of Financial Position</t>
  </si>
  <si>
    <t>Cash and cash equivalents at end of financial year</t>
  </si>
  <si>
    <t xml:space="preserve">Cash and cash equivalents at beginning of financial year </t>
  </si>
  <si>
    <t>Effect of exchange rate changes in cash and cash equivalents</t>
  </si>
  <si>
    <t>Net (decrease)/increase in cash and cash equivalents</t>
  </si>
  <si>
    <t>Net cash flows generated from/(used in) financing activities</t>
  </si>
  <si>
    <t xml:space="preserve">Currency realignment </t>
  </si>
  <si>
    <t>Dividends paid</t>
  </si>
  <si>
    <t>Repayment of bank borrowings</t>
  </si>
  <si>
    <t>Drawdown of bank borrowings</t>
  </si>
  <si>
    <t>Cash flows from financing activities:</t>
  </si>
  <si>
    <t>Net cash flows (used in)/generated from investing activities</t>
  </si>
  <si>
    <t>Currency realignment</t>
  </si>
  <si>
    <t xml:space="preserve">Changes in pledged fixed and bank deposits </t>
  </si>
  <si>
    <t>Dividends received from quoted and unquoted investments</t>
  </si>
  <si>
    <t>Dividends received from joint ventures</t>
  </si>
  <si>
    <t xml:space="preserve">Dividends received from associates </t>
  </si>
  <si>
    <t>Additional loans to jointly controlled entities</t>
  </si>
  <si>
    <t xml:space="preserve">Decrease/(increase) in amounts due from associates </t>
  </si>
  <si>
    <t>(Decrease)/increase in amount due to an associate</t>
  </si>
  <si>
    <t>Investment in a joint venture</t>
  </si>
  <si>
    <t>Investment in an associate</t>
  </si>
  <si>
    <t xml:space="preserve">Proceeds from loan notes </t>
  </si>
  <si>
    <t xml:space="preserve">Proceeds from disposal of asset held-for-sale, net </t>
  </si>
  <si>
    <t>Proceeds from liquidation of associate</t>
  </si>
  <si>
    <t xml:space="preserve">Proceeds from disposal of an investment property </t>
  </si>
  <si>
    <t>Proceeds from disposal of available-for-sale investments</t>
  </si>
  <si>
    <t>Proceeds from disposal of short term investment</t>
  </si>
  <si>
    <t>Proceeds from disposal of property, plant and equipment</t>
  </si>
  <si>
    <t xml:space="preserve">Purchase of short term investments </t>
  </si>
  <si>
    <t xml:space="preserve">Repayment by/(loan) to a joint venture partner </t>
  </si>
  <si>
    <t xml:space="preserve">Increase in investments </t>
  </si>
  <si>
    <t xml:space="preserve">Acquisition of additional interest in jointly controlled entities, 
net of cash acquired </t>
  </si>
  <si>
    <t>Subsequent expenditure on investment properties</t>
  </si>
  <si>
    <t>Purchase of property, plant and equipment</t>
  </si>
  <si>
    <t>Cash flows from investing activities:</t>
  </si>
  <si>
    <t>Net cash flows (used in)/generated from operating activities</t>
  </si>
  <si>
    <t xml:space="preserve">Income taxes paid </t>
  </si>
  <si>
    <t>Interest income received</t>
  </si>
  <si>
    <t>Interest expense paid</t>
  </si>
  <si>
    <t>Cash (used in)/generated from operations</t>
  </si>
  <si>
    <t xml:space="preserve">(Decrease)/increase in accounts and other payables </t>
  </si>
  <si>
    <t>Decrease/(increase) in accounts and other receivables</t>
  </si>
  <si>
    <t>Decrease/(increase) in inventories</t>
  </si>
  <si>
    <t xml:space="preserve">Increase in development property </t>
  </si>
  <si>
    <t>Changes in working capital:</t>
  </si>
  <si>
    <t>Operating profit /(loss) before reinvestment in working capital</t>
  </si>
  <si>
    <t xml:space="preserve">Negative goodwill on acquisition of additional  interest in jointly controlled entities </t>
  </si>
  <si>
    <t xml:space="preserve">Impairment of plant and equipment </t>
  </si>
  <si>
    <t xml:space="preserve">Gain on disposal of available-for-sale investments </t>
  </si>
  <si>
    <t xml:space="preserve">Loss/(gain) on disposal of short term investments </t>
  </si>
  <si>
    <t xml:space="preserve">Gain on disposal of an investment property </t>
  </si>
  <si>
    <t xml:space="preserve">Foreign exchange adjustments </t>
  </si>
  <si>
    <t>(Write-back of)/allowance for obsolete inventories</t>
  </si>
  <si>
    <t>Property, plant and equipment written off</t>
  </si>
  <si>
    <t>(Write-back of)/allowance for doubtful debts</t>
  </si>
  <si>
    <t>Inventories written down</t>
  </si>
  <si>
    <t xml:space="preserve">(Gain)/loss on disposal of property, plant and  equipment </t>
  </si>
  <si>
    <t xml:space="preserve">Interest and investment income </t>
  </si>
  <si>
    <t xml:space="preserve">Share of joint ventures’ results, net of tax </t>
  </si>
  <si>
    <t xml:space="preserve">Share of associates' results, net of tax </t>
  </si>
  <si>
    <t xml:space="preserve">Depreciation of property, plant and equipment </t>
  </si>
  <si>
    <t>Interest expense</t>
  </si>
  <si>
    <t xml:space="preserve">(Gain)/deficit from fair value adjustments on investment properties </t>
  </si>
  <si>
    <t xml:space="preserve">Adjustments for: </t>
  </si>
  <si>
    <t>Profit before taxation</t>
  </si>
  <si>
    <t>Operating cash flows before changes in working capital</t>
  </si>
  <si>
    <t>Cash flows from operating activities:</t>
  </si>
  <si>
    <t xml:space="preserve">Metro Holdings Limited
Cash Flow Statement
</t>
  </si>
  <si>
    <t>Total comprehensive income/(loss) attributable to: 
Equity holders of the Company</t>
  </si>
  <si>
    <t>Total comprehensive income/(loss) for the financial year</t>
  </si>
  <si>
    <t>Other comprehensive loss, net of tax</t>
  </si>
  <si>
    <t>Item that will not be reclassified subsequently to profit or loss:
Actuarial loss on retirement benefit obligation</t>
  </si>
  <si>
    <t>Currency translation differences arising from consolidation 
- (Loss)/gain</t>
  </si>
  <si>
    <t>Financial assets, available for sale
- Fair value gain/(loss)</t>
  </si>
  <si>
    <t>Items that may be reclassified subsequently to profit or loss:</t>
  </si>
  <si>
    <t>Other comprehensive (loss)/gain:</t>
  </si>
  <si>
    <t>6.23 cents</t>
  </si>
  <si>
    <t>(62.60 cents)</t>
  </si>
  <si>
    <t xml:space="preserve"> (7.60 cents) </t>
  </si>
  <si>
    <t xml:space="preserve"> 15.86 cents</t>
  </si>
  <si>
    <t>- Diluted</t>
  </si>
  <si>
    <t>- Basic</t>
  </si>
  <si>
    <t>Earnings/(loss) per share for net profit/(loss) attributable to the
 equity holders of the Company (cents per share):</t>
  </si>
  <si>
    <r>
      <rPr>
        <b/>
        <sz val="10"/>
        <rFont val="Arial"/>
        <family val="2"/>
      </rPr>
      <t xml:space="preserve">Net profit/(loss) attributable to: </t>
    </r>
    <r>
      <rPr>
        <sz val="11"/>
        <color theme="1"/>
        <rFont val="Calibri"/>
        <family val="2"/>
        <scheme val="minor"/>
      </rPr>
      <t xml:space="preserve">
Equity holders of the Company</t>
    </r>
  </si>
  <si>
    <t>Net profit /(loss) for the financial year</t>
  </si>
  <si>
    <t>Income tax (expense)/credit</t>
  </si>
  <si>
    <t>Profit/(loss) before income tax</t>
  </si>
  <si>
    <t>Share of profit of an associated company</t>
  </si>
  <si>
    <t xml:space="preserve">
</t>
  </si>
  <si>
    <t>Total expenses</t>
  </si>
  <si>
    <t>Other expenses</t>
  </si>
  <si>
    <t>Rental expense</t>
  </si>
  <si>
    <t>Depreciation expense</t>
  </si>
  <si>
    <t>Employee compensation</t>
  </si>
  <si>
    <t>Purchases of inventories and related costs</t>
  </si>
  <si>
    <t>Changes in inventories of finished goods</t>
  </si>
  <si>
    <t>Expenses:</t>
  </si>
  <si>
    <t>Other gains and (losses)</t>
  </si>
  <si>
    <t>Other income</t>
  </si>
  <si>
    <t>Isetan Singapore Limited
 Income Statement</t>
  </si>
  <si>
    <t>Retained earnings</t>
  </si>
  <si>
    <t>Other reserves</t>
  </si>
  <si>
    <t>Currency translation reserve</t>
  </si>
  <si>
    <t xml:space="preserve">Fair value reserve </t>
  </si>
  <si>
    <t xml:space="preserve">General reserve </t>
  </si>
  <si>
    <t xml:space="preserve">Capital and reserves attributable to the Company’s equity holders </t>
  </si>
  <si>
    <t>EQUITY</t>
  </si>
  <si>
    <t xml:space="preserve">NET ASSETS </t>
  </si>
  <si>
    <t>Deferred income tax liabilities</t>
  </si>
  <si>
    <t>Provisions for other liabilities and charges</t>
  </si>
  <si>
    <t>Other payables</t>
  </si>
  <si>
    <t xml:space="preserve">Current income tax liabilities </t>
  </si>
  <si>
    <t>Trade and other payables</t>
  </si>
  <si>
    <t xml:space="preserve">Current liabilities </t>
  </si>
  <si>
    <t>LIABILITIES</t>
  </si>
  <si>
    <t xml:space="preserve">Total assets </t>
  </si>
  <si>
    <t>Defered income tax asset</t>
  </si>
  <si>
    <t xml:space="preserve">Property, plant and equipment </t>
  </si>
  <si>
    <t xml:space="preserve">Investment property </t>
  </si>
  <si>
    <t xml:space="preserve">Rental deposits </t>
  </si>
  <si>
    <t xml:space="preserve">Investment in a subsidiary </t>
  </si>
  <si>
    <t xml:space="preserve">Investment in an associated company </t>
  </si>
  <si>
    <t>Club memberships</t>
  </si>
  <si>
    <t>Financial assets, held-to-maturity</t>
  </si>
  <si>
    <t>Financial assets, available-for-sale</t>
  </si>
  <si>
    <t xml:space="preserve">Other receivables </t>
  </si>
  <si>
    <t xml:space="preserve">Non-current assets </t>
  </si>
  <si>
    <t xml:space="preserve">Other current assets </t>
  </si>
  <si>
    <t>Assets held-for-sale</t>
  </si>
  <si>
    <t xml:space="preserve">Financial assets, held-to-maturity </t>
  </si>
  <si>
    <t>Trade and other receivables</t>
  </si>
  <si>
    <t>Cash and cash equivalents</t>
  </si>
  <si>
    <t xml:space="preserve">Current assets </t>
  </si>
  <si>
    <t>Isetan ISingapore Limited 
Statement of Financial Position</t>
  </si>
  <si>
    <t>Cash and cash equivalents at beginning of financial year</t>
  </si>
  <si>
    <t>Net decrease in cash and cash equivalents</t>
  </si>
  <si>
    <t>Net cash used in financing activities</t>
  </si>
  <si>
    <t>Dividend paid</t>
  </si>
  <si>
    <t>Cash flows from financing activities</t>
  </si>
  <si>
    <t>Net cash used in investing activities</t>
  </si>
  <si>
    <t>Loan (to) /repayments from employee</t>
  </si>
  <si>
    <t>Dividend received</t>
  </si>
  <si>
    <t>Interest received</t>
  </si>
  <si>
    <t>Payments for purchase of financial assets,
 available-for-sale</t>
  </si>
  <si>
    <t>Purchases of financial assets, available-for-sale</t>
  </si>
  <si>
    <t>Proceeds from maturity of financial assets, 
held-to-maturity</t>
  </si>
  <si>
    <t>Purchases of financial assets, held-to-maturity</t>
  </si>
  <si>
    <t>Proceeds from early redemption by issuer / 
maturity of financial assets, held-to-maturity</t>
  </si>
  <si>
    <t>Payments for property, plant and equipment 
and investment property</t>
  </si>
  <si>
    <t>Payments for letting fees</t>
  </si>
  <si>
    <t>Proceeds from disposal of subsidiary’s property - net</t>
  </si>
  <si>
    <t>Proceeds from disposal of property, 
plant and equipment</t>
  </si>
  <si>
    <t>Payments for club memberships</t>
  </si>
  <si>
    <t>Proceeds from disposal of club memberships</t>
  </si>
  <si>
    <t>Cash flows from investing activities</t>
  </si>
  <si>
    <t>Net cash used in operating activities</t>
  </si>
  <si>
    <t>Loan repayments from directors</t>
  </si>
  <si>
    <t>Income taxes (paid)/refunded</t>
  </si>
  <si>
    <t>Other assets and rental deposits</t>
  </si>
  <si>
    <t>Dividend income</t>
  </si>
  <si>
    <t>Increase in provisions for other liabilities and charges</t>
  </si>
  <si>
    <t>Interest income</t>
  </si>
  <si>
    <t>Net gain on early redemption of financial assets, 
held-to-maturity by issuer</t>
  </si>
  <si>
    <t>Impairment of property, plant and equipment</t>
  </si>
  <si>
    <t>Gain on disposal of subsidiary’s property - net</t>
  </si>
  <si>
    <t>Gain on disposal of property, plant and equipment</t>
  </si>
  <si>
    <t>Loss on termination of club membership</t>
  </si>
  <si>
    <t>Net (gain)/loss in disposal of club memberships</t>
  </si>
  <si>
    <t>Impairment loss on trade receivables reversed</t>
  </si>
  <si>
    <t>Impairment loss in value of club memberships charged/(reversed)</t>
  </si>
  <si>
    <t>Property, plant and equipment and investment properties written off</t>
  </si>
  <si>
    <t>Amortisation of capitalised letting fees</t>
  </si>
  <si>
    <t>Adjustments for:</t>
  </si>
  <si>
    <t>Cash flows from operating activities</t>
  </si>
  <si>
    <t>Net profit margin</t>
  </si>
  <si>
    <t>Gross profit margin</t>
  </si>
  <si>
    <t>(d) Profitability</t>
  </si>
  <si>
    <t>Debt to equity</t>
  </si>
  <si>
    <t>(c) Long term debt</t>
  </si>
  <si>
    <t xml:space="preserve"> </t>
  </si>
  <si>
    <t>(b) Liquidity</t>
  </si>
  <si>
    <t>(a) Short term debt</t>
  </si>
  <si>
    <t>Operating cash flow</t>
  </si>
  <si>
    <t>Net cash flow</t>
  </si>
  <si>
    <t>Total operating capital</t>
  </si>
  <si>
    <t>Net operating working capital</t>
  </si>
  <si>
    <t>2016
$000</t>
  </si>
  <si>
    <t>2015
$000</t>
  </si>
  <si>
    <t>2014
$000</t>
  </si>
  <si>
    <t>2013
$000</t>
  </si>
  <si>
    <t>Metro Holdings Ltd Financial Ratios</t>
  </si>
  <si>
    <t>Binding</t>
  </si>
  <si>
    <t>$I$18&lt;=$K$18</t>
  </si>
  <si>
    <t>Total Business</t>
  </si>
  <si>
    <t>$I$18</t>
  </si>
  <si>
    <t>$I$17&lt;=$K$17</t>
  </si>
  <si>
    <t>Total Deluxe</t>
  </si>
  <si>
    <t>$I$17</t>
  </si>
  <si>
    <t>$I$16&lt;=$K$16</t>
  </si>
  <si>
    <t>Total Super Saver</t>
  </si>
  <si>
    <t>$I$16</t>
  </si>
  <si>
    <t>$I$15&lt;=$K$15</t>
  </si>
  <si>
    <t>Total Type 2</t>
  </si>
  <si>
    <t>$I$15</t>
  </si>
  <si>
    <t>$I$14&lt;=$K$14</t>
  </si>
  <si>
    <t>Total Type 1</t>
  </si>
  <si>
    <t>$I$14</t>
  </si>
  <si>
    <t>Slack</t>
  </si>
  <si>
    <t>Status</t>
  </si>
  <si>
    <t>Formula</t>
  </si>
  <si>
    <t>Cell Value</t>
  </si>
  <si>
    <t>Name</t>
  </si>
  <si>
    <t>Cell</t>
  </si>
  <si>
    <t>Constraints</t>
  </si>
  <si>
    <t>Contin</t>
  </si>
  <si>
    <t>Type 2 Business</t>
  </si>
  <si>
    <t>$D$15</t>
  </si>
  <si>
    <t>Type 2 Deluxe</t>
  </si>
  <si>
    <t>$C$15</t>
  </si>
  <si>
    <t>Type 2 Super Saver</t>
  </si>
  <si>
    <t>$B$15</t>
  </si>
  <si>
    <t>Type 1 Deluxe</t>
  </si>
  <si>
    <t>$C$14</t>
  </si>
  <si>
    <t>Type 1 Super Saver</t>
  </si>
  <si>
    <t>$B$14</t>
  </si>
  <si>
    <t>Integer</t>
  </si>
  <si>
    <t>Final Value</t>
  </si>
  <si>
    <t>Original Value</t>
  </si>
  <si>
    <t>Variable Cells</t>
  </si>
  <si>
    <t>profit Super Saver</t>
  </si>
  <si>
    <t>$B$18</t>
  </si>
  <si>
    <t>Objective Cell (Max)</t>
  </si>
  <si>
    <t>Max Subproblems Unlimited, Max Integer Sols Unlimited, Integer Tolerance 1%, Assume NonNegative</t>
  </si>
  <si>
    <t>Max Time Unlimited,  Iterations Unlimited, Precision 0.000001, Use Automatic Scaling</t>
  </si>
  <si>
    <t>Solver Options</t>
  </si>
  <si>
    <t>Iterations: 4 Subproblems: 0</t>
  </si>
  <si>
    <t>Solution Time: 0.016 Seconds.</t>
  </si>
  <si>
    <t>Engine: Simplex LP</t>
  </si>
  <si>
    <t>Solver Engine</t>
  </si>
  <si>
    <t>Result: Solver found a solution.  All Constraints and optimality conditions are satisfied.</t>
  </si>
  <si>
    <t>Report Created: 11/2/2018 6:43:49 PM</t>
  </si>
  <si>
    <t>Worksheet: [BA Project part b.xlsx]Sheet1</t>
  </si>
  <si>
    <t>Microsoft Excel 16.0 Answer Report</t>
  </si>
  <si>
    <t>Decrease</t>
  </si>
  <si>
    <t>Increase</t>
  </si>
  <si>
    <t>R.H. Side</t>
  </si>
  <si>
    <t>Price</t>
  </si>
  <si>
    <t>Value</t>
  </si>
  <si>
    <t>Allowable</t>
  </si>
  <si>
    <t>Constraint</t>
  </si>
  <si>
    <t>Shadow</t>
  </si>
  <si>
    <t>Final</t>
  </si>
  <si>
    <t>Coefficient</t>
  </si>
  <si>
    <t>Cost</t>
  </si>
  <si>
    <t>Objective</t>
  </si>
  <si>
    <t>Reduced</t>
  </si>
  <si>
    <t>Microsoft Excel 16.0 Sensitivity Report</t>
  </si>
  <si>
    <t>&lt;=</t>
  </si>
  <si>
    <t>Total profit</t>
  </si>
  <si>
    <t>Type 2</t>
  </si>
  <si>
    <t>Type 1</t>
  </si>
  <si>
    <t>Business</t>
  </si>
  <si>
    <t>Deluxe</t>
  </si>
  <si>
    <t>Super Saver</t>
  </si>
  <si>
    <t>Room Types</t>
  </si>
  <si>
    <t xml:space="preserve">Rooms </t>
  </si>
  <si>
    <t xml:space="preserve">Rental Class </t>
  </si>
  <si>
    <t>Demanded Forecast</t>
  </si>
  <si>
    <t>Capacity</t>
  </si>
  <si>
    <t>Rental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</si>
</sst>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.00"/>
    <numFmt numFmtId="166" formatCode="#,##0;\(#,##0\)"/>
    <numFmt numFmtId="167" formatCode="_(&quot;$&quot;* #,##0_);_(&quot;$&quot;* \(#,##0\);_(&quot;$&quot;* &quot;-&quot;??_);_(@_)"/>
    <numFmt numFmtId="168" formatCode="_(* #,##0_);_(* \(#,##0\);_(* &quot;-&quot;??_);_(@_)"/>
    <numFmt numFmtId="169" formatCode="#,##0.0;\(#,##0.0\)"/>
  </numFmts>
  <fonts count="34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u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u/>
      <sz val="10"/>
      <color rgb="FF000000"/>
      <name val="Arial"/>
      <family val="2"/>
    </font>
    <font>
      <b/>
      <i/>
      <u/>
      <sz val="10"/>
      <color rgb="FF000000"/>
      <name val="Arial"/>
      <family val="2"/>
    </font>
    <font>
      <sz val="15"/>
      <color rgb="FF000000"/>
      <name val="Berlin Sans FB"/>
      <family val="2"/>
    </font>
    <font>
      <sz val="50"/>
      <color rgb="FF000000"/>
      <name val="Algerian"/>
      <family val="5"/>
    </font>
    <font>
      <sz val="13"/>
      <color rgb="FF000000"/>
      <name val="Berlin Sans FB"/>
      <family val="2"/>
    </font>
    <font>
      <sz val="15"/>
      <color rgb="FF000000"/>
      <name val="Arial"/>
      <family val="2"/>
    </font>
    <font>
      <sz val="12.5"/>
      <color rgb="FF000000"/>
      <name val="Berlin Sans FB"/>
      <family val="2"/>
    </font>
    <font>
      <b/>
      <i/>
      <u/>
      <sz val="20"/>
      <color rgb="FF000000"/>
      <name val="Algerian"/>
      <family val="5"/>
    </font>
    <font>
      <sz val="10"/>
      <color rgb="FF000000"/>
      <name val="Algerian"/>
      <family val="5"/>
    </font>
    <font>
      <sz val="15"/>
      <color rgb="FF000000"/>
      <name val="Algerian"/>
      <family val="5"/>
    </font>
    <font>
      <sz val="11"/>
      <color theme="1"/>
      <name val="Calibri"/>
      <family val="2"/>
      <scheme val="minor"/>
    </font>
    <font>
      <sz val="11"/>
      <color theme="1"/>
      <name val="AR JULIAN"/>
    </font>
    <font>
      <i/>
      <u/>
      <sz val="48"/>
      <color theme="4" tint="-0.249977111117893"/>
      <name val="AR JULIAN"/>
    </font>
    <font>
      <b/>
      <i/>
      <u/>
      <sz val="11"/>
      <color theme="1"/>
      <name val="AR JULIAN"/>
    </font>
    <font>
      <sz val="10"/>
      <color rgb="FF000000"/>
      <name val="AR JULIAN"/>
    </font>
    <font>
      <b/>
      <sz val="10"/>
      <color rgb="FF000000"/>
      <name val="AR JULIAN"/>
    </font>
    <font>
      <i/>
      <u/>
      <sz val="48"/>
      <color theme="1"/>
      <name val="Algerian"/>
      <family val="5"/>
    </font>
    <font>
      <sz val="36"/>
      <color rgb="FF000000"/>
      <name val="Algerian"/>
      <family val="5"/>
    </font>
    <font>
      <i/>
      <u/>
      <sz val="48"/>
      <name val="Algerian"/>
      <family val="5"/>
    </font>
    <font>
      <i/>
      <u/>
      <sz val="48"/>
      <color theme="4" tint="-0.249977111117893"/>
      <name val="Algerian"/>
      <family val="5"/>
    </font>
    <font>
      <sz val="36"/>
      <color rgb="FF000000"/>
      <name val="aAlgerian"/>
    </font>
    <font>
      <b/>
      <i/>
      <sz val="10"/>
      <name val="Arial"/>
      <family val="2"/>
    </font>
    <font>
      <b/>
      <sz val="11"/>
      <color indexed="18"/>
      <name val="Calibri"/>
      <family val="2"/>
      <scheme val="minor"/>
    </font>
  </fonts>
  <fills count="10">
    <fill>
      <patternFill patternType="none"/>
    </fill>
    <fill>
      <patternFill patternType="gray125"/>
    </fill>
    <fill>
      <gradientFill degree="270">
        <stop position="0">
          <color theme="8" tint="0.80001220740379042"/>
        </stop>
        <stop position="1">
          <color theme="7" tint="0.80001220740379042"/>
        </stop>
      </gradientFill>
    </fill>
    <fill>
      <patternFill patternType="solid">
        <fgColor theme="8" tint="0.79998168889431442"/>
        <bgColor auto="1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7F9EF"/>
        <bgColor indexed="64"/>
      </patternFill>
    </fill>
    <fill>
      <patternFill patternType="solid">
        <fgColor rgb="FFE7F9EF"/>
        <bgColor rgb="FFE7F9EF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DashDotDot">
        <color theme="8"/>
      </left>
      <right style="mediumDashDotDot">
        <color theme="8"/>
      </right>
      <top style="mediumDashDotDot">
        <color theme="8"/>
      </top>
      <bottom/>
      <diagonal/>
    </border>
    <border>
      <left style="mediumDashDotDot">
        <color theme="8"/>
      </left>
      <right style="mediumDashDotDot">
        <color theme="8"/>
      </right>
      <top/>
      <bottom/>
      <diagonal/>
    </border>
    <border>
      <left style="mediumDashDotDot">
        <color theme="8"/>
      </left>
      <right style="mediumDashDotDot">
        <color theme="8"/>
      </right>
      <top/>
      <bottom style="mediumDashDotDot">
        <color theme="8"/>
      </bottom>
      <diagonal/>
    </border>
    <border>
      <left/>
      <right style="mediumDashDotDot">
        <color rgb="FF4EEA00"/>
      </right>
      <top/>
      <bottom style="mediumDashDotDot">
        <color rgb="FF4EEA00"/>
      </bottom>
      <diagonal/>
    </border>
    <border>
      <left/>
      <right/>
      <top/>
      <bottom style="mediumDashDotDot">
        <color rgb="FF4EEA00"/>
      </bottom>
      <diagonal/>
    </border>
    <border>
      <left style="mediumDashDotDot">
        <color rgb="FF4EEA00"/>
      </left>
      <right/>
      <top/>
      <bottom style="mediumDashDotDot">
        <color rgb="FF4EEA00"/>
      </bottom>
      <diagonal/>
    </border>
    <border>
      <left/>
      <right style="mediumDashDotDot">
        <color rgb="FF4EEA00"/>
      </right>
      <top/>
      <bottom/>
      <diagonal/>
    </border>
    <border>
      <left style="mediumDashDotDot">
        <color rgb="FF4EEA00"/>
      </left>
      <right/>
      <top/>
      <bottom/>
      <diagonal/>
    </border>
    <border>
      <left/>
      <right style="mediumDashDotDot">
        <color rgb="FF4EEA00"/>
      </right>
      <top style="mediumDashDotDot">
        <color rgb="FF4EEA00"/>
      </top>
      <bottom/>
      <diagonal/>
    </border>
    <border>
      <left/>
      <right/>
      <top style="mediumDashDotDot">
        <color rgb="FF4EEA00"/>
      </top>
      <bottom/>
      <diagonal/>
    </border>
    <border>
      <left style="mediumDashDotDot">
        <color rgb="FF4EEA00"/>
      </left>
      <right/>
      <top style="mediumDashDotDot">
        <color rgb="FF4EEA00"/>
      </top>
      <bottom/>
      <diagonal/>
    </border>
    <border>
      <left/>
      <right style="mediumDashDotDot">
        <color rgb="FF76FF31"/>
      </right>
      <top/>
      <bottom style="mediumDashDotDot">
        <color rgb="FF76FF31"/>
      </bottom>
      <diagonal/>
    </border>
    <border>
      <left/>
      <right/>
      <top/>
      <bottom style="mediumDashDotDot">
        <color rgb="FF76FF31"/>
      </bottom>
      <diagonal/>
    </border>
    <border>
      <left style="mediumDashDotDot">
        <color rgb="FF76FF31"/>
      </left>
      <right/>
      <top/>
      <bottom style="mediumDashDotDot">
        <color rgb="FF76FF31"/>
      </bottom>
      <diagonal/>
    </border>
    <border>
      <left/>
      <right style="mediumDashDotDot">
        <color rgb="FF76FF31"/>
      </right>
      <top/>
      <bottom/>
      <diagonal/>
    </border>
    <border>
      <left style="mediumDashDotDot">
        <color rgb="FF76FF31"/>
      </left>
      <right/>
      <top/>
      <bottom/>
      <diagonal/>
    </border>
    <border>
      <left/>
      <right style="mediumDashDotDot">
        <color rgb="FF76FF31"/>
      </right>
      <top style="mediumDashDotDot">
        <color rgb="FF76FF31"/>
      </top>
      <bottom/>
      <diagonal/>
    </border>
    <border>
      <left/>
      <right/>
      <top style="mediumDashDotDot">
        <color rgb="FF76FF31"/>
      </top>
      <bottom/>
      <diagonal/>
    </border>
    <border>
      <left style="mediumDashDotDot">
        <color rgb="FF76FF31"/>
      </left>
      <right/>
      <top style="mediumDashDotDot">
        <color rgb="FF76FF31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4" fontId="21" fillId="0" borderId="0" applyFont="0" applyFill="0" applyBorder="0" applyAlignment="0" applyProtection="0"/>
  </cellStyleXfs>
  <cellXfs count="170">
    <xf numFmtId="0" fontId="0" fillId="0" borderId="0" xfId="0"/>
    <xf numFmtId="164" fontId="0" fillId="0" borderId="0" xfId="0" applyNumberFormat="1"/>
    <xf numFmtId="0" fontId="2" fillId="0" borderId="0" xfId="0" applyFont="1"/>
    <xf numFmtId="3" fontId="0" fillId="0" borderId="0" xfId="0" applyNumberFormat="1"/>
    <xf numFmtId="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4" fillId="0" borderId="0" xfId="1" applyFont="1" applyAlignment="1"/>
    <xf numFmtId="0" fontId="4" fillId="0" borderId="1" xfId="1" applyFont="1" applyBorder="1" applyAlignment="1"/>
    <xf numFmtId="0" fontId="4" fillId="0" borderId="0" xfId="1" applyFont="1" applyFill="1" applyBorder="1" applyAlignment="1"/>
    <xf numFmtId="0" fontId="5" fillId="0" borderId="0" xfId="1" applyFont="1" applyAlignment="1"/>
    <xf numFmtId="166" fontId="4" fillId="0" borderId="0" xfId="1" applyNumberFormat="1" applyFont="1" applyAlignment="1"/>
    <xf numFmtId="166" fontId="6" fillId="0" borderId="0" xfId="1" applyNumberFormat="1" applyFont="1" applyBorder="1" applyAlignment="1">
      <alignment horizontal="right"/>
    </xf>
    <xf numFmtId="166" fontId="7" fillId="0" borderId="0" xfId="1" applyNumberFormat="1" applyFont="1" applyAlignment="1">
      <alignment horizontal="right"/>
    </xf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0" fontId="8" fillId="4" borderId="0" xfId="0" applyFont="1" applyFill="1"/>
    <xf numFmtId="3" fontId="9" fillId="5" borderId="0" xfId="0" applyNumberFormat="1" applyFont="1" applyFill="1" applyAlignment="1">
      <alignment horizontal="right" wrapText="1"/>
    </xf>
    <xf numFmtId="2" fontId="4" fillId="0" borderId="0" xfId="1" applyNumberFormat="1" applyFont="1" applyAlignment="1"/>
    <xf numFmtId="0" fontId="4" fillId="0" borderId="2" xfId="1" applyFont="1" applyBorder="1" applyAlignment="1"/>
    <xf numFmtId="22" fontId="4" fillId="0" borderId="0" xfId="1" applyNumberFormat="1" applyFont="1" applyAlignment="1"/>
    <xf numFmtId="167" fontId="4" fillId="0" borderId="0" xfId="1" applyNumberFormat="1" applyFont="1" applyAlignment="1"/>
    <xf numFmtId="167" fontId="0" fillId="0" borderId="0" xfId="3" applyNumberFormat="1" applyFont="1" applyAlignment="1"/>
    <xf numFmtId="0" fontId="4" fillId="0" borderId="0" xfId="1" applyFont="1" applyAlignment="1">
      <alignment horizontal="left"/>
    </xf>
    <xf numFmtId="166" fontId="6" fillId="0" borderId="3" xfId="1" applyNumberFormat="1" applyFont="1" applyBorder="1" applyAlignment="1">
      <alignment horizontal="right"/>
    </xf>
    <xf numFmtId="3" fontId="6" fillId="6" borderId="0" xfId="1" applyNumberFormat="1" applyFont="1" applyFill="1" applyAlignment="1"/>
    <xf numFmtId="9" fontId="0" fillId="0" borderId="0" xfId="4" applyFont="1" applyAlignment="1"/>
    <xf numFmtId="10" fontId="4" fillId="0" borderId="0" xfId="1" applyNumberFormat="1" applyFont="1" applyAlignment="1"/>
    <xf numFmtId="10" fontId="0" fillId="0" borderId="0" xfId="4" applyNumberFormat="1" applyFont="1" applyAlignment="1"/>
    <xf numFmtId="166" fontId="6" fillId="7" borderId="5" xfId="1" applyNumberFormat="1" applyFont="1" applyFill="1" applyBorder="1" applyAlignment="1">
      <alignment horizontal="right"/>
    </xf>
    <xf numFmtId="0" fontId="11" fillId="0" borderId="0" xfId="1" applyFont="1" applyAlignment="1"/>
    <xf numFmtId="166" fontId="6" fillId="0" borderId="6" xfId="1" applyNumberFormat="1" applyFont="1" applyBorder="1" applyAlignment="1">
      <alignment horizontal="right"/>
    </xf>
    <xf numFmtId="3" fontId="6" fillId="6" borderId="7" xfId="1" applyNumberFormat="1" applyFont="1" applyFill="1" applyBorder="1" applyAlignment="1"/>
    <xf numFmtId="166" fontId="6" fillId="0" borderId="8" xfId="1" applyNumberFormat="1" applyFont="1" applyBorder="1" applyAlignment="1">
      <alignment horizontal="right"/>
    </xf>
    <xf numFmtId="166" fontId="6" fillId="0" borderId="4" xfId="1" applyNumberFormat="1" applyFont="1" applyBorder="1" applyAlignment="1">
      <alignment horizontal="right"/>
    </xf>
    <xf numFmtId="3" fontId="6" fillId="7" borderId="0" xfId="1" applyNumberFormat="1" applyFont="1" applyFill="1" applyAlignment="1"/>
    <xf numFmtId="10" fontId="4" fillId="0" borderId="0" xfId="1" applyNumberFormat="1" applyFont="1"/>
    <xf numFmtId="0" fontId="4" fillId="0" borderId="0" xfId="1"/>
    <xf numFmtId="10" fontId="4" fillId="0" borderId="0" xfId="1" applyNumberFormat="1"/>
    <xf numFmtId="166" fontId="6" fillId="7" borderId="0" xfId="1" applyNumberFormat="1" applyFont="1" applyFill="1" applyAlignment="1">
      <alignment horizontal="right"/>
    </xf>
    <xf numFmtId="0" fontId="5" fillId="0" borderId="0" xfId="1" applyFont="1"/>
    <xf numFmtId="0" fontId="12" fillId="0" borderId="0" xfId="1" applyFont="1" applyAlignment="1"/>
    <xf numFmtId="0" fontId="0" fillId="0" borderId="0" xfId="0" quotePrefix="1"/>
    <xf numFmtId="0" fontId="0" fillId="0" borderId="0" xfId="0" applyAlignment="1">
      <alignment horizontal="left"/>
    </xf>
    <xf numFmtId="168" fontId="4" fillId="0" borderId="0" xfId="5" applyNumberFormat="1" applyFont="1" applyAlignment="1"/>
    <xf numFmtId="164" fontId="0" fillId="4" borderId="0" xfId="0" applyNumberFormat="1" applyFill="1" applyAlignment="1">
      <alignment wrapText="1"/>
    </xf>
    <xf numFmtId="0" fontId="0" fillId="4" borderId="0" xfId="0" applyFill="1" applyAlignment="1">
      <alignment horizontal="left" vertical="top"/>
    </xf>
    <xf numFmtId="0" fontId="24" fillId="4" borderId="0" xfId="0" applyFont="1" applyFill="1"/>
    <xf numFmtId="0" fontId="22" fillId="4" borderId="0" xfId="0" applyFont="1" applyFill="1"/>
    <xf numFmtId="0" fontId="23" fillId="4" borderId="0" xfId="0" applyFont="1" applyFill="1" applyAlignment="1">
      <alignment horizontal="left" vertical="center" wrapText="1"/>
    </xf>
    <xf numFmtId="0" fontId="0" fillId="2" borderId="1" xfId="0" applyFill="1" applyBorder="1"/>
    <xf numFmtId="0" fontId="4" fillId="4" borderId="0" xfId="1" applyFont="1" applyFill="1" applyAlignment="1"/>
    <xf numFmtId="0" fontId="4" fillId="4" borderId="0" xfId="1" applyFont="1" applyFill="1" applyAlignment="1">
      <alignment horizontal="right"/>
    </xf>
    <xf numFmtId="0" fontId="4" fillId="4" borderId="0" xfId="1" applyFont="1" applyFill="1" applyAlignment="1">
      <alignment wrapText="1"/>
    </xf>
    <xf numFmtId="0" fontId="5" fillId="4" borderId="0" xfId="1" applyFont="1" applyFill="1" applyAlignment="1"/>
    <xf numFmtId="0" fontId="10" fillId="4" borderId="0" xfId="2" quotePrefix="1" applyFill="1" applyAlignment="1"/>
    <xf numFmtId="0" fontId="14" fillId="4" borderId="0" xfId="1" applyFont="1" applyFill="1" applyAlignment="1"/>
    <xf numFmtId="0" fontId="4" fillId="4" borderId="0" xfId="1" applyFont="1" applyFill="1" applyBorder="1" applyAlignment="1"/>
    <xf numFmtId="10" fontId="15" fillId="4" borderId="9" xfId="1" applyNumberFormat="1" applyFont="1" applyFill="1" applyBorder="1" applyAlignment="1"/>
    <xf numFmtId="0" fontId="15" fillId="4" borderId="11" xfId="1" applyFont="1" applyFill="1" applyBorder="1" applyAlignment="1"/>
    <xf numFmtId="0" fontId="16" fillId="4" borderId="0" xfId="1" applyFont="1" applyFill="1" applyAlignment="1"/>
    <xf numFmtId="0" fontId="15" fillId="4" borderId="9" xfId="1" applyFont="1" applyFill="1" applyBorder="1" applyAlignment="1"/>
    <xf numFmtId="0" fontId="13" fillId="4" borderId="9" xfId="1" applyFont="1" applyFill="1" applyBorder="1" applyAlignment="1"/>
    <xf numFmtId="0" fontId="13" fillId="4" borderId="10" xfId="1" applyFont="1" applyFill="1" applyBorder="1" applyAlignment="1"/>
    <xf numFmtId="0" fontId="4" fillId="4" borderId="9" xfId="1" applyFont="1" applyFill="1" applyBorder="1" applyAlignment="1"/>
    <xf numFmtId="0" fontId="28" fillId="4" borderId="0" xfId="1" applyFont="1" applyFill="1" applyAlignment="1"/>
    <xf numFmtId="0" fontId="20" fillId="4" borderId="0" xfId="1" applyFont="1" applyFill="1" applyAlignment="1"/>
    <xf numFmtId="0" fontId="18" fillId="4" borderId="0" xfId="1" applyFont="1" applyFill="1" applyAlignment="1"/>
    <xf numFmtId="0" fontId="17" fillId="4" borderId="27" xfId="1" applyFont="1" applyFill="1" applyBorder="1" applyAlignment="1"/>
    <xf numFmtId="0" fontId="4" fillId="4" borderId="26" xfId="1" applyFont="1" applyFill="1" applyBorder="1" applyAlignment="1"/>
    <xf numFmtId="0" fontId="4" fillId="4" borderId="25" xfId="1" applyFont="1" applyFill="1" applyBorder="1" applyAlignment="1"/>
    <xf numFmtId="0" fontId="17" fillId="4" borderId="24" xfId="1" applyFont="1" applyFill="1" applyBorder="1" applyAlignment="1"/>
    <xf numFmtId="0" fontId="4" fillId="4" borderId="23" xfId="1" applyFont="1" applyFill="1" applyBorder="1" applyAlignment="1"/>
    <xf numFmtId="0" fontId="17" fillId="4" borderId="22" xfId="1" applyFont="1" applyFill="1" applyBorder="1" applyAlignment="1"/>
    <xf numFmtId="0" fontId="4" fillId="4" borderId="21" xfId="1" applyFont="1" applyFill="1" applyBorder="1" applyAlignment="1"/>
    <xf numFmtId="0" fontId="4" fillId="4" borderId="20" xfId="1" applyFont="1" applyFill="1" applyBorder="1" applyAlignment="1"/>
    <xf numFmtId="0" fontId="17" fillId="4" borderId="19" xfId="1" applyFont="1" applyFill="1" applyBorder="1" applyAlignment="1"/>
    <xf numFmtId="0" fontId="4" fillId="4" borderId="18" xfId="1" applyFont="1" applyFill="1" applyBorder="1" applyAlignment="1"/>
    <xf numFmtId="0" fontId="4" fillId="4" borderId="17" xfId="1" applyFont="1" applyFill="1" applyBorder="1" applyAlignment="1"/>
    <xf numFmtId="0" fontId="17" fillId="4" borderId="16" xfId="1" applyFont="1" applyFill="1" applyBorder="1" applyAlignment="1"/>
    <xf numFmtId="0" fontId="4" fillId="4" borderId="15" xfId="1" applyFont="1" applyFill="1" applyBorder="1" applyAlignment="1"/>
    <xf numFmtId="0" fontId="17" fillId="4" borderId="14" xfId="1" applyFont="1" applyFill="1" applyBorder="1" applyAlignment="1"/>
    <xf numFmtId="0" fontId="4" fillId="4" borderId="13" xfId="1" applyFont="1" applyFill="1" applyBorder="1" applyAlignment="1"/>
    <xf numFmtId="0" fontId="4" fillId="4" borderId="12" xfId="1" applyFont="1" applyFill="1" applyBorder="1" applyAlignment="1"/>
    <xf numFmtId="0" fontId="19" fillId="4" borderId="0" xfId="1" applyFont="1" applyFill="1" applyAlignment="1"/>
    <xf numFmtId="0" fontId="17" fillId="4" borderId="19" xfId="1" applyFont="1" applyFill="1" applyBorder="1"/>
    <xf numFmtId="0" fontId="17" fillId="4" borderId="16" xfId="1" applyFont="1" applyFill="1" applyBorder="1"/>
    <xf numFmtId="0" fontId="4" fillId="4" borderId="14" xfId="1" applyFont="1" applyFill="1" applyBorder="1" applyAlignment="1"/>
    <xf numFmtId="10" fontId="4" fillId="4" borderId="0" xfId="6" applyNumberFormat="1" applyFont="1" applyFill="1" applyAlignment="1"/>
    <xf numFmtId="0" fontId="25" fillId="4" borderId="0" xfId="1" applyFont="1" applyFill="1" applyAlignment="1"/>
    <xf numFmtId="165" fontId="22" fillId="4" borderId="0" xfId="0" applyNumberFormat="1" applyFont="1" applyFill="1"/>
    <xf numFmtId="0" fontId="26" fillId="4" borderId="0" xfId="1" applyFont="1" applyFill="1" applyAlignment="1"/>
    <xf numFmtId="0" fontId="6" fillId="0" borderId="0" xfId="1" applyFont="1" applyAlignment="1">
      <alignment horizontal="right"/>
    </xf>
    <xf numFmtId="166" fontId="6" fillId="0" borderId="0" xfId="1" applyNumberFormat="1" applyFont="1"/>
    <xf numFmtId="166" fontId="6" fillId="0" borderId="0" xfId="1" applyNumberFormat="1" applyFont="1" applyAlignment="1">
      <alignment horizontal="right"/>
    </xf>
    <xf numFmtId="166" fontId="6" fillId="0" borderId="7" xfId="1" applyNumberFormat="1" applyFont="1" applyBorder="1" applyAlignment="1">
      <alignment horizontal="right"/>
    </xf>
    <xf numFmtId="0" fontId="6" fillId="0" borderId="0" xfId="1" applyFont="1"/>
    <xf numFmtId="0" fontId="6" fillId="0" borderId="0" xfId="1" applyFont="1" applyAlignment="1"/>
    <xf numFmtId="0" fontId="7" fillId="0" borderId="0" xfId="1" applyFont="1" applyAlignment="1"/>
    <xf numFmtId="166" fontId="6" fillId="0" borderId="5" xfId="1" applyNumberFormat="1" applyFont="1" applyBorder="1" applyAlignment="1">
      <alignment horizontal="right"/>
    </xf>
    <xf numFmtId="169" fontId="6" fillId="0" borderId="5" xfId="1" applyNumberFormat="1" applyFont="1" applyBorder="1" applyAlignment="1">
      <alignment horizontal="right"/>
    </xf>
    <xf numFmtId="166" fontId="6" fillId="0" borderId="28" xfId="1" applyNumberFormat="1" applyFont="1" applyBorder="1" applyAlignment="1">
      <alignment horizontal="right"/>
    </xf>
    <xf numFmtId="0" fontId="7" fillId="0" borderId="0" xfId="1" applyFont="1" applyAlignment="1">
      <alignment horizontal="right"/>
    </xf>
    <xf numFmtId="0" fontId="32" fillId="0" borderId="0" xfId="1" applyFont="1" applyAlignment="1">
      <alignment textRotation="10"/>
    </xf>
    <xf numFmtId="166" fontId="6" fillId="0" borderId="29" xfId="1" applyNumberFormat="1" applyFont="1" applyBorder="1" applyAlignment="1">
      <alignment horizontal="right"/>
    </xf>
    <xf numFmtId="0" fontId="7" fillId="0" borderId="0" xfId="1" applyFont="1" applyAlignment="1">
      <alignment textRotation="10"/>
    </xf>
    <xf numFmtId="3" fontId="6" fillId="0" borderId="7" xfId="1" applyNumberFormat="1" applyFont="1" applyBorder="1" applyAlignment="1"/>
    <xf numFmtId="0" fontId="6" fillId="0" borderId="4" xfId="1" applyFont="1" applyBorder="1" applyAlignment="1"/>
    <xf numFmtId="0" fontId="6" fillId="0" borderId="30" xfId="1" applyFont="1" applyBorder="1" applyAlignment="1"/>
    <xf numFmtId="0" fontId="6" fillId="0" borderId="31" xfId="1" applyFont="1" applyBorder="1" applyAlignment="1"/>
    <xf numFmtId="0" fontId="6" fillId="0" borderId="28" xfId="1" applyFont="1" applyBorder="1" applyAlignment="1"/>
    <xf numFmtId="0" fontId="6" fillId="0" borderId="32" xfId="1" applyFont="1" applyBorder="1" applyAlignment="1"/>
    <xf numFmtId="0" fontId="6" fillId="0" borderId="33" xfId="1" applyFont="1" applyBorder="1" applyAlignment="1"/>
    <xf numFmtId="0" fontId="6" fillId="0" borderId="5" xfId="1" applyFont="1" applyBorder="1" applyAlignment="1"/>
    <xf numFmtId="3" fontId="6" fillId="0" borderId="4" xfId="1" applyNumberFormat="1" applyFont="1" applyBorder="1" applyAlignment="1"/>
    <xf numFmtId="3" fontId="6" fillId="0" borderId="0" xfId="1" applyNumberFormat="1" applyFont="1" applyAlignment="1"/>
    <xf numFmtId="0" fontId="6" fillId="0" borderId="5" xfId="1" applyFont="1" applyBorder="1"/>
    <xf numFmtId="3" fontId="4" fillId="7" borderId="4" xfId="1" applyNumberFormat="1" applyFont="1" applyFill="1" applyBorder="1" applyAlignment="1"/>
    <xf numFmtId="3" fontId="6" fillId="0" borderId="5" xfId="1" applyNumberFormat="1" applyFont="1" applyBorder="1" applyAlignment="1"/>
    <xf numFmtId="3" fontId="6" fillId="0" borderId="0" xfId="1" applyNumberFormat="1" applyFont="1"/>
    <xf numFmtId="166" fontId="6" fillId="0" borderId="7" xfId="1" applyNumberFormat="1" applyFont="1" applyBorder="1" applyAlignment="1"/>
    <xf numFmtId="166" fontId="6" fillId="0" borderId="0" xfId="1" applyNumberFormat="1" applyFont="1" applyAlignment="1"/>
    <xf numFmtId="166" fontId="6" fillId="0" borderId="4" xfId="1" applyNumberFormat="1" applyFont="1" applyBorder="1" applyAlignment="1"/>
    <xf numFmtId="0" fontId="6" fillId="0" borderId="0" xfId="1" applyFont="1" applyAlignment="1">
      <alignment textRotation="45"/>
    </xf>
    <xf numFmtId="0" fontId="6" fillId="0" borderId="0" xfId="1" applyFont="1" applyAlignment="1">
      <alignment wrapText="1"/>
    </xf>
    <xf numFmtId="166" fontId="7" fillId="0" borderId="0" xfId="1" applyNumberFormat="1" applyFont="1" applyAlignment="1"/>
    <xf numFmtId="10" fontId="6" fillId="0" borderId="0" xfId="1" applyNumberFormat="1" applyFont="1"/>
    <xf numFmtId="4" fontId="6" fillId="0" borderId="0" xfId="1" applyNumberFormat="1" applyFont="1"/>
    <xf numFmtId="4" fontId="6" fillId="0" borderId="0" xfId="1" applyNumberFormat="1" applyFont="1" applyAlignment="1"/>
    <xf numFmtId="165" fontId="6" fillId="0" borderId="0" xfId="1" applyNumberFormat="1" applyFont="1"/>
    <xf numFmtId="0" fontId="0" fillId="0" borderId="34" xfId="0" applyFill="1" applyBorder="1" applyAlignment="1"/>
    <xf numFmtId="0" fontId="0" fillId="0" borderId="34" xfId="0" applyNumberFormat="1" applyFill="1" applyBorder="1" applyAlignment="1"/>
    <xf numFmtId="0" fontId="0" fillId="0" borderId="35" xfId="0" applyFill="1" applyBorder="1" applyAlignment="1"/>
    <xf numFmtId="0" fontId="0" fillId="0" borderId="35" xfId="0" applyNumberFormat="1" applyFill="1" applyBorder="1" applyAlignment="1"/>
    <xf numFmtId="0" fontId="33" fillId="0" borderId="36" xfId="0" applyFont="1" applyFill="1" applyBorder="1" applyAlignment="1">
      <alignment horizontal="center"/>
    </xf>
    <xf numFmtId="0" fontId="33" fillId="0" borderId="37" xfId="0" applyFont="1" applyFill="1" applyBorder="1" applyAlignment="1">
      <alignment horizontal="center"/>
    </xf>
    <xf numFmtId="0" fontId="33" fillId="0" borderId="38" xfId="0" applyFont="1" applyFill="1" applyBorder="1" applyAlignment="1">
      <alignment horizontal="center"/>
    </xf>
    <xf numFmtId="0" fontId="0" fillId="0" borderId="39" xfId="0" applyBorder="1"/>
    <xf numFmtId="0" fontId="0" fillId="8" borderId="39" xfId="0" applyFill="1" applyBorder="1"/>
    <xf numFmtId="0" fontId="0" fillId="9" borderId="39" xfId="0" applyFill="1" applyBorder="1"/>
    <xf numFmtId="0" fontId="0" fillId="0" borderId="0" xfId="0" applyBorder="1"/>
    <xf numFmtId="165" fontId="0" fillId="0" borderId="39" xfId="7" applyNumberFormat="1" applyFont="1" applyBorder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39" xfId="0" applyBorder="1" applyAlignment="1">
      <alignment horizontal="center"/>
    </xf>
    <xf numFmtId="0" fontId="0" fillId="0" borderId="39" xfId="0" applyBorder="1"/>
    <xf numFmtId="0" fontId="0" fillId="0" borderId="42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22" fillId="4" borderId="0" xfId="0" applyFont="1" applyFill="1" applyAlignment="1">
      <alignment horizontal="left" wrapText="1"/>
    </xf>
    <xf numFmtId="0" fontId="29" fillId="4" borderId="0" xfId="0" applyFont="1" applyFill="1" applyAlignment="1">
      <alignment horizontal="left" vertical="center" wrapText="1"/>
    </xf>
    <xf numFmtId="0" fontId="30" fillId="4" borderId="0" xfId="0" applyFont="1" applyFill="1" applyAlignment="1">
      <alignment horizontal="left" vertical="center" wrapText="1"/>
    </xf>
    <xf numFmtId="164" fontId="22" fillId="4" borderId="0" xfId="0" applyNumberFormat="1" applyFont="1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29" fillId="4" borderId="0" xfId="0" applyFont="1" applyFill="1" applyAlignment="1">
      <alignment horizontal="left" vertical="center"/>
    </xf>
    <xf numFmtId="164" fontId="0" fillId="4" borderId="0" xfId="0" applyNumberFormat="1" applyFill="1" applyAlignment="1">
      <alignment horizontal="left" vertical="top" wrapText="1"/>
    </xf>
    <xf numFmtId="0" fontId="27" fillId="4" borderId="0" xfId="0" applyFont="1" applyFill="1" applyAlignment="1">
      <alignment horizontal="left" vertical="center" wrapText="1"/>
    </xf>
    <xf numFmtId="0" fontId="22" fillId="4" borderId="0" xfId="0" applyFont="1" applyFill="1" applyAlignment="1">
      <alignment horizontal="center" vertical="center" wrapText="1"/>
    </xf>
    <xf numFmtId="0" fontId="22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5" fillId="4" borderId="0" xfId="1" applyFont="1" applyFill="1" applyAlignment="1">
      <alignment horizontal="left" vertical="top" wrapText="1"/>
    </xf>
    <xf numFmtId="0" fontId="28" fillId="4" borderId="0" xfId="1" applyFont="1" applyFill="1" applyAlignment="1">
      <alignment horizontal="left" vertical="center"/>
    </xf>
    <xf numFmtId="0" fontId="31" fillId="4" borderId="0" xfId="1" applyFont="1" applyFill="1" applyAlignment="1">
      <alignment horizontal="left" vertical="center"/>
    </xf>
    <xf numFmtId="0" fontId="19" fillId="4" borderId="0" xfId="1" applyFont="1" applyFill="1" applyAlignment="1">
      <alignment horizontal="left" vertical="center"/>
    </xf>
    <xf numFmtId="0" fontId="25" fillId="4" borderId="0" xfId="1" applyFont="1" applyFill="1" applyAlignment="1">
      <alignment vertical="top" wrapText="1"/>
    </xf>
    <xf numFmtId="0" fontId="25" fillId="4" borderId="0" xfId="1" applyFont="1" applyFill="1" applyAlignment="1">
      <alignment wrapText="1"/>
    </xf>
    <xf numFmtId="0" fontId="28" fillId="4" borderId="0" xfId="1" applyFont="1" applyFill="1" applyAlignment="1"/>
  </cellXfs>
  <cellStyles count="8">
    <cellStyle name="Comma" xfId="5" builtinId="3"/>
    <cellStyle name="Currency" xfId="7" builtinId="4"/>
    <cellStyle name="Currency 2" xfId="3" xr:uid="{00000000-0005-0000-0000-000002000000}"/>
    <cellStyle name="Hyperlink" xfId="2" builtinId="8"/>
    <cellStyle name="Normal" xfId="0" builtinId="0"/>
    <cellStyle name="Normal 2" xfId="1" xr:uid="{00000000-0005-0000-0000-000005000000}"/>
    <cellStyle name="Percent" xfId="6" builtinId="5"/>
    <cellStyle name="Percent 2" xfId="4" xr:uid="{00000000-0005-0000-0000-000007000000}"/>
  </cellStyles>
  <dxfs count="14">
    <dxf>
      <fill>
        <patternFill patternType="solid">
          <fgColor rgb="FFB7E1CD"/>
          <bgColor rgb="FFB7E1CD"/>
        </patternFill>
      </fill>
    </dxf>
    <dxf>
      <fill>
        <patternFill patternType="solid">
          <fgColor rgb="FFE7F9EF"/>
          <bgColor rgb="FFE7F9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AFE9CA"/>
          <bgColor rgb="FFAFE9CA"/>
        </patternFill>
      </fill>
    </dxf>
    <dxf>
      <fill>
        <patternFill patternType="solid">
          <fgColor rgb="FF63D297"/>
          <bgColor rgb="FF63D297"/>
        </patternFill>
      </fill>
    </dxf>
    <dxf>
      <fill>
        <patternFill patternType="solid">
          <fgColor rgb="FFE7F9EF"/>
          <bgColor rgb="FFE7F9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3D297"/>
          <bgColor rgb="FF63D297"/>
        </patternFill>
      </fill>
    </dxf>
    <dxf>
      <fill>
        <patternFill patternType="solid">
          <fgColor rgb="FFE7F9EF"/>
          <bgColor rgb="FFE7F9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3D297"/>
          <bgColor rgb="FF63D297"/>
        </patternFill>
      </fill>
    </dxf>
    <dxf>
      <fill>
        <patternFill patternType="solid">
          <fgColor rgb="FFE7F9EF"/>
          <bgColor rgb="FFE7F9E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3D297"/>
          <bgColor rgb="FF63D297"/>
        </patternFill>
      </fill>
    </dxf>
  </dxfs>
  <tableStyles count="4" defaultTableStyle="TableStyleMedium2" defaultPivotStyle="PivotStyleLight16">
    <tableStyle name="Isetan Singapore Limited &lt; Cash-style" pivot="0" count="3" xr9:uid="{00000000-0011-0000-FFFF-FFFF00000000}">
      <tableStyleElement type="headerRow" dxfId="13"/>
      <tableStyleElement type="firstRowStripe" dxfId="12"/>
      <tableStyleElement type="secondRowStripe" dxfId="11"/>
    </tableStyle>
    <tableStyle name="Isetan Singapore Limited &lt; Inco-style" pivot="0" count="3" xr9:uid="{00000000-0011-0000-FFFF-FFFF01000000}">
      <tableStyleElement type="headerRow" dxfId="10"/>
      <tableStyleElement type="firstRowStripe" dxfId="9"/>
      <tableStyleElement type="secondRowStripe" dxfId="8"/>
    </tableStyle>
    <tableStyle name="Metro Holdings Limited &lt; Cash F-style" pivot="0" count="3" xr9:uid="{00000000-0011-0000-FFFF-FFFF02000000}">
      <tableStyleElement type="headerRow" dxfId="7"/>
      <tableStyleElement type="firstRowStripe" dxfId="6"/>
      <tableStyleElement type="secondRowStripe" dxfId="5"/>
    </tableStyle>
    <tableStyle name="Metro Holdings Limited &lt; Income-style" pivot="0" count="4" xr9:uid="{00000000-0011-0000-FFFF-FFFF03000000}">
      <tableStyleElement type="headerRow" dxfId="4"/>
      <tableStyleElement type="totalRow" dxfId="3"/>
      <tableStyleElement type="firstRowStripe" dxfId="2"/>
      <tableStyleElement type="secondRowStripe" dxfId="1"/>
    </tableStyle>
  </tableStyles>
  <colors>
    <mruColors>
      <color rgb="FFFFFFCC"/>
      <color rgb="FFFF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microsoft.com/office/2011/relationships/chartColorStyle" Target="colors21.xml"/><Relationship Id="rId1" Type="http://schemas.microsoft.com/office/2011/relationships/chartStyle" Target="style21.xml"/><Relationship Id="rId5" Type="http://schemas.openxmlformats.org/officeDocument/2006/relationships/image" Target="../media/image8.png"/><Relationship Id="rId4" Type="http://schemas.openxmlformats.org/officeDocument/2006/relationships/image" Target="../media/image7.jp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microsoft.com/office/2011/relationships/chartColorStyle" Target="colors22.xml"/><Relationship Id="rId1" Type="http://schemas.microsoft.com/office/2011/relationships/chartStyle" Target="style22.xml"/><Relationship Id="rId5" Type="http://schemas.openxmlformats.org/officeDocument/2006/relationships/image" Target="../media/image8.png"/><Relationship Id="rId4" Type="http://schemas.openxmlformats.org/officeDocument/2006/relationships/image" Target="../media/image6.jp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microsoft.com/office/2011/relationships/chartColorStyle" Target="colors23.xml"/><Relationship Id="rId1" Type="http://schemas.microsoft.com/office/2011/relationships/chartStyle" Target="style23.xml"/><Relationship Id="rId5" Type="http://schemas.openxmlformats.org/officeDocument/2006/relationships/image" Target="../media/image8.png"/><Relationship Id="rId4" Type="http://schemas.openxmlformats.org/officeDocument/2006/relationships/image" Target="../media/image6.jp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microsoft.com/office/2011/relationships/chartColorStyle" Target="colors24.xml"/><Relationship Id="rId1" Type="http://schemas.microsoft.com/office/2011/relationships/chartStyle" Target="style24.xml"/><Relationship Id="rId5" Type="http://schemas.openxmlformats.org/officeDocument/2006/relationships/image" Target="../media/image8.png"/><Relationship Id="rId4" Type="http://schemas.openxmlformats.org/officeDocument/2006/relationships/image" Target="../media/image7.jp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microsoft.com/office/2011/relationships/chartColorStyle" Target="colors25.xml"/><Relationship Id="rId1" Type="http://schemas.microsoft.com/office/2011/relationships/chartStyle" Target="style25.xml"/><Relationship Id="rId5" Type="http://schemas.openxmlformats.org/officeDocument/2006/relationships/image" Target="../media/image8.png"/><Relationship Id="rId4" Type="http://schemas.openxmlformats.org/officeDocument/2006/relationships/image" Target="../media/image7.jpg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microsoft.com/office/2011/relationships/chartColorStyle" Target="colors26.xml"/><Relationship Id="rId1" Type="http://schemas.microsoft.com/office/2011/relationships/chartStyle" Target="style26.xml"/><Relationship Id="rId5" Type="http://schemas.openxmlformats.org/officeDocument/2006/relationships/image" Target="../media/image8.png"/><Relationship Id="rId4" Type="http://schemas.openxmlformats.org/officeDocument/2006/relationships/image" Target="../media/image7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'CControl CF Danny'!$H$2</c:f>
          <c:strCache>
            <c:ptCount val="1"/>
            <c:pt idx="0">
              <c:v>Isetan Vs Metro in Profit before tax ($'000)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'CControl CF Danny'!$H$3</c:f>
              <c:strCache>
                <c:ptCount val="1"/>
                <c:pt idx="0">
                  <c:v>Isetan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'CControl CF Danny'!$I$2:$L$2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'CControl CF Danny'!$I$3:$L$3</c:f>
              <c:numCache>
                <c:formatCode>General</c:formatCode>
                <c:ptCount val="4"/>
                <c:pt idx="0">
                  <c:v>7340</c:v>
                </c:pt>
                <c:pt idx="1">
                  <c:v>-3023</c:v>
                </c:pt>
                <c:pt idx="2">
                  <c:v>-26647</c:v>
                </c:pt>
                <c:pt idx="3">
                  <c:v>2931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9-4724-9052-6A4524F66FEF}"/>
            </c:ext>
          </c:extLst>
        </c:ser>
        <c:ser>
          <c:idx val="1"/>
          <c:order val="1"/>
          <c:tx>
            <c:strRef>
              <c:f>'CControl CF Danny'!$H$4</c:f>
              <c:strCache>
                <c:ptCount val="1"/>
                <c:pt idx="0">
                  <c:v>Metro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'CControl CF Danny'!$I$2:$L$2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'CControl CF Danny'!$I$4:$L$4</c:f>
              <c:numCache>
                <c:formatCode>General</c:formatCode>
                <c:ptCount val="4"/>
                <c:pt idx="0">
                  <c:v>82049</c:v>
                </c:pt>
                <c:pt idx="1">
                  <c:v>124820</c:v>
                </c:pt>
                <c:pt idx="2">
                  <c:v>145538</c:v>
                </c:pt>
                <c:pt idx="3">
                  <c:v>122332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9-4724-9052-6A4524F66FE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414416"/>
        <c:axId val="328411792"/>
      </c:lineChart>
      <c:catAx>
        <c:axId val="3284144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1792"/>
        <c:crosses val="autoZero"/>
        <c:auto val="1"/>
        <c:lblAlgn val="ctr"/>
        <c:lblOffset val="100"/>
        <c:noMultiLvlLbl val="0"/>
      </c:catAx>
      <c:valAx>
        <c:axId val="3284117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($'000)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144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3175">
            <a:solidFill>
              <a:srgbClr val="002060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CF Danny'!$H$2</c:f>
          <c:strCache>
            <c:ptCount val="1"/>
            <c:pt idx="0">
              <c:v>Operating Cash Flows before working capital changes for Isetan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cap="none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0"/>
      <c:rotY val="5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904516539982881"/>
          <c:y val="0.19398961229212094"/>
          <c:w val="0.87109206825853158"/>
          <c:h val="0.5229284235876434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'Control CF Danny'!$I$2</c:f>
              <c:strCache>
                <c:ptCount val="1"/>
                <c:pt idx="0">
                  <c:v>2013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'Control CF Danny'!$I$3</c:f>
              <c:numCache>
                <c:formatCode>General</c:formatCode>
                <c:ptCount val="1"/>
                <c:pt idx="0">
                  <c:v>11989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2-4D9C-8A86-8ABB1729C5A5}"/>
            </c:ext>
          </c:extLst>
        </c:ser>
        <c:ser>
          <c:idx val="1"/>
          <c:order val="1"/>
          <c:tx>
            <c:strRef>
              <c:f>'Control CF Danny'!$J$2</c:f>
              <c:strCache>
                <c:ptCount val="1"/>
                <c:pt idx="0">
                  <c:v>2014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'Control CF Danny'!$J$3</c:f>
              <c:numCache>
                <c:formatCode>General</c:formatCode>
                <c:ptCount val="1"/>
                <c:pt idx="0">
                  <c:v>3079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2-4D9C-8A86-8ABB1729C5A5}"/>
            </c:ext>
          </c:extLst>
        </c:ser>
        <c:ser>
          <c:idx val="2"/>
          <c:order val="2"/>
          <c:tx>
            <c:strRef>
              <c:f>'Control CF Danny'!$K$2</c:f>
              <c:strCache>
                <c:ptCount val="1"/>
                <c:pt idx="0">
                  <c:v>2015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'Control CF Danny'!$K$3</c:f>
              <c:numCache>
                <c:formatCode>General</c:formatCode>
                <c:ptCount val="1"/>
                <c:pt idx="0">
                  <c:v>-10652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E2-4D9C-8A86-8ABB1729C5A5}"/>
            </c:ext>
          </c:extLst>
        </c:ser>
        <c:ser>
          <c:idx val="3"/>
          <c:order val="3"/>
          <c:tx>
            <c:strRef>
              <c:f>'Control CF Danny'!$L$2</c:f>
              <c:strCache>
                <c:ptCount val="1"/>
                <c:pt idx="0">
                  <c:v>2016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'Control CF Danny'!$L$3</c:f>
              <c:numCache>
                <c:formatCode>General</c:formatCode>
                <c:ptCount val="1"/>
                <c:pt idx="0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E2-4D9C-8A86-8ABB1729C5A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57308464"/>
        <c:axId val="657307480"/>
        <c:axId val="0"/>
      </c:bar3DChart>
      <c:catAx>
        <c:axId val="65730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307480"/>
        <c:crosses val="autoZero"/>
        <c:auto val="1"/>
        <c:lblAlgn val="ctr"/>
        <c:lblOffset val="100"/>
        <c:noMultiLvlLbl val="0"/>
      </c:catAx>
      <c:valAx>
        <c:axId val="65730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>
              <a:outerShdw blurRad="50800" dist="50800" dir="5400000" algn="ctr" rotWithShape="0">
                <a:srgbClr val="000000"/>
              </a:outerShdw>
            </a:effectLst>
          </c:spPr>
        </c:majorGridlines>
        <c:title>
          <c:tx>
            <c:strRef>
              <c:f>'Control CF Danny'!$G$2</c:f>
              <c:strCache>
                <c:ptCount val="1"/>
                <c:pt idx="0">
                  <c:v>($)'000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308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>
      <a:solidFill>
        <a:schemeClr val="tx1"/>
      </a:solidFill>
    </a:ln>
    <a:effectLst>
      <a:outerShdw blurRad="50800" dist="38100" dir="2700000" algn="tl" rotWithShape="0">
        <a:prstClr val="black">
          <a:alpha val="40000"/>
        </a:prstClr>
      </a:outerShdw>
    </a:effectLst>
    <a:scene3d>
      <a:camera prst="orthographicFront"/>
      <a:lightRig rig="threePt" dir="t"/>
    </a:scene3d>
    <a:sp3d prstMaterial="metal"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'CControl IS Phone'!$B$11</c:f>
          <c:strCache>
            <c:ptCount val="1"/>
            <c:pt idx="0">
              <c:v> Revenue in 2016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1">
                      <a:lumMod val="0"/>
                      <a:lumOff val="100000"/>
                    </a:schemeClr>
                  </a:gs>
                  <a:gs pos="35000">
                    <a:schemeClr val="accent1">
                      <a:lumMod val="0"/>
                      <a:lumOff val="100000"/>
                    </a:schemeClr>
                  </a:gs>
                  <a:gs pos="100000">
                    <a:schemeClr val="accent1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3CD6-486A-AD6C-1B7B9852F9C7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2">
                      <a:lumMod val="0"/>
                      <a:lumOff val="100000"/>
                    </a:schemeClr>
                  </a:gs>
                  <a:gs pos="35000">
                    <a:schemeClr val="accent2">
                      <a:lumMod val="0"/>
                      <a:lumOff val="100000"/>
                    </a:schemeClr>
                  </a:gs>
                  <a:gs pos="100000">
                    <a:schemeClr val="accent2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D6-486A-AD6C-1B7B9852F9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'CControl IS Phone'!$B$8:$B$9</c:f>
              <c:strCache>
                <c:ptCount val="2"/>
                <c:pt idx="0">
                  <c:v>Isetan</c:v>
                </c:pt>
                <c:pt idx="1">
                  <c:v>Metro</c:v>
                </c:pt>
              </c:strCache>
            </c:strRef>
          </c:cat>
          <c:val>
            <c:numRef>
              <c:f>'CControl IS Phone'!$C$8:$C$9</c:f>
              <c:numCache>
                <c:formatCode>General</c:formatCode>
                <c:ptCount val="2"/>
                <c:pt idx="0">
                  <c:v>294638</c:v>
                </c:pt>
                <c:pt idx="1">
                  <c:v>154595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B-4BA4-A56A-5CEAD7F083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865091808"/>
        <c:axId val="1920198496"/>
      </c:barChart>
      <c:catAx>
        <c:axId val="186509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198496"/>
        <c:crosses val="autoZero"/>
        <c:auto val="1"/>
        <c:lblAlgn val="ctr"/>
        <c:lblOffset val="100"/>
        <c:noMultiLvlLbl val="0"/>
      </c:catAx>
      <c:valAx>
        <c:axId val="192019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($)'000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9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'CControl IS Phone'!$E$11</c:f>
          <c:strCache>
            <c:ptCount val="1"/>
            <c:pt idx="0">
              <c:v> Net Profit in 2013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615048118985127"/>
          <c:y val="0.17634259259259263"/>
          <c:w val="0.79329396325459323"/>
          <c:h val="0.70696741032370958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>
                    <a:lumMod val="0"/>
                    <a:lumOff val="100000"/>
                  </a:schemeClr>
                </a:gs>
                <a:gs pos="12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1">
                      <a:lumMod val="0"/>
                      <a:lumOff val="100000"/>
                    </a:schemeClr>
                  </a:gs>
                  <a:gs pos="12000">
                    <a:schemeClr val="accent1">
                      <a:lumMod val="0"/>
                      <a:lumOff val="100000"/>
                    </a:schemeClr>
                  </a:gs>
                  <a:gs pos="100000">
                    <a:schemeClr val="accent1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6844-496E-8EDB-434D4279E094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2">
                      <a:lumMod val="0"/>
                      <a:lumOff val="100000"/>
                    </a:schemeClr>
                  </a:gs>
                  <a:gs pos="35000">
                    <a:schemeClr val="accent2">
                      <a:lumMod val="0"/>
                      <a:lumOff val="100000"/>
                    </a:schemeClr>
                  </a:gs>
                  <a:gs pos="100000">
                    <a:schemeClr val="accent2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44-496E-8EDB-434D4279E0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'CControl IS Phone'!$E$8:$E$9</c:f>
              <c:strCache>
                <c:ptCount val="2"/>
                <c:pt idx="0">
                  <c:v>Isetan</c:v>
                </c:pt>
                <c:pt idx="1">
                  <c:v>Metro</c:v>
                </c:pt>
              </c:strCache>
            </c:strRef>
          </c:cat>
          <c:val>
            <c:numRef>
              <c:f>'CControl IS Phone'!$F$8:$F$9</c:f>
              <c:numCache>
                <c:formatCode>General</c:formatCode>
                <c:ptCount val="2"/>
                <c:pt idx="0">
                  <c:v>7340</c:v>
                </c:pt>
                <c:pt idx="1">
                  <c:v>82049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3-4E7A-84E8-62603F35D8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67289168"/>
        <c:axId val="1534550464"/>
      </c:barChart>
      <c:catAx>
        <c:axId val="146728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550464"/>
        <c:crosses val="autoZero"/>
        <c:auto val="1"/>
        <c:lblAlgn val="ctr"/>
        <c:lblOffset val="100"/>
        <c:noMultiLvlLbl val="0"/>
      </c:catAx>
      <c:valAx>
        <c:axId val="15345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sz="1000" b="0" i="0" baseline="0">
                    <a:effectLst/>
                  </a:rPr>
                  <a:t>($)'000</a:t>
                </a:r>
                <a:endParaRPr lang="en-SG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8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'CControl IS Phone'!$A$26</c:f>
          <c:strCache>
            <c:ptCount val="1"/>
            <c:pt idx="0">
              <c:v>Dollar Change For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'CControl IS Phone'!$A$15</c:f>
              <c:strCache>
                <c:ptCount val="1"/>
                <c:pt idx="0">
                  <c:v>Isetan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14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'CControl IS Phone'!$C$14:$E$14</c:f>
              <c:strCache>
                <c:ptCount val="3"/>
                <c:pt idx="0">
                  <c:v>2013-2014</c:v>
                </c:pt>
                <c:pt idx="1">
                  <c:v>2014-2015</c:v>
                </c:pt>
                <c:pt idx="2">
                  <c:v>2015-2016</c:v>
                </c:pt>
              </c:strCache>
            </c:strRef>
          </c:cat>
          <c:val>
            <c:numRef>
              <c:f>'CControl IS Phone'!$C$15:$E$15</c:f>
              <c:numCache>
                <c:formatCode>General</c:formatCode>
                <c:ptCount val="3"/>
                <c:pt idx="0">
                  <c:v>-10363</c:v>
                </c:pt>
                <c:pt idx="1">
                  <c:v>-23624</c:v>
                </c:pt>
                <c:pt idx="2">
                  <c:v>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F-4737-BDF4-F67F17E11404}"/>
            </c:ext>
          </c:extLst>
        </c:ser>
        <c:ser>
          <c:idx val="1"/>
          <c:order val="1"/>
          <c:tx>
            <c:strRef>
              <c:f>'CControl IS Phone'!$A$16</c:f>
              <c:strCache>
                <c:ptCount val="1"/>
                <c:pt idx="0">
                  <c:v>Metro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0"/>
                    <a:lumOff val="100000"/>
                  </a:schemeClr>
                </a:gs>
                <a:gs pos="9000">
                  <a:schemeClr val="accent2">
                    <a:lumMod val="0"/>
                    <a:lumOff val="100000"/>
                  </a:schemeClr>
                </a:gs>
                <a:gs pos="100000">
                  <a:schemeClr val="accent2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'CControl IS Phone'!$C$14:$E$14</c:f>
              <c:strCache>
                <c:ptCount val="3"/>
                <c:pt idx="0">
                  <c:v>2013-2014</c:v>
                </c:pt>
                <c:pt idx="1">
                  <c:v>2014-2015</c:v>
                </c:pt>
                <c:pt idx="2">
                  <c:v>2015-2016</c:v>
                </c:pt>
              </c:strCache>
            </c:strRef>
          </c:cat>
          <c:val>
            <c:numRef>
              <c:f>'CControl IS Phone'!$C$16:$E$16</c:f>
              <c:numCache>
                <c:formatCode>General</c:formatCode>
                <c:ptCount val="3"/>
                <c:pt idx="0">
                  <c:v>42771</c:v>
                </c:pt>
                <c:pt idx="1">
                  <c:v>20718</c:v>
                </c:pt>
                <c:pt idx="2">
                  <c:v>-23206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CF-4737-BDF4-F67F17E1140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39342656"/>
        <c:axId val="1765005872"/>
      </c:barChart>
      <c:catAx>
        <c:axId val="153934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005872"/>
        <c:crosses val="autoZero"/>
        <c:auto val="1"/>
        <c:lblAlgn val="ctr"/>
        <c:lblOffset val="100"/>
        <c:noMultiLvlLbl val="0"/>
      </c:catAx>
      <c:valAx>
        <c:axId val="176500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'CControl IS Phone'!$A$27</c:f>
              <c:strCache>
                <c:ptCount val="1"/>
                <c:pt idx="0">
                  <c:v>$'000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3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'CControl IS Phone'!$B$38</c:f>
          <c:strCache>
            <c:ptCount val="1"/>
            <c:pt idx="0">
              <c:v>Overview of Revenue 2013 to 2016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'CControl IS Phone'!$B$34</c:f>
              <c:strCache>
                <c:ptCount val="1"/>
                <c:pt idx="0">
                  <c:v>Isetan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'CControl IS Phone'!$C$33:$F$33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xVal>
          <c:yVal>
            <c:numRef>
              <c:f>'CControl IS Phone'!$C$34:$F$34</c:f>
              <c:numCache>
                <c:formatCode>General</c:formatCode>
                <c:ptCount val="4"/>
                <c:pt idx="0">
                  <c:v>333048</c:v>
                </c:pt>
                <c:pt idx="1">
                  <c:v>340316</c:v>
                </c:pt>
                <c:pt idx="2">
                  <c:v>302178</c:v>
                </c:pt>
                <c:pt idx="3">
                  <c:v>294638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A-4ADF-AFD3-9EF994FA025A}"/>
            </c:ext>
          </c:extLst>
        </c:ser>
        <c:ser>
          <c:idx val="1"/>
          <c:order val="1"/>
          <c:tx>
            <c:strRef>
              <c:f>'CControl IS Phone'!$B$35</c:f>
              <c:strCache>
                <c:ptCount val="1"/>
                <c:pt idx="0">
                  <c:v>Metro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'CControl IS Phone'!$C$33:$F$33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xVal>
          <c:yVal>
            <c:numRef>
              <c:f>'CControl IS Phone'!$C$35:$F$35</c:f>
              <c:numCache>
                <c:formatCode>General</c:formatCode>
                <c:ptCount val="4"/>
                <c:pt idx="0">
                  <c:v>187120</c:v>
                </c:pt>
                <c:pt idx="1">
                  <c:v>194266</c:v>
                </c:pt>
                <c:pt idx="2">
                  <c:v>145826</c:v>
                </c:pt>
                <c:pt idx="3">
                  <c:v>154595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6A-4ADF-AFD3-9EF994FA025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464045520"/>
        <c:axId val="1741223232"/>
      </c:scatterChart>
      <c:valAx>
        <c:axId val="146404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223232"/>
        <c:crosses val="autoZero"/>
        <c:crossBetween val="midCat"/>
      </c:valAx>
      <c:valAx>
        <c:axId val="174122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($)</a:t>
                </a:r>
                <a:r>
                  <a:rPr lang="en-SG" baseline="0"/>
                  <a:t> '000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04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IS Phone'!$B$9</c:f>
          <c:strCache>
            <c:ptCount val="1"/>
            <c:pt idx="0">
              <c:v>TotalCI_Loss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 IS Phone'!$B$9</c:f>
              <c:strCache>
                <c:ptCount val="1"/>
                <c:pt idx="0">
                  <c:v>TotalCI_Loss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10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'Control IS Phone'!$C$8:$F$8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IS Phone'!$C$9:$F$9</c:f>
              <c:numCache>
                <c:formatCode>General</c:formatCode>
                <c:ptCount val="4"/>
                <c:pt idx="0">
                  <c:v>6426</c:v>
                </c:pt>
                <c:pt idx="1">
                  <c:v>-2998</c:v>
                </c:pt>
                <c:pt idx="2">
                  <c:v>-25880</c:v>
                </c:pt>
                <c:pt idx="3">
                  <c:v>2423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95-4031-A94E-C608CC2F0C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7690015"/>
        <c:axId val="1804407183"/>
      </c:barChart>
      <c:catAx>
        <c:axId val="18776900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407183"/>
        <c:crosses val="autoZero"/>
        <c:auto val="1"/>
        <c:lblAlgn val="ctr"/>
        <c:lblOffset val="100"/>
        <c:noMultiLvlLbl val="0"/>
      </c:catAx>
      <c:valAx>
        <c:axId val="180440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strRef>
              <c:f>'Control IS Phone'!$C$12</c:f>
              <c:strCache>
                <c:ptCount val="1"/>
                <c:pt idx="0">
                  <c:v>($'000)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690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IS Phone'!$C$28</c:f>
          <c:strCache>
            <c:ptCount val="1"/>
            <c:pt idx="0">
              <c:v>Total Expenses in 2014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4C7-46F7-ACDE-84EEF32632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4C7-46F7-ACDE-84EEF32632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'Control IS Phone'!$C$25:$D$25</c:f>
              <c:strCache>
                <c:ptCount val="2"/>
                <c:pt idx="0">
                  <c:v>COGS</c:v>
                </c:pt>
                <c:pt idx="1">
                  <c:v>Operating Exp</c:v>
                </c:pt>
              </c:strCache>
            </c:strRef>
          </c:cat>
          <c:val>
            <c:numRef>
              <c:f>'Control IS Phone'!$C$26:$D$26</c:f>
              <c:numCache>
                <c:formatCode>General</c:formatCode>
                <c:ptCount val="2"/>
                <c:pt idx="0">
                  <c:v>251085</c:v>
                </c:pt>
                <c:pt idx="1">
                  <c:v>101015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7-46F7-ACDE-84EEF326326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YK'!$A$20</c:f>
          <c:strCache>
            <c:ptCount val="1"/>
            <c:pt idx="0">
              <c:v>Dollar change in Total Assets</c:v>
            </c:pt>
          </c:strCache>
        </c:strRef>
      </c:tx>
      <c:layout>
        <c:manualLayout>
          <c:xMode val="edge"/>
          <c:yMode val="edge"/>
          <c:x val="0.35871243622637056"/>
          <c:y val="0.12000001322900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401692765932352E-2"/>
          <c:y val="0.24038574132573023"/>
          <c:w val="0.89323955292105339"/>
          <c:h val="0.660193100134206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strRef>
              <c:f>'Control BS YK'!$B$19:$D$19</c:f>
              <c:strCache>
                <c:ptCount val="3"/>
                <c:pt idx="0">
                  <c:v>2013 to 2014</c:v>
                </c:pt>
                <c:pt idx="1">
                  <c:v>2014 to 2015</c:v>
                </c:pt>
                <c:pt idx="2">
                  <c:v>2015 to 2016</c:v>
                </c:pt>
              </c:strCache>
            </c:strRef>
          </c:cat>
          <c:val>
            <c:numRef>
              <c:f>'Control BS YK'!$B$20:$D$20</c:f>
              <c:numCache>
                <c:formatCode>General</c:formatCode>
                <c:ptCount val="3"/>
                <c:pt idx="0">
                  <c:v>-17424</c:v>
                </c:pt>
                <c:pt idx="1">
                  <c:v>-27744</c:v>
                </c:pt>
                <c:pt idx="2">
                  <c:v>-7095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3-4931-861C-B920BAF8A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3456016"/>
        <c:axId val="859980752"/>
      </c:barChart>
      <c:catAx>
        <c:axId val="8634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980752"/>
        <c:crosses val="autoZero"/>
        <c:auto val="1"/>
        <c:lblAlgn val="ctr"/>
        <c:lblOffset val="100"/>
        <c:noMultiLvlLbl val="0"/>
      </c:catAx>
      <c:valAx>
        <c:axId val="8599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strRef>
              <c:f>'Control BS YK'!$E$20</c:f>
              <c:strCache>
                <c:ptCount val="1"/>
                <c:pt idx="0">
                  <c:v>$'000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45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7588710793573612"/>
          <c:y val="0.145195566793995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83634765369293E-2"/>
          <c:y val="0.26088235758943001"/>
          <c:w val="0.89580488899695143"/>
          <c:h val="0.640050384694404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'Control BS YK'!$A$48</c:f>
              <c:strCache>
                <c:ptCount val="1"/>
                <c:pt idx="0">
                  <c:v>Dollar change in Non-Current Liabilities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21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strRef>
              <c:f>'Control BS YK'!$B$47:$D$47</c:f>
              <c:strCache>
                <c:ptCount val="3"/>
                <c:pt idx="0">
                  <c:v>2013 to 2014</c:v>
                </c:pt>
                <c:pt idx="1">
                  <c:v>2014 to 2015</c:v>
                </c:pt>
                <c:pt idx="2">
                  <c:v>2015 to 2016</c:v>
                </c:pt>
              </c:strCache>
            </c:strRef>
          </c:cat>
          <c:val>
            <c:numRef>
              <c:f>'Control BS YK'!$B$48:$D$48</c:f>
              <c:numCache>
                <c:formatCode>General</c:formatCode>
                <c:ptCount val="3"/>
                <c:pt idx="0">
                  <c:v>693</c:v>
                </c:pt>
                <c:pt idx="1">
                  <c:v>1279</c:v>
                </c:pt>
                <c:pt idx="2">
                  <c:v>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1-46AB-AA95-379DD7F4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275663"/>
        <c:axId val="227076015"/>
      </c:barChart>
      <c:catAx>
        <c:axId val="13727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076015"/>
        <c:crosses val="autoZero"/>
        <c:auto val="1"/>
        <c:lblAlgn val="ctr"/>
        <c:lblOffset val="100"/>
        <c:noMultiLvlLbl val="0"/>
      </c:catAx>
      <c:valAx>
        <c:axId val="22707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strRef>
              <c:f>'Control BS YK'!$E$48</c:f>
              <c:strCache>
                <c:ptCount val="1"/>
                <c:pt idx="0">
                  <c:v>$'000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7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YK'!$A$12</c:f>
          <c:strCache>
            <c:ptCount val="1"/>
            <c:pt idx="0">
              <c:v>Overview of Total Assets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BS YK'!$B$11:$E$11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BS YK'!$B$12:$E$12</c:f>
              <c:numCache>
                <c:formatCode>General</c:formatCode>
                <c:ptCount val="4"/>
                <c:pt idx="0">
                  <c:v>279012</c:v>
                </c:pt>
                <c:pt idx="1">
                  <c:v>261588</c:v>
                </c:pt>
                <c:pt idx="2">
                  <c:v>233844</c:v>
                </c:pt>
                <c:pt idx="3">
                  <c:v>226749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9-48FE-84F4-EFF16EBFB4B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1707024"/>
        <c:axId val="640384800"/>
      </c:lineChart>
      <c:catAx>
        <c:axId val="641707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384800"/>
        <c:crosses val="autoZero"/>
        <c:auto val="1"/>
        <c:lblAlgn val="ctr"/>
        <c:lblOffset val="100"/>
        <c:noMultiLvlLbl val="0"/>
      </c:catAx>
      <c:valAx>
        <c:axId val="64038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70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YK'!$A$30</c:f>
          <c:strCache>
            <c:ptCount val="1"/>
            <c:pt idx="0">
              <c:v>Current Assets : Non-Current Assets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8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F42-4714-A625-F64A6496C9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F42-4714-A625-F64A6496C9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'Control BS YK'!$B$29:$C$29</c:f>
              <c:strCache>
                <c:ptCount val="2"/>
                <c:pt idx="0">
                  <c:v>Current Assets</c:v>
                </c:pt>
                <c:pt idx="1">
                  <c:v>Non-Current Assets</c:v>
                </c:pt>
              </c:strCache>
            </c:strRef>
          </c:cat>
          <c:val>
            <c:numRef>
              <c:f>'Control BS YK'!$B$30:$C$30</c:f>
              <c:numCache>
                <c:formatCode>General</c:formatCode>
                <c:ptCount val="2"/>
                <c:pt idx="0">
                  <c:v>90932</c:v>
                </c:pt>
                <c:pt idx="1">
                  <c:v>135817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42-4714-A625-F64A6496C9C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'Control BS YK'!$A$40</c:f>
              <c:strCache>
                <c:ptCount val="1"/>
                <c:pt idx="0">
                  <c:v>Overview of Non-Current Liabilities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BS YK'!$B$39:$E$39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BS YK'!$B$40:$E$40</c:f>
              <c:numCache>
                <c:formatCode>General</c:formatCode>
                <c:ptCount val="4"/>
                <c:pt idx="0">
                  <c:v>3625</c:v>
                </c:pt>
                <c:pt idx="1">
                  <c:v>4318</c:v>
                </c:pt>
                <c:pt idx="2">
                  <c:v>5597</c:v>
                </c:pt>
                <c:pt idx="3">
                  <c:v>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B-4595-B05F-81934206EB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7273583"/>
        <c:axId val="218801039"/>
      </c:lineChart>
      <c:catAx>
        <c:axId val="13727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01039"/>
        <c:crosses val="autoZero"/>
        <c:auto val="1"/>
        <c:lblAlgn val="ctr"/>
        <c:lblOffset val="100"/>
        <c:noMultiLvlLbl val="0"/>
      </c:catAx>
      <c:valAx>
        <c:axId val="21880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7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YK'!$A$58</c:f>
          <c:strCache>
            <c:ptCount val="1"/>
            <c:pt idx="0">
              <c:v>Current Liabilities: Non-Current Liabilities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0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3AFE-4350-A4D5-A86C1227A9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3AFE-4350-A4D5-A86C1227A9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'Control BS YK'!$B$57:$C$57</c:f>
              <c:strCache>
                <c:ptCount val="2"/>
                <c:pt idx="0">
                  <c:v>Current Liabilities</c:v>
                </c:pt>
                <c:pt idx="1">
                  <c:v>Non-Current Liabilities</c:v>
                </c:pt>
              </c:strCache>
            </c:strRef>
          </c:cat>
          <c:val>
            <c:numRef>
              <c:f>'Control BS YK'!$B$58:$C$58</c:f>
              <c:numCache>
                <c:formatCode>General</c:formatCode>
                <c:ptCount val="2"/>
                <c:pt idx="0">
                  <c:v>56227</c:v>
                </c:pt>
                <c:pt idx="1">
                  <c:v>5597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FE-4350-A4D5-A86C1227A9D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YK'!$B$93</c:f>
          <c:strCache>
            <c:ptCount val="1"/>
            <c:pt idx="0">
              <c:v>Dollar change in Non-Current Assets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 BS YK'!$A$95</c:f>
              <c:strCache>
                <c:ptCount val="1"/>
                <c:pt idx="0">
                  <c:v>Isetan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18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strRef>
              <c:f>'Control BS YK'!$B$94:$D$94</c:f>
              <c:strCache>
                <c:ptCount val="3"/>
                <c:pt idx="0">
                  <c:v>2013 to 2014</c:v>
                </c:pt>
                <c:pt idx="1">
                  <c:v>2014 to 2015</c:v>
                </c:pt>
                <c:pt idx="2">
                  <c:v>2015 to 2016</c:v>
                </c:pt>
              </c:strCache>
            </c:strRef>
          </c:cat>
          <c:val>
            <c:numRef>
              <c:f>'Control BS YK'!$B$95:$D$95</c:f>
              <c:numCache>
                <c:formatCode>General</c:formatCode>
                <c:ptCount val="3"/>
                <c:pt idx="0">
                  <c:v>-14598</c:v>
                </c:pt>
                <c:pt idx="1">
                  <c:v>15338</c:v>
                </c:pt>
                <c:pt idx="2">
                  <c:v>-10193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6-4205-B9E7-E4E8AA3B6CE3}"/>
            </c:ext>
          </c:extLst>
        </c:ser>
        <c:ser>
          <c:idx val="1"/>
          <c:order val="1"/>
          <c:tx>
            <c:strRef>
              <c:f>'Control BS YK'!$A$96</c:f>
              <c:strCache>
                <c:ptCount val="1"/>
                <c:pt idx="0">
                  <c:v>Metro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0"/>
                    <a:lumOff val="100000"/>
                  </a:schemeClr>
                </a:gs>
                <a:gs pos="23875">
                  <a:srgbClr val="FDEFE5"/>
                </a:gs>
                <a:gs pos="13000">
                  <a:schemeClr val="accent2">
                    <a:lumMod val="0"/>
                    <a:lumOff val="100000"/>
                  </a:schemeClr>
                </a:gs>
                <a:gs pos="100000">
                  <a:schemeClr val="accent2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strRef>
              <c:f>'Control BS YK'!$B$94:$D$94</c:f>
              <c:strCache>
                <c:ptCount val="3"/>
                <c:pt idx="0">
                  <c:v>2013 to 2014</c:v>
                </c:pt>
                <c:pt idx="1">
                  <c:v>2014 to 2015</c:v>
                </c:pt>
                <c:pt idx="2">
                  <c:v>2015 to 2016</c:v>
                </c:pt>
              </c:strCache>
            </c:strRef>
          </c:cat>
          <c:val>
            <c:numRef>
              <c:f>'Control BS YK'!$B$96:$D$96</c:f>
              <c:numCache>
                <c:formatCode>General</c:formatCode>
                <c:ptCount val="3"/>
                <c:pt idx="0">
                  <c:v>208976</c:v>
                </c:pt>
                <c:pt idx="1">
                  <c:v>83600</c:v>
                </c:pt>
                <c:pt idx="2">
                  <c:v>-110148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6-4205-B9E7-E4E8AA3B6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47887"/>
        <c:axId val="241524159"/>
      </c:barChart>
      <c:catAx>
        <c:axId val="33454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24159"/>
        <c:crosses val="autoZero"/>
        <c:auto val="1"/>
        <c:lblAlgn val="ctr"/>
        <c:lblOffset val="100"/>
        <c:noMultiLvlLbl val="0"/>
      </c:catAx>
      <c:valAx>
        <c:axId val="24152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'Control BS YK'!$E$95</c:f>
              <c:strCache>
                <c:ptCount val="1"/>
                <c:pt idx="0">
                  <c:v>$'000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4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YK'!$B$109</c:f>
          <c:strCache>
            <c:ptCount val="1"/>
            <c:pt idx="0">
              <c:v>Total Liabilities Comparison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'Control BS YK'!$A$106</c:f>
              <c:strCache>
                <c:ptCount val="1"/>
                <c:pt idx="0">
                  <c:v>Isetan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BS YK'!$B$105:$E$105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BS YK'!$B$106:$E$106</c:f>
              <c:numCache>
                <c:formatCode>_(* #,##0_);_(* \(#,##0\);_(* "-"??_);_(@_)</c:formatCode>
                <c:ptCount val="4"/>
                <c:pt idx="0">
                  <c:v>71926</c:v>
                </c:pt>
                <c:pt idx="1">
                  <c:v>60594</c:v>
                </c:pt>
                <c:pt idx="2">
                  <c:v>61824</c:v>
                </c:pt>
                <c:pt idx="3">
                  <c:v>54369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00F-BECA-3ABE6D33509F}"/>
            </c:ext>
          </c:extLst>
        </c:ser>
        <c:ser>
          <c:idx val="1"/>
          <c:order val="1"/>
          <c:tx>
            <c:strRef>
              <c:f>'Control BS YK'!$A$107</c:f>
              <c:strCache>
                <c:ptCount val="1"/>
                <c:pt idx="0">
                  <c:v>Metro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BS YK'!$B$105:$E$105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BS YK'!$B$107:$E$107</c:f>
              <c:numCache>
                <c:formatCode>_(* #,##0_);_(* \(#,##0\);_(* "-"??_);_(@_)</c:formatCode>
                <c:ptCount val="4"/>
                <c:pt idx="0">
                  <c:v>319665</c:v>
                </c:pt>
                <c:pt idx="1">
                  <c:v>398445</c:v>
                </c:pt>
                <c:pt idx="2">
                  <c:v>264206</c:v>
                </c:pt>
                <c:pt idx="3">
                  <c:v>154035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00F-BECA-3ABE6D33509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5443472"/>
        <c:axId val="220693440"/>
      </c:lineChart>
      <c:catAx>
        <c:axId val="6544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93440"/>
        <c:crosses val="autoZero"/>
        <c:auto val="1"/>
        <c:lblAlgn val="ctr"/>
        <c:lblOffset val="100"/>
        <c:noMultiLvlLbl val="0"/>
      </c:catAx>
      <c:valAx>
        <c:axId val="22069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YK'!$B$127</c:f>
          <c:strCache>
            <c:ptCount val="1"/>
            <c:pt idx="0">
              <c:v>Dollar change in Total Liabilities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 BS YK'!$A$129</c:f>
              <c:strCache>
                <c:ptCount val="1"/>
                <c:pt idx="0">
                  <c:v>Isetan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strRef>
              <c:f>'Control BS YK'!$B$128:$D$128</c:f>
              <c:strCache>
                <c:ptCount val="3"/>
                <c:pt idx="0">
                  <c:v>2013 to 2014</c:v>
                </c:pt>
                <c:pt idx="1">
                  <c:v>2014 to 2015</c:v>
                </c:pt>
                <c:pt idx="2">
                  <c:v>2015 to 2016</c:v>
                </c:pt>
              </c:strCache>
            </c:strRef>
          </c:cat>
          <c:val>
            <c:numRef>
              <c:f>'Control BS YK'!$B$129:$D$129</c:f>
              <c:numCache>
                <c:formatCode>General</c:formatCode>
                <c:ptCount val="3"/>
                <c:pt idx="0">
                  <c:v>-11332</c:v>
                </c:pt>
                <c:pt idx="1">
                  <c:v>1230</c:v>
                </c:pt>
                <c:pt idx="2">
                  <c:v>-7455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2D-460B-AA60-A6FFBD5AEDAA}"/>
            </c:ext>
          </c:extLst>
        </c:ser>
        <c:ser>
          <c:idx val="1"/>
          <c:order val="1"/>
          <c:tx>
            <c:strRef>
              <c:f>'Control BS YK'!$A$130</c:f>
              <c:strCache>
                <c:ptCount val="1"/>
                <c:pt idx="0">
                  <c:v>Metro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0"/>
                    <a:lumOff val="100000"/>
                  </a:schemeClr>
                </a:gs>
                <a:gs pos="6000">
                  <a:schemeClr val="accent2">
                    <a:lumMod val="0"/>
                    <a:lumOff val="100000"/>
                  </a:schemeClr>
                </a:gs>
                <a:gs pos="100000">
                  <a:schemeClr val="accent2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strRef>
              <c:f>'Control BS YK'!$B$128:$D$128</c:f>
              <c:strCache>
                <c:ptCount val="3"/>
                <c:pt idx="0">
                  <c:v>2013 to 2014</c:v>
                </c:pt>
                <c:pt idx="1">
                  <c:v>2014 to 2015</c:v>
                </c:pt>
                <c:pt idx="2">
                  <c:v>2015 to 2016</c:v>
                </c:pt>
              </c:strCache>
            </c:strRef>
          </c:cat>
          <c:val>
            <c:numRef>
              <c:f>'Control BS YK'!$B$130:$D$130</c:f>
              <c:numCache>
                <c:formatCode>General</c:formatCode>
                <c:ptCount val="3"/>
                <c:pt idx="0">
                  <c:v>78780</c:v>
                </c:pt>
                <c:pt idx="1">
                  <c:v>-134239</c:v>
                </c:pt>
                <c:pt idx="2">
                  <c:v>-110171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2D-460B-AA60-A6FFBD5AE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44975"/>
        <c:axId val="218710303"/>
      </c:barChart>
      <c:catAx>
        <c:axId val="33454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710303"/>
        <c:crosses val="autoZero"/>
        <c:auto val="1"/>
        <c:lblAlgn val="ctr"/>
        <c:lblOffset val="100"/>
        <c:noMultiLvlLbl val="0"/>
      </c:catAx>
      <c:valAx>
        <c:axId val="21871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strRef>
              <c:f>'Control BS YK'!$E$129</c:f>
              <c:strCache>
                <c:ptCount val="1"/>
                <c:pt idx="0">
                  <c:v>$'000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54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BS YK'!$B$75</c:f>
          <c:strCache>
            <c:ptCount val="1"/>
            <c:pt idx="0">
              <c:v>Non-Current Assets Comparison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'Control BS YK'!$A$72</c:f>
              <c:strCache>
                <c:ptCount val="1"/>
                <c:pt idx="0">
                  <c:v>Isetan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BS YK'!$B$71:$E$71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BS YK'!$B$72:$E$72</c:f>
              <c:numCache>
                <c:formatCode>_(* #,##0_);_(* \(#,##0\);_(* "-"??_);_(@_)</c:formatCode>
                <c:ptCount val="4"/>
                <c:pt idx="0">
                  <c:v>145270</c:v>
                </c:pt>
                <c:pt idx="1">
                  <c:v>130672</c:v>
                </c:pt>
                <c:pt idx="2">
                  <c:v>146010</c:v>
                </c:pt>
                <c:pt idx="3">
                  <c:v>135817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C-4C1F-8A3B-5A918300BBBB}"/>
            </c:ext>
          </c:extLst>
        </c:ser>
        <c:ser>
          <c:idx val="1"/>
          <c:order val="1"/>
          <c:tx>
            <c:strRef>
              <c:f>'Control BS YK'!$A$73</c:f>
              <c:strCache>
                <c:ptCount val="1"/>
                <c:pt idx="0">
                  <c:v>Metro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BS YK'!$B$71:$E$71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BS YK'!$B$73:$E$73</c:f>
              <c:numCache>
                <c:formatCode>_(* #,##0_);_(* \(#,##0\);_(* "-"??_);_(@_)</c:formatCode>
                <c:ptCount val="4"/>
                <c:pt idx="0">
                  <c:v>792798</c:v>
                </c:pt>
                <c:pt idx="1">
                  <c:v>1001774</c:v>
                </c:pt>
                <c:pt idx="2">
                  <c:v>1085374</c:v>
                </c:pt>
                <c:pt idx="3">
                  <c:v>975226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BC-4C1F-8A3B-5A918300BBB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9440"/>
        <c:axId val="253189168"/>
      </c:lineChart>
      <c:catAx>
        <c:axId val="1651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189168"/>
        <c:crosses val="autoZero"/>
        <c:auto val="1"/>
        <c:lblAlgn val="ctr"/>
        <c:lblOffset val="100"/>
        <c:noMultiLvlLbl val="0"/>
      </c:catAx>
      <c:valAx>
        <c:axId val="2531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($'000)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LQ Suganya'!$A$24</c:f>
          <c:strCache>
            <c:ptCount val="1"/>
            <c:pt idx="0">
              <c:v>Inventory turnover</c:v>
            </c:pt>
          </c:strCache>
        </c:strRef>
      </c:tx>
      <c:overlay val="0"/>
      <c:spPr>
        <a:noFill/>
        <a:ln w="635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67478674540682"/>
          <c:y val="0.22101232051875869"/>
          <c:w val="0.79667937992125981"/>
          <c:h val="0.555168874478925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'Control LQ Suganya'!$A$41</c:f>
              <c:strCache>
                <c:ptCount val="1"/>
                <c:pt idx="0">
                  <c:v>Metro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0"/>
                    <a:lumOff val="100000"/>
                  </a:schemeClr>
                </a:gs>
                <a:gs pos="9000">
                  <a:schemeClr val="accent2">
                    <a:lumMod val="0"/>
                    <a:lumOff val="100000"/>
                  </a:schemeClr>
                </a:gs>
                <a:gs pos="100000">
                  <a:schemeClr val="accent2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 w="9525" cap="flat" cmpd="sng" algn="ctr">
              <a:noFill/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numRef>
              <c:f>'Control LQ Suganya'!$B$40:$E$40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LQ Suganya'!$B$41:$E$41</c:f>
              <c:numCache>
                <c:formatCode>0.00</c:formatCode>
                <c:ptCount val="4"/>
                <c:pt idx="0">
                  <c:v>8.6731655204647122</c:v>
                </c:pt>
                <c:pt idx="1">
                  <c:v>9.1728723404255312</c:v>
                </c:pt>
                <c:pt idx="2">
                  <c:v>6.5337800907773103</c:v>
                </c:pt>
                <c:pt idx="3">
                  <c:v>6.1908198988632925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7-42AE-A206-94D4EE724608}"/>
            </c:ext>
          </c:extLst>
        </c:ser>
        <c:ser>
          <c:idx val="1"/>
          <c:order val="1"/>
          <c:tx>
            <c:strRef>
              <c:f>'Control LQ Suganya'!$A$42</c:f>
              <c:strCache>
                <c:ptCount val="1"/>
                <c:pt idx="0">
                  <c:v>Isetan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35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 w="9525" cap="flat" cmpd="sng" algn="ctr">
              <a:noFill/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numRef>
              <c:f>'Control LQ Suganya'!$B$40:$E$40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LQ Suganya'!$B$42:$E$42</c:f>
              <c:numCache>
                <c:formatCode>0.00</c:formatCode>
                <c:ptCount val="4"/>
                <c:pt idx="0">
                  <c:v>16.008314238952536</c:v>
                </c:pt>
                <c:pt idx="1">
                  <c:v>17.182891360136868</c:v>
                </c:pt>
                <c:pt idx="2">
                  <c:v>16.869995467593291</c:v>
                </c:pt>
                <c:pt idx="3">
                  <c:v>17.730085363314593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37-42AE-A206-94D4EE724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4432440"/>
        <c:axId val="724438672"/>
      </c:barChart>
      <c:catAx>
        <c:axId val="72443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38672"/>
        <c:crosses val="autoZero"/>
        <c:auto val="1"/>
        <c:lblAlgn val="ctr"/>
        <c:lblOffset val="100"/>
        <c:noMultiLvlLbl val="0"/>
      </c:catAx>
      <c:valAx>
        <c:axId val="7244386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324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145812828083989"/>
          <c:y val="0.12277647058823529"/>
          <c:w val="0.19440187426236147"/>
          <c:h val="7.80171895988729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LQ Suganya'!$G$13</c:f>
          <c:strCache>
            <c:ptCount val="1"/>
            <c:pt idx="0">
              <c:v>Quick ratio</c:v>
            </c:pt>
          </c:strCache>
        </c:strRef>
      </c:tx>
      <c:overlay val="0"/>
      <c:spPr>
        <a:noFill/>
        <a:ln w="635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 LQ Suganya'!$F$17</c:f>
              <c:strCache>
                <c:ptCount val="1"/>
                <c:pt idx="0">
                  <c:v>Metro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0"/>
                    <a:lumOff val="100000"/>
                  </a:schemeClr>
                </a:gs>
                <a:gs pos="14000">
                  <a:schemeClr val="accent2">
                    <a:lumMod val="0"/>
                    <a:lumOff val="100000"/>
                  </a:schemeClr>
                </a:gs>
                <a:gs pos="100000">
                  <a:schemeClr val="accent2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numRef>
              <c:f>'Control LQ Suganya'!$G$16:$J$16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LQ Suganya'!$G$17:$J$17</c:f>
              <c:numCache>
                <c:formatCode>0.00</c:formatCode>
                <c:ptCount val="4"/>
                <c:pt idx="0">
                  <c:v>5.9809696420480289</c:v>
                </c:pt>
                <c:pt idx="1">
                  <c:v>4.6971497414638161</c:v>
                </c:pt>
                <c:pt idx="2">
                  <c:v>2.6538031404055147</c:v>
                </c:pt>
                <c:pt idx="3">
                  <c:v>2.8606593649740018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B-4F93-9AE7-022D2F3FFAB6}"/>
            </c:ext>
          </c:extLst>
        </c:ser>
        <c:ser>
          <c:idx val="1"/>
          <c:order val="1"/>
          <c:tx>
            <c:strRef>
              <c:f>'Control LQ Suganya'!$F$18</c:f>
              <c:strCache>
                <c:ptCount val="1"/>
                <c:pt idx="0">
                  <c:v>Isetan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0"/>
                    <a:lumOff val="100000"/>
                  </a:schemeClr>
                </a:gs>
                <a:gs pos="14000">
                  <a:schemeClr val="accent1">
                    <a:lumMod val="0"/>
                    <a:lumOff val="100000"/>
                  </a:schemeClr>
                </a:gs>
                <a:gs pos="100000">
                  <a:schemeClr val="accent1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noFill/>
            </a:ln>
            <a:effectLst/>
          </c:spPr>
          <c:invertIfNegative val="0"/>
          <c:cat>
            <c:numRef>
              <c:f>'Control LQ Suganya'!$G$16:$J$16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LQ Suganya'!$G$18:$J$18</c:f>
              <c:numCache>
                <c:formatCode>0.00</c:formatCode>
                <c:ptCount val="4"/>
                <c:pt idx="0">
                  <c:v>1.6264329951245224</c:v>
                </c:pt>
                <c:pt idx="1">
                  <c:v>1.7696353685407633</c:v>
                </c:pt>
                <c:pt idx="2">
                  <c:v>1.3196151315204439</c:v>
                </c:pt>
                <c:pt idx="3">
                  <c:v>1.4195100241597083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0B-4F93-9AE7-022D2F3FF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6459887"/>
        <c:axId val="1900771151"/>
      </c:barChart>
      <c:catAx>
        <c:axId val="190645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771151"/>
        <c:crosses val="autoZero"/>
        <c:auto val="1"/>
        <c:lblAlgn val="ctr"/>
        <c:lblOffset val="100"/>
        <c:noMultiLvlLbl val="0"/>
      </c:catAx>
      <c:valAx>
        <c:axId val="1900771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45988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bg1"/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bg1">
              <a:lumMod val="8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1"/>
          <c:order val="0"/>
          <c:tx>
            <c:strRef>
              <c:f>'Control Profitability Prisca'!$B$19</c:f>
              <c:strCache>
                <c:ptCount val="1"/>
                <c:pt idx="0">
                  <c:v>Isetan Singapore Limited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  <a:sp3d contourW="9525">
              <a:contourClr>
                <a:schemeClr val="accent2"/>
              </a:contourClr>
            </a:sp3d>
          </c:spPr>
          <c:invertIfNegative val="0"/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 cap="flat" cmpd="sng" algn="ctr">
                <a:noFill/>
                <a:miter lim="800000"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  <a:sp3d/>
            </c:spPr>
            <c:pictureOptions>
              <c:applyToSides val="0"/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1-4D78-41F7-A995-9281048F956B}"/>
              </c:ext>
            </c:extLst>
          </c:dPt>
          <c:dLbls>
            <c:dLbl>
              <c:idx val="0"/>
              <c:layout>
                <c:manualLayout>
                  <c:x val="-5.2454158972817522E-2"/>
                  <c:y val="-7.7511859741430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78-41F7-A995-9281048F956B}"/>
                </c:ext>
              </c:extLst>
            </c:dLbl>
            <c:dLbl>
              <c:idx val="1"/>
              <c:layout>
                <c:manualLayout>
                  <c:x val="-1.5630745717852595E-2"/>
                  <c:y val="5.17034501083324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78-41F7-A995-9281048F956B}"/>
                </c:ext>
              </c:extLst>
            </c:dLbl>
            <c:dLbl>
              <c:idx val="2"/>
              <c:layout>
                <c:manualLayout>
                  <c:x val="-3.473499048411688E-3"/>
                  <c:y val="5.85972072684084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D78-41F7-A995-9281048F956B}"/>
                </c:ext>
              </c:extLst>
            </c:dLbl>
            <c:dLbl>
              <c:idx val="3"/>
              <c:layout>
                <c:manualLayout>
                  <c:x val="-1.0420497145235064E-2"/>
                  <c:y val="-5.8596935860646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78-41F7-A995-9281048F956B}"/>
                </c:ext>
              </c:extLst>
            </c:dLbl>
            <c:spPr>
              <a:blipFill dpi="0" rotWithShape="1">
                <a:blip xmlns:r="http://schemas.openxmlformats.org/officeDocument/2006/relationships" r:embed="rId3">
                  <a:alphaModFix amt="43000"/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2"/>
                    </a:solidFill>
                    <a:effectLst>
                      <a:outerShdw blurRad="50800" dist="38100" algn="l" rotWithShape="0">
                        <a:srgbClr val="C00000">
                          <a:alpha val="4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Profitability Prisca'!$A$20</c:f>
              <c:strCache>
                <c:ptCount val="1"/>
                <c:pt idx="0">
                  <c:v>Year : 2013</c:v>
                </c:pt>
              </c:strCache>
            </c:strRef>
          </c:cat>
          <c:val>
            <c:numRef>
              <c:f>'Control Profitability Prisca'!$B$20</c:f>
              <c:numCache>
                <c:formatCode>0.00%</c:formatCode>
                <c:ptCount val="1"/>
                <c:pt idx="0">
                  <c:v>2.203886526866998E-2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78-41F7-A995-9281048F956B}"/>
            </c:ext>
          </c:extLst>
        </c:ser>
        <c:ser>
          <c:idx val="0"/>
          <c:order val="1"/>
          <c:tx>
            <c:strRef>
              <c:f>'Control Profitability Prisca'!$C$19</c:f>
              <c:strCache>
                <c:ptCount val="1"/>
                <c:pt idx="0">
                  <c:v>Metro Holdings Ltd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 w="9525" cap="flat" cmpd="sng" algn="ctr">
              <a:solidFill>
                <a:schemeClr val="accent1"/>
              </a:solidFill>
              <a:miter lim="800000"/>
            </a:ln>
            <a:effectLst>
              <a:innerShdw blurRad="63500" dist="50800" dir="13500000">
                <a:schemeClr val="bg2">
                  <a:lumMod val="25000"/>
                  <a:alpha val="50000"/>
                </a:schemeClr>
              </a:innerShdw>
            </a:effectLst>
            <a:sp3d contourW="9525">
              <a:contourClr>
                <a:schemeClr val="accent1"/>
              </a:contourClr>
            </a:sp3d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innerShdw blurRad="63500" dist="50800" dir="13500000">
                  <a:schemeClr val="bg2">
                    <a:lumMod val="25000"/>
                    <a:alpha val="50000"/>
                  </a:schemeClr>
                </a:innerShdw>
              </a:effectLst>
              <a:sp3d contourW="9525"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D78-41F7-A995-9281048F956B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innerShdw blurRad="63500" dist="50800" dir="13500000">
                  <a:schemeClr val="bg2">
                    <a:lumMod val="25000"/>
                    <a:alpha val="50000"/>
                  </a:schemeClr>
                </a:innerShdw>
              </a:effectLst>
              <a:sp3d contourW="9525"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D78-41F7-A995-9281048F956B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innerShdw blurRad="63500" dist="50800" dir="13500000">
                  <a:schemeClr val="bg2">
                    <a:lumMod val="25000"/>
                    <a:alpha val="50000"/>
                  </a:schemeClr>
                </a:innerShdw>
              </a:effectLst>
              <a:sp3d contourW="9525"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D78-41F7-A995-9281048F956B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innerShdw blurRad="63500" dist="50800" dir="13500000">
                  <a:schemeClr val="bg2">
                    <a:lumMod val="25000"/>
                    <a:alpha val="50000"/>
                  </a:schemeClr>
                </a:innerShdw>
              </a:effectLst>
              <a:sp3d contourW="9525">
                <a:contourClr>
                  <a:schemeClr val="accen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D78-41F7-A995-9281048F956B}"/>
              </c:ext>
            </c:extLst>
          </c:dPt>
          <c:dLbls>
            <c:dLbl>
              <c:idx val="0"/>
              <c:layout>
                <c:manualLayout>
                  <c:x val="0.1510553484467976"/>
                  <c:y val="-8.507347254447023E-2"/>
                </c:manualLayout>
              </c:layout>
              <c:spPr>
                <a:blipFill dpi="0" rotWithShape="1">
                  <a:blip xmlns:r="http://schemas.openxmlformats.org/officeDocument/2006/relationships" r:embed="rId4">
                    <a:alphaModFix amt="37000"/>
                  </a:blip>
                  <a:srcRect/>
                  <a:stretch>
                    <a:fillRect/>
                  </a:stretch>
                </a:blip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300" b="0" i="0" u="none" strike="noStrike" kern="1200" baseline="0">
                      <a:solidFill>
                        <a:schemeClr val="bg1"/>
                      </a:solidFill>
                      <a:effectLst>
                        <a:outerShdw blurRad="50800" dist="38100" algn="l" rotWithShape="0">
                          <a:srgbClr val="C00000">
                            <a:alpha val="40000"/>
                          </a:srgb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78-41F7-A995-9281048F956B}"/>
                </c:ext>
              </c:extLst>
            </c:dLbl>
            <c:spPr>
              <a:blipFill>
                <a:blip xmlns:r="http://schemas.openxmlformats.org/officeDocument/2006/relationships" r:embed="rId4">
                  <a:alphaModFix amt="43000"/>
                </a:blip>
                <a:stretch>
                  <a:fillRect/>
                </a:stretch>
              </a:blip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effectLst>
                      <a:outerShdw blurRad="50800" dist="38100" algn="l" rotWithShape="0">
                        <a:srgbClr val="C00000">
                          <a:alpha val="40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Profitability Prisca'!$A$20</c:f>
              <c:strCache>
                <c:ptCount val="1"/>
                <c:pt idx="0">
                  <c:v>Year : 2013</c:v>
                </c:pt>
              </c:strCache>
            </c:strRef>
          </c:cat>
          <c:val>
            <c:numRef>
              <c:f>'Control Profitability Prisca'!$C$20</c:f>
              <c:numCache>
                <c:formatCode>0.00%</c:formatCode>
                <c:ptCount val="1"/>
                <c:pt idx="0">
                  <c:v>0.43848332620778108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D78-41F7-A995-9281048F95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137"/>
        <c:shape val="cylinder"/>
        <c:axId val="603172720"/>
        <c:axId val="603175344"/>
        <c:axId val="0"/>
      </c:bar3DChart>
      <c:catAx>
        <c:axId val="603172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>
            <a:glow rad="101600">
              <a:schemeClr val="tx1">
                <a:alpha val="40000"/>
              </a:schemeClr>
            </a:glow>
            <a:outerShdw blurRad="50800" dist="50800" dir="5400000" algn="ctr" rotWithShape="0">
              <a:schemeClr val="tx1"/>
            </a:outerShdw>
          </a:effectLst>
        </c:spPr>
        <c:txPr>
          <a:bodyPr rot="0" spcFirstLastPara="1" vertOverflow="ellipsis" wrap="square" anchor="ctr" anchorCtr="1"/>
          <a:lstStyle/>
          <a:p>
            <a:pPr>
              <a:defRPr sz="1500" b="0" i="0" u="none" strike="noStrike" kern="1200" baseline="0">
                <a:ln>
                  <a:noFill/>
                </a:ln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75344"/>
        <c:crosses val="autoZero"/>
        <c:auto val="1"/>
        <c:lblAlgn val="ctr"/>
        <c:lblOffset val="100"/>
        <c:noMultiLvlLbl val="0"/>
      </c:catAx>
      <c:valAx>
        <c:axId val="603175344"/>
        <c:scaling>
          <c:orientation val="minMax"/>
          <c:max val="1.1000000000000001"/>
          <c:min val="-0.4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effectLst>
                  <a:outerShdw blurRad="50800" dist="38100" algn="l" rotWithShape="0">
                    <a:srgbClr val="C00000">
                      <a:alpha val="40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72720"/>
        <c:crosses val="autoZero"/>
        <c:crossBetween val="between"/>
        <c:majorUnit val="0.2"/>
        <c:minorUnit val="5.000000000000001E-2"/>
      </c:valAx>
      <c:dTable>
        <c:showHorzBorder val="1"/>
        <c:showVertBorder val="1"/>
        <c:showOutline val="1"/>
        <c:showKeys val="1"/>
        <c:spPr>
          <a:noFill/>
          <a:ln w="25400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effectLst>
                  <a:outerShdw blurRad="50800" dist="38100" algn="l" rotWithShape="0">
                    <a:srgbClr val="C00000">
                      <a:alpha val="40000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5"/>
      <a:srcRect/>
      <a:stretch>
        <a:fillRect/>
      </a:stretch>
    </a:blipFill>
    <a:ln w="9525" cap="flat" cmpd="sng" algn="ctr">
      <a:solidFill>
        <a:schemeClr val="bg1">
          <a:alpha val="98000"/>
        </a:schemeClr>
      </a:solidFill>
      <a:round/>
    </a:ln>
    <a:effectLst>
      <a:glow rad="127000">
        <a:schemeClr val="accent1"/>
      </a:glow>
      <a:outerShdw blurRad="50800" dist="50800" dir="2400000" algn="ctr" rotWithShape="0">
        <a:schemeClr val="accent3"/>
      </a:outerShdw>
    </a:effectLst>
    <a:scene3d>
      <a:camera prst="orthographicFront"/>
      <a:lightRig rig="threePt" dir="t"/>
    </a:scene3d>
    <a:sp3d>
      <a:bevelT prst="angle"/>
    </a:sp3d>
  </c:spPr>
  <c:txPr>
    <a:bodyPr/>
    <a:lstStyle/>
    <a:p>
      <a:pPr>
        <a:defRPr>
          <a:effectLst>
            <a:outerShdw blurRad="50800" dist="38100" algn="l" rotWithShape="0">
              <a:srgbClr val="C00000">
                <a:alpha val="40000"/>
              </a:srgb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6041849001747608"/>
          <c:y val="8.4155991715828364E-4"/>
          <c:w val="0.76676823454743204"/>
          <c:h val="0.71047582476773607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'Control Profitability Prisca'!$I$19</c:f>
              <c:strCache>
                <c:ptCount val="1"/>
                <c:pt idx="0">
                  <c:v>Metro Holdings Ltd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9525" cap="flat" cmpd="sng" algn="ctr">
              <a:noFill/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p3d/>
          </c:spPr>
          <c:invertIfNegative val="0"/>
          <c:dLbls>
            <c:dLbl>
              <c:idx val="0"/>
              <c:layout>
                <c:manualLayout>
                  <c:x val="4.2997381239213955E-2"/>
                  <c:y val="-3.98294950837106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27-40DE-8240-08DF2CA94F7C}"/>
                </c:ext>
              </c:extLst>
            </c:dLbl>
            <c:dLbl>
              <c:idx val="1"/>
              <c:layout>
                <c:manualLayout>
                  <c:x val="6.3874953964138739E-3"/>
                  <c:y val="-5.19877644544917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27-40DE-8240-08DF2CA94F7C}"/>
                </c:ext>
              </c:extLst>
            </c:dLbl>
            <c:dLbl>
              <c:idx val="2"/>
              <c:layout>
                <c:manualLayout>
                  <c:x val="9.5812430946208109E-3"/>
                  <c:y val="-4.765490023647671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27-40DE-8240-08DF2CA94F7C}"/>
                </c:ext>
              </c:extLst>
            </c:dLbl>
            <c:dLbl>
              <c:idx val="3"/>
              <c:layout>
                <c:manualLayout>
                  <c:x val="1.7565738078236508E-2"/>
                  <c:y val="-2.599388222724588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27-40DE-8240-08DF2CA94F7C}"/>
                </c:ext>
              </c:extLst>
            </c:dLbl>
            <c:spPr>
              <a:blipFill dpi="0" rotWithShape="1">
                <a:blip xmlns:r="http://schemas.openxmlformats.org/officeDocument/2006/relationships" r:embed="rId3">
                  <a:alphaModFix amt="51000"/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'Control Profitability Prisca'!$G$20</c:f>
              <c:strCache>
                <c:ptCount val="1"/>
                <c:pt idx="0">
                  <c:v>Year : 2013</c:v>
                </c:pt>
              </c:strCache>
            </c:strRef>
          </c:cat>
          <c:val>
            <c:numRef>
              <c:f>'Control Profitability Prisca'!$I$20</c:f>
              <c:numCache>
                <c:formatCode>0.00%</c:formatCode>
                <c:ptCount val="1"/>
                <c:pt idx="0">
                  <c:v>7.211133668987374E-2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8527-40DE-8240-08DF2CA94F7C}"/>
            </c:ext>
          </c:extLst>
        </c:ser>
        <c:ser>
          <c:idx val="1"/>
          <c:order val="1"/>
          <c:tx>
            <c:strRef>
              <c:f>'Control Profitability Prisca'!$H$19</c:f>
              <c:strCache>
                <c:ptCount val="1"/>
                <c:pt idx="0">
                  <c:v>Isetan Singapore Limited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 w="9525" cap="flat" cmpd="sng" algn="ctr">
              <a:noFill/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  <a:sp3d/>
          </c:spPr>
          <c:invertIfNegative val="0"/>
          <c:dLbls>
            <c:dLbl>
              <c:idx val="0"/>
              <c:layout>
                <c:manualLayout>
                  <c:x val="-0.10991946522739349"/>
                  <c:y val="-5.59982830139255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27-40DE-8240-08DF2CA94F7C}"/>
                </c:ext>
              </c:extLst>
            </c:dLbl>
            <c:dLbl>
              <c:idx val="1"/>
              <c:layout>
                <c:manualLayout>
                  <c:x val="-2.9688022402504922E-3"/>
                  <c:y val="-4.055045627450358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27-40DE-8240-08DF2CA94F7C}"/>
                </c:ext>
              </c:extLst>
            </c:dLbl>
            <c:dLbl>
              <c:idx val="2"/>
              <c:layout>
                <c:manualLayout>
                  <c:x val="-8.9230041497344592E-3"/>
                  <c:y val="-2.79622536081862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27-40DE-8240-08DF2CA94F7C}"/>
                </c:ext>
              </c:extLst>
            </c:dLbl>
            <c:dLbl>
              <c:idx val="3"/>
              <c:layout>
                <c:manualLayout>
                  <c:x val="-9.5445904389504441E-2"/>
                  <c:y val="-1.0024018756530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27-40DE-8240-08DF2CA94F7C}"/>
                </c:ext>
              </c:extLst>
            </c:dLbl>
            <c:spPr>
              <a:blipFill>
                <a:blip xmlns:r="http://schemas.openxmlformats.org/officeDocument/2006/relationships" r:embed="rId4">
                  <a:alphaModFix amt="37000"/>
                </a:blip>
                <a:stretch>
                  <a:fillRect/>
                </a:stretch>
              </a:blip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'Control Profitability Prisca'!$G$20</c:f>
              <c:strCache>
                <c:ptCount val="1"/>
                <c:pt idx="0">
                  <c:v>Year : 2013</c:v>
                </c:pt>
              </c:strCache>
            </c:strRef>
          </c:cat>
          <c:val>
            <c:numRef>
              <c:f>'Control Profitability Prisca'!$H$20</c:f>
              <c:numCache>
                <c:formatCode>0.00%</c:formatCode>
                <c:ptCount val="1"/>
                <c:pt idx="0">
                  <c:v>3.1030586326453745E-2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9-8527-40DE-8240-08DF2CA94F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5020976"/>
        <c:axId val="615023272"/>
        <c:axId val="0"/>
      </c:bar3DChart>
      <c:catAx>
        <c:axId val="61502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>
            <a:glow rad="101600">
              <a:schemeClr val="accent2">
                <a:satMod val="175000"/>
                <a:alpha val="40000"/>
              </a:schemeClr>
            </a:glow>
            <a:outerShdw blurRad="50800" dist="50800" dir="5400000" algn="ctr" rotWithShape="0">
              <a:schemeClr val="tx1"/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023272"/>
        <c:crossesAt val="0"/>
        <c:auto val="0"/>
        <c:lblAlgn val="ctr"/>
        <c:lblOffset val="100"/>
        <c:noMultiLvlLbl val="0"/>
      </c:catAx>
      <c:valAx>
        <c:axId val="615023272"/>
        <c:scaling>
          <c:orientation val="minMax"/>
          <c:max val="1"/>
          <c:min val="-0.4"/>
        </c:scaling>
        <c:delete val="0"/>
        <c:axPos val="b"/>
        <c:numFmt formatCode="0%" sourceLinked="0"/>
        <c:majorTickMark val="in"/>
        <c:minorTickMark val="in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020976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25400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5"/>
      <a:srcRect/>
      <a:stretch>
        <a:fillRect/>
      </a:stretch>
    </a:blipFill>
    <a:ln w="9525" cap="flat" cmpd="sng" algn="ctr">
      <a:solidFill>
        <a:schemeClr val="dk1">
          <a:lumMod val="15000"/>
          <a:lumOff val="85000"/>
        </a:schemeClr>
      </a:solidFill>
      <a:round/>
    </a:ln>
    <a:effectLst>
      <a:glow rad="228600">
        <a:schemeClr val="accent1">
          <a:satMod val="175000"/>
          <a:alpha val="40000"/>
        </a:schemeClr>
      </a:glow>
      <a:outerShdw blurRad="50800" dist="38100" dir="8100000" algn="tr" rotWithShape="0">
        <a:prstClr val="black">
          <a:alpha val="40000"/>
        </a:prstClr>
      </a:outerShdw>
      <a:softEdge rad="31750"/>
    </a:effectLst>
    <a:scene3d>
      <a:camera prst="orthographicFront"/>
      <a:lightRig rig="threePt" dir="t"/>
    </a:scene3d>
    <a:sp3d>
      <a:bevelT prst="angle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'Control Profitability Prisca'!$Q$19</c:f>
              <c:strCache>
                <c:ptCount val="1"/>
                <c:pt idx="0">
                  <c:v>Metro Holdings Ltd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9525" cap="flat" cmpd="sng" algn="ctr">
              <a:noFill/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p3d/>
          </c:spPr>
          <c:invertIfNegative val="0"/>
          <c:dLbls>
            <c:dLbl>
              <c:idx val="0"/>
              <c:layout>
                <c:manualLayout>
                  <c:x val="2.6756909393346937E-2"/>
                  <c:y val="-2.9351625806599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4A-40E8-9355-EF7F2CD70A72}"/>
                </c:ext>
              </c:extLst>
            </c:dLbl>
            <c:dLbl>
              <c:idx val="1"/>
              <c:layout>
                <c:manualLayout>
                  <c:x val="1.6051966915758647E-2"/>
                  <c:y val="-1.00914187183898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4A-40E8-9355-EF7F2CD70A72}"/>
                </c:ext>
              </c:extLst>
            </c:dLbl>
            <c:dLbl>
              <c:idx val="3"/>
              <c:layout>
                <c:manualLayout>
                  <c:x val="1.1236376841031051E-2"/>
                  <c:y val="-1.6819031197316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4A-40E8-9355-EF7F2CD70A72}"/>
                </c:ext>
              </c:extLst>
            </c:dLbl>
            <c:spPr>
              <a:blipFill>
                <a:blip xmlns:r="http://schemas.openxmlformats.org/officeDocument/2006/relationships" r:embed="rId3">
                  <a:alphaModFix amt="51000"/>
                </a:blip>
                <a:stretch>
                  <a:fillRect/>
                </a:stretch>
              </a:blip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Profitability Prisca'!$O$20</c:f>
              <c:strCache>
                <c:ptCount val="1"/>
                <c:pt idx="0">
                  <c:v>Year : 2013</c:v>
                </c:pt>
              </c:strCache>
            </c:strRef>
          </c:cat>
          <c:val>
            <c:numRef>
              <c:f>'Control Profitability Prisca'!$Q$20</c:f>
              <c:numCache>
                <c:formatCode>0.00%</c:formatCode>
                <c:ptCount val="1"/>
                <c:pt idx="0">
                  <c:v>5.2097157355484092E-2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A54A-40E8-9355-EF7F2CD70A72}"/>
            </c:ext>
          </c:extLst>
        </c:ser>
        <c:ser>
          <c:idx val="1"/>
          <c:order val="1"/>
          <c:tx>
            <c:strRef>
              <c:f>'Control Profitability Prisca'!$P$19</c:f>
              <c:strCache>
                <c:ptCount val="1"/>
                <c:pt idx="0">
                  <c:v>Isetan Singapore Limited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 w="9525" cap="flat" cmpd="sng" algn="ctr">
              <a:noFill/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  <a:sp3d/>
          </c:spPr>
          <c:invertIfNegative val="0"/>
          <c:dLbls>
            <c:dLbl>
              <c:idx val="0"/>
              <c:layout>
                <c:manualLayout>
                  <c:x val="-8.9626083663537845E-2"/>
                  <c:y val="-5.68192758656259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4A-40E8-9355-EF7F2CD70A72}"/>
                </c:ext>
              </c:extLst>
            </c:dLbl>
            <c:dLbl>
              <c:idx val="1"/>
              <c:layout>
                <c:manualLayout>
                  <c:x val="1.3962809741344673E-2"/>
                  <c:y val="-1.28600696334378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54A-40E8-9355-EF7F2CD70A72}"/>
                </c:ext>
              </c:extLst>
            </c:dLbl>
            <c:dLbl>
              <c:idx val="2"/>
              <c:layout>
                <c:manualLayout>
                  <c:x val="-1.1853050436164803E-2"/>
                  <c:y val="-1.108440372561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4A-40E8-9355-EF7F2CD70A72}"/>
                </c:ext>
              </c:extLst>
            </c:dLbl>
            <c:dLbl>
              <c:idx val="3"/>
              <c:layout>
                <c:manualLayout>
                  <c:x val="-8.5645206282310177E-2"/>
                  <c:y val="-5.432414643416673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4A-40E8-9355-EF7F2CD70A72}"/>
                </c:ext>
              </c:extLst>
            </c:dLbl>
            <c:spPr>
              <a:blipFill>
                <a:blip xmlns:r="http://schemas.openxmlformats.org/officeDocument/2006/relationships" r:embed="rId4">
                  <a:alphaModFix amt="51000"/>
                </a:blip>
                <a:stretch>
                  <a:fillRect/>
                </a:stretch>
              </a:blip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Profitability Prisca'!$O$20</c:f>
              <c:strCache>
                <c:ptCount val="1"/>
                <c:pt idx="0">
                  <c:v>Year : 2013</c:v>
                </c:pt>
              </c:strCache>
            </c:strRef>
          </c:cat>
          <c:val>
            <c:numRef>
              <c:f>'Control Profitability Prisca'!$P$20</c:f>
              <c:numCache>
                <c:formatCode>0.00%</c:formatCode>
                <c:ptCount val="1"/>
                <c:pt idx="0">
                  <c:v>2.3031267472366779E-2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8-A54A-40E8-9355-EF7F2CD70A7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2303832"/>
        <c:axId val="612300880"/>
        <c:axId val="0"/>
      </c:bar3DChart>
      <c:catAx>
        <c:axId val="6123038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in"/>
        <c:minorTickMark val="in"/>
        <c:tickLblPos val="low"/>
        <c:spPr>
          <a:noFill/>
          <a:ln>
            <a:noFill/>
          </a:ln>
          <a:effectLst>
            <a:glow rad="101600">
              <a:schemeClr val="accent2">
                <a:satMod val="175000"/>
                <a:alpha val="40000"/>
              </a:schemeClr>
            </a:glow>
            <a:outerShdw blurRad="50800" dist="50800" dir="5400000" algn="ctr" rotWithShape="0">
              <a:schemeClr val="tx1"/>
            </a:outerShdw>
          </a:effectLst>
        </c:spPr>
        <c:txPr>
          <a:bodyPr rot="-60000000" spcFirstLastPara="1" vertOverflow="ellipsis" vert="horz" wrap="square" anchor="ctr" anchorCtr="0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300880"/>
        <c:crosses val="autoZero"/>
        <c:auto val="1"/>
        <c:lblAlgn val="ctr"/>
        <c:lblOffset val="100"/>
        <c:noMultiLvlLbl val="0"/>
      </c:catAx>
      <c:valAx>
        <c:axId val="612300880"/>
        <c:scaling>
          <c:orientation val="minMax"/>
          <c:max val="1"/>
          <c:min val="-0.4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303832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25400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5"/>
      <a:stretch>
        <a:fillRect/>
      </a:stretch>
    </a:blipFill>
    <a:ln w="9525" cap="flat" cmpd="sng" algn="ctr">
      <a:solidFill>
        <a:schemeClr val="dk1">
          <a:lumMod val="15000"/>
          <a:lumOff val="85000"/>
        </a:schemeClr>
      </a:solidFill>
      <a:round/>
    </a:ln>
    <a:effectLst>
      <a:glow rad="228600">
        <a:schemeClr val="accent1">
          <a:satMod val="175000"/>
          <a:alpha val="40000"/>
        </a:schemeClr>
      </a:glow>
      <a:outerShdw blurRad="50800" dist="38100" dir="18900000" algn="bl" rotWithShape="0">
        <a:prstClr val="black">
          <a:alpha val="40000"/>
        </a:prstClr>
      </a:outerShdw>
    </a:effectLst>
    <a:scene3d>
      <a:camera prst="orthographicFront"/>
      <a:lightRig rig="threePt" dir="t"/>
    </a:scene3d>
    <a:sp3d>
      <a:bevelT prst="angle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Profitability Prisca'!$G$32</c:f>
          <c:strCache>
            <c:ptCount val="1"/>
            <c:pt idx="0">
              <c:v>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'Control Profitability Prisca'!$A$37</c:f>
              <c:strCache>
                <c:ptCount val="1"/>
                <c:pt idx="0">
                  <c:v>Isetan Singapore Limited :  Revenue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3"/>
              <a:srcRect/>
              <a:stretch>
                <a:fillRect/>
              </a:stretch>
            </a:blip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blipFill dpi="0" rotWithShape="1">
                <a:blip xmlns:r="http://schemas.openxmlformats.org/officeDocument/2006/relationships" r:embed="rId3">
                  <a:alphaModFix amt="34000"/>
                </a:blip>
                <a:srcRect/>
                <a:stretch>
                  <a:fillRect/>
                </a:stretch>
              </a:blip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'Control Profitability Prisca'!$B$37:$E$37</c:f>
              <c:numCache>
                <c:formatCode>_("$"* #,##0_);_("$"* \(#,##0\);_("$"* "-"??_);_(@_)</c:formatCode>
                <c:ptCount val="4"/>
                <c:pt idx="0">
                  <c:v>333048</c:v>
                </c:pt>
                <c:pt idx="1">
                  <c:v>340316</c:v>
                </c:pt>
                <c:pt idx="2">
                  <c:v>302178</c:v>
                </c:pt>
                <c:pt idx="3">
                  <c:v>294638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02BB-4004-8B63-C6AC89CEDD70}"/>
            </c:ext>
          </c:extLst>
        </c:ser>
        <c:ser>
          <c:idx val="1"/>
          <c:order val="1"/>
          <c:tx>
            <c:strRef>
              <c:f>'Control Profitability Prisca'!$A$36</c:f>
              <c:strCache>
                <c:ptCount val="1"/>
                <c:pt idx="0">
                  <c:v>Metro Holdings Ltd :  Revenue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0"/>
                  <c:y val="-1.92012288786482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BB-4004-8B63-C6AC89CEDD70}"/>
                </c:ext>
              </c:extLst>
            </c:dLbl>
            <c:dLbl>
              <c:idx val="1"/>
              <c:layout>
                <c:manualLayout>
                  <c:x val="1.8832391713747558E-2"/>
                  <c:y val="-1.5360378339804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BB-4004-8B63-C6AC89CEDD70}"/>
                </c:ext>
              </c:extLst>
            </c:dLbl>
            <c:dLbl>
              <c:idx val="2"/>
              <c:layout>
                <c:manualLayout>
                  <c:x val="1.1770244821092278E-2"/>
                  <c:y val="1.53624950107043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BB-4004-8B63-C6AC89CEDD70}"/>
                </c:ext>
              </c:extLst>
            </c:dLbl>
            <c:dLbl>
              <c:idx val="3"/>
              <c:layout>
                <c:manualLayout>
                  <c:x val="1.6478342749529189E-2"/>
                  <c:y val="-1.5360983102918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BB-4004-8B63-C6AC89CEDD70}"/>
                </c:ext>
              </c:extLst>
            </c:dLbl>
            <c:spPr>
              <a:blipFill dpi="0" rotWithShape="1">
                <a:blip xmlns:r="http://schemas.openxmlformats.org/officeDocument/2006/relationships" r:embed="rId4">
                  <a:alphaModFix amt="44000"/>
                </a:blip>
                <a:srcRect/>
                <a:stretch>
                  <a:fillRect/>
                </a:stretch>
              </a:blip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non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solidFill>
                    <a:schemeClr val="accent1">
                      <a:alpha val="30000"/>
                    </a:schemeClr>
                  </a:solidFill>
                  <a:ln>
                    <a:solidFill>
                      <a:schemeClr val="lt1">
                        <a:alpha val="50000"/>
                      </a:schemeClr>
                    </a:solidFill>
                    <a:round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Profitability Prisca'!$B$35:$E$35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Profitability Prisca'!$B$36:$E$36</c:f>
              <c:numCache>
                <c:formatCode>_("$"* #,##0_);_("$"* \(#,##0\);_("$"* "-"??_);_(@_)</c:formatCode>
                <c:ptCount val="4"/>
                <c:pt idx="0">
                  <c:v>187120</c:v>
                </c:pt>
                <c:pt idx="1">
                  <c:v>194266</c:v>
                </c:pt>
                <c:pt idx="2">
                  <c:v>145826</c:v>
                </c:pt>
                <c:pt idx="3">
                  <c:v>154595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02BB-4004-8B63-C6AC89CEDD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857967416"/>
        <c:axId val="857968728"/>
        <c:axId val="0"/>
      </c:bar3DChart>
      <c:catAx>
        <c:axId val="857967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7968728"/>
        <c:crosses val="autoZero"/>
        <c:auto val="1"/>
        <c:lblAlgn val="ctr"/>
        <c:lblOffset val="100"/>
        <c:noMultiLvlLbl val="0"/>
      </c:catAx>
      <c:valAx>
        <c:axId val="85796872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967416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25400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5"/>
      <a:stretch>
        <a:fillRect/>
      </a:stretch>
    </a:blipFill>
    <a:ln w="6350" cap="flat" cmpd="sng" algn="ctr">
      <a:solidFill>
        <a:schemeClr val="dk1">
          <a:tint val="75000"/>
        </a:schemeClr>
      </a:solidFill>
      <a:round/>
    </a:ln>
    <a:effectLst>
      <a:glow rad="228600">
        <a:schemeClr val="accent6">
          <a:satMod val="175000"/>
          <a:alpha val="40000"/>
        </a:schemeClr>
      </a:glow>
    </a:effectLst>
    <a:scene3d>
      <a:camera prst="orthographicFront"/>
      <a:lightRig rig="threePt" dir="t"/>
    </a:scene3d>
    <a:sp3d>
      <a:bevelT w="139700" h="139700" prst="divot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Profitability Prisca'!$G$44</c:f>
          <c:strCache>
            <c:ptCount val="1"/>
            <c:pt idx="0">
              <c:v> Income </c:v>
            </c:pt>
          </c:strCache>
        </c:strRef>
      </c:tx>
      <c:layout>
        <c:manualLayout>
          <c:xMode val="edge"/>
          <c:yMode val="edge"/>
          <c:x val="0.34761493331433119"/>
          <c:y val="1.751313485113835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500" b="0" i="0" u="none" strike="noStrike" kern="1200" cap="all" baseline="0">
              <a:solidFill>
                <a:schemeClr val="lt1"/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3556801581928958"/>
          <c:y val="3.6303630363036306E-2"/>
          <c:w val="0.66408267122718256"/>
          <c:h val="0.7996621481859426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'Control Profitability Prisca'!$A$51</c:f>
              <c:strCache>
                <c:ptCount val="1"/>
                <c:pt idx="0">
                  <c:v>Isetan Singapore Limited :  Income 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1.2269938650306749E-2"/>
                  <c:y val="-9.90099009900990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42-4B67-A9C1-53237AB74764}"/>
                </c:ext>
              </c:extLst>
            </c:dLbl>
            <c:dLbl>
              <c:idx val="2"/>
              <c:layout>
                <c:manualLayout>
                  <c:x val="2.0449897750511249E-3"/>
                  <c:y val="3.30033003300330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242-4B67-A9C1-53237AB74764}"/>
                </c:ext>
              </c:extLst>
            </c:dLbl>
            <c:dLbl>
              <c:idx val="3"/>
              <c:layout>
                <c:manualLayout>
                  <c:x val="1.2269938650306598E-2"/>
                  <c:y val="-2.64026402640264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242-4B67-A9C1-53237AB74764}"/>
                </c:ext>
              </c:extLst>
            </c:dLbl>
            <c:spPr>
              <a:blipFill>
                <a:blip xmlns:r="http://schemas.openxmlformats.org/officeDocument/2006/relationships" r:embed="rId3">
                  <a:alphaModFix amt="44000"/>
                </a:blip>
                <a:stretch>
                  <a:fillRect/>
                </a:stretch>
              </a:blip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Profitability Prisca'!$B$49:$E$49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Profitability Prisca'!$B$51:$E$51</c:f>
              <c:numCache>
                <c:formatCode>_("$"* #,##0_);_("$"* \(#,##0\);_("$"* "-"??_);_(@_)</c:formatCode>
                <c:ptCount val="4"/>
                <c:pt idx="0">
                  <c:v>6426</c:v>
                </c:pt>
                <c:pt idx="1">
                  <c:v>-2998</c:v>
                </c:pt>
                <c:pt idx="2">
                  <c:v>-25880</c:v>
                </c:pt>
                <c:pt idx="3">
                  <c:v>2423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1242-4B67-A9C1-53237AB74764}"/>
            </c:ext>
          </c:extLst>
        </c:ser>
        <c:ser>
          <c:idx val="0"/>
          <c:order val="1"/>
          <c:tx>
            <c:strRef>
              <c:f>'Control Profitability Prisca'!$A$50</c:f>
              <c:strCache>
                <c:ptCount val="1"/>
                <c:pt idx="0">
                  <c:v>Metro Holdings Ltd :  Income 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3"/>
              <c:layout>
                <c:manualLayout>
                  <c:x val="-1.4996418443802692E-16"/>
                  <c:y val="-2.31023102310231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42-4B67-A9C1-53237AB74764}"/>
                </c:ext>
              </c:extLst>
            </c:dLbl>
            <c:spPr>
              <a:blipFill>
                <a:blip xmlns:r="http://schemas.openxmlformats.org/officeDocument/2006/relationships" r:embed="rId4">
                  <a:alphaModFix amt="44000"/>
                </a:blip>
                <a:stretch>
                  <a:fillRect/>
                </a:stretch>
              </a:blip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Profitability Prisca'!$B$49:$E$49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Profitability Prisca'!$B$50:$E$50</c:f>
              <c:numCache>
                <c:formatCode>_("$"* #,##0_);_("$"* \(#,##0\);_("$"* "-"??_);_(@_)</c:formatCode>
                <c:ptCount val="4"/>
                <c:pt idx="0">
                  <c:v>80593</c:v>
                </c:pt>
                <c:pt idx="1">
                  <c:v>70302</c:v>
                </c:pt>
                <c:pt idx="2">
                  <c:v>241288</c:v>
                </c:pt>
                <c:pt idx="3">
                  <c:v>51857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1242-4B67-A9C1-53237AB7476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756312432"/>
        <c:axId val="756316040"/>
        <c:axId val="0"/>
      </c:bar3DChart>
      <c:catAx>
        <c:axId val="75631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316040"/>
        <c:crosses val="autoZero"/>
        <c:auto val="1"/>
        <c:lblAlgn val="ctr"/>
        <c:lblOffset val="100"/>
        <c:noMultiLvlLbl val="0"/>
      </c:catAx>
      <c:valAx>
        <c:axId val="756316040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312432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25400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5"/>
      <a:stretch>
        <a:fillRect/>
      </a:stretch>
    </a:blipFill>
    <a:ln w="6350" cap="flat" cmpd="sng" algn="ctr">
      <a:solidFill>
        <a:schemeClr val="dk1">
          <a:tint val="75000"/>
        </a:schemeClr>
      </a:solidFill>
      <a:round/>
    </a:ln>
    <a:effectLst>
      <a:glow rad="228600">
        <a:schemeClr val="accent6">
          <a:satMod val="175000"/>
          <a:alpha val="40000"/>
        </a:schemeClr>
      </a:glow>
    </a:effectLst>
    <a:scene3d>
      <a:camera prst="orthographicFront"/>
      <a:lightRig rig="threePt" dir="t"/>
    </a:scene3d>
    <a:sp3d>
      <a:bevelT w="139700" h="139700" prst="divot"/>
    </a:sp3d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'Control Profitability Prisca'!$F$56</c:f>
          <c:strCache>
            <c:ptCount val="1"/>
            <c:pt idx="0">
              <c:v> Income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0"/>
          <c:tx>
            <c:strRef>
              <c:f>'Control Profitability Prisca'!$A$64</c:f>
              <c:strCache>
                <c:ptCount val="1"/>
                <c:pt idx="0">
                  <c:v>Isetan Singapore Limited :  Income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blipFill>
                <a:blip xmlns:r="http://schemas.openxmlformats.org/officeDocument/2006/relationships" r:embed="rId3">
                  <a:alphaModFix amt="44000"/>
                </a:blip>
                <a:stretch>
                  <a:fillRect/>
                </a:stretch>
              </a:blip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Profitability Prisca'!$B$62:$E$62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Profitability Prisca'!$B$64:$E$64</c:f>
              <c:numCache>
                <c:formatCode>_("$"* #,##0_);_("$"* \(#,##0\);_("$"* "-"??_);_(@_)</c:formatCode>
                <c:ptCount val="4"/>
                <c:pt idx="0">
                  <c:v>6426</c:v>
                </c:pt>
                <c:pt idx="1">
                  <c:v>-2998</c:v>
                </c:pt>
                <c:pt idx="2">
                  <c:v>-25880</c:v>
                </c:pt>
                <c:pt idx="3">
                  <c:v>2423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B511-46A7-ADFE-1D8068E03029}"/>
            </c:ext>
          </c:extLst>
        </c:ser>
        <c:ser>
          <c:idx val="0"/>
          <c:order val="1"/>
          <c:tx>
            <c:strRef>
              <c:f>'Control Profitability Prisca'!$A$63</c:f>
              <c:strCache>
                <c:ptCount val="1"/>
                <c:pt idx="0">
                  <c:v>Metro Holdings Ltd :  Income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blipFill>
                <a:blip xmlns:r="http://schemas.openxmlformats.org/officeDocument/2006/relationships" r:embed="rId4">
                  <a:alphaModFix amt="44000"/>
                </a:blip>
                <a:stretch>
                  <a:fillRect/>
                </a:stretch>
              </a:blip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 Profitability Prisca'!$B$62:$E$62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'Control Profitability Prisca'!$B$63:$E$63</c:f>
              <c:numCache>
                <c:formatCode>_("$"* #,##0_);_("$"* \(#,##0\);_("$"* "-"??_);_(@_)</c:formatCode>
                <c:ptCount val="4"/>
                <c:pt idx="0">
                  <c:v>80593</c:v>
                </c:pt>
                <c:pt idx="1">
                  <c:v>70302</c:v>
                </c:pt>
                <c:pt idx="2">
                  <c:v>241288</c:v>
                </c:pt>
                <c:pt idx="3">
                  <c:v>51857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B511-46A7-ADFE-1D8068E030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252909464"/>
        <c:axId val="252910776"/>
        <c:axId val="0"/>
      </c:bar3DChart>
      <c:catAx>
        <c:axId val="252909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2910776"/>
        <c:crosses val="autoZero"/>
        <c:auto val="1"/>
        <c:lblAlgn val="ctr"/>
        <c:lblOffset val="100"/>
        <c:noMultiLvlLbl val="0"/>
      </c:catAx>
      <c:valAx>
        <c:axId val="252910776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909464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25400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5"/>
      <a:stretch>
        <a:fillRect/>
      </a:stretch>
    </a:blipFill>
    <a:ln w="6350" cap="flat" cmpd="sng" algn="ctr">
      <a:solidFill>
        <a:schemeClr val="dk1">
          <a:tint val="75000"/>
        </a:schemeClr>
      </a:solidFill>
      <a:round/>
    </a:ln>
    <a:effectLst>
      <a:glow rad="228600">
        <a:schemeClr val="accent6">
          <a:satMod val="175000"/>
          <a:alpha val="40000"/>
        </a:schemeClr>
      </a:glow>
    </a:effectLst>
    <a:scene3d>
      <a:camera prst="orthographicFront"/>
      <a:lightRig rig="threePt" dir="t"/>
    </a:scene3d>
    <a:sp3d>
      <a:bevelT w="139700" h="139700" prst="divot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6" dropStyle="combo" dx="48" fmlaLink="Cashfulll_Link" fmlaRange="Cashfulll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6" dropStyle="combo" dx="48" fmlaLink="Cffull_Link" fmlaRange="Cffull" noThreeD="1" sel="2" val="0"/>
</file>

<file path=xl/ctrlProps/ctrlProp10.xml><?xml version="1.0" encoding="utf-8"?>
<formControlPr xmlns="http://schemas.microsoft.com/office/spreadsheetml/2009/9/main" objectType="Drop" dropLines="4" dropStyle="combo" dx="22" fmlaLink="'CControl IS Phone'!$B$2" fmlaRange="'CControl IS Phone'!$A$2:$A$5" noThreeD="1" sel="4" val="0"/>
</file>

<file path=xl/ctrlProps/ctrlProp11.xml><?xml version="1.0" encoding="utf-8"?>
<formControlPr xmlns="http://schemas.microsoft.com/office/spreadsheetml/2009/9/main" objectType="Radio" checked="Checked" firstButton="1" fmlaLink="'CControl IS Phone'!$C$23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Drop" dropLines="4" dropStyle="combo" dx="22" fmlaLink="'CControl IS Phone'!$F$2" fmlaRange="'CControl IS Phone'!$E$2:$E$5" noThreeD="1" sel="1" val="0"/>
</file>

<file path=xl/ctrlProps/ctrlProp14.xml><?xml version="1.0" encoding="utf-8"?>
<formControlPr xmlns="http://schemas.microsoft.com/office/spreadsheetml/2009/9/main" objectType="Drop" dropLines="2" dropStyle="combo" dx="22" fmlaLink="'CControl IS Phone'!$G$23" fmlaRange="'CControl IS Phone'!$F$23:$F$24" noThreeD="1" sel="2" val="0"/>
</file>

<file path=xl/ctrlProps/ctrlProp15.xml><?xml version="1.0" encoding="utf-8"?>
<formControlPr xmlns="http://schemas.microsoft.com/office/spreadsheetml/2009/9/main" objectType="Drop" dropLines="3" dropStyle="combo" dx="22" fmlaLink="'CControl IS Phone'!$B$30" fmlaRange="'CControl IS Phone'!$A$30:$A$32" noThreeD="1" sel="1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4" dropStyle="combo" dx="22" fmlaLink="'Control IS Phone'!$C$3" fmlaRange="'Control IS Phone'!$B$3:$B$6" noThreeD="1" sel="4" val="0"/>
</file>

<file path=xl/ctrlProps/ctrlProp18.xml><?xml version="1.0" encoding="utf-8"?>
<formControlPr xmlns="http://schemas.microsoft.com/office/spreadsheetml/2009/9/main" objectType="Drop" dropLines="4" dropStyle="combo" dx="22" fmlaLink="'Control IS Phone'!$C$20" fmlaRange="'Control IS Phone'!$B$20:$B$23" noThreeD="1" sel="2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Drop" dropLines="3" dropStyle="combo" dx="22" fmlaLink="'Control BS YK'!$C$6" fmlaRange="'Control BS YK'!$A$6:$A$8" noThreeD="1" sel="1" val="0"/>
</file>

<file path=xl/ctrlProps/ctrlProp23.xml><?xml version="1.0" encoding="utf-8"?>
<formControlPr xmlns="http://schemas.microsoft.com/office/spreadsheetml/2009/9/main" objectType="Scroll" dx="22" fmlaLink="'Control BS YK'!$C$24" horiz="1" max="2016" min="2013" page="0" val="2016"/>
</file>

<file path=xl/ctrlProps/ctrlProp24.xml><?xml version="1.0" encoding="utf-8"?>
<formControlPr xmlns="http://schemas.microsoft.com/office/spreadsheetml/2009/9/main" objectType="Drop" dropLines="3" dropStyle="combo" dx="22" fmlaLink="'Control BS YK'!$C$34" fmlaRange="'Control BS YK'!$A$34:$A$36" noThreeD="1" sel="2" val="0"/>
</file>

<file path=xl/ctrlProps/ctrlProp25.xml><?xml version="1.0" encoding="utf-8"?>
<formControlPr xmlns="http://schemas.microsoft.com/office/spreadsheetml/2009/9/main" objectType="Scroll" dx="22" fmlaLink="'Control BS YK'!$C$52" horiz="1" max="2016" min="2013" page="0" val="2015"/>
</file>

<file path=xl/ctrlProps/ctrlProp26.xml><?xml version="1.0" encoding="utf-8"?>
<formControlPr xmlns="http://schemas.microsoft.com/office/spreadsheetml/2009/9/main" objectType="Radio" checked="Checked" firstButton="1" fmlaLink="'Control BS YK'!$B$44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Radio" checked="Checked" firstButton="1" fmlaLink="'Control BS YK'!$B$16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Drop" dropLines="3" dropStyle="combo" dx="22" fmlaLink="'Control BS YK'!$C$66" fmlaRange="'Control BS YK'!$A$66:$A$68" noThreeD="1" sel="2" val="0"/>
</file>

<file path=xl/ctrlProps/ctrlProp32.xml><?xml version="1.0" encoding="utf-8"?>
<formControlPr xmlns="http://schemas.microsoft.com/office/spreadsheetml/2009/9/main" objectType="Drop" dropLines="2" dropStyle="combo" dx="22" fmlaLink="'Control BS YK'!$B$90" fmlaRange="'Control BS YK'!$A$90:$A$91" noThreeD="1" sel="1" val="0"/>
</file>

<file path=xl/ctrlProps/ctrlProp33.xml><?xml version="1.0" encoding="utf-8"?>
<formControlPr xmlns="http://schemas.microsoft.com/office/spreadsheetml/2009/9/main" objectType="Drop" dropLines="3" dropStyle="combo" dx="22" fmlaLink="'Control BS YK'!$C$100" fmlaRange="'Control BS YK'!$A$100:$A$102" noThreeD="1" sel="1" val="0"/>
</file>

<file path=xl/ctrlProps/ctrlProp34.xml><?xml version="1.0" encoding="utf-8"?>
<formControlPr xmlns="http://schemas.microsoft.com/office/spreadsheetml/2009/9/main" objectType="Drop" dropLines="2" dropStyle="combo" dx="22" fmlaLink="'Control BS YK'!$B$124" fmlaRange="'Control BS YK'!$A$124:$A$125" noThreeD="1" sel="1" val="0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Drop" dropStyle="combo" dx="48" fmlaLink="'Control LQ Suganya'!$D$3" fmlaRange="'Control LQ Suganya'!$A$3:$A$8" noThreeD="1" sel="3" val="0"/>
</file>

<file path=xl/ctrlProps/ctrlProp37.xml><?xml version="1.0" encoding="utf-8"?>
<formControlPr xmlns="http://schemas.microsoft.com/office/spreadsheetml/2009/9/main" objectType="Drop" dropLines="2" dropStyle="combo" dx="48" fmlaLink="'Control LQ Suganya'!$F$13" fmlaRange="'Control LQ Suganya'!$E$13:$E$14" noThreeD="1" sel="2" val="0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Drop" dropLines="4" dropStyle="combo" dx="26" fmlaLink="'Control Profitability Prisca'!$B$8" fmlaRange="'Control Profitability Prisca'!$A$8:$A$11" sel="1" val="0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Drop" dropLines="2" dropStyle="combo" dx="26" fmlaLink="'Control Profitability Prisca'!$B$30" fmlaRange="'Control Profitability Prisca'!$A$30:$A$31" sel="1" val="0"/>
</file>

<file path=xl/ctrlProps/ctrlProp42.xml><?xml version="1.0" encoding="utf-8"?>
<formControlPr xmlns="http://schemas.microsoft.com/office/spreadsheetml/2009/9/main" objectType="Drop" dropLines="2" dropStyle="combo" dx="26" fmlaLink="'Control Profitability Prisca'!$B$45" fmlaRange="'Control Profitability Prisca'!$A$45:$A$46" sel="1" val="0"/>
</file>

<file path=xl/ctrlProps/ctrlProp43.xml><?xml version="1.0" encoding="utf-8"?>
<formControlPr xmlns="http://schemas.microsoft.com/office/spreadsheetml/2009/9/main" objectType="Drop" dropLines="2" dropStyle="combo" dx="26" fmlaLink="'Control Profitability Prisca'!$B$57" fmlaRange="'Control Profitability Prisca'!$A$57:$A$58" sel="1" val="0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mparison Home'!A1"/><Relationship Id="rId2" Type="http://schemas.openxmlformats.org/officeDocument/2006/relationships/hyperlink" Target="#'Isetan Home'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IS Phone'!A1"/><Relationship Id="rId2" Type="http://schemas.openxmlformats.org/officeDocument/2006/relationships/hyperlink" Target="#'Dashboard BS Yk'!A1"/><Relationship Id="rId1" Type="http://schemas.openxmlformats.org/officeDocument/2006/relationships/image" Target="../media/image2.png"/><Relationship Id="rId5" Type="http://schemas.openxmlformats.org/officeDocument/2006/relationships/hyperlink" Target="#Input!A1"/><Relationship Id="rId4" Type="http://schemas.openxmlformats.org/officeDocument/2006/relationships/hyperlink" Target="#'Dashboard CF Danny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Dashboard IS Phone'!A1"/><Relationship Id="rId7" Type="http://schemas.openxmlformats.org/officeDocument/2006/relationships/hyperlink" Target="#Input!A1"/><Relationship Id="rId2" Type="http://schemas.openxmlformats.org/officeDocument/2006/relationships/image" Target="../media/image2.png"/><Relationship Id="rId1" Type="http://schemas.openxmlformats.org/officeDocument/2006/relationships/hyperlink" Target="#'CDashboard BS Yk'!A1"/><Relationship Id="rId6" Type="http://schemas.openxmlformats.org/officeDocument/2006/relationships/hyperlink" Target="#'Dashboard Profitability Prisca'!A1"/><Relationship Id="rId5" Type="http://schemas.openxmlformats.org/officeDocument/2006/relationships/hyperlink" Target="#'CDashboard LQ Suganya'!A1"/><Relationship Id="rId4" Type="http://schemas.openxmlformats.org/officeDocument/2006/relationships/hyperlink" Target="#'CDashboard CF Danny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mparison Home'!A1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setan Home'!A1"/><Relationship Id="rId2" Type="http://schemas.openxmlformats.org/officeDocument/2006/relationships/chart" Target="../charts/chart2.xml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hyperlink" Target="#'Comparison Home'!A1"/><Relationship Id="rId5" Type="http://schemas.openxmlformats.org/officeDocument/2006/relationships/image" Target="../media/image2.png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hyperlink" Target="#'Isetan Home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Isetan Home'!A1"/><Relationship Id="rId3" Type="http://schemas.openxmlformats.org/officeDocument/2006/relationships/chart" Target="../charts/chart11.xml"/><Relationship Id="rId7" Type="http://schemas.openxmlformats.org/officeDocument/2006/relationships/image" Target="../media/image2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hyperlink" Target="#'Comparison Home'!A1"/><Relationship Id="rId5" Type="http://schemas.openxmlformats.org/officeDocument/2006/relationships/image" Target="../media/image2.png"/><Relationship Id="rId4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image" Target="../media/image4.jpeg"/><Relationship Id="rId1" Type="http://schemas.openxmlformats.org/officeDocument/2006/relationships/chart" Target="../charts/chart19.xml"/><Relationship Id="rId5" Type="http://schemas.openxmlformats.org/officeDocument/2006/relationships/hyperlink" Target="#'Comparison Home'!A1"/><Relationship Id="rId4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hyperlink" Target="#'Comparison Home'!A1"/><Relationship Id="rId3" Type="http://schemas.openxmlformats.org/officeDocument/2006/relationships/chart" Target="../charts/chart23.xml"/><Relationship Id="rId7" Type="http://schemas.openxmlformats.org/officeDocument/2006/relationships/hyperlink" Target="#'Dashboard Explanation Prisca'!M23"/><Relationship Id="rId12" Type="http://schemas.openxmlformats.org/officeDocument/2006/relationships/image" Target="../media/image2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hyperlink" Target="http://bcliteratureyr12.wikispaces.com/Peter+Carey" TargetMode="External"/><Relationship Id="rId11" Type="http://schemas.openxmlformats.org/officeDocument/2006/relationships/hyperlink" Target="#'Dashboard Explanation Prisca'!M84"/><Relationship Id="rId5" Type="http://schemas.openxmlformats.org/officeDocument/2006/relationships/image" Target="../media/image9.png"/><Relationship Id="rId10" Type="http://schemas.openxmlformats.org/officeDocument/2006/relationships/hyperlink" Target="#'Dashboard Explanation Prisca'!M51"/><Relationship Id="rId4" Type="http://schemas.openxmlformats.org/officeDocument/2006/relationships/hyperlink" Target="#'Dashboard Profitability Prisca'!A1"/><Relationship Id="rId9" Type="http://schemas.openxmlformats.org/officeDocument/2006/relationships/image" Target="../media/image11.sv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Dashboard Profitability Prisca'!A1"/><Relationship Id="rId3" Type="http://schemas.openxmlformats.org/officeDocument/2006/relationships/chart" Target="../charts/chart26.xml"/><Relationship Id="rId7" Type="http://schemas.openxmlformats.org/officeDocument/2006/relationships/image" Target="../media/image2.png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hyperlink" Target="http://bcliteratureyr12.wikispaces.com/Peter+Carey" TargetMode="External"/><Relationship Id="rId5" Type="http://schemas.openxmlformats.org/officeDocument/2006/relationships/image" Target="../media/image12.png"/><Relationship Id="rId4" Type="http://schemas.openxmlformats.org/officeDocument/2006/relationships/hyperlink" Target="#'Dashboard Explanation Prisc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16383</xdr:col>
      <xdr:colOff>590550</xdr:colOff>
      <xdr:row>1048575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01550" cy="457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502920</xdr:colOff>
          <xdr:row>8</xdr:row>
          <xdr:rowOff>114300</xdr:rowOff>
        </xdr:from>
        <xdr:to>
          <xdr:col>11</xdr:col>
          <xdr:colOff>518160</xdr:colOff>
          <xdr:row>12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438150</xdr:colOff>
      <xdr:row>0</xdr:row>
      <xdr:rowOff>1102140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98470" cy="11021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632460</xdr:colOff>
          <xdr:row>0</xdr:row>
          <xdr:rowOff>251460</xdr:rowOff>
        </xdr:from>
        <xdr:to>
          <xdr:col>16</xdr:col>
          <xdr:colOff>0</xdr:colOff>
          <xdr:row>0</xdr:row>
          <xdr:rowOff>944880</xdr:rowOff>
        </xdr:to>
        <xdr:sp macro="" textlink="">
          <xdr:nvSpPr>
            <xdr:cNvPr id="2055" name="Button 7" descr="Log Ou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236220</xdr:rowOff>
        </xdr:from>
        <xdr:to>
          <xdr:col>13</xdr:col>
          <xdr:colOff>30480</xdr:colOff>
          <xdr:row>0</xdr:row>
          <xdr:rowOff>975360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186690</xdr:colOff>
      <xdr:row>3</xdr:row>
      <xdr:rowOff>72390</xdr:rowOff>
    </xdr:from>
    <xdr:to>
      <xdr:col>6</xdr:col>
      <xdr:colOff>723900</xdr:colOff>
      <xdr:row>13</xdr:row>
      <xdr:rowOff>102870</xdr:rowOff>
    </xdr:to>
    <xdr:sp macro="" textlink="">
      <xdr:nvSpPr>
        <xdr:cNvPr id="3" name="Rectangle: Rounded Corners 2" descr="&#10;&#10;" title="Kill urslef ba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66850" y="1546860"/>
          <a:ext cx="3097530" cy="1859280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ANNUAL</a:t>
          </a:r>
          <a:endParaRPr lang="en-SG" sz="32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REPORT</a:t>
          </a:r>
          <a:endParaRPr lang="en-SG" sz="32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9</xdr:col>
      <xdr:colOff>236220</xdr:colOff>
      <xdr:row>3</xdr:row>
      <xdr:rowOff>76200</xdr:rowOff>
    </xdr:from>
    <xdr:to>
      <xdr:col>14</xdr:col>
      <xdr:colOff>133350</xdr:colOff>
      <xdr:row>13</xdr:row>
      <xdr:rowOff>106680</xdr:rowOff>
    </xdr:to>
    <xdr:sp macro="" textlink="">
      <xdr:nvSpPr>
        <xdr:cNvPr id="12" name="Rectangle: Rounded Corner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5836920" y="1562100"/>
          <a:ext cx="2849880" cy="1935480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COMPARISON</a:t>
          </a:r>
          <a:endParaRPr lang="en-SG" sz="32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438150</xdr:colOff>
      <xdr:row>0</xdr:row>
      <xdr:rowOff>1102140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98470" cy="11021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0</xdr:row>
          <xdr:rowOff>251460</xdr:rowOff>
        </xdr:from>
        <xdr:to>
          <xdr:col>16</xdr:col>
          <xdr:colOff>312420</xdr:colOff>
          <xdr:row>0</xdr:row>
          <xdr:rowOff>944880</xdr:rowOff>
        </xdr:to>
        <xdr:sp macro="" textlink="">
          <xdr:nvSpPr>
            <xdr:cNvPr id="8195" name="Button 3" descr="Log Out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209550</xdr:colOff>
      <xdr:row>7</xdr:row>
      <xdr:rowOff>180975</xdr:rowOff>
    </xdr:from>
    <xdr:to>
      <xdr:col>10</xdr:col>
      <xdr:colOff>247650</xdr:colOff>
      <xdr:row>12</xdr:row>
      <xdr:rowOff>9525</xdr:rowOff>
    </xdr:to>
    <xdr:sp macro="" textlink="">
      <xdr:nvSpPr>
        <xdr:cNvPr id="4" name="Trapezoid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 rot="10800000">
          <a:off x="3752850" y="2428875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62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2</xdr:col>
      <xdr:colOff>485775</xdr:colOff>
      <xdr:row>7</xdr:row>
      <xdr:rowOff>180975</xdr:rowOff>
    </xdr:from>
    <xdr:to>
      <xdr:col>6</xdr:col>
      <xdr:colOff>523875</xdr:colOff>
      <xdr:row>12</xdr:row>
      <xdr:rowOff>9525</xdr:rowOff>
    </xdr:to>
    <xdr:sp macro="" textlink="">
      <xdr:nvSpPr>
        <xdr:cNvPr id="6" name="Trapezoid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2428875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9</xdr:col>
      <xdr:colOff>495300</xdr:colOff>
      <xdr:row>7</xdr:row>
      <xdr:rowOff>180975</xdr:rowOff>
    </xdr:from>
    <xdr:to>
      <xdr:col>13</xdr:col>
      <xdr:colOff>533400</xdr:colOff>
      <xdr:row>12</xdr:row>
      <xdr:rowOff>9525</xdr:rowOff>
    </xdr:to>
    <xdr:sp macro="" textlink="">
      <xdr:nvSpPr>
        <xdr:cNvPr id="7" name="Trapezoid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810250" y="2428875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oneCellAnchor>
    <xdr:from>
      <xdr:col>3</xdr:col>
      <xdr:colOff>346050</xdr:colOff>
      <xdr:row>8</xdr:row>
      <xdr:rowOff>66675</xdr:rowOff>
    </xdr:from>
    <xdr:ext cx="1452064" cy="620811"/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2117700" y="2505075"/>
          <a:ext cx="1452064" cy="6208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INCOME</a:t>
          </a:r>
        </a:p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STATEMENT</a:t>
          </a:r>
        </a:p>
      </xdr:txBody>
    </xdr:sp>
    <xdr:clientData/>
  </xdr:oneCellAnchor>
  <xdr:oneCellAnchor>
    <xdr:from>
      <xdr:col>7</xdr:col>
      <xdr:colOff>240236</xdr:colOff>
      <xdr:row>8</xdr:row>
      <xdr:rowOff>66675</xdr:rowOff>
    </xdr:from>
    <xdr:ext cx="1168397" cy="620811"/>
    <xdr:sp macro="" textlink="">
      <xdr:nvSpPr>
        <xdr:cNvPr id="9" name="TextBox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4374086" y="2505075"/>
          <a:ext cx="1168397" cy="6208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BALANCE</a:t>
          </a:r>
        </a:p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SHEET</a:t>
          </a:r>
        </a:p>
      </xdr:txBody>
    </xdr:sp>
    <xdr:clientData/>
  </xdr:oneCellAnchor>
  <xdr:oneCellAnchor>
    <xdr:from>
      <xdr:col>11</xdr:col>
      <xdr:colOff>44503</xdr:colOff>
      <xdr:row>8</xdr:row>
      <xdr:rowOff>85725</xdr:rowOff>
    </xdr:from>
    <xdr:ext cx="931217" cy="620811"/>
    <xdr:sp macro="" textlink="">
      <xdr:nvSpPr>
        <xdr:cNvPr id="10" name="TextBox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6540553" y="2524125"/>
          <a:ext cx="931217" cy="6208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CASH</a:t>
          </a:r>
          <a:endParaRPr lang="en-SG" sz="1800" baseline="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  <a:p>
          <a:pPr algn="ctr"/>
          <a:r>
            <a:rPr lang="en-SG" sz="1800" baseline="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FLOWS</a:t>
          </a:r>
          <a:endParaRPr lang="en-SG" sz="18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oneCellAnchor>
  <xdr:twoCellAnchor>
    <xdr:from>
      <xdr:col>13</xdr:col>
      <xdr:colOff>535441</xdr:colOff>
      <xdr:row>1</xdr:row>
      <xdr:rowOff>104775</xdr:rowOff>
    </xdr:from>
    <xdr:to>
      <xdr:col>17</xdr:col>
      <xdr:colOff>129268</xdr:colOff>
      <xdr:row>4</xdr:row>
      <xdr:rowOff>164306</xdr:rowOff>
    </xdr:to>
    <xdr:sp macro="" textlink="">
      <xdr:nvSpPr>
        <xdr:cNvPr id="11" name="Rectangle: Rounded Corner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8212591" y="1209675"/>
          <a:ext cx="1956027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466725</xdr:colOff>
      <xdr:row>8</xdr:row>
      <xdr:rowOff>95250</xdr:rowOff>
    </xdr:from>
    <xdr:to>
      <xdr:col>7</xdr:col>
      <xdr:colOff>504825</xdr:colOff>
      <xdr:row>12</xdr:row>
      <xdr:rowOff>114300</xdr:rowOff>
    </xdr:to>
    <xdr:sp macro="" textlink="">
      <xdr:nvSpPr>
        <xdr:cNvPr id="15" name="Trapezoid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 rot="10800000">
          <a:off x="2238375" y="2533650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62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438150</xdr:colOff>
      <xdr:row>0</xdr:row>
      <xdr:rowOff>1102140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98470" cy="11021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0</xdr:row>
          <xdr:rowOff>251460</xdr:rowOff>
        </xdr:from>
        <xdr:to>
          <xdr:col>16</xdr:col>
          <xdr:colOff>312420</xdr:colOff>
          <xdr:row>0</xdr:row>
          <xdr:rowOff>944880</xdr:rowOff>
        </xdr:to>
        <xdr:sp macro="" textlink="">
          <xdr:nvSpPr>
            <xdr:cNvPr id="9219" name="Button 3" descr="Log Ou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152400</xdr:colOff>
      <xdr:row>8</xdr:row>
      <xdr:rowOff>95250</xdr:rowOff>
    </xdr:from>
    <xdr:to>
      <xdr:col>4</xdr:col>
      <xdr:colOff>190500</xdr:colOff>
      <xdr:row>12</xdr:row>
      <xdr:rowOff>114300</xdr:rowOff>
    </xdr:to>
    <xdr:sp macro="" textlink="">
      <xdr:nvSpPr>
        <xdr:cNvPr id="10" name="Trapezoid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52400" y="2533650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7</xdr:col>
      <xdr:colOff>161925</xdr:colOff>
      <xdr:row>8</xdr:row>
      <xdr:rowOff>95250</xdr:rowOff>
    </xdr:from>
    <xdr:to>
      <xdr:col>11</xdr:col>
      <xdr:colOff>200025</xdr:colOff>
      <xdr:row>12</xdr:row>
      <xdr:rowOff>114300</xdr:rowOff>
    </xdr:to>
    <xdr:sp macro="" textlink="">
      <xdr:nvSpPr>
        <xdr:cNvPr id="12" name="Trapezoid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4295775" y="2533650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14</xdr:col>
      <xdr:colOff>180975</xdr:colOff>
      <xdr:row>8</xdr:row>
      <xdr:rowOff>95250</xdr:rowOff>
    </xdr:from>
    <xdr:to>
      <xdr:col>18</xdr:col>
      <xdr:colOff>219075</xdr:colOff>
      <xdr:row>12</xdr:row>
      <xdr:rowOff>114300</xdr:rowOff>
    </xdr:to>
    <xdr:sp macro="" textlink="">
      <xdr:nvSpPr>
        <xdr:cNvPr id="13" name="Trapezoid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448675" y="2533650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10</xdr:col>
      <xdr:colOff>476250</xdr:colOff>
      <xdr:row>8</xdr:row>
      <xdr:rowOff>95250</xdr:rowOff>
    </xdr:from>
    <xdr:to>
      <xdr:col>14</xdr:col>
      <xdr:colOff>514350</xdr:colOff>
      <xdr:row>12</xdr:row>
      <xdr:rowOff>114300</xdr:rowOff>
    </xdr:to>
    <xdr:sp macro="" textlink="">
      <xdr:nvSpPr>
        <xdr:cNvPr id="14" name="Trapezoid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 rot="10800000">
          <a:off x="6381750" y="2533650"/>
          <a:ext cx="2400300" cy="781050"/>
        </a:xfrm>
        <a:prstGeom prst="trapezoid">
          <a:avLst>
            <a:gd name="adj" fmla="val 92073"/>
          </a:avLst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6200000" scaled="1"/>
          <a:tileRect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oneCellAnchor>
    <xdr:from>
      <xdr:col>1</xdr:col>
      <xdr:colOff>12675</xdr:colOff>
      <xdr:row>8</xdr:row>
      <xdr:rowOff>171450</xdr:rowOff>
    </xdr:from>
    <xdr:ext cx="1452064" cy="620811"/>
    <xdr:sp macro="" textlink="">
      <xdr:nvSpPr>
        <xdr:cNvPr id="11" name="TextBox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603225" y="2609850"/>
          <a:ext cx="1452064" cy="6208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INCOME</a:t>
          </a:r>
        </a:p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STATEMENT</a:t>
          </a:r>
        </a:p>
      </xdr:txBody>
    </xdr:sp>
    <xdr:clientData/>
  </xdr:oneCellAnchor>
  <xdr:oneCellAnchor>
    <xdr:from>
      <xdr:col>11</xdr:col>
      <xdr:colOff>308909</xdr:colOff>
      <xdr:row>9</xdr:row>
      <xdr:rowOff>99177</xdr:rowOff>
    </xdr:from>
    <xdr:ext cx="1621599" cy="327205"/>
    <xdr:sp macro="" textlink="">
      <xdr:nvSpPr>
        <xdr:cNvPr id="17" name="TextBox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6804959" y="2728077"/>
          <a:ext cx="1621599" cy="327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6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PROFITABILITY</a:t>
          </a:r>
        </a:p>
      </xdr:txBody>
    </xdr:sp>
    <xdr:clientData/>
  </xdr:oneCellAnchor>
  <xdr:oneCellAnchor>
    <xdr:from>
      <xdr:col>4</xdr:col>
      <xdr:colOff>497411</xdr:colOff>
      <xdr:row>8</xdr:row>
      <xdr:rowOff>171450</xdr:rowOff>
    </xdr:from>
    <xdr:ext cx="1168397" cy="620811"/>
    <xdr:sp macro="" textlink="">
      <xdr:nvSpPr>
        <xdr:cNvPr id="18" name="TextBox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2859611" y="2609850"/>
          <a:ext cx="1168397" cy="6208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BALANCE</a:t>
          </a:r>
        </a:p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SHEET</a:t>
          </a:r>
        </a:p>
      </xdr:txBody>
    </xdr:sp>
    <xdr:clientData/>
  </xdr:oneCellAnchor>
  <xdr:oneCellAnchor>
    <xdr:from>
      <xdr:col>8</xdr:col>
      <xdr:colOff>301678</xdr:colOff>
      <xdr:row>9</xdr:row>
      <xdr:rowOff>0</xdr:rowOff>
    </xdr:from>
    <xdr:ext cx="931217" cy="620811"/>
    <xdr:sp macro="" textlink="">
      <xdr:nvSpPr>
        <xdr:cNvPr id="19" name="TextBox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5026078" y="2628900"/>
          <a:ext cx="931217" cy="6208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CASH</a:t>
          </a:r>
          <a:endParaRPr lang="en-SG" sz="1800" baseline="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  <a:p>
          <a:pPr algn="ctr"/>
          <a:r>
            <a:rPr lang="en-SG" sz="1800" baseline="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FLOWS</a:t>
          </a:r>
          <a:endParaRPr lang="en-SG" sz="1800">
            <a:solidFill>
              <a:schemeClr val="accent1">
                <a:lumMod val="75000"/>
              </a:schemeClr>
            </a:solidFill>
            <a:latin typeface="AR JULIAN" panose="02000000000000000000" pitchFamily="2" charset="0"/>
          </a:endParaRPr>
        </a:p>
      </xdr:txBody>
    </xdr:sp>
    <xdr:clientData/>
  </xdr:oneCellAnchor>
  <xdr:oneCellAnchor>
    <xdr:from>
      <xdr:col>15</xdr:col>
      <xdr:colOff>140587</xdr:colOff>
      <xdr:row>9</xdr:row>
      <xdr:rowOff>122594</xdr:rowOff>
    </xdr:from>
    <xdr:ext cx="1287275" cy="356572"/>
    <xdr:sp macro="" textlink="">
      <xdr:nvSpPr>
        <xdr:cNvPr id="20" name="TextBox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8998837" y="2751494"/>
          <a:ext cx="1287275" cy="3565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SG" sz="1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LIQUIDITY</a:t>
          </a:r>
        </a:p>
      </xdr:txBody>
    </xdr:sp>
    <xdr:clientData/>
  </xdr:oneCellAnchor>
  <xdr:twoCellAnchor>
    <xdr:from>
      <xdr:col>13</xdr:col>
      <xdr:colOff>535441</xdr:colOff>
      <xdr:row>1</xdr:row>
      <xdr:rowOff>104775</xdr:rowOff>
    </xdr:from>
    <xdr:to>
      <xdr:col>17</xdr:col>
      <xdr:colOff>129268</xdr:colOff>
      <xdr:row>4</xdr:row>
      <xdr:rowOff>164306</xdr:rowOff>
    </xdr:to>
    <xdr:sp macro="" textlink="">
      <xdr:nvSpPr>
        <xdr:cNvPr id="23" name="Rectangle: Rounded Corner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8212591" y="1209675"/>
          <a:ext cx="1956027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428625</xdr:colOff>
      <xdr:row>8</xdr:row>
      <xdr:rowOff>126999</xdr:rowOff>
    </xdr:from>
    <xdr:to>
      <xdr:col>22</xdr:col>
      <xdr:colOff>174625</xdr:colOff>
      <xdr:row>26</xdr:row>
      <xdr:rowOff>95250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7477125" y="2397124"/>
          <a:ext cx="5619750" cy="3397251"/>
        </a:xfrm>
        <a:prstGeom prst="roundRect">
          <a:avLst>
            <a:gd name="adj" fmla="val 4113"/>
          </a:avLst>
        </a:prstGeom>
        <a:noFill/>
        <a:ln w="22225" cmpd="sng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6</xdr:row>
          <xdr:rowOff>137160</xdr:rowOff>
        </xdr:from>
        <xdr:to>
          <xdr:col>18</xdr:col>
          <xdr:colOff>76200</xdr:colOff>
          <xdr:row>7</xdr:row>
          <xdr:rowOff>175260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508000</xdr:colOff>
      <xdr:row>6</xdr:row>
      <xdr:rowOff>83344</xdr:rowOff>
    </xdr:from>
    <xdr:to>
      <xdr:col>11</xdr:col>
      <xdr:colOff>515620</xdr:colOff>
      <xdr:row>26</xdr:row>
      <xdr:rowOff>104776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0</xdr:row>
          <xdr:rowOff>251460</xdr:rowOff>
        </xdr:from>
        <xdr:to>
          <xdr:col>16</xdr:col>
          <xdr:colOff>312420</xdr:colOff>
          <xdr:row>0</xdr:row>
          <xdr:rowOff>944880</xdr:rowOff>
        </xdr:to>
        <xdr:sp macro="" textlink="">
          <xdr:nvSpPr>
            <xdr:cNvPr id="3081" name="Button 9" descr="Log Ou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8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438150</xdr:colOff>
      <xdr:row>1</xdr:row>
      <xdr:rowOff>1473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98470" cy="1102140"/>
        </a:xfrm>
        <a:prstGeom prst="rect">
          <a:avLst/>
        </a:prstGeom>
      </xdr:spPr>
    </xdr:pic>
    <xdr:clientData/>
  </xdr:twoCellAnchor>
  <xdr:twoCellAnchor>
    <xdr:from>
      <xdr:col>16</xdr:col>
      <xdr:colOff>250031</xdr:colOff>
      <xdr:row>2</xdr:row>
      <xdr:rowOff>47625</xdr:rowOff>
    </xdr:from>
    <xdr:to>
      <xdr:col>19</xdr:col>
      <xdr:colOff>440531</xdr:colOff>
      <xdr:row>5</xdr:row>
      <xdr:rowOff>107156</xdr:rowOff>
    </xdr:to>
    <xdr:sp macro="" textlink="">
      <xdr:nvSpPr>
        <xdr:cNvPr id="10" name="Rectangle: Rounded Corner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9775031" y="1345406"/>
          <a:ext cx="1976438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430530</xdr:colOff>
      <xdr:row>0</xdr:row>
      <xdr:rowOff>1102140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90850" cy="11021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0</xdr:row>
          <xdr:rowOff>251460</xdr:rowOff>
        </xdr:from>
        <xdr:to>
          <xdr:col>16</xdr:col>
          <xdr:colOff>312420</xdr:colOff>
          <xdr:row>0</xdr:row>
          <xdr:rowOff>944880</xdr:rowOff>
        </xdr:to>
        <xdr:sp macro="" textlink="">
          <xdr:nvSpPr>
            <xdr:cNvPr id="35842" name="Button 2" descr="Log Out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B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7</xdr:row>
      <xdr:rowOff>0</xdr:rowOff>
    </xdr:from>
    <xdr:to>
      <xdr:col>12</xdr:col>
      <xdr:colOff>1693</xdr:colOff>
      <xdr:row>25</xdr:row>
      <xdr:rowOff>175260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182880</xdr:rowOff>
        </xdr:from>
        <xdr:to>
          <xdr:col>15</xdr:col>
          <xdr:colOff>632460</xdr:colOff>
          <xdr:row>8</xdr:row>
          <xdr:rowOff>38100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416719</xdr:colOff>
      <xdr:row>8</xdr:row>
      <xdr:rowOff>130970</xdr:rowOff>
    </xdr:from>
    <xdr:to>
      <xdr:col>22</xdr:col>
      <xdr:colOff>162719</xdr:colOff>
      <xdr:row>23</xdr:row>
      <xdr:rowOff>142876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7560469" y="2571751"/>
          <a:ext cx="5699125" cy="2869406"/>
        </a:xfrm>
        <a:prstGeom prst="roundRect">
          <a:avLst>
            <a:gd name="adj" fmla="val 4113"/>
          </a:avLst>
        </a:prstGeom>
        <a:noFill/>
        <a:ln w="22225" cmpd="sng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16</xdr:col>
      <xdr:colOff>250031</xdr:colOff>
      <xdr:row>2</xdr:row>
      <xdr:rowOff>47625</xdr:rowOff>
    </xdr:from>
    <xdr:to>
      <xdr:col>19</xdr:col>
      <xdr:colOff>440531</xdr:colOff>
      <xdr:row>5</xdr:row>
      <xdr:rowOff>107156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9775031" y="1345406"/>
          <a:ext cx="1976438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259080</xdr:colOff>
          <xdr:row>6</xdr:row>
          <xdr:rowOff>121920</xdr:rowOff>
        </xdr:from>
        <xdr:to>
          <xdr:col>7</xdr:col>
          <xdr:colOff>220980</xdr:colOff>
          <xdr:row>7</xdr:row>
          <xdr:rowOff>182880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52386</xdr:colOff>
      <xdr:row>8</xdr:row>
      <xdr:rowOff>45243</xdr:rowOff>
    </xdr:from>
    <xdr:to>
      <xdr:col>11</xdr:col>
      <xdr:colOff>571500</xdr:colOff>
      <xdr:row>25</xdr:row>
      <xdr:rowOff>154780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32</xdr:row>
          <xdr:rowOff>106680</xdr:rowOff>
        </xdr:from>
        <xdr:to>
          <xdr:col>5</xdr:col>
          <xdr:colOff>45720</xdr:colOff>
          <xdr:row>33</xdr:row>
          <xdr:rowOff>121920</xdr:rowOff>
        </xdr:to>
        <xdr:sp macro="" textlink="">
          <xdr:nvSpPr>
            <xdr:cNvPr id="6146" name="Option Button 2" descr="Dollar&#10;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Dollar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449580</xdr:colOff>
          <xdr:row>32</xdr:row>
          <xdr:rowOff>106680</xdr:rowOff>
        </xdr:from>
        <xdr:to>
          <xdr:col>6</xdr:col>
          <xdr:colOff>304800</xdr:colOff>
          <xdr:row>33</xdr:row>
          <xdr:rowOff>121920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E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Percentage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251460</xdr:colOff>
          <xdr:row>6</xdr:row>
          <xdr:rowOff>160020</xdr:rowOff>
        </xdr:from>
        <xdr:to>
          <xdr:col>20</xdr:col>
          <xdr:colOff>251460</xdr:colOff>
          <xdr:row>7</xdr:row>
          <xdr:rowOff>175260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E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21434</xdr:colOff>
      <xdr:row>8</xdr:row>
      <xdr:rowOff>59531</xdr:rowOff>
    </xdr:from>
    <xdr:to>
      <xdr:col>24</xdr:col>
      <xdr:colOff>523877</xdr:colOff>
      <xdr:row>25</xdr:row>
      <xdr:rowOff>154780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50006</xdr:colOff>
      <xdr:row>34</xdr:row>
      <xdr:rowOff>23810</xdr:rowOff>
    </xdr:from>
    <xdr:to>
      <xdr:col>11</xdr:col>
      <xdr:colOff>571500</xdr:colOff>
      <xdr:row>53</xdr:row>
      <xdr:rowOff>166687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32</xdr:row>
          <xdr:rowOff>99060</xdr:rowOff>
        </xdr:from>
        <xdr:to>
          <xdr:col>9</xdr:col>
          <xdr:colOff>152400</xdr:colOff>
          <xdr:row>33</xdr:row>
          <xdr:rowOff>106680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E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58</xdr:row>
          <xdr:rowOff>38100</xdr:rowOff>
        </xdr:from>
        <xdr:to>
          <xdr:col>3</xdr:col>
          <xdr:colOff>190500</xdr:colOff>
          <xdr:row>59</xdr:row>
          <xdr:rowOff>83820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E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35718</xdr:colOff>
      <xdr:row>60</xdr:row>
      <xdr:rowOff>71437</xdr:rowOff>
    </xdr:from>
    <xdr:to>
      <xdr:col>11</xdr:col>
      <xdr:colOff>547687</xdr:colOff>
      <xdr:row>81</xdr:row>
      <xdr:rowOff>47624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0</xdr:row>
          <xdr:rowOff>251460</xdr:rowOff>
        </xdr:from>
        <xdr:to>
          <xdr:col>16</xdr:col>
          <xdr:colOff>312420</xdr:colOff>
          <xdr:row>0</xdr:row>
          <xdr:rowOff>944880</xdr:rowOff>
        </xdr:to>
        <xdr:sp macro="" textlink="">
          <xdr:nvSpPr>
            <xdr:cNvPr id="6155" name="Button 11" descr="Log Ou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E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441537</xdr:colOff>
      <xdr:row>1</xdr:row>
      <xdr:rowOff>1473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98470" cy="1102140"/>
        </a:xfrm>
        <a:prstGeom prst="rect">
          <a:avLst/>
        </a:prstGeom>
      </xdr:spPr>
    </xdr:pic>
    <xdr:clientData/>
  </xdr:twoCellAnchor>
  <xdr:twoCellAnchor>
    <xdr:from>
      <xdr:col>2</xdr:col>
      <xdr:colOff>107156</xdr:colOff>
      <xdr:row>26</xdr:row>
      <xdr:rowOff>130969</xdr:rowOff>
    </xdr:from>
    <xdr:to>
      <xdr:col>11</xdr:col>
      <xdr:colOff>202405</xdr:colOff>
      <xdr:row>28</xdr:row>
      <xdr:rowOff>83344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97781" y="6000750"/>
          <a:ext cx="5453062" cy="33337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14</xdr:col>
      <xdr:colOff>592931</xdr:colOff>
      <xdr:row>26</xdr:row>
      <xdr:rowOff>128588</xdr:rowOff>
    </xdr:from>
    <xdr:to>
      <xdr:col>24</xdr:col>
      <xdr:colOff>92868</xdr:colOff>
      <xdr:row>28</xdr:row>
      <xdr:rowOff>80963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8927306" y="5998369"/>
          <a:ext cx="5453062" cy="33337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16</xdr:col>
      <xdr:colOff>250031</xdr:colOff>
      <xdr:row>2</xdr:row>
      <xdr:rowOff>47625</xdr:rowOff>
    </xdr:from>
    <xdr:to>
      <xdr:col>19</xdr:col>
      <xdr:colOff>440531</xdr:colOff>
      <xdr:row>5</xdr:row>
      <xdr:rowOff>107156</xdr:rowOff>
    </xdr:to>
    <xdr:sp macro="" textlink="">
      <xdr:nvSpPr>
        <xdr:cNvPr id="24" name="Rectangle: Rounded Corners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9775031" y="1345406"/>
          <a:ext cx="1976438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  <xdr:twoCellAnchor>
    <xdr:from>
      <xdr:col>13</xdr:col>
      <xdr:colOff>273843</xdr:colOff>
      <xdr:row>65</xdr:row>
      <xdr:rowOff>71438</xdr:rowOff>
    </xdr:from>
    <xdr:to>
      <xdr:col>27</xdr:col>
      <xdr:colOff>488156</xdr:colOff>
      <xdr:row>74</xdr:row>
      <xdr:rowOff>59531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8012906" y="13370719"/>
          <a:ext cx="8548688" cy="1702593"/>
        </a:xfrm>
        <a:prstGeom prst="wedgeRoundRectCallout">
          <a:avLst>
            <a:gd name="adj1" fmla="val -59387"/>
            <a:gd name="adj2" fmla="val 12845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6</xdr:row>
          <xdr:rowOff>45720</xdr:rowOff>
        </xdr:from>
        <xdr:to>
          <xdr:col>3</xdr:col>
          <xdr:colOff>114300</xdr:colOff>
          <xdr:row>7</xdr:row>
          <xdr:rowOff>60960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80097</xdr:colOff>
      <xdr:row>7</xdr:row>
      <xdr:rowOff>164710</xdr:rowOff>
    </xdr:from>
    <xdr:to>
      <xdr:col>12</xdr:col>
      <xdr:colOff>35719</xdr:colOff>
      <xdr:row>25</xdr:row>
      <xdr:rowOff>53225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28</xdr:row>
          <xdr:rowOff>22860</xdr:rowOff>
        </xdr:from>
        <xdr:to>
          <xdr:col>7</xdr:col>
          <xdr:colOff>327660</xdr:colOff>
          <xdr:row>29</xdr:row>
          <xdr:rowOff>30480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107372</xdr:colOff>
      <xdr:row>29</xdr:row>
      <xdr:rowOff>156883</xdr:rowOff>
    </xdr:from>
    <xdr:to>
      <xdr:col>12</xdr:col>
      <xdr:colOff>22412</xdr:colOff>
      <xdr:row>49</xdr:row>
      <xdr:rowOff>100852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122144</xdr:colOff>
      <xdr:row>31</xdr:row>
      <xdr:rowOff>24652</xdr:rowOff>
    </xdr:from>
    <xdr:to>
      <xdr:col>3</xdr:col>
      <xdr:colOff>438374</xdr:colOff>
      <xdr:row>33</xdr:row>
      <xdr:rowOff>169432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 rot="10800000">
          <a:off x="1937497" y="6849034"/>
          <a:ext cx="316230" cy="5257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t"/>
        <a:lstStyle/>
        <a:p>
          <a:r>
            <a:rPr lang="en-SG" sz="1100"/>
            <a:t>($'000)</a:t>
          </a:r>
        </a:p>
        <a:p>
          <a:endParaRPr lang="en-SG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251460</xdr:rowOff>
        </xdr:from>
        <xdr:to>
          <xdr:col>16</xdr:col>
          <xdr:colOff>121920</xdr:colOff>
          <xdr:row>0</xdr:row>
          <xdr:rowOff>944880</xdr:rowOff>
        </xdr:to>
        <xdr:sp macro="" textlink="">
          <xdr:nvSpPr>
            <xdr:cNvPr id="13320" name="Button 8" descr="Log Out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11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393912</xdr:colOff>
      <xdr:row>1</xdr:row>
      <xdr:rowOff>1473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22787" cy="1108754"/>
        </a:xfrm>
        <a:prstGeom prst="rect">
          <a:avLst/>
        </a:prstGeom>
      </xdr:spPr>
    </xdr:pic>
    <xdr:clientData/>
  </xdr:twoCellAnchor>
  <xdr:twoCellAnchor>
    <xdr:from>
      <xdr:col>16</xdr:col>
      <xdr:colOff>59531</xdr:colOff>
      <xdr:row>2</xdr:row>
      <xdr:rowOff>47625</xdr:rowOff>
    </xdr:from>
    <xdr:to>
      <xdr:col>19</xdr:col>
      <xdr:colOff>214313</xdr:colOff>
      <xdr:row>5</xdr:row>
      <xdr:rowOff>107156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775031" y="1345406"/>
          <a:ext cx="1976438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  <xdr:twoCellAnchor>
    <xdr:from>
      <xdr:col>13</xdr:col>
      <xdr:colOff>511968</xdr:colOff>
      <xdr:row>11</xdr:row>
      <xdr:rowOff>95250</xdr:rowOff>
    </xdr:from>
    <xdr:to>
      <xdr:col>19</xdr:col>
      <xdr:colOff>404813</xdr:colOff>
      <xdr:row>19</xdr:row>
      <xdr:rowOff>178594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8405812" y="3107531"/>
          <a:ext cx="3536157" cy="1607344"/>
        </a:xfrm>
        <a:prstGeom prst="wedgeRectCallout">
          <a:avLst>
            <a:gd name="adj1" fmla="val -68308"/>
            <a:gd name="adj2" fmla="val -1944"/>
          </a:avLst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13</xdr:col>
      <xdr:colOff>438150</xdr:colOff>
      <xdr:row>37</xdr:row>
      <xdr:rowOff>166688</xdr:rowOff>
    </xdr:from>
    <xdr:to>
      <xdr:col>20</xdr:col>
      <xdr:colOff>416719</xdr:colOff>
      <xdr:row>41</xdr:row>
      <xdr:rowOff>59532</xdr:rowOff>
    </xdr:to>
    <xdr:sp macro="" textlink="">
      <xdr:nvSpPr>
        <xdr:cNvPr id="26" name="Speech Bubble: Rectangle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8331994" y="8131969"/>
          <a:ext cx="4229100" cy="654844"/>
        </a:xfrm>
        <a:prstGeom prst="wedgeRectCallout">
          <a:avLst>
            <a:gd name="adj1" fmla="val -68308"/>
            <a:gd name="adj2" fmla="val -1944"/>
          </a:avLst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373380</xdr:colOff>
          <xdr:row>29</xdr:row>
          <xdr:rowOff>68580</xdr:rowOff>
        </xdr:from>
        <xdr:to>
          <xdr:col>11</xdr:col>
          <xdr:colOff>144780</xdr:colOff>
          <xdr:row>31</xdr:row>
          <xdr:rowOff>114300</xdr:rowOff>
        </xdr:to>
        <xdr:sp macro="" textlink="">
          <xdr:nvSpPr>
            <xdr:cNvPr id="27650" name="Group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16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600075</xdr:colOff>
      <xdr:row>29</xdr:row>
      <xdr:rowOff>34917</xdr:rowOff>
    </xdr:from>
    <xdr:to>
      <xdr:col>12</xdr:col>
      <xdr:colOff>66675</xdr:colOff>
      <xdr:row>47</xdr:row>
      <xdr:rowOff>143925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98</xdr:row>
          <xdr:rowOff>7620</xdr:rowOff>
        </xdr:from>
        <xdr:to>
          <xdr:col>8</xdr:col>
          <xdr:colOff>365760</xdr:colOff>
          <xdr:row>100</xdr:row>
          <xdr:rowOff>68580</xdr:rowOff>
        </xdr:to>
        <xdr:sp macro="" textlink="">
          <xdr:nvSpPr>
            <xdr:cNvPr id="27649" name="Group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19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15874</xdr:colOff>
      <xdr:row>97</xdr:row>
      <xdr:rowOff>7927</xdr:rowOff>
    </xdr:from>
    <xdr:to>
      <xdr:col>12</xdr:col>
      <xdr:colOff>57150</xdr:colOff>
      <xdr:row>115</xdr:row>
      <xdr:rowOff>124347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12</xdr:row>
      <xdr:rowOff>52380</xdr:rowOff>
    </xdr:from>
    <xdr:to>
      <xdr:col>12</xdr:col>
      <xdr:colOff>76201</xdr:colOff>
      <xdr:row>29</xdr:row>
      <xdr:rowOff>38093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106680</xdr:rowOff>
        </xdr:from>
        <xdr:to>
          <xdr:col>5</xdr:col>
          <xdr:colOff>22860</xdr:colOff>
          <xdr:row>11</xdr:row>
          <xdr:rowOff>152400</xdr:rowOff>
        </xdr:to>
        <xdr:sp macro="" textlink="">
          <xdr:nvSpPr>
            <xdr:cNvPr id="27651" name="Drop Dow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70</xdr:row>
          <xdr:rowOff>45720</xdr:rowOff>
        </xdr:from>
        <xdr:to>
          <xdr:col>12</xdr:col>
          <xdr:colOff>68580</xdr:colOff>
          <xdr:row>71</xdr:row>
          <xdr:rowOff>137160</xdr:rowOff>
        </xdr:to>
        <xdr:sp macro="" textlink="">
          <xdr:nvSpPr>
            <xdr:cNvPr id="27652" name="Scroll Bar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595312</xdr:colOff>
      <xdr:row>48</xdr:row>
      <xdr:rowOff>128859</xdr:rowOff>
    </xdr:from>
    <xdr:to>
      <xdr:col>12</xdr:col>
      <xdr:colOff>71437</xdr:colOff>
      <xdr:row>70</xdr:row>
      <xdr:rowOff>47624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77</xdr:row>
          <xdr:rowOff>152400</xdr:rowOff>
        </xdr:from>
        <xdr:to>
          <xdr:col>4</xdr:col>
          <xdr:colOff>342900</xdr:colOff>
          <xdr:row>79</xdr:row>
          <xdr:rowOff>7620</xdr:rowOff>
        </xdr:to>
        <xdr:sp macro="" textlink="">
          <xdr:nvSpPr>
            <xdr:cNvPr id="27653" name="Drop Dow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15875</xdr:colOff>
      <xdr:row>80</xdr:row>
      <xdr:rowOff>7929</xdr:rowOff>
    </xdr:from>
    <xdr:to>
      <xdr:col>12</xdr:col>
      <xdr:colOff>47625</xdr:colOff>
      <xdr:row>97</xdr:row>
      <xdr:rowOff>7928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117</xdr:row>
          <xdr:rowOff>99060</xdr:rowOff>
        </xdr:from>
        <xdr:to>
          <xdr:col>12</xdr:col>
          <xdr:colOff>121920</xdr:colOff>
          <xdr:row>118</xdr:row>
          <xdr:rowOff>152400</xdr:rowOff>
        </xdr:to>
        <xdr:sp macro="" textlink="">
          <xdr:nvSpPr>
            <xdr:cNvPr id="27654" name="Scroll Bar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0</xdr:colOff>
      <xdr:row>118</xdr:row>
      <xdr:rowOff>158739</xdr:rowOff>
    </xdr:from>
    <xdr:to>
      <xdr:col>12</xdr:col>
      <xdr:colOff>83344</xdr:colOff>
      <xdr:row>144</xdr:row>
      <xdr:rowOff>47625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98</xdr:row>
          <xdr:rowOff>99060</xdr:rowOff>
        </xdr:from>
        <xdr:to>
          <xdr:col>6</xdr:col>
          <xdr:colOff>327660</xdr:colOff>
          <xdr:row>99</xdr:row>
          <xdr:rowOff>137160</xdr:rowOff>
        </xdr:to>
        <xdr:sp macro="" textlink="">
          <xdr:nvSpPr>
            <xdr:cNvPr id="27657" name="Option 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13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Dollar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98</xdr:row>
          <xdr:rowOff>99060</xdr:rowOff>
        </xdr:from>
        <xdr:to>
          <xdr:col>8</xdr:col>
          <xdr:colOff>137160</xdr:colOff>
          <xdr:row>99</xdr:row>
          <xdr:rowOff>137160</xdr:rowOff>
        </xdr:to>
        <xdr:sp macro="" textlink="">
          <xdr:nvSpPr>
            <xdr:cNvPr id="27658" name="Option 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13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Percentage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0</xdr:row>
          <xdr:rowOff>251460</xdr:rowOff>
        </xdr:from>
        <xdr:to>
          <xdr:col>16</xdr:col>
          <xdr:colOff>22860</xdr:colOff>
          <xdr:row>0</xdr:row>
          <xdr:rowOff>944880</xdr:rowOff>
        </xdr:to>
        <xdr:sp macro="" textlink="">
          <xdr:nvSpPr>
            <xdr:cNvPr id="27660" name="Button 12" descr="Log Out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13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340996</xdr:colOff>
      <xdr:row>1</xdr:row>
      <xdr:rowOff>14701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22787" cy="1108754"/>
        </a:xfrm>
        <a:prstGeom prst="rect">
          <a:avLst/>
        </a:prstGeom>
      </xdr:spPr>
    </xdr:pic>
    <xdr:clientData/>
  </xdr:twoCellAnchor>
  <xdr:twoCellAnchor>
    <xdr:from>
      <xdr:col>16</xdr:col>
      <xdr:colOff>59531</xdr:colOff>
      <xdr:row>2</xdr:row>
      <xdr:rowOff>47625</xdr:rowOff>
    </xdr:from>
    <xdr:to>
      <xdr:col>19</xdr:col>
      <xdr:colOff>214313</xdr:colOff>
      <xdr:row>5</xdr:row>
      <xdr:rowOff>107156</xdr:rowOff>
    </xdr:to>
    <xdr:sp macro="" textlink="">
      <xdr:nvSpPr>
        <xdr:cNvPr id="25" name="Rectangle: Rounded Corner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/>
      </xdr:nvSpPr>
      <xdr:spPr>
        <a:xfrm>
          <a:off x="9813131" y="1343025"/>
          <a:ext cx="1983582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  <xdr:twoCellAnchor>
    <xdr:from>
      <xdr:col>15</xdr:col>
      <xdr:colOff>154781</xdr:colOff>
      <xdr:row>21</xdr:row>
      <xdr:rowOff>107155</xdr:rowOff>
    </xdr:from>
    <xdr:to>
      <xdr:col>24</xdr:col>
      <xdr:colOff>309562</xdr:colOff>
      <xdr:row>32</xdr:row>
      <xdr:rowOff>142875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3062" y="4643436"/>
          <a:ext cx="5619750" cy="1869283"/>
        </a:xfrm>
        <a:prstGeom prst="wedgeRoundRectCallout">
          <a:avLst>
            <a:gd name="adj1" fmla="val -81003"/>
            <a:gd name="adj2" fmla="val 12073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15</xdr:col>
      <xdr:colOff>261938</xdr:colOff>
      <xdr:row>55</xdr:row>
      <xdr:rowOff>130969</xdr:rowOff>
    </xdr:from>
    <xdr:to>
      <xdr:col>24</xdr:col>
      <xdr:colOff>416719</xdr:colOff>
      <xdr:row>61</xdr:row>
      <xdr:rowOff>130969</xdr:rowOff>
    </xdr:to>
    <xdr:sp macro="" textlink="">
      <xdr:nvSpPr>
        <xdr:cNvPr id="28" name="Speech Bubble: Rectangle with Corners Rounded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9370219" y="10334625"/>
          <a:ext cx="5619750" cy="1000125"/>
        </a:xfrm>
        <a:prstGeom prst="wedgeRoundRectCallout">
          <a:avLst>
            <a:gd name="adj1" fmla="val -81003"/>
            <a:gd name="adj2" fmla="val 12073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15</xdr:col>
      <xdr:colOff>130969</xdr:colOff>
      <xdr:row>94</xdr:row>
      <xdr:rowOff>154781</xdr:rowOff>
    </xdr:from>
    <xdr:to>
      <xdr:col>24</xdr:col>
      <xdr:colOff>285750</xdr:colOff>
      <xdr:row>105</xdr:row>
      <xdr:rowOff>119063</xdr:rowOff>
    </xdr:to>
    <xdr:sp macro="" textlink="">
      <xdr:nvSpPr>
        <xdr:cNvPr id="29" name="Speech Bubble: Rectangle with Corners Rounded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>
        <a:xfrm>
          <a:off x="9239250" y="16859250"/>
          <a:ext cx="5619750" cy="1797844"/>
        </a:xfrm>
        <a:prstGeom prst="wedgeRoundRectCallout">
          <a:avLst>
            <a:gd name="adj1" fmla="val -81003"/>
            <a:gd name="adj2" fmla="val 12073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15</xdr:col>
      <xdr:colOff>273844</xdr:colOff>
      <xdr:row>127</xdr:row>
      <xdr:rowOff>142875</xdr:rowOff>
    </xdr:from>
    <xdr:to>
      <xdr:col>24</xdr:col>
      <xdr:colOff>154781</xdr:colOff>
      <xdr:row>134</xdr:row>
      <xdr:rowOff>0</xdr:rowOff>
    </xdr:to>
    <xdr:sp macro="" textlink="">
      <xdr:nvSpPr>
        <xdr:cNvPr id="30" name="Speech Bubble: Rectangle with Corners Rounded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9382125" y="22348031"/>
          <a:ext cx="5345906" cy="1023938"/>
        </a:xfrm>
        <a:prstGeom prst="wedgeRoundRectCallout">
          <a:avLst>
            <a:gd name="adj1" fmla="val -81003"/>
            <a:gd name="adj2" fmla="val 12073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29</xdr:row>
          <xdr:rowOff>152400</xdr:rowOff>
        </xdr:from>
        <xdr:to>
          <xdr:col>6</xdr:col>
          <xdr:colOff>480060</xdr:colOff>
          <xdr:row>31</xdr:row>
          <xdr:rowOff>30480</xdr:rowOff>
        </xdr:to>
        <xdr:sp macro="" textlink="">
          <xdr:nvSpPr>
            <xdr:cNvPr id="27663" name="Option 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13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Dollar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29</xdr:row>
          <xdr:rowOff>152400</xdr:rowOff>
        </xdr:from>
        <xdr:to>
          <xdr:col>8</xdr:col>
          <xdr:colOff>312420</xdr:colOff>
          <xdr:row>31</xdr:row>
          <xdr:rowOff>7620</xdr:rowOff>
        </xdr:to>
        <xdr:sp macro="" textlink="">
          <xdr:nvSpPr>
            <xdr:cNvPr id="27664" name="Option 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13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Percentage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419100</xdr:colOff>
          <xdr:row>11</xdr:row>
          <xdr:rowOff>228600</xdr:rowOff>
        </xdr:to>
        <xdr:sp macro="" textlink="">
          <xdr:nvSpPr>
            <xdr:cNvPr id="28673" name="Drop Dow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31</xdr:row>
          <xdr:rowOff>144780</xdr:rowOff>
        </xdr:from>
        <xdr:to>
          <xdr:col>2</xdr:col>
          <xdr:colOff>373380</xdr:colOff>
          <xdr:row>32</xdr:row>
          <xdr:rowOff>152400</xdr:rowOff>
        </xdr:to>
        <xdr:sp macro="" textlink="">
          <xdr:nvSpPr>
            <xdr:cNvPr id="28676" name="Drop Dow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4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34</xdr:row>
      <xdr:rowOff>0</xdr:rowOff>
    </xdr:from>
    <xdr:to>
      <xdr:col>12</xdr:col>
      <xdr:colOff>0</xdr:colOff>
      <xdr:row>50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152400</xdr:rowOff>
        </xdr:from>
        <xdr:to>
          <xdr:col>3</xdr:col>
          <xdr:colOff>419100</xdr:colOff>
          <xdr:row>58</xdr:row>
          <xdr:rowOff>30480</xdr:rowOff>
        </xdr:to>
        <xdr:sp macro="" textlink="">
          <xdr:nvSpPr>
            <xdr:cNvPr id="28677" name="Drop Dow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14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59</xdr:row>
      <xdr:rowOff>0</xdr:rowOff>
    </xdr:from>
    <xdr:to>
      <xdr:col>12</xdr:col>
      <xdr:colOff>40822</xdr:colOff>
      <xdr:row>75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77</xdr:row>
          <xdr:rowOff>0</xdr:rowOff>
        </xdr:from>
        <xdr:to>
          <xdr:col>2</xdr:col>
          <xdr:colOff>373380</xdr:colOff>
          <xdr:row>78</xdr:row>
          <xdr:rowOff>7620</xdr:rowOff>
        </xdr:to>
        <xdr:sp macro="" textlink="">
          <xdr:nvSpPr>
            <xdr:cNvPr id="28680" name="Drop Dow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14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79</xdr:row>
      <xdr:rowOff>0</xdr:rowOff>
    </xdr:from>
    <xdr:to>
      <xdr:col>12</xdr:col>
      <xdr:colOff>40822</xdr:colOff>
      <xdr:row>95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12</xdr:col>
      <xdr:colOff>0</xdr:colOff>
      <xdr:row>29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251460</xdr:rowOff>
        </xdr:from>
        <xdr:to>
          <xdr:col>16</xdr:col>
          <xdr:colOff>121920</xdr:colOff>
          <xdr:row>0</xdr:row>
          <xdr:rowOff>944880</xdr:rowOff>
        </xdr:to>
        <xdr:sp macro="" textlink="">
          <xdr:nvSpPr>
            <xdr:cNvPr id="28682" name="Button 10" descr="Log Out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14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393912</xdr:colOff>
      <xdr:row>1</xdr:row>
      <xdr:rowOff>1473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22787" cy="1108754"/>
        </a:xfrm>
        <a:prstGeom prst="rect">
          <a:avLst/>
        </a:prstGeom>
      </xdr:spPr>
    </xdr:pic>
    <xdr:clientData/>
  </xdr:twoCellAnchor>
  <xdr:twoCellAnchor>
    <xdr:from>
      <xdr:col>13</xdr:col>
      <xdr:colOff>272142</xdr:colOff>
      <xdr:row>17</xdr:row>
      <xdr:rowOff>149679</xdr:rowOff>
    </xdr:from>
    <xdr:to>
      <xdr:col>22</xdr:col>
      <xdr:colOff>179917</xdr:colOff>
      <xdr:row>23</xdr:row>
      <xdr:rowOff>116416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8251975" y="3949096"/>
          <a:ext cx="5432275" cy="919237"/>
        </a:xfrm>
        <a:prstGeom prst="wedgeRoundRectCallout">
          <a:avLst>
            <a:gd name="adj1" fmla="val -61979"/>
            <a:gd name="adj2" fmla="val 48341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13</xdr:col>
      <xdr:colOff>329292</xdr:colOff>
      <xdr:row>35</xdr:row>
      <xdr:rowOff>57150</xdr:rowOff>
    </xdr:from>
    <xdr:to>
      <xdr:col>22</xdr:col>
      <xdr:colOff>43543</xdr:colOff>
      <xdr:row>49</xdr:row>
      <xdr:rowOff>54429</xdr:rowOff>
    </xdr:to>
    <xdr:sp macro="" textlink="">
      <xdr:nvSpPr>
        <xdr:cNvPr id="19" name="Speech Bubble: Rectangle with Corners Rounded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8309125" y="6714067"/>
          <a:ext cx="5238751" cy="2219779"/>
        </a:xfrm>
        <a:prstGeom prst="wedgeRoundRectCallout">
          <a:avLst>
            <a:gd name="adj1" fmla="val -64924"/>
            <a:gd name="adj2" fmla="val -26749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13</xdr:col>
      <xdr:colOff>304800</xdr:colOff>
      <xdr:row>63</xdr:row>
      <xdr:rowOff>122465</xdr:rowOff>
    </xdr:from>
    <xdr:to>
      <xdr:col>22</xdr:col>
      <xdr:colOff>19051</xdr:colOff>
      <xdr:row>69</xdr:row>
      <xdr:rowOff>108857</xdr:rowOff>
    </xdr:to>
    <xdr:sp macro="" textlink="">
      <xdr:nvSpPr>
        <xdr:cNvPr id="20" name="Speech Bubble: Rectangle with Corners Rounded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8264979" y="11484429"/>
          <a:ext cx="5225143" cy="966107"/>
        </a:xfrm>
        <a:prstGeom prst="wedgeRoundRectCallout">
          <a:avLst>
            <a:gd name="adj1" fmla="val -62500"/>
            <a:gd name="adj2" fmla="val 1857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13</xdr:col>
      <xdr:colOff>402771</xdr:colOff>
      <xdr:row>80</xdr:row>
      <xdr:rowOff>43544</xdr:rowOff>
    </xdr:from>
    <xdr:to>
      <xdr:col>22</xdr:col>
      <xdr:colOff>117022</xdr:colOff>
      <xdr:row>93</xdr:row>
      <xdr:rowOff>27214</xdr:rowOff>
    </xdr:to>
    <xdr:sp macro="" textlink="">
      <xdr:nvSpPr>
        <xdr:cNvPr id="21" name="Speech Bubble: Rectangle with Corners Rounded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/>
      </xdr:nvSpPr>
      <xdr:spPr>
        <a:xfrm>
          <a:off x="8362950" y="14181365"/>
          <a:ext cx="5225143" cy="2106385"/>
        </a:xfrm>
        <a:prstGeom prst="wedgeRoundRectCallout">
          <a:avLst>
            <a:gd name="adj1" fmla="val -63281"/>
            <a:gd name="adj2" fmla="val 28989"/>
            <a:gd name="adj3" fmla="val 16667"/>
          </a:avLst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15</xdr:col>
      <xdr:colOff>590210</xdr:colOff>
      <xdr:row>2</xdr:row>
      <xdr:rowOff>47625</xdr:rowOff>
    </xdr:from>
    <xdr:to>
      <xdr:col>19</xdr:col>
      <xdr:colOff>117362</xdr:colOff>
      <xdr:row>5</xdr:row>
      <xdr:rowOff>107156</xdr:rowOff>
    </xdr:to>
    <xdr:sp macro="" textlink="">
      <xdr:nvSpPr>
        <xdr:cNvPr id="22" name="Rectangle: Rounded Corners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9775031" y="1340304"/>
          <a:ext cx="1976438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350520</xdr:colOff>
          <xdr:row>8</xdr:row>
          <xdr:rowOff>45720</xdr:rowOff>
        </xdr:from>
        <xdr:to>
          <xdr:col>8</xdr:col>
          <xdr:colOff>365760</xdr:colOff>
          <xdr:row>10</xdr:row>
          <xdr:rowOff>45720</xdr:rowOff>
        </xdr:to>
        <xdr:sp macro="" textlink="">
          <xdr:nvSpPr>
            <xdr:cNvPr id="31745" name="Drop Dow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60008</xdr:colOff>
      <xdr:row>10</xdr:row>
      <xdr:rowOff>142875</xdr:rowOff>
    </xdr:from>
    <xdr:to>
      <xdr:col>12</xdr:col>
      <xdr:colOff>250031</xdr:colOff>
      <xdr:row>28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76875</xdr:colOff>
      <xdr:row>11</xdr:row>
      <xdr:rowOff>30072</xdr:rowOff>
    </xdr:from>
    <xdr:to>
      <xdr:col>20</xdr:col>
      <xdr:colOff>87761</xdr:colOff>
      <xdr:row>15</xdr:row>
      <xdr:rowOff>10886</xdr:rowOff>
    </xdr:to>
    <xdr:sp macro="" textlink="'Control LQ Suganya'!A47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435188" y="2923291"/>
          <a:ext cx="3046979" cy="647564"/>
        </a:xfrm>
        <a:custGeom>
          <a:avLst/>
          <a:gdLst>
            <a:gd name="connsiteX0" fmla="*/ 0 w 2105660"/>
            <a:gd name="connsiteY0" fmla="*/ 0 h 628650"/>
            <a:gd name="connsiteX1" fmla="*/ 2105660 w 2105660"/>
            <a:gd name="connsiteY1" fmla="*/ 0 h 628650"/>
            <a:gd name="connsiteX2" fmla="*/ 2105660 w 2105660"/>
            <a:gd name="connsiteY2" fmla="*/ 628650 h 628650"/>
            <a:gd name="connsiteX3" fmla="*/ 0 w 2105660"/>
            <a:gd name="connsiteY3" fmla="*/ 628650 h 628650"/>
            <a:gd name="connsiteX4" fmla="*/ 0 w 2105660"/>
            <a:gd name="connsiteY4" fmla="*/ 0 h 628650"/>
            <a:gd name="connsiteX0" fmla="*/ 0 w 2280920"/>
            <a:gd name="connsiteY0" fmla="*/ 0 h 628650"/>
            <a:gd name="connsiteX1" fmla="*/ 2280920 w 2280920"/>
            <a:gd name="connsiteY1" fmla="*/ 129540 h 628650"/>
            <a:gd name="connsiteX2" fmla="*/ 2105660 w 2280920"/>
            <a:gd name="connsiteY2" fmla="*/ 628650 h 628650"/>
            <a:gd name="connsiteX3" fmla="*/ 0 w 2280920"/>
            <a:gd name="connsiteY3" fmla="*/ 628650 h 628650"/>
            <a:gd name="connsiteX4" fmla="*/ 0 w 2280920"/>
            <a:gd name="connsiteY4" fmla="*/ 0 h 628650"/>
            <a:gd name="connsiteX0" fmla="*/ 0 w 2219960"/>
            <a:gd name="connsiteY0" fmla="*/ 0 h 628650"/>
            <a:gd name="connsiteX1" fmla="*/ 2219960 w 2219960"/>
            <a:gd name="connsiteY1" fmla="*/ 64770 h 628650"/>
            <a:gd name="connsiteX2" fmla="*/ 2105660 w 2219960"/>
            <a:gd name="connsiteY2" fmla="*/ 628650 h 628650"/>
            <a:gd name="connsiteX3" fmla="*/ 0 w 2219960"/>
            <a:gd name="connsiteY3" fmla="*/ 628650 h 628650"/>
            <a:gd name="connsiteX4" fmla="*/ 0 w 2219960"/>
            <a:gd name="connsiteY4" fmla="*/ 0 h 628650"/>
            <a:gd name="connsiteX0" fmla="*/ 144780 w 2219960"/>
            <a:gd name="connsiteY0" fmla="*/ 0 h 601980"/>
            <a:gd name="connsiteX1" fmla="*/ 2219960 w 2219960"/>
            <a:gd name="connsiteY1" fmla="*/ 38100 h 601980"/>
            <a:gd name="connsiteX2" fmla="*/ 2105660 w 2219960"/>
            <a:gd name="connsiteY2" fmla="*/ 601980 h 601980"/>
            <a:gd name="connsiteX3" fmla="*/ 0 w 2219960"/>
            <a:gd name="connsiteY3" fmla="*/ 601980 h 601980"/>
            <a:gd name="connsiteX4" fmla="*/ 144780 w 2219960"/>
            <a:gd name="connsiteY4" fmla="*/ 0 h 601980"/>
            <a:gd name="connsiteX0" fmla="*/ 144780 w 2219960"/>
            <a:gd name="connsiteY0" fmla="*/ 30480 h 563880"/>
            <a:gd name="connsiteX1" fmla="*/ 2219960 w 2219960"/>
            <a:gd name="connsiteY1" fmla="*/ 0 h 563880"/>
            <a:gd name="connsiteX2" fmla="*/ 2105660 w 2219960"/>
            <a:gd name="connsiteY2" fmla="*/ 563880 h 563880"/>
            <a:gd name="connsiteX3" fmla="*/ 0 w 2219960"/>
            <a:gd name="connsiteY3" fmla="*/ 563880 h 563880"/>
            <a:gd name="connsiteX4" fmla="*/ 144780 w 2219960"/>
            <a:gd name="connsiteY4" fmla="*/ 30480 h 563880"/>
            <a:gd name="connsiteX0" fmla="*/ 148590 w 2219960"/>
            <a:gd name="connsiteY0" fmla="*/ 0 h 594360"/>
            <a:gd name="connsiteX1" fmla="*/ 2219960 w 2219960"/>
            <a:gd name="connsiteY1" fmla="*/ 30480 h 594360"/>
            <a:gd name="connsiteX2" fmla="*/ 2105660 w 2219960"/>
            <a:gd name="connsiteY2" fmla="*/ 594360 h 594360"/>
            <a:gd name="connsiteX3" fmla="*/ 0 w 2219960"/>
            <a:gd name="connsiteY3" fmla="*/ 594360 h 594360"/>
            <a:gd name="connsiteX4" fmla="*/ 148590 w 2219960"/>
            <a:gd name="connsiteY4" fmla="*/ 0 h 594360"/>
            <a:gd name="connsiteX0" fmla="*/ 167640 w 2219960"/>
            <a:gd name="connsiteY0" fmla="*/ 15240 h 563880"/>
            <a:gd name="connsiteX1" fmla="*/ 2219960 w 2219960"/>
            <a:gd name="connsiteY1" fmla="*/ 0 h 563880"/>
            <a:gd name="connsiteX2" fmla="*/ 2105660 w 2219960"/>
            <a:gd name="connsiteY2" fmla="*/ 563880 h 563880"/>
            <a:gd name="connsiteX3" fmla="*/ 0 w 2219960"/>
            <a:gd name="connsiteY3" fmla="*/ 563880 h 563880"/>
            <a:gd name="connsiteX4" fmla="*/ 167640 w 2219960"/>
            <a:gd name="connsiteY4" fmla="*/ 15240 h 563880"/>
            <a:gd name="connsiteX0" fmla="*/ 167640 w 2269490"/>
            <a:gd name="connsiteY0" fmla="*/ 15240 h 632460"/>
            <a:gd name="connsiteX1" fmla="*/ 2219960 w 2269490"/>
            <a:gd name="connsiteY1" fmla="*/ 0 h 632460"/>
            <a:gd name="connsiteX2" fmla="*/ 2269490 w 2269490"/>
            <a:gd name="connsiteY2" fmla="*/ 632460 h 632460"/>
            <a:gd name="connsiteX3" fmla="*/ 0 w 2269490"/>
            <a:gd name="connsiteY3" fmla="*/ 563880 h 632460"/>
            <a:gd name="connsiteX4" fmla="*/ 167640 w 2269490"/>
            <a:gd name="connsiteY4" fmla="*/ 15240 h 632460"/>
            <a:gd name="connsiteX0" fmla="*/ 167640 w 2219960"/>
            <a:gd name="connsiteY0" fmla="*/ 15240 h 563880"/>
            <a:gd name="connsiteX1" fmla="*/ 2219960 w 2219960"/>
            <a:gd name="connsiteY1" fmla="*/ 0 h 563880"/>
            <a:gd name="connsiteX2" fmla="*/ 2174240 w 2219960"/>
            <a:gd name="connsiteY2" fmla="*/ 552450 h 563880"/>
            <a:gd name="connsiteX3" fmla="*/ 0 w 2219960"/>
            <a:gd name="connsiteY3" fmla="*/ 563880 h 563880"/>
            <a:gd name="connsiteX4" fmla="*/ 167640 w 2219960"/>
            <a:gd name="connsiteY4" fmla="*/ 15240 h 563880"/>
            <a:gd name="connsiteX0" fmla="*/ 167640 w 2353310"/>
            <a:gd name="connsiteY0" fmla="*/ 0 h 548640"/>
            <a:gd name="connsiteX1" fmla="*/ 2353310 w 2353310"/>
            <a:gd name="connsiteY1" fmla="*/ 30480 h 548640"/>
            <a:gd name="connsiteX2" fmla="*/ 2174240 w 2353310"/>
            <a:gd name="connsiteY2" fmla="*/ 537210 h 548640"/>
            <a:gd name="connsiteX3" fmla="*/ 0 w 2353310"/>
            <a:gd name="connsiteY3" fmla="*/ 548640 h 548640"/>
            <a:gd name="connsiteX4" fmla="*/ 167640 w 2353310"/>
            <a:gd name="connsiteY4" fmla="*/ 0 h 548640"/>
            <a:gd name="connsiteX0" fmla="*/ 182880 w 2353310"/>
            <a:gd name="connsiteY0" fmla="*/ 34290 h 518160"/>
            <a:gd name="connsiteX1" fmla="*/ 2353310 w 2353310"/>
            <a:gd name="connsiteY1" fmla="*/ 0 h 518160"/>
            <a:gd name="connsiteX2" fmla="*/ 2174240 w 2353310"/>
            <a:gd name="connsiteY2" fmla="*/ 506730 h 518160"/>
            <a:gd name="connsiteX3" fmla="*/ 0 w 2353310"/>
            <a:gd name="connsiteY3" fmla="*/ 518160 h 518160"/>
            <a:gd name="connsiteX4" fmla="*/ 182880 w 2353310"/>
            <a:gd name="connsiteY4" fmla="*/ 34290 h 518160"/>
            <a:gd name="connsiteX0" fmla="*/ 182880 w 2353310"/>
            <a:gd name="connsiteY0" fmla="*/ 0 h 518160"/>
            <a:gd name="connsiteX1" fmla="*/ 2353310 w 2353310"/>
            <a:gd name="connsiteY1" fmla="*/ 0 h 518160"/>
            <a:gd name="connsiteX2" fmla="*/ 2174240 w 2353310"/>
            <a:gd name="connsiteY2" fmla="*/ 506730 h 518160"/>
            <a:gd name="connsiteX3" fmla="*/ 0 w 2353310"/>
            <a:gd name="connsiteY3" fmla="*/ 518160 h 518160"/>
            <a:gd name="connsiteX4" fmla="*/ 182880 w 2353310"/>
            <a:gd name="connsiteY4" fmla="*/ 0 h 518160"/>
            <a:gd name="connsiteX0" fmla="*/ 182880 w 2299970"/>
            <a:gd name="connsiteY0" fmla="*/ 19050 h 537210"/>
            <a:gd name="connsiteX1" fmla="*/ 2299970 w 2299970"/>
            <a:gd name="connsiteY1" fmla="*/ 0 h 537210"/>
            <a:gd name="connsiteX2" fmla="*/ 2174240 w 2299970"/>
            <a:gd name="connsiteY2" fmla="*/ 525780 h 537210"/>
            <a:gd name="connsiteX3" fmla="*/ 0 w 2299970"/>
            <a:gd name="connsiteY3" fmla="*/ 537210 h 537210"/>
            <a:gd name="connsiteX4" fmla="*/ 182880 w 2299970"/>
            <a:gd name="connsiteY4" fmla="*/ 19050 h 537210"/>
            <a:gd name="connsiteX0" fmla="*/ 182880 w 2299970"/>
            <a:gd name="connsiteY0" fmla="*/ 34290 h 552450"/>
            <a:gd name="connsiteX1" fmla="*/ 2299970 w 2299970"/>
            <a:gd name="connsiteY1" fmla="*/ 0 h 552450"/>
            <a:gd name="connsiteX2" fmla="*/ 2174240 w 2299970"/>
            <a:gd name="connsiteY2" fmla="*/ 541020 h 552450"/>
            <a:gd name="connsiteX3" fmla="*/ 0 w 2299970"/>
            <a:gd name="connsiteY3" fmla="*/ 552450 h 552450"/>
            <a:gd name="connsiteX4" fmla="*/ 182880 w 2299970"/>
            <a:gd name="connsiteY4" fmla="*/ 34290 h 552450"/>
            <a:gd name="connsiteX0" fmla="*/ 182880 w 2299970"/>
            <a:gd name="connsiteY0" fmla="*/ 34290 h 601980"/>
            <a:gd name="connsiteX1" fmla="*/ 2299970 w 2299970"/>
            <a:gd name="connsiteY1" fmla="*/ 0 h 601980"/>
            <a:gd name="connsiteX2" fmla="*/ 2174240 w 2299970"/>
            <a:gd name="connsiteY2" fmla="*/ 601980 h 601980"/>
            <a:gd name="connsiteX3" fmla="*/ 0 w 2299970"/>
            <a:gd name="connsiteY3" fmla="*/ 552450 h 601980"/>
            <a:gd name="connsiteX4" fmla="*/ 182880 w 2299970"/>
            <a:gd name="connsiteY4" fmla="*/ 34290 h 601980"/>
            <a:gd name="connsiteX0" fmla="*/ 198120 w 2299970"/>
            <a:gd name="connsiteY0" fmla="*/ 0 h 662940"/>
            <a:gd name="connsiteX1" fmla="*/ 2299970 w 2299970"/>
            <a:gd name="connsiteY1" fmla="*/ 60960 h 662940"/>
            <a:gd name="connsiteX2" fmla="*/ 2174240 w 2299970"/>
            <a:gd name="connsiteY2" fmla="*/ 662940 h 662940"/>
            <a:gd name="connsiteX3" fmla="*/ 0 w 2299970"/>
            <a:gd name="connsiteY3" fmla="*/ 613410 h 662940"/>
            <a:gd name="connsiteX4" fmla="*/ 198120 w 2299970"/>
            <a:gd name="connsiteY4" fmla="*/ 0 h 662940"/>
            <a:gd name="connsiteX0" fmla="*/ 198120 w 2299970"/>
            <a:gd name="connsiteY0" fmla="*/ 0 h 628650"/>
            <a:gd name="connsiteX1" fmla="*/ 2299970 w 2299970"/>
            <a:gd name="connsiteY1" fmla="*/ 26670 h 628650"/>
            <a:gd name="connsiteX2" fmla="*/ 2174240 w 2299970"/>
            <a:gd name="connsiteY2" fmla="*/ 628650 h 628650"/>
            <a:gd name="connsiteX3" fmla="*/ 0 w 2299970"/>
            <a:gd name="connsiteY3" fmla="*/ 579120 h 628650"/>
            <a:gd name="connsiteX4" fmla="*/ 198120 w 2299970"/>
            <a:gd name="connsiteY4" fmla="*/ 0 h 628650"/>
            <a:gd name="connsiteX0" fmla="*/ 201930 w 2303780"/>
            <a:gd name="connsiteY0" fmla="*/ 0 h 628650"/>
            <a:gd name="connsiteX1" fmla="*/ 2303780 w 2303780"/>
            <a:gd name="connsiteY1" fmla="*/ 26670 h 628650"/>
            <a:gd name="connsiteX2" fmla="*/ 2178050 w 2303780"/>
            <a:gd name="connsiteY2" fmla="*/ 628650 h 628650"/>
            <a:gd name="connsiteX3" fmla="*/ 0 w 2303780"/>
            <a:gd name="connsiteY3" fmla="*/ 617220 h 628650"/>
            <a:gd name="connsiteX4" fmla="*/ 201930 w 2303780"/>
            <a:gd name="connsiteY4" fmla="*/ 0 h 628650"/>
            <a:gd name="connsiteX0" fmla="*/ 217170 w 2303780"/>
            <a:gd name="connsiteY0" fmla="*/ 15240 h 601980"/>
            <a:gd name="connsiteX1" fmla="*/ 2303780 w 2303780"/>
            <a:gd name="connsiteY1" fmla="*/ 0 h 601980"/>
            <a:gd name="connsiteX2" fmla="*/ 2178050 w 2303780"/>
            <a:gd name="connsiteY2" fmla="*/ 601980 h 601980"/>
            <a:gd name="connsiteX3" fmla="*/ 0 w 2303780"/>
            <a:gd name="connsiteY3" fmla="*/ 590550 h 601980"/>
            <a:gd name="connsiteX4" fmla="*/ 217170 w 2303780"/>
            <a:gd name="connsiteY4" fmla="*/ 15240 h 601980"/>
            <a:gd name="connsiteX0" fmla="*/ 217170 w 2303780"/>
            <a:gd name="connsiteY0" fmla="*/ 0 h 617220"/>
            <a:gd name="connsiteX1" fmla="*/ 2303780 w 2303780"/>
            <a:gd name="connsiteY1" fmla="*/ 15240 h 617220"/>
            <a:gd name="connsiteX2" fmla="*/ 2178050 w 2303780"/>
            <a:gd name="connsiteY2" fmla="*/ 617220 h 617220"/>
            <a:gd name="connsiteX3" fmla="*/ 0 w 2303780"/>
            <a:gd name="connsiteY3" fmla="*/ 605790 h 617220"/>
            <a:gd name="connsiteX4" fmla="*/ 217170 w 2303780"/>
            <a:gd name="connsiteY4" fmla="*/ 0 h 6172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303780" h="617220">
              <a:moveTo>
                <a:pt x="217170" y="0"/>
              </a:moveTo>
              <a:lnTo>
                <a:pt x="2303780" y="15240"/>
              </a:lnTo>
              <a:lnTo>
                <a:pt x="2178050" y="617220"/>
              </a:lnTo>
              <a:lnTo>
                <a:pt x="0" y="605790"/>
              </a:lnTo>
              <a:lnTo>
                <a:pt x="217170" y="0"/>
              </a:lnTo>
              <a:close/>
            </a:path>
          </a:pathLst>
        </a:custGeom>
        <a:blipFill>
          <a:blip xmlns:r="http://schemas.openxmlformats.org/officeDocument/2006/relationships" r:embed="rId2"/>
          <a:tile tx="0" ty="0" sx="100000" sy="100000" flip="none" algn="tl"/>
        </a:blip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C93D87-BF86-4074-8F68-8175D17E90F5}" type="TxLink">
            <a:rPr lang="en-US" sz="1000" b="0" i="0" u="none" strike="noStrike">
              <a:solidFill>
                <a:schemeClr val="tx1"/>
              </a:solidFill>
              <a:latin typeface="AR JULIAN" panose="02000000000000000000" pitchFamily="2" charset="0"/>
              <a:cs typeface="Arial"/>
            </a:rPr>
            <a:pPr algn="ctr"/>
            <a:t>The lowest Inventory turnover was 6.19 by Isetan</a:t>
          </a:fld>
          <a:endParaRPr lang="en-SG" sz="1100">
            <a:solidFill>
              <a:schemeClr val="tx1"/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14</xdr:col>
      <xdr:colOff>304116</xdr:colOff>
      <xdr:row>17</xdr:row>
      <xdr:rowOff>32115</xdr:rowOff>
    </xdr:from>
    <xdr:to>
      <xdr:col>19</xdr:col>
      <xdr:colOff>489172</xdr:colOff>
      <xdr:row>21</xdr:row>
      <xdr:rowOff>11795</xdr:rowOff>
    </xdr:to>
    <xdr:sp macro="" textlink="'Control LQ Suganya'!A46">
      <xdr:nvSpPr>
        <xdr:cNvPr id="5" name="Rectangle 8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9055210" y="3925459"/>
          <a:ext cx="3221150" cy="646430"/>
        </a:xfrm>
        <a:custGeom>
          <a:avLst/>
          <a:gdLst>
            <a:gd name="connsiteX0" fmla="*/ 0 w 2118360"/>
            <a:gd name="connsiteY0" fmla="*/ 0 h 631190"/>
            <a:gd name="connsiteX1" fmla="*/ 2118360 w 2118360"/>
            <a:gd name="connsiteY1" fmla="*/ 0 h 631190"/>
            <a:gd name="connsiteX2" fmla="*/ 2118360 w 2118360"/>
            <a:gd name="connsiteY2" fmla="*/ 631190 h 631190"/>
            <a:gd name="connsiteX3" fmla="*/ 0 w 2118360"/>
            <a:gd name="connsiteY3" fmla="*/ 631190 h 631190"/>
            <a:gd name="connsiteX4" fmla="*/ 0 w 2118360"/>
            <a:gd name="connsiteY4" fmla="*/ 0 h 631190"/>
            <a:gd name="connsiteX0" fmla="*/ 0 w 2186940"/>
            <a:gd name="connsiteY0" fmla="*/ 0 h 631190"/>
            <a:gd name="connsiteX1" fmla="*/ 2186940 w 2186940"/>
            <a:gd name="connsiteY1" fmla="*/ 26670 h 631190"/>
            <a:gd name="connsiteX2" fmla="*/ 2118360 w 2186940"/>
            <a:gd name="connsiteY2" fmla="*/ 631190 h 631190"/>
            <a:gd name="connsiteX3" fmla="*/ 0 w 2186940"/>
            <a:gd name="connsiteY3" fmla="*/ 631190 h 631190"/>
            <a:gd name="connsiteX4" fmla="*/ 0 w 2186940"/>
            <a:gd name="connsiteY4" fmla="*/ 0 h 631190"/>
            <a:gd name="connsiteX0" fmla="*/ 72390 w 2186940"/>
            <a:gd name="connsiteY0" fmla="*/ 11430 h 604520"/>
            <a:gd name="connsiteX1" fmla="*/ 2186940 w 2186940"/>
            <a:gd name="connsiteY1" fmla="*/ 0 h 604520"/>
            <a:gd name="connsiteX2" fmla="*/ 2118360 w 2186940"/>
            <a:gd name="connsiteY2" fmla="*/ 604520 h 604520"/>
            <a:gd name="connsiteX3" fmla="*/ 0 w 2186940"/>
            <a:gd name="connsiteY3" fmla="*/ 604520 h 604520"/>
            <a:gd name="connsiteX4" fmla="*/ 72390 w 2186940"/>
            <a:gd name="connsiteY4" fmla="*/ 11430 h 604520"/>
            <a:gd name="connsiteX0" fmla="*/ 175260 w 2289810"/>
            <a:gd name="connsiteY0" fmla="*/ 11430 h 604520"/>
            <a:gd name="connsiteX1" fmla="*/ 2289810 w 2289810"/>
            <a:gd name="connsiteY1" fmla="*/ 0 h 604520"/>
            <a:gd name="connsiteX2" fmla="*/ 2221230 w 2289810"/>
            <a:gd name="connsiteY2" fmla="*/ 604520 h 604520"/>
            <a:gd name="connsiteX3" fmla="*/ 0 w 2289810"/>
            <a:gd name="connsiteY3" fmla="*/ 604520 h 604520"/>
            <a:gd name="connsiteX4" fmla="*/ 175260 w 2289810"/>
            <a:gd name="connsiteY4" fmla="*/ 11430 h 604520"/>
            <a:gd name="connsiteX0" fmla="*/ 175260 w 2289810"/>
            <a:gd name="connsiteY0" fmla="*/ 11430 h 604520"/>
            <a:gd name="connsiteX1" fmla="*/ 2289810 w 2289810"/>
            <a:gd name="connsiteY1" fmla="*/ 0 h 604520"/>
            <a:gd name="connsiteX2" fmla="*/ 2160270 w 2289810"/>
            <a:gd name="connsiteY2" fmla="*/ 596900 h 604520"/>
            <a:gd name="connsiteX3" fmla="*/ 0 w 2289810"/>
            <a:gd name="connsiteY3" fmla="*/ 604520 h 604520"/>
            <a:gd name="connsiteX4" fmla="*/ 175260 w 2289810"/>
            <a:gd name="connsiteY4" fmla="*/ 11430 h 604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289810" h="604520">
              <a:moveTo>
                <a:pt x="175260" y="11430"/>
              </a:moveTo>
              <a:lnTo>
                <a:pt x="2289810" y="0"/>
              </a:lnTo>
              <a:lnTo>
                <a:pt x="2160270" y="596900"/>
              </a:lnTo>
              <a:lnTo>
                <a:pt x="0" y="604520"/>
              </a:lnTo>
              <a:lnTo>
                <a:pt x="175260" y="11430"/>
              </a:lnTo>
              <a:close/>
            </a:path>
          </a:pathLst>
        </a:custGeom>
        <a:blipFill>
          <a:blip xmlns:r="http://schemas.openxmlformats.org/officeDocument/2006/relationships" r:embed="rId2"/>
          <a:tile tx="0" ty="0" sx="100000" sy="100000" flip="none" algn="tl"/>
        </a:blip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21D4B75-9210-471E-B25C-EEE85171D588}" type="TxLink">
            <a:rPr lang="en-US" sz="1000" b="0" i="0" u="none" strike="noStrike">
              <a:solidFill>
                <a:schemeClr val="tx1"/>
              </a:solidFill>
              <a:latin typeface="AR JULIAN" panose="02000000000000000000" pitchFamily="2" charset="0"/>
              <a:cs typeface="Arial"/>
            </a:rPr>
            <a:pPr algn="ctr"/>
            <a:t>The highest Inventory turnover was 17.73 by Isetan</a:t>
          </a:fld>
          <a:endParaRPr lang="en-SG" sz="1100">
            <a:solidFill>
              <a:schemeClr val="tx1"/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13</xdr:col>
      <xdr:colOff>564353</xdr:colOff>
      <xdr:row>24</xdr:row>
      <xdr:rowOff>51165</xdr:rowOff>
    </xdr:from>
    <xdr:to>
      <xdr:col>19</xdr:col>
      <xdr:colOff>282344</xdr:colOff>
      <xdr:row>28</xdr:row>
      <xdr:rowOff>15604</xdr:rowOff>
    </xdr:to>
    <xdr:sp macro="" textlink="'Control LQ Suganya'!A48">
      <xdr:nvSpPr>
        <xdr:cNvPr id="6" name="Rectangle 9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8708228" y="5111321"/>
          <a:ext cx="3361304" cy="631189"/>
        </a:xfrm>
        <a:custGeom>
          <a:avLst/>
          <a:gdLst>
            <a:gd name="connsiteX0" fmla="*/ 0 w 2105660"/>
            <a:gd name="connsiteY0" fmla="*/ 0 h 631190"/>
            <a:gd name="connsiteX1" fmla="*/ 2105660 w 2105660"/>
            <a:gd name="connsiteY1" fmla="*/ 0 h 631190"/>
            <a:gd name="connsiteX2" fmla="*/ 2105660 w 2105660"/>
            <a:gd name="connsiteY2" fmla="*/ 631190 h 631190"/>
            <a:gd name="connsiteX3" fmla="*/ 0 w 2105660"/>
            <a:gd name="connsiteY3" fmla="*/ 631190 h 631190"/>
            <a:gd name="connsiteX4" fmla="*/ 0 w 2105660"/>
            <a:gd name="connsiteY4" fmla="*/ 0 h 631190"/>
            <a:gd name="connsiteX0" fmla="*/ 0 w 2212340"/>
            <a:gd name="connsiteY0" fmla="*/ 0 h 631190"/>
            <a:gd name="connsiteX1" fmla="*/ 2212340 w 2212340"/>
            <a:gd name="connsiteY1" fmla="*/ 41910 h 631190"/>
            <a:gd name="connsiteX2" fmla="*/ 2105660 w 2212340"/>
            <a:gd name="connsiteY2" fmla="*/ 631190 h 631190"/>
            <a:gd name="connsiteX3" fmla="*/ 0 w 2212340"/>
            <a:gd name="connsiteY3" fmla="*/ 631190 h 631190"/>
            <a:gd name="connsiteX4" fmla="*/ 0 w 2212340"/>
            <a:gd name="connsiteY4" fmla="*/ 0 h 631190"/>
            <a:gd name="connsiteX0" fmla="*/ 68580 w 2212340"/>
            <a:gd name="connsiteY0" fmla="*/ 0 h 589280"/>
            <a:gd name="connsiteX1" fmla="*/ 2212340 w 2212340"/>
            <a:gd name="connsiteY1" fmla="*/ 0 h 589280"/>
            <a:gd name="connsiteX2" fmla="*/ 2105660 w 2212340"/>
            <a:gd name="connsiteY2" fmla="*/ 589280 h 589280"/>
            <a:gd name="connsiteX3" fmla="*/ 0 w 2212340"/>
            <a:gd name="connsiteY3" fmla="*/ 589280 h 589280"/>
            <a:gd name="connsiteX4" fmla="*/ 68580 w 2212340"/>
            <a:gd name="connsiteY4" fmla="*/ 0 h 589280"/>
            <a:gd name="connsiteX0" fmla="*/ 182880 w 2326640"/>
            <a:gd name="connsiteY0" fmla="*/ 0 h 589280"/>
            <a:gd name="connsiteX1" fmla="*/ 2326640 w 2326640"/>
            <a:gd name="connsiteY1" fmla="*/ 0 h 589280"/>
            <a:gd name="connsiteX2" fmla="*/ 2219960 w 2326640"/>
            <a:gd name="connsiteY2" fmla="*/ 589280 h 589280"/>
            <a:gd name="connsiteX3" fmla="*/ 0 w 2326640"/>
            <a:gd name="connsiteY3" fmla="*/ 585470 h 589280"/>
            <a:gd name="connsiteX4" fmla="*/ 182880 w 2326640"/>
            <a:gd name="connsiteY4" fmla="*/ 0 h 5892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326640" h="589280">
              <a:moveTo>
                <a:pt x="182880" y="0"/>
              </a:moveTo>
              <a:lnTo>
                <a:pt x="2326640" y="0"/>
              </a:lnTo>
              <a:lnTo>
                <a:pt x="2219960" y="589280"/>
              </a:lnTo>
              <a:lnTo>
                <a:pt x="0" y="585470"/>
              </a:lnTo>
              <a:lnTo>
                <a:pt x="182880" y="0"/>
              </a:lnTo>
              <a:close/>
            </a:path>
          </a:pathLst>
        </a:custGeom>
        <a:blipFill>
          <a:blip xmlns:r="http://schemas.openxmlformats.org/officeDocument/2006/relationships" r:embed="rId2"/>
          <a:tile tx="0" ty="0" sx="100000" sy="100000" flip="none" algn="tl"/>
        </a:blip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F229ECD-F8C1-43A6-BCD9-20F6EB06A2C0}" type="TxLink">
            <a:rPr lang="en-US" sz="1000" b="0" i="0" u="none" strike="noStrike">
              <a:solidFill>
                <a:schemeClr val="tx1"/>
              </a:solidFill>
              <a:latin typeface="AR JULIAN" panose="02000000000000000000" pitchFamily="2" charset="0"/>
              <a:cs typeface="Arial"/>
            </a:rPr>
            <a:pPr algn="ctr"/>
            <a:t>The average Inventory turnover was 12.30</a:t>
          </a:fld>
          <a:endParaRPr lang="en-SG" sz="1100" b="0">
            <a:solidFill>
              <a:schemeClr val="tx1"/>
            </a:solidFill>
            <a:latin typeface="AR JULIAN" panose="020000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31</xdr:row>
          <xdr:rowOff>68580</xdr:rowOff>
        </xdr:from>
        <xdr:to>
          <xdr:col>8</xdr:col>
          <xdr:colOff>45720</xdr:colOff>
          <xdr:row>33</xdr:row>
          <xdr:rowOff>106680</xdr:rowOff>
        </xdr:to>
        <xdr:sp macro="" textlink="">
          <xdr:nvSpPr>
            <xdr:cNvPr id="31746" name="Drop Dow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596332</xdr:colOff>
      <xdr:row>34</xdr:row>
      <xdr:rowOff>100351</xdr:rowOff>
    </xdr:from>
    <xdr:to>
      <xdr:col>12</xdr:col>
      <xdr:colOff>309561</xdr:colOff>
      <xdr:row>52</xdr:row>
      <xdr:rowOff>152742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502439</xdr:colOff>
      <xdr:row>35</xdr:row>
      <xdr:rowOff>13065</xdr:rowOff>
    </xdr:from>
    <xdr:to>
      <xdr:col>19</xdr:col>
      <xdr:colOff>545981</xdr:colOff>
      <xdr:row>39</xdr:row>
      <xdr:rowOff>5446</xdr:rowOff>
    </xdr:to>
    <xdr:sp macro="" textlink="'Control LQ Suganya'!F30">
      <xdr:nvSpPr>
        <xdr:cNvPr id="9" name="Rectangle 3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9253533" y="6906784"/>
          <a:ext cx="3079636" cy="659131"/>
        </a:xfrm>
        <a:custGeom>
          <a:avLst/>
          <a:gdLst>
            <a:gd name="connsiteX0" fmla="*/ 0 w 2105660"/>
            <a:gd name="connsiteY0" fmla="*/ 0 h 628650"/>
            <a:gd name="connsiteX1" fmla="*/ 2105660 w 2105660"/>
            <a:gd name="connsiteY1" fmla="*/ 0 h 628650"/>
            <a:gd name="connsiteX2" fmla="*/ 2105660 w 2105660"/>
            <a:gd name="connsiteY2" fmla="*/ 628650 h 628650"/>
            <a:gd name="connsiteX3" fmla="*/ 0 w 2105660"/>
            <a:gd name="connsiteY3" fmla="*/ 628650 h 628650"/>
            <a:gd name="connsiteX4" fmla="*/ 0 w 2105660"/>
            <a:gd name="connsiteY4" fmla="*/ 0 h 628650"/>
            <a:gd name="connsiteX0" fmla="*/ 0 w 2280920"/>
            <a:gd name="connsiteY0" fmla="*/ 0 h 628650"/>
            <a:gd name="connsiteX1" fmla="*/ 2280920 w 2280920"/>
            <a:gd name="connsiteY1" fmla="*/ 129540 h 628650"/>
            <a:gd name="connsiteX2" fmla="*/ 2105660 w 2280920"/>
            <a:gd name="connsiteY2" fmla="*/ 628650 h 628650"/>
            <a:gd name="connsiteX3" fmla="*/ 0 w 2280920"/>
            <a:gd name="connsiteY3" fmla="*/ 628650 h 628650"/>
            <a:gd name="connsiteX4" fmla="*/ 0 w 2280920"/>
            <a:gd name="connsiteY4" fmla="*/ 0 h 628650"/>
            <a:gd name="connsiteX0" fmla="*/ 0 w 2219960"/>
            <a:gd name="connsiteY0" fmla="*/ 0 h 628650"/>
            <a:gd name="connsiteX1" fmla="*/ 2219960 w 2219960"/>
            <a:gd name="connsiteY1" fmla="*/ 64770 h 628650"/>
            <a:gd name="connsiteX2" fmla="*/ 2105660 w 2219960"/>
            <a:gd name="connsiteY2" fmla="*/ 628650 h 628650"/>
            <a:gd name="connsiteX3" fmla="*/ 0 w 2219960"/>
            <a:gd name="connsiteY3" fmla="*/ 628650 h 628650"/>
            <a:gd name="connsiteX4" fmla="*/ 0 w 2219960"/>
            <a:gd name="connsiteY4" fmla="*/ 0 h 628650"/>
            <a:gd name="connsiteX0" fmla="*/ 144780 w 2219960"/>
            <a:gd name="connsiteY0" fmla="*/ 0 h 601980"/>
            <a:gd name="connsiteX1" fmla="*/ 2219960 w 2219960"/>
            <a:gd name="connsiteY1" fmla="*/ 38100 h 601980"/>
            <a:gd name="connsiteX2" fmla="*/ 2105660 w 2219960"/>
            <a:gd name="connsiteY2" fmla="*/ 601980 h 601980"/>
            <a:gd name="connsiteX3" fmla="*/ 0 w 2219960"/>
            <a:gd name="connsiteY3" fmla="*/ 601980 h 601980"/>
            <a:gd name="connsiteX4" fmla="*/ 144780 w 2219960"/>
            <a:gd name="connsiteY4" fmla="*/ 0 h 601980"/>
            <a:gd name="connsiteX0" fmla="*/ 144780 w 2219960"/>
            <a:gd name="connsiteY0" fmla="*/ 30480 h 563880"/>
            <a:gd name="connsiteX1" fmla="*/ 2219960 w 2219960"/>
            <a:gd name="connsiteY1" fmla="*/ 0 h 563880"/>
            <a:gd name="connsiteX2" fmla="*/ 2105660 w 2219960"/>
            <a:gd name="connsiteY2" fmla="*/ 563880 h 563880"/>
            <a:gd name="connsiteX3" fmla="*/ 0 w 2219960"/>
            <a:gd name="connsiteY3" fmla="*/ 563880 h 563880"/>
            <a:gd name="connsiteX4" fmla="*/ 144780 w 2219960"/>
            <a:gd name="connsiteY4" fmla="*/ 30480 h 563880"/>
            <a:gd name="connsiteX0" fmla="*/ 148590 w 2219960"/>
            <a:gd name="connsiteY0" fmla="*/ 0 h 594360"/>
            <a:gd name="connsiteX1" fmla="*/ 2219960 w 2219960"/>
            <a:gd name="connsiteY1" fmla="*/ 30480 h 594360"/>
            <a:gd name="connsiteX2" fmla="*/ 2105660 w 2219960"/>
            <a:gd name="connsiteY2" fmla="*/ 594360 h 594360"/>
            <a:gd name="connsiteX3" fmla="*/ 0 w 2219960"/>
            <a:gd name="connsiteY3" fmla="*/ 594360 h 594360"/>
            <a:gd name="connsiteX4" fmla="*/ 148590 w 2219960"/>
            <a:gd name="connsiteY4" fmla="*/ 0 h 594360"/>
            <a:gd name="connsiteX0" fmla="*/ 167640 w 2219960"/>
            <a:gd name="connsiteY0" fmla="*/ 15240 h 563880"/>
            <a:gd name="connsiteX1" fmla="*/ 2219960 w 2219960"/>
            <a:gd name="connsiteY1" fmla="*/ 0 h 563880"/>
            <a:gd name="connsiteX2" fmla="*/ 2105660 w 2219960"/>
            <a:gd name="connsiteY2" fmla="*/ 563880 h 563880"/>
            <a:gd name="connsiteX3" fmla="*/ 0 w 2219960"/>
            <a:gd name="connsiteY3" fmla="*/ 563880 h 563880"/>
            <a:gd name="connsiteX4" fmla="*/ 167640 w 2219960"/>
            <a:gd name="connsiteY4" fmla="*/ 15240 h 563880"/>
            <a:gd name="connsiteX0" fmla="*/ 167640 w 2269490"/>
            <a:gd name="connsiteY0" fmla="*/ 15240 h 632460"/>
            <a:gd name="connsiteX1" fmla="*/ 2219960 w 2269490"/>
            <a:gd name="connsiteY1" fmla="*/ 0 h 632460"/>
            <a:gd name="connsiteX2" fmla="*/ 2269490 w 2269490"/>
            <a:gd name="connsiteY2" fmla="*/ 632460 h 632460"/>
            <a:gd name="connsiteX3" fmla="*/ 0 w 2269490"/>
            <a:gd name="connsiteY3" fmla="*/ 563880 h 632460"/>
            <a:gd name="connsiteX4" fmla="*/ 167640 w 2269490"/>
            <a:gd name="connsiteY4" fmla="*/ 15240 h 632460"/>
            <a:gd name="connsiteX0" fmla="*/ 167640 w 2219960"/>
            <a:gd name="connsiteY0" fmla="*/ 15240 h 563880"/>
            <a:gd name="connsiteX1" fmla="*/ 2219960 w 2219960"/>
            <a:gd name="connsiteY1" fmla="*/ 0 h 563880"/>
            <a:gd name="connsiteX2" fmla="*/ 2174240 w 2219960"/>
            <a:gd name="connsiteY2" fmla="*/ 552450 h 563880"/>
            <a:gd name="connsiteX3" fmla="*/ 0 w 2219960"/>
            <a:gd name="connsiteY3" fmla="*/ 563880 h 563880"/>
            <a:gd name="connsiteX4" fmla="*/ 167640 w 2219960"/>
            <a:gd name="connsiteY4" fmla="*/ 15240 h 563880"/>
            <a:gd name="connsiteX0" fmla="*/ 167640 w 2353310"/>
            <a:gd name="connsiteY0" fmla="*/ 0 h 548640"/>
            <a:gd name="connsiteX1" fmla="*/ 2353310 w 2353310"/>
            <a:gd name="connsiteY1" fmla="*/ 30480 h 548640"/>
            <a:gd name="connsiteX2" fmla="*/ 2174240 w 2353310"/>
            <a:gd name="connsiteY2" fmla="*/ 537210 h 548640"/>
            <a:gd name="connsiteX3" fmla="*/ 0 w 2353310"/>
            <a:gd name="connsiteY3" fmla="*/ 548640 h 548640"/>
            <a:gd name="connsiteX4" fmla="*/ 167640 w 2353310"/>
            <a:gd name="connsiteY4" fmla="*/ 0 h 548640"/>
            <a:gd name="connsiteX0" fmla="*/ 182880 w 2353310"/>
            <a:gd name="connsiteY0" fmla="*/ 34290 h 518160"/>
            <a:gd name="connsiteX1" fmla="*/ 2353310 w 2353310"/>
            <a:gd name="connsiteY1" fmla="*/ 0 h 518160"/>
            <a:gd name="connsiteX2" fmla="*/ 2174240 w 2353310"/>
            <a:gd name="connsiteY2" fmla="*/ 506730 h 518160"/>
            <a:gd name="connsiteX3" fmla="*/ 0 w 2353310"/>
            <a:gd name="connsiteY3" fmla="*/ 518160 h 518160"/>
            <a:gd name="connsiteX4" fmla="*/ 182880 w 2353310"/>
            <a:gd name="connsiteY4" fmla="*/ 34290 h 518160"/>
            <a:gd name="connsiteX0" fmla="*/ 182880 w 2353310"/>
            <a:gd name="connsiteY0" fmla="*/ 0 h 518160"/>
            <a:gd name="connsiteX1" fmla="*/ 2353310 w 2353310"/>
            <a:gd name="connsiteY1" fmla="*/ 0 h 518160"/>
            <a:gd name="connsiteX2" fmla="*/ 2174240 w 2353310"/>
            <a:gd name="connsiteY2" fmla="*/ 506730 h 518160"/>
            <a:gd name="connsiteX3" fmla="*/ 0 w 2353310"/>
            <a:gd name="connsiteY3" fmla="*/ 518160 h 518160"/>
            <a:gd name="connsiteX4" fmla="*/ 182880 w 2353310"/>
            <a:gd name="connsiteY4" fmla="*/ 0 h 518160"/>
            <a:gd name="connsiteX0" fmla="*/ 182880 w 2299970"/>
            <a:gd name="connsiteY0" fmla="*/ 19050 h 537210"/>
            <a:gd name="connsiteX1" fmla="*/ 2299970 w 2299970"/>
            <a:gd name="connsiteY1" fmla="*/ 0 h 537210"/>
            <a:gd name="connsiteX2" fmla="*/ 2174240 w 2299970"/>
            <a:gd name="connsiteY2" fmla="*/ 525780 h 537210"/>
            <a:gd name="connsiteX3" fmla="*/ 0 w 2299970"/>
            <a:gd name="connsiteY3" fmla="*/ 537210 h 537210"/>
            <a:gd name="connsiteX4" fmla="*/ 182880 w 2299970"/>
            <a:gd name="connsiteY4" fmla="*/ 19050 h 537210"/>
            <a:gd name="connsiteX0" fmla="*/ 182880 w 2299970"/>
            <a:gd name="connsiteY0" fmla="*/ 34290 h 552450"/>
            <a:gd name="connsiteX1" fmla="*/ 2299970 w 2299970"/>
            <a:gd name="connsiteY1" fmla="*/ 0 h 552450"/>
            <a:gd name="connsiteX2" fmla="*/ 2174240 w 2299970"/>
            <a:gd name="connsiteY2" fmla="*/ 541020 h 552450"/>
            <a:gd name="connsiteX3" fmla="*/ 0 w 2299970"/>
            <a:gd name="connsiteY3" fmla="*/ 552450 h 552450"/>
            <a:gd name="connsiteX4" fmla="*/ 182880 w 2299970"/>
            <a:gd name="connsiteY4" fmla="*/ 34290 h 552450"/>
            <a:gd name="connsiteX0" fmla="*/ 182880 w 2299970"/>
            <a:gd name="connsiteY0" fmla="*/ 34290 h 601980"/>
            <a:gd name="connsiteX1" fmla="*/ 2299970 w 2299970"/>
            <a:gd name="connsiteY1" fmla="*/ 0 h 601980"/>
            <a:gd name="connsiteX2" fmla="*/ 2174240 w 2299970"/>
            <a:gd name="connsiteY2" fmla="*/ 601980 h 601980"/>
            <a:gd name="connsiteX3" fmla="*/ 0 w 2299970"/>
            <a:gd name="connsiteY3" fmla="*/ 552450 h 601980"/>
            <a:gd name="connsiteX4" fmla="*/ 182880 w 2299970"/>
            <a:gd name="connsiteY4" fmla="*/ 34290 h 601980"/>
            <a:gd name="connsiteX0" fmla="*/ 198120 w 2299970"/>
            <a:gd name="connsiteY0" fmla="*/ 0 h 662940"/>
            <a:gd name="connsiteX1" fmla="*/ 2299970 w 2299970"/>
            <a:gd name="connsiteY1" fmla="*/ 60960 h 662940"/>
            <a:gd name="connsiteX2" fmla="*/ 2174240 w 2299970"/>
            <a:gd name="connsiteY2" fmla="*/ 662940 h 662940"/>
            <a:gd name="connsiteX3" fmla="*/ 0 w 2299970"/>
            <a:gd name="connsiteY3" fmla="*/ 613410 h 662940"/>
            <a:gd name="connsiteX4" fmla="*/ 198120 w 2299970"/>
            <a:gd name="connsiteY4" fmla="*/ 0 h 662940"/>
            <a:gd name="connsiteX0" fmla="*/ 198120 w 2299970"/>
            <a:gd name="connsiteY0" fmla="*/ 0 h 628650"/>
            <a:gd name="connsiteX1" fmla="*/ 2299970 w 2299970"/>
            <a:gd name="connsiteY1" fmla="*/ 26670 h 628650"/>
            <a:gd name="connsiteX2" fmla="*/ 2174240 w 2299970"/>
            <a:gd name="connsiteY2" fmla="*/ 628650 h 628650"/>
            <a:gd name="connsiteX3" fmla="*/ 0 w 2299970"/>
            <a:gd name="connsiteY3" fmla="*/ 579120 h 628650"/>
            <a:gd name="connsiteX4" fmla="*/ 198120 w 2299970"/>
            <a:gd name="connsiteY4" fmla="*/ 0 h 628650"/>
            <a:gd name="connsiteX0" fmla="*/ 201930 w 2303780"/>
            <a:gd name="connsiteY0" fmla="*/ 0 h 628650"/>
            <a:gd name="connsiteX1" fmla="*/ 2303780 w 2303780"/>
            <a:gd name="connsiteY1" fmla="*/ 26670 h 628650"/>
            <a:gd name="connsiteX2" fmla="*/ 2178050 w 2303780"/>
            <a:gd name="connsiteY2" fmla="*/ 628650 h 628650"/>
            <a:gd name="connsiteX3" fmla="*/ 0 w 2303780"/>
            <a:gd name="connsiteY3" fmla="*/ 617220 h 628650"/>
            <a:gd name="connsiteX4" fmla="*/ 201930 w 2303780"/>
            <a:gd name="connsiteY4" fmla="*/ 0 h 628650"/>
            <a:gd name="connsiteX0" fmla="*/ 217170 w 2303780"/>
            <a:gd name="connsiteY0" fmla="*/ 15240 h 601980"/>
            <a:gd name="connsiteX1" fmla="*/ 2303780 w 2303780"/>
            <a:gd name="connsiteY1" fmla="*/ 0 h 601980"/>
            <a:gd name="connsiteX2" fmla="*/ 2178050 w 2303780"/>
            <a:gd name="connsiteY2" fmla="*/ 601980 h 601980"/>
            <a:gd name="connsiteX3" fmla="*/ 0 w 2303780"/>
            <a:gd name="connsiteY3" fmla="*/ 590550 h 601980"/>
            <a:gd name="connsiteX4" fmla="*/ 217170 w 2303780"/>
            <a:gd name="connsiteY4" fmla="*/ 15240 h 601980"/>
            <a:gd name="connsiteX0" fmla="*/ 217170 w 2303780"/>
            <a:gd name="connsiteY0" fmla="*/ 0 h 617220"/>
            <a:gd name="connsiteX1" fmla="*/ 2303780 w 2303780"/>
            <a:gd name="connsiteY1" fmla="*/ 15240 h 617220"/>
            <a:gd name="connsiteX2" fmla="*/ 2178050 w 2303780"/>
            <a:gd name="connsiteY2" fmla="*/ 617220 h 617220"/>
            <a:gd name="connsiteX3" fmla="*/ 0 w 2303780"/>
            <a:gd name="connsiteY3" fmla="*/ 605790 h 617220"/>
            <a:gd name="connsiteX4" fmla="*/ 217170 w 2303780"/>
            <a:gd name="connsiteY4" fmla="*/ 0 h 6172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303780" h="617220">
              <a:moveTo>
                <a:pt x="217170" y="0"/>
              </a:moveTo>
              <a:lnTo>
                <a:pt x="2303780" y="15240"/>
              </a:lnTo>
              <a:lnTo>
                <a:pt x="2178050" y="617220"/>
              </a:lnTo>
              <a:lnTo>
                <a:pt x="0" y="605790"/>
              </a:lnTo>
              <a:lnTo>
                <a:pt x="217170" y="0"/>
              </a:lnTo>
              <a:close/>
            </a:path>
          </a:pathLst>
        </a:custGeom>
        <a:blipFill>
          <a:blip xmlns:r="http://schemas.openxmlformats.org/officeDocument/2006/relationships" r:embed="rId2"/>
          <a:tile tx="0" ty="0" sx="100000" sy="100000" flip="none" algn="tl"/>
        </a:blip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58A4FC7-5276-4FAD-9053-D98B7FA542D5}" type="TxLink">
            <a:rPr lang="en-US" sz="1000" b="0" i="0" u="none" strike="noStrike">
              <a:solidFill>
                <a:srgbClr val="000000"/>
              </a:solidFill>
              <a:latin typeface="AR JULIAN" panose="02000000000000000000" pitchFamily="2" charset="0"/>
              <a:cs typeface="Arial"/>
            </a:rPr>
            <a:pPr algn="ctr"/>
            <a:t>The highest Quick ratio of 5.98 was by Metro</a:t>
          </a:fld>
          <a:endParaRPr lang="en-SG" sz="1100">
            <a:solidFill>
              <a:schemeClr val="accent3">
                <a:lumMod val="50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14</xdr:col>
      <xdr:colOff>160900</xdr:colOff>
      <xdr:row>42</xdr:row>
      <xdr:rowOff>13065</xdr:rowOff>
    </xdr:from>
    <xdr:to>
      <xdr:col>19</xdr:col>
      <xdr:colOff>280641</xdr:colOff>
      <xdr:row>45</xdr:row>
      <xdr:rowOff>150590</xdr:rowOff>
    </xdr:to>
    <xdr:sp macro="" textlink="'Control LQ Suganya'!F31">
      <xdr:nvSpPr>
        <xdr:cNvPr id="10" name="Rectangle 8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911994" y="8073596"/>
          <a:ext cx="3155835" cy="637588"/>
        </a:xfrm>
        <a:custGeom>
          <a:avLst/>
          <a:gdLst>
            <a:gd name="connsiteX0" fmla="*/ 0 w 2118360"/>
            <a:gd name="connsiteY0" fmla="*/ 0 h 631190"/>
            <a:gd name="connsiteX1" fmla="*/ 2118360 w 2118360"/>
            <a:gd name="connsiteY1" fmla="*/ 0 h 631190"/>
            <a:gd name="connsiteX2" fmla="*/ 2118360 w 2118360"/>
            <a:gd name="connsiteY2" fmla="*/ 631190 h 631190"/>
            <a:gd name="connsiteX3" fmla="*/ 0 w 2118360"/>
            <a:gd name="connsiteY3" fmla="*/ 631190 h 631190"/>
            <a:gd name="connsiteX4" fmla="*/ 0 w 2118360"/>
            <a:gd name="connsiteY4" fmla="*/ 0 h 631190"/>
            <a:gd name="connsiteX0" fmla="*/ 0 w 2186940"/>
            <a:gd name="connsiteY0" fmla="*/ 0 h 631190"/>
            <a:gd name="connsiteX1" fmla="*/ 2186940 w 2186940"/>
            <a:gd name="connsiteY1" fmla="*/ 26670 h 631190"/>
            <a:gd name="connsiteX2" fmla="*/ 2118360 w 2186940"/>
            <a:gd name="connsiteY2" fmla="*/ 631190 h 631190"/>
            <a:gd name="connsiteX3" fmla="*/ 0 w 2186940"/>
            <a:gd name="connsiteY3" fmla="*/ 631190 h 631190"/>
            <a:gd name="connsiteX4" fmla="*/ 0 w 2186940"/>
            <a:gd name="connsiteY4" fmla="*/ 0 h 631190"/>
            <a:gd name="connsiteX0" fmla="*/ 72390 w 2186940"/>
            <a:gd name="connsiteY0" fmla="*/ 11430 h 604520"/>
            <a:gd name="connsiteX1" fmla="*/ 2186940 w 2186940"/>
            <a:gd name="connsiteY1" fmla="*/ 0 h 604520"/>
            <a:gd name="connsiteX2" fmla="*/ 2118360 w 2186940"/>
            <a:gd name="connsiteY2" fmla="*/ 604520 h 604520"/>
            <a:gd name="connsiteX3" fmla="*/ 0 w 2186940"/>
            <a:gd name="connsiteY3" fmla="*/ 604520 h 604520"/>
            <a:gd name="connsiteX4" fmla="*/ 72390 w 2186940"/>
            <a:gd name="connsiteY4" fmla="*/ 11430 h 604520"/>
            <a:gd name="connsiteX0" fmla="*/ 175260 w 2289810"/>
            <a:gd name="connsiteY0" fmla="*/ 11430 h 604520"/>
            <a:gd name="connsiteX1" fmla="*/ 2289810 w 2289810"/>
            <a:gd name="connsiteY1" fmla="*/ 0 h 604520"/>
            <a:gd name="connsiteX2" fmla="*/ 2221230 w 2289810"/>
            <a:gd name="connsiteY2" fmla="*/ 604520 h 604520"/>
            <a:gd name="connsiteX3" fmla="*/ 0 w 2289810"/>
            <a:gd name="connsiteY3" fmla="*/ 604520 h 604520"/>
            <a:gd name="connsiteX4" fmla="*/ 175260 w 2289810"/>
            <a:gd name="connsiteY4" fmla="*/ 11430 h 604520"/>
            <a:gd name="connsiteX0" fmla="*/ 175260 w 2289810"/>
            <a:gd name="connsiteY0" fmla="*/ 11430 h 604520"/>
            <a:gd name="connsiteX1" fmla="*/ 2289810 w 2289810"/>
            <a:gd name="connsiteY1" fmla="*/ 0 h 604520"/>
            <a:gd name="connsiteX2" fmla="*/ 2160270 w 2289810"/>
            <a:gd name="connsiteY2" fmla="*/ 596900 h 604520"/>
            <a:gd name="connsiteX3" fmla="*/ 0 w 2289810"/>
            <a:gd name="connsiteY3" fmla="*/ 604520 h 604520"/>
            <a:gd name="connsiteX4" fmla="*/ 175260 w 2289810"/>
            <a:gd name="connsiteY4" fmla="*/ 11430 h 604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289810" h="604520">
              <a:moveTo>
                <a:pt x="175260" y="11430"/>
              </a:moveTo>
              <a:lnTo>
                <a:pt x="2289810" y="0"/>
              </a:lnTo>
              <a:lnTo>
                <a:pt x="2160270" y="596900"/>
              </a:lnTo>
              <a:lnTo>
                <a:pt x="0" y="604520"/>
              </a:lnTo>
              <a:lnTo>
                <a:pt x="175260" y="11430"/>
              </a:lnTo>
              <a:close/>
            </a:path>
          </a:pathLst>
        </a:custGeom>
        <a:blipFill>
          <a:blip xmlns:r="http://schemas.openxmlformats.org/officeDocument/2006/relationships" r:embed="rId2"/>
          <a:tile tx="0" ty="0" sx="100000" sy="100000" flip="none" algn="tl"/>
        </a:blip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6E545F-DEA1-4651-8FF7-3A957E10FAF2}" type="TxLink">
            <a:rPr lang="en-US" sz="1000" b="0" i="0" u="none" strike="noStrike">
              <a:solidFill>
                <a:srgbClr val="000000"/>
              </a:solidFill>
              <a:latin typeface="AR JULIAN" panose="02000000000000000000" pitchFamily="2" charset="0"/>
              <a:cs typeface="Arial"/>
            </a:rPr>
            <a:pPr algn="ctr"/>
            <a:t>The lowest Quick ratio of 1.32 was by Isetan</a:t>
          </a:fld>
          <a:endParaRPr lang="en-SG" sz="1100">
            <a:solidFill>
              <a:schemeClr val="accent3">
                <a:lumMod val="50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xdr:twoCellAnchor>
    <xdr:from>
      <xdr:col>13</xdr:col>
      <xdr:colOff>490535</xdr:colOff>
      <xdr:row>48</xdr:row>
      <xdr:rowOff>102873</xdr:rowOff>
    </xdr:from>
    <xdr:to>
      <xdr:col>19</xdr:col>
      <xdr:colOff>31292</xdr:colOff>
      <xdr:row>52</xdr:row>
      <xdr:rowOff>119743</xdr:rowOff>
    </xdr:to>
    <xdr:sp macro="" textlink="'Control LQ Suganya'!F32">
      <xdr:nvSpPr>
        <xdr:cNvPr id="11" name="Rectangle 9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634410" y="9163529"/>
          <a:ext cx="3184070" cy="683620"/>
        </a:xfrm>
        <a:custGeom>
          <a:avLst/>
          <a:gdLst>
            <a:gd name="connsiteX0" fmla="*/ 0 w 2105660"/>
            <a:gd name="connsiteY0" fmla="*/ 0 h 631190"/>
            <a:gd name="connsiteX1" fmla="*/ 2105660 w 2105660"/>
            <a:gd name="connsiteY1" fmla="*/ 0 h 631190"/>
            <a:gd name="connsiteX2" fmla="*/ 2105660 w 2105660"/>
            <a:gd name="connsiteY2" fmla="*/ 631190 h 631190"/>
            <a:gd name="connsiteX3" fmla="*/ 0 w 2105660"/>
            <a:gd name="connsiteY3" fmla="*/ 631190 h 631190"/>
            <a:gd name="connsiteX4" fmla="*/ 0 w 2105660"/>
            <a:gd name="connsiteY4" fmla="*/ 0 h 631190"/>
            <a:gd name="connsiteX0" fmla="*/ 0 w 2212340"/>
            <a:gd name="connsiteY0" fmla="*/ 0 h 631190"/>
            <a:gd name="connsiteX1" fmla="*/ 2212340 w 2212340"/>
            <a:gd name="connsiteY1" fmla="*/ 41910 h 631190"/>
            <a:gd name="connsiteX2" fmla="*/ 2105660 w 2212340"/>
            <a:gd name="connsiteY2" fmla="*/ 631190 h 631190"/>
            <a:gd name="connsiteX3" fmla="*/ 0 w 2212340"/>
            <a:gd name="connsiteY3" fmla="*/ 631190 h 631190"/>
            <a:gd name="connsiteX4" fmla="*/ 0 w 2212340"/>
            <a:gd name="connsiteY4" fmla="*/ 0 h 631190"/>
            <a:gd name="connsiteX0" fmla="*/ 68580 w 2212340"/>
            <a:gd name="connsiteY0" fmla="*/ 0 h 589280"/>
            <a:gd name="connsiteX1" fmla="*/ 2212340 w 2212340"/>
            <a:gd name="connsiteY1" fmla="*/ 0 h 589280"/>
            <a:gd name="connsiteX2" fmla="*/ 2105660 w 2212340"/>
            <a:gd name="connsiteY2" fmla="*/ 589280 h 589280"/>
            <a:gd name="connsiteX3" fmla="*/ 0 w 2212340"/>
            <a:gd name="connsiteY3" fmla="*/ 589280 h 589280"/>
            <a:gd name="connsiteX4" fmla="*/ 68580 w 2212340"/>
            <a:gd name="connsiteY4" fmla="*/ 0 h 589280"/>
            <a:gd name="connsiteX0" fmla="*/ 182880 w 2326640"/>
            <a:gd name="connsiteY0" fmla="*/ 0 h 589280"/>
            <a:gd name="connsiteX1" fmla="*/ 2326640 w 2326640"/>
            <a:gd name="connsiteY1" fmla="*/ 0 h 589280"/>
            <a:gd name="connsiteX2" fmla="*/ 2219960 w 2326640"/>
            <a:gd name="connsiteY2" fmla="*/ 589280 h 589280"/>
            <a:gd name="connsiteX3" fmla="*/ 0 w 2326640"/>
            <a:gd name="connsiteY3" fmla="*/ 585470 h 589280"/>
            <a:gd name="connsiteX4" fmla="*/ 182880 w 2326640"/>
            <a:gd name="connsiteY4" fmla="*/ 0 h 5892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326640" h="589280">
              <a:moveTo>
                <a:pt x="182880" y="0"/>
              </a:moveTo>
              <a:lnTo>
                <a:pt x="2326640" y="0"/>
              </a:lnTo>
              <a:lnTo>
                <a:pt x="2219960" y="589280"/>
              </a:lnTo>
              <a:lnTo>
                <a:pt x="0" y="585470"/>
              </a:lnTo>
              <a:lnTo>
                <a:pt x="182880" y="0"/>
              </a:lnTo>
              <a:close/>
            </a:path>
          </a:pathLst>
        </a:custGeom>
        <a:blipFill>
          <a:blip xmlns:r="http://schemas.openxmlformats.org/officeDocument/2006/relationships" r:embed="rId2"/>
          <a:tile tx="0" ty="0" sx="100000" sy="100000" flip="none" algn="tl"/>
        </a:blip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63A0DB3-E109-4FD9-8ABE-1FD416A6D525}" type="TxLink">
            <a:rPr lang="en-US" sz="1000" b="0" i="0" u="none" strike="noStrike">
              <a:solidFill>
                <a:srgbClr val="000000"/>
              </a:solidFill>
              <a:latin typeface="AR JULIAN" panose="02000000000000000000" pitchFamily="2" charset="0"/>
              <a:cs typeface="Arial"/>
            </a:rPr>
            <a:pPr algn="ctr"/>
            <a:t>The average Quick ratio is 2.79 across 2013 to 2016</a:t>
          </a:fld>
          <a:endParaRPr lang="en-SG" sz="1100">
            <a:solidFill>
              <a:schemeClr val="accent3">
                <a:lumMod val="50000"/>
              </a:schemeClr>
            </a:solidFill>
            <a:latin typeface="AR JULIAN" panose="020000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563880</xdr:colOff>
          <xdr:row>0</xdr:row>
          <xdr:rowOff>251460</xdr:rowOff>
        </xdr:from>
        <xdr:to>
          <xdr:col>15</xdr:col>
          <xdr:colOff>563880</xdr:colOff>
          <xdr:row>0</xdr:row>
          <xdr:rowOff>944880</xdr:rowOff>
        </xdr:to>
        <xdr:sp macro="" textlink="">
          <xdr:nvSpPr>
            <xdr:cNvPr id="31748" name="Button 4" descr="Log Out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17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414323</xdr:colOff>
      <xdr:row>0</xdr:row>
      <xdr:rowOff>1103652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43198" cy="11036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393912</xdr:colOff>
      <xdr:row>1</xdr:row>
      <xdr:rowOff>1473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32312" cy="1106373"/>
        </a:xfrm>
        <a:prstGeom prst="rect">
          <a:avLst/>
        </a:prstGeom>
      </xdr:spPr>
    </xdr:pic>
    <xdr:clientData/>
  </xdr:twoCellAnchor>
  <xdr:twoCellAnchor>
    <xdr:from>
      <xdr:col>15</xdr:col>
      <xdr:colOff>383381</xdr:colOff>
      <xdr:row>2</xdr:row>
      <xdr:rowOff>47625</xdr:rowOff>
    </xdr:from>
    <xdr:to>
      <xdr:col>18</xdr:col>
      <xdr:colOff>531019</xdr:colOff>
      <xdr:row>5</xdr:row>
      <xdr:rowOff>107156</xdr:rowOff>
    </xdr:to>
    <xdr:sp macro="" textlink="">
      <xdr:nvSpPr>
        <xdr:cNvPr id="19" name="Rectangle: Rounded Corners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/>
      </xdr:nvSpPr>
      <xdr:spPr>
        <a:xfrm>
          <a:off x="9775031" y="1343025"/>
          <a:ext cx="1976438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593764</xdr:colOff>
      <xdr:row>12</xdr:row>
      <xdr:rowOff>90964</xdr:rowOff>
    </xdr:from>
    <xdr:to>
      <xdr:col>11</xdr:col>
      <xdr:colOff>361950</xdr:colOff>
      <xdr:row>30</xdr:row>
      <xdr:rowOff>129064</xdr:rowOff>
    </xdr:to>
    <xdr:graphicFrame macro="">
      <xdr:nvGraphicFramePr>
        <xdr:cNvPr id="2" name="Data_Table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48047</xdr:colOff>
      <xdr:row>35</xdr:row>
      <xdr:rowOff>50123</xdr:rowOff>
    </xdr:from>
    <xdr:to>
      <xdr:col>11</xdr:col>
      <xdr:colOff>359568</xdr:colOff>
      <xdr:row>54</xdr:row>
      <xdr:rowOff>74771</xdr:rowOff>
    </xdr:to>
    <xdr:graphicFrame macro="">
      <xdr:nvGraphicFramePr>
        <xdr:cNvPr id="3" name="Data_Table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19862</xdr:colOff>
      <xdr:row>59</xdr:row>
      <xdr:rowOff>3334</xdr:rowOff>
    </xdr:from>
    <xdr:to>
      <xdr:col>11</xdr:col>
      <xdr:colOff>467678</xdr:colOff>
      <xdr:row>78</xdr:row>
      <xdr:rowOff>150019</xdr:rowOff>
    </xdr:to>
    <xdr:graphicFrame macro="">
      <xdr:nvGraphicFramePr>
        <xdr:cNvPr id="4" name="Data_Table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8</xdr:row>
          <xdr:rowOff>83820</xdr:rowOff>
        </xdr:from>
        <xdr:to>
          <xdr:col>3</xdr:col>
          <xdr:colOff>464820</xdr:colOff>
          <xdr:row>9</xdr:row>
          <xdr:rowOff>160020</xdr:rowOff>
        </xdr:to>
        <xdr:sp macro="" textlink="">
          <xdr:nvSpPr>
            <xdr:cNvPr id="57345" name="Drop Dow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1</xdr:colOff>
      <xdr:row>124</xdr:row>
      <xdr:rowOff>160020</xdr:rowOff>
    </xdr:from>
    <xdr:ext cx="6416040" cy="23320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 txBox="1"/>
      </xdr:nvSpPr>
      <xdr:spPr>
        <a:xfrm>
          <a:off x="2438401" y="22343745"/>
          <a:ext cx="641604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SG" sz="900"/>
        </a:p>
      </xdr:txBody>
    </xdr:sp>
    <xdr:clientData/>
  </xdr:oneCellAnchor>
  <xdr:twoCellAnchor>
    <xdr:from>
      <xdr:col>12</xdr:col>
      <xdr:colOff>4146715</xdr:colOff>
      <xdr:row>81</xdr:row>
      <xdr:rowOff>71448</xdr:rowOff>
    </xdr:from>
    <xdr:to>
      <xdr:col>12</xdr:col>
      <xdr:colOff>5655468</xdr:colOff>
      <xdr:row>89</xdr:row>
      <xdr:rowOff>18585</xdr:rowOff>
    </xdr:to>
    <xdr:grpSp>
      <xdr:nvGrpSpPr>
        <xdr:cNvPr id="7" name="Group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pSpPr/>
      </xdr:nvGrpSpPr>
      <xdr:grpSpPr>
        <a:xfrm>
          <a:off x="11717185" y="16488262"/>
          <a:ext cx="1514468" cy="1286352"/>
          <a:chOff x="1829557" y="18541187"/>
          <a:chExt cx="1855368" cy="1636208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026921" y="18541187"/>
            <a:ext cx="1379219" cy="137921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A00-000009000000}"/>
              </a:ext>
            </a:extLst>
          </xdr:cNvPr>
          <xdr:cNvSpPr txBox="1"/>
        </xdr:nvSpPr>
        <xdr:spPr>
          <a:xfrm>
            <a:off x="1829557" y="19788575"/>
            <a:ext cx="1855368" cy="3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SG" sz="15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ysClr val="windowText" lastClr="000000"/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Back to Top</a:t>
            </a:r>
          </a:p>
        </xdr:txBody>
      </xdr:sp>
    </xdr:grpSp>
    <xdr:clientData/>
  </xdr:twoCellAnchor>
  <xdr:twoCellAnchor>
    <xdr:from>
      <xdr:col>12</xdr:col>
      <xdr:colOff>178594</xdr:colOff>
      <xdr:row>25</xdr:row>
      <xdr:rowOff>146208</xdr:rowOff>
    </xdr:from>
    <xdr:to>
      <xdr:col>12</xdr:col>
      <xdr:colOff>1070134</xdr:colOff>
      <xdr:row>30</xdr:row>
      <xdr:rowOff>81439</xdr:rowOff>
    </xdr:to>
    <xdr:grpSp>
      <xdr:nvGrpSpPr>
        <xdr:cNvPr id="10" name="Group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GrpSpPr/>
      </xdr:nvGrpSpPr>
      <xdr:grpSpPr>
        <a:xfrm>
          <a:off x="7747159" y="5883116"/>
          <a:ext cx="895350" cy="915353"/>
          <a:chOff x="7109460" y="6682740"/>
          <a:chExt cx="891540" cy="914400"/>
        </a:xfrm>
      </xdr:grpSpPr>
      <xdr:pic>
        <xdr:nvPicPr>
          <xdr:cNvPr id="11" name="Graphic 10" descr="Download">
            <a:extLst>
              <a:ext uri="{FF2B5EF4-FFF2-40B4-BE49-F238E27FC236}">
                <a16:creationId xmlns:a16="http://schemas.microsoft.com/office/drawing/2014/main" id="{00000000-0008-0000-1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193280" y="6682740"/>
            <a:ext cx="693420" cy="69342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1A00-00000C000000}"/>
              </a:ext>
            </a:extLst>
          </xdr:cNvPr>
          <xdr:cNvSpPr txBox="1"/>
        </xdr:nvSpPr>
        <xdr:spPr>
          <a:xfrm>
            <a:off x="7109460" y="7254240"/>
            <a:ext cx="891540" cy="342900"/>
          </a:xfrm>
          <a:prstGeom prst="rect">
            <a:avLst/>
          </a:prstGeom>
          <a:noFill/>
          <a:ln w="9525" cmpd="sng">
            <a:solidFill>
              <a:srgbClr val="00B0F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Causes</a:t>
            </a:r>
          </a:p>
        </xdr:txBody>
      </xdr:sp>
    </xdr:grpSp>
    <xdr:clientData/>
  </xdr:twoCellAnchor>
  <xdr:twoCellAnchor>
    <xdr:from>
      <xdr:col>12</xdr:col>
      <xdr:colOff>235267</xdr:colOff>
      <xdr:row>48</xdr:row>
      <xdr:rowOff>122868</xdr:rowOff>
    </xdr:from>
    <xdr:to>
      <xdr:col>12</xdr:col>
      <xdr:colOff>1116806</xdr:colOff>
      <xdr:row>53</xdr:row>
      <xdr:rowOff>130489</xdr:rowOff>
    </xdr:to>
    <xdr:grpSp>
      <xdr:nvGrpSpPr>
        <xdr:cNvPr id="13" name="Group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GrpSpPr/>
      </xdr:nvGrpSpPr>
      <xdr:grpSpPr>
        <a:xfrm>
          <a:off x="7809547" y="10411773"/>
          <a:ext cx="883444" cy="842964"/>
          <a:chOff x="7132320" y="11917680"/>
          <a:chExt cx="998220" cy="924137"/>
        </a:xfrm>
      </xdr:grpSpPr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1A00-00000E000000}"/>
              </a:ext>
            </a:extLst>
          </xdr:cNvPr>
          <xdr:cNvSpPr txBox="1"/>
        </xdr:nvSpPr>
        <xdr:spPr>
          <a:xfrm>
            <a:off x="7132320" y="12496800"/>
            <a:ext cx="998220" cy="345017"/>
          </a:xfrm>
          <a:prstGeom prst="rect">
            <a:avLst/>
          </a:prstGeom>
          <a:noFill/>
          <a:ln w="9525" cmpd="sng">
            <a:solidFill>
              <a:srgbClr val="00B0F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SG" sz="1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Causes</a:t>
            </a:r>
          </a:p>
        </xdr:txBody>
      </xdr:sp>
      <xdr:pic>
        <xdr:nvPicPr>
          <xdr:cNvPr id="15" name="Graphic 14" descr="Download">
            <a:extLst>
              <a:ext uri="{FF2B5EF4-FFF2-40B4-BE49-F238E27FC236}">
                <a16:creationId xmlns:a16="http://schemas.microsoft.com/office/drawing/2014/main" id="{00000000-0008-0000-1A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178040" y="11917680"/>
            <a:ext cx="723900" cy="7239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262414</xdr:colOff>
      <xdr:row>72</xdr:row>
      <xdr:rowOff>31909</xdr:rowOff>
    </xdr:from>
    <xdr:to>
      <xdr:col>12</xdr:col>
      <xdr:colOff>1296353</xdr:colOff>
      <xdr:row>78</xdr:row>
      <xdr:rowOff>92869</xdr:rowOff>
    </xdr:to>
    <xdr:grpSp>
      <xdr:nvGrpSpPr>
        <xdr:cNvPr id="16" name="Group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GrpSpPr/>
      </xdr:nvGrpSpPr>
      <xdr:grpSpPr>
        <a:xfrm>
          <a:off x="7832884" y="14948535"/>
          <a:ext cx="1035844" cy="1066800"/>
          <a:chOff x="7162800" y="17594580"/>
          <a:chExt cx="998220" cy="982980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A00-000011000000}"/>
              </a:ext>
            </a:extLst>
          </xdr:cNvPr>
          <xdr:cNvSpPr txBox="1"/>
        </xdr:nvSpPr>
        <xdr:spPr>
          <a:xfrm>
            <a:off x="7162800" y="18257520"/>
            <a:ext cx="998220" cy="320040"/>
          </a:xfrm>
          <a:prstGeom prst="rect">
            <a:avLst/>
          </a:prstGeom>
          <a:noFill/>
          <a:ln w="9525" cmpd="sng">
            <a:solidFill>
              <a:srgbClr val="00B0F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18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Causes</a:t>
            </a:r>
          </a:p>
        </xdr:txBody>
      </xdr:sp>
      <xdr:pic>
        <xdr:nvPicPr>
          <xdr:cNvPr id="18" name="Graphic 17" descr="Download">
            <a:extLst>
              <a:ext uri="{FF2B5EF4-FFF2-40B4-BE49-F238E27FC236}">
                <a16:creationId xmlns:a16="http://schemas.microsoft.com/office/drawing/2014/main" id="{00000000-0008-0000-1A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193280" y="17594580"/>
            <a:ext cx="815340" cy="81534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1394460</xdr:colOff>
          <xdr:row>0</xdr:row>
          <xdr:rowOff>251460</xdr:rowOff>
        </xdr:from>
        <xdr:to>
          <xdr:col>12</xdr:col>
          <xdr:colOff>2613660</xdr:colOff>
          <xdr:row>0</xdr:row>
          <xdr:rowOff>944880</xdr:rowOff>
        </xdr:to>
        <xdr:sp macro="" textlink="">
          <xdr:nvSpPr>
            <xdr:cNvPr id="57346" name="Button 2" descr="Log Ou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A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404798</xdr:colOff>
      <xdr:row>0</xdr:row>
      <xdr:rowOff>1103652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43198" cy="1103652"/>
        </a:xfrm>
        <a:prstGeom prst="rect">
          <a:avLst/>
        </a:prstGeom>
      </xdr:spPr>
    </xdr:pic>
    <xdr:clientData/>
  </xdr:twoCellAnchor>
  <xdr:twoCellAnchor>
    <xdr:from>
      <xdr:col>12</xdr:col>
      <xdr:colOff>2488406</xdr:colOff>
      <xdr:row>2</xdr:row>
      <xdr:rowOff>71437</xdr:rowOff>
    </xdr:from>
    <xdr:to>
      <xdr:col>12</xdr:col>
      <xdr:colOff>4464844</xdr:colOff>
      <xdr:row>6</xdr:row>
      <xdr:rowOff>35718</xdr:rowOff>
    </xdr:to>
    <xdr:sp macro="" textlink="">
      <xdr:nvSpPr>
        <xdr:cNvPr id="21" name="Rectangle: Rounded Corners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/>
      </xdr:nvSpPr>
      <xdr:spPr>
        <a:xfrm>
          <a:off x="9775031" y="1345406"/>
          <a:ext cx="1976438" cy="63103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2822787" cy="1108754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32312" cy="1106373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3</xdr:row>
          <xdr:rowOff>7620</xdr:rowOff>
        </xdr:from>
        <xdr:to>
          <xdr:col>2</xdr:col>
          <xdr:colOff>274320</xdr:colOff>
          <xdr:row>4</xdr:row>
          <xdr:rowOff>38100</xdr:rowOff>
        </xdr:to>
        <xdr:sp macro="" textlink="">
          <xdr:nvSpPr>
            <xdr:cNvPr id="58369" name="Drop Dow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B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266700</xdr:colOff>
      <xdr:row>5</xdr:row>
      <xdr:rowOff>152400</xdr:rowOff>
    </xdr:from>
    <xdr:to>
      <xdr:col>11</xdr:col>
      <xdr:colOff>228600</xdr:colOff>
      <xdr:row>28</xdr:row>
      <xdr:rowOff>30480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32</xdr:row>
          <xdr:rowOff>876300</xdr:rowOff>
        </xdr:from>
        <xdr:to>
          <xdr:col>2</xdr:col>
          <xdr:colOff>419100</xdr:colOff>
          <xdr:row>34</xdr:row>
          <xdr:rowOff>0</xdr:rowOff>
        </xdr:to>
        <xdr:sp macro="" textlink="">
          <xdr:nvSpPr>
            <xdr:cNvPr id="58370" name="Drop Dow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B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297180</xdr:colOff>
      <xdr:row>35</xdr:row>
      <xdr:rowOff>15240</xdr:rowOff>
    </xdr:from>
    <xdr:to>
      <xdr:col>11</xdr:col>
      <xdr:colOff>327660</xdr:colOff>
      <xdr:row>61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65</xdr:row>
          <xdr:rowOff>868680</xdr:rowOff>
        </xdr:from>
        <xdr:to>
          <xdr:col>2</xdr:col>
          <xdr:colOff>502920</xdr:colOff>
          <xdr:row>66</xdr:row>
          <xdr:rowOff>175260</xdr:rowOff>
        </xdr:to>
        <xdr:sp macro="" textlink="">
          <xdr:nvSpPr>
            <xdr:cNvPr id="58371" name="Drop Dow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B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403860</xdr:colOff>
      <xdr:row>68</xdr:row>
      <xdr:rowOff>30480</xdr:rowOff>
    </xdr:from>
    <xdr:to>
      <xdr:col>11</xdr:col>
      <xdr:colOff>342900</xdr:colOff>
      <xdr:row>88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4</xdr:col>
      <xdr:colOff>0</xdr:colOff>
      <xdr:row>131</xdr:row>
      <xdr:rowOff>131267</xdr:rowOff>
    </xdr:from>
    <xdr:ext cx="6501587" cy="23320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 txBox="1"/>
      </xdr:nvSpPr>
      <xdr:spPr>
        <a:xfrm>
          <a:off x="2438400" y="23610392"/>
          <a:ext cx="6501587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SG" sz="900"/>
        </a:p>
      </xdr:txBody>
    </xdr:sp>
    <xdr:clientData/>
  </xdr:oneCellAnchor>
  <xdr:twoCellAnchor>
    <xdr:from>
      <xdr:col>0</xdr:col>
      <xdr:colOff>358140</xdr:colOff>
      <xdr:row>90</xdr:row>
      <xdr:rowOff>91441</xdr:rowOff>
    </xdr:from>
    <xdr:to>
      <xdr:col>2</xdr:col>
      <xdr:colOff>525780</xdr:colOff>
      <xdr:row>99</xdr:row>
      <xdr:rowOff>38100</xdr:rowOff>
    </xdr:to>
    <xdr:grpSp>
      <xdr:nvGrpSpPr>
        <xdr:cNvPr id="9" name="Group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pSpPr/>
      </xdr:nvGrpSpPr>
      <xdr:grpSpPr>
        <a:xfrm>
          <a:off x="361950" y="19638310"/>
          <a:ext cx="1416984" cy="1455643"/>
          <a:chOff x="2331720" y="19827241"/>
          <a:chExt cx="1295400" cy="1341119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1B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2346961" y="19827241"/>
            <a:ext cx="1257299" cy="1257299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B00-00000B000000}"/>
              </a:ext>
            </a:extLst>
          </xdr:cNvPr>
          <xdr:cNvSpPr txBox="1"/>
        </xdr:nvSpPr>
        <xdr:spPr>
          <a:xfrm>
            <a:off x="2331720" y="20863560"/>
            <a:ext cx="129540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SG" sz="15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Back to Top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1447800</xdr:colOff>
          <xdr:row>0</xdr:row>
          <xdr:rowOff>251460</xdr:rowOff>
        </xdr:from>
        <xdr:to>
          <xdr:col>14</xdr:col>
          <xdr:colOff>563880</xdr:colOff>
          <xdr:row>0</xdr:row>
          <xdr:rowOff>944880</xdr:rowOff>
        </xdr:to>
        <xdr:sp macro="" textlink="">
          <xdr:nvSpPr>
            <xdr:cNvPr id="58372" name="Button 4" descr="Log Out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B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4</xdr:col>
      <xdr:colOff>422727</xdr:colOff>
      <xdr:row>0</xdr:row>
      <xdr:rowOff>1103652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43198" cy="1103652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</xdr:row>
      <xdr:rowOff>0</xdr:rowOff>
    </xdr:from>
    <xdr:to>
      <xdr:col>18</xdr:col>
      <xdr:colOff>161085</xdr:colOff>
      <xdr:row>2</xdr:row>
      <xdr:rowOff>726281</xdr:rowOff>
    </xdr:to>
    <xdr:sp macro="" textlink="">
      <xdr:nvSpPr>
        <xdr:cNvPr id="16" name="Rectangle: Rounded Corner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SpPr/>
      </xdr:nvSpPr>
      <xdr:spPr>
        <a:xfrm>
          <a:off x="9962029" y="1266265"/>
          <a:ext cx="1976438" cy="726281"/>
        </a:xfrm>
        <a:prstGeom prst="roundRect">
          <a:avLst/>
        </a:prstGeom>
        <a:gradFill flip="none" rotWithShape="1">
          <a:gsLst>
            <a:gs pos="0">
              <a:srgbClr val="FFFFCC"/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800">
              <a:solidFill>
                <a:schemeClr val="accent1">
                  <a:lumMod val="75000"/>
                </a:schemeClr>
              </a:solidFill>
              <a:latin typeface="AR JULIAN" panose="02000000000000000000" pitchFamily="2" charset="0"/>
            </a:rPr>
            <a:t>BACK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AppData/Local/Microsoft/Windows/INetCache/IE/XYBCMWOO/BA_%20Isetan%20vs%20Metro%20-%20Sugany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-impt stuff"/>
      <sheetName val="Metro Holdings Limited &lt; Income"/>
      <sheetName val="Metro Holdings Limited &lt; Cash F"/>
      <sheetName val="Metro Holdings Ltd &lt; Financial "/>
      <sheetName val="Isetan Singapore Limited &lt; Inco"/>
      <sheetName val="Isetan Singapore Limited &lt; Cash"/>
      <sheetName val="Isetan Singapore Limited &lt; Fina"/>
      <sheetName val="Financial Ratios"/>
      <sheetName val=" Suganya Liquidity Control"/>
      <sheetName val="Suganya Liquidity Data"/>
      <sheetName val="Linear Optimiz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 t="str">
            <v>Current ratio</v>
          </cell>
        </row>
        <row r="11">
          <cell r="A11" t="str">
            <v>Quick ratio</v>
          </cell>
        </row>
        <row r="14">
          <cell r="A14" t="str">
            <v>Accounts receivable turnover</v>
          </cell>
        </row>
        <row r="15">
          <cell r="A15" t="str">
            <v>Days to collect receivable</v>
          </cell>
        </row>
        <row r="16">
          <cell r="A16" t="str">
            <v>Inventory turnover</v>
          </cell>
        </row>
        <row r="17">
          <cell r="A17" t="str">
            <v>Days to sell inventory</v>
          </cell>
        </row>
        <row r="18">
          <cell r="A18" t="str">
            <v>Accounts payable turnover</v>
          </cell>
        </row>
        <row r="19">
          <cell r="A19" t="str">
            <v>Days to pay payable</v>
          </cell>
        </row>
      </sheetData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_3" displayName="Table_3" ref="A1:E41">
  <tableColumns count="5">
    <tableColumn id="1" xr3:uid="{00000000-0010-0000-0000-000001000000}" name="Isetan Singapore Limited_x000a_ Income Statement"/>
    <tableColumn id="2" xr3:uid="{00000000-0010-0000-0000-000002000000}" name="2013_x000a_$’000"/>
    <tableColumn id="3" xr3:uid="{00000000-0010-0000-0000-000003000000}" name="2014_x000a_$’000"/>
    <tableColumn id="4" xr3:uid="{00000000-0010-0000-0000-000004000000}" name="2015_x000a_$’000"/>
    <tableColumn id="5" xr3:uid="{00000000-0010-0000-0000-000005000000}" name="2016 _x000a_$’000"/>
  </tableColumns>
  <tableStyleInfo name="Isetan Singapore Limited &lt; Inc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4" displayName="Table_4" ref="A1:E56" headerRowCount="0">
  <tableColumns count="5">
    <tableColumn id="1" xr3:uid="{00000000-0010-0000-0100-000001000000}" name="Column1"/>
    <tableColumn id="2" xr3:uid="{00000000-0010-0000-0100-000002000000}" name="2013_x000a_$’000"/>
    <tableColumn id="3" xr3:uid="{00000000-0010-0000-0100-000003000000}" name="2014_x000a_$’000"/>
    <tableColumn id="4" xr3:uid="{00000000-0010-0000-0100-000004000000}" name="2015_x000a_$’000"/>
    <tableColumn id="5" xr3:uid="{00000000-0010-0000-0100-000005000000}" name="2016 _x000a_$’000"/>
  </tableColumns>
  <tableStyleInfo name="Isetan Singapore Limited &lt; Cash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1" displayName="Table_1" ref="A1:E55">
  <tableColumns count="5">
    <tableColumn id="1" xr3:uid="{00000000-0010-0000-0200-000001000000}" name="Metro Holdings Ltd_x000a_Income Statement"/>
    <tableColumn id="2" xr3:uid="{00000000-0010-0000-0200-000002000000}" name="2013_x000a_$’000"/>
    <tableColumn id="3" xr3:uid="{00000000-0010-0000-0200-000003000000}" name="2014_x000a_$’000"/>
    <tableColumn id="4" xr3:uid="{00000000-0010-0000-0200-000004000000}" name="2015_x000a_$’000"/>
    <tableColumn id="5" xr3:uid="{00000000-0010-0000-0200-000005000000}" name="2016 _x000a_$’000"/>
  </tableColumns>
  <tableStyleInfo name="Metro Holdings Limited &lt; Income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_2" displayName="Table_2" ref="A1:F80" headerRowCount="0">
  <tableColumns count="6">
    <tableColumn id="1" xr3:uid="{00000000-0010-0000-0300-000001000000}" name="Metro Holdings Limited_x000a_Cash Flow Statement_x000a_"/>
    <tableColumn id="2" xr3:uid="{00000000-0010-0000-0300-000002000000}" name="Column2"/>
    <tableColumn id="3" xr3:uid="{00000000-0010-0000-0300-000003000000}" name="2013_x000a_$’000"/>
    <tableColumn id="4" xr3:uid="{00000000-0010-0000-0300-000004000000}" name="2014_x000a_$’000"/>
    <tableColumn id="5" xr3:uid="{00000000-0010-0000-0300-000005000000}" name="2015_x000a_$’000"/>
    <tableColumn id="6" xr3:uid="{00000000-0010-0000-0300-000006000000}" name="2016 _x000a_$’000"/>
  </tableColumns>
  <tableStyleInfo name="Metro Holdings Limited &lt; Cash F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ctrlProp" Target="../ctrlProps/ctrlProp20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image" Target="../media/image3.png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image" Target="../media/image5.png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36"/>
  <sheetViews>
    <sheetView workbookViewId="0">
      <selection activeCell="D28" sqref="D28"/>
    </sheetView>
  </sheetViews>
  <sheetFormatPr defaultRowHeight="14.4"/>
  <cols>
    <col min="1" max="1" width="15.44140625" customWidth="1"/>
    <col min="2" max="2" width="16.6640625" customWidth="1"/>
    <col min="3" max="3" width="16.33203125" customWidth="1"/>
    <col min="4" max="4" width="14" customWidth="1"/>
    <col min="5" max="5" width="16.44140625" customWidth="1"/>
    <col min="8" max="8" width="19.109375" customWidth="1"/>
  </cols>
  <sheetData>
    <row r="1" spans="1:11">
      <c r="A1" s="148" t="s">
        <v>532</v>
      </c>
      <c r="B1" s="147" t="s">
        <v>537</v>
      </c>
      <c r="C1" s="147"/>
      <c r="D1" s="147"/>
    </row>
    <row r="2" spans="1:11">
      <c r="A2" s="148"/>
      <c r="B2" s="140" t="s">
        <v>531</v>
      </c>
      <c r="C2" s="140" t="s">
        <v>530</v>
      </c>
      <c r="D2" s="140" t="s">
        <v>529</v>
      </c>
      <c r="G2" s="140" t="s">
        <v>536</v>
      </c>
    </row>
    <row r="3" spans="1:11">
      <c r="A3" s="140" t="s">
        <v>528</v>
      </c>
      <c r="B3" s="144">
        <v>350</v>
      </c>
      <c r="C3" s="144">
        <v>320</v>
      </c>
      <c r="D3" s="144" t="s">
        <v>184</v>
      </c>
      <c r="F3" s="140" t="s">
        <v>528</v>
      </c>
      <c r="G3" s="140">
        <v>97</v>
      </c>
    </row>
    <row r="4" spans="1:11">
      <c r="A4" s="140" t="s">
        <v>527</v>
      </c>
      <c r="B4" s="144">
        <v>250</v>
      </c>
      <c r="C4" s="144">
        <v>300</v>
      </c>
      <c r="D4" s="144">
        <v>420</v>
      </c>
      <c r="F4" s="140" t="s">
        <v>527</v>
      </c>
      <c r="G4" s="140">
        <v>89</v>
      </c>
    </row>
    <row r="5" spans="1:11">
      <c r="F5" s="140" t="s">
        <v>37</v>
      </c>
      <c r="G5" s="140">
        <f>SUM(G3:G4)</f>
        <v>186</v>
      </c>
    </row>
    <row r="6" spans="1:11">
      <c r="A6" s="140" t="s">
        <v>535</v>
      </c>
      <c r="B6" s="140"/>
    </row>
    <row r="7" spans="1:11">
      <c r="A7" s="140" t="s">
        <v>534</v>
      </c>
      <c r="B7" s="140" t="s">
        <v>533</v>
      </c>
    </row>
    <row r="8" spans="1:11">
      <c r="A8" s="140" t="s">
        <v>531</v>
      </c>
      <c r="B8" s="140">
        <v>75</v>
      </c>
    </row>
    <row r="9" spans="1:11">
      <c r="A9" s="140" t="s">
        <v>530</v>
      </c>
      <c r="B9" s="140">
        <v>45</v>
      </c>
    </row>
    <row r="10" spans="1:11">
      <c r="A10" s="140" t="s">
        <v>529</v>
      </c>
      <c r="B10" s="140">
        <v>66</v>
      </c>
    </row>
    <row r="13" spans="1:11">
      <c r="A13" s="140" t="s">
        <v>532</v>
      </c>
      <c r="B13" s="140" t="s">
        <v>531</v>
      </c>
      <c r="C13" s="140" t="s">
        <v>530</v>
      </c>
      <c r="D13" s="140" t="s">
        <v>529</v>
      </c>
      <c r="E13" s="140" t="s">
        <v>37</v>
      </c>
      <c r="H13" s="143"/>
      <c r="I13" s="149" t="s">
        <v>481</v>
      </c>
      <c r="J13" s="150"/>
      <c r="K13" s="151"/>
    </row>
    <row r="14" spans="1:11">
      <c r="A14" s="140" t="s">
        <v>528</v>
      </c>
      <c r="B14" s="142">
        <v>75</v>
      </c>
      <c r="C14" s="142">
        <v>22</v>
      </c>
      <c r="D14" s="142">
        <v>0</v>
      </c>
      <c r="E14" s="140">
        <f>SUM(B14:D14)</f>
        <v>97</v>
      </c>
      <c r="H14" s="140" t="s">
        <v>473</v>
      </c>
      <c r="I14" s="140">
        <f>E14</f>
        <v>97</v>
      </c>
      <c r="J14" s="140" t="s">
        <v>525</v>
      </c>
      <c r="K14" s="140">
        <f>G3</f>
        <v>97</v>
      </c>
    </row>
    <row r="15" spans="1:11">
      <c r="A15" s="140" t="s">
        <v>527</v>
      </c>
      <c r="B15" s="142">
        <v>0</v>
      </c>
      <c r="C15" s="142">
        <v>23</v>
      </c>
      <c r="D15" s="142">
        <v>66</v>
      </c>
      <c r="E15" s="140">
        <f>SUM(B15:D15)</f>
        <v>89</v>
      </c>
      <c r="H15" s="140" t="s">
        <v>470</v>
      </c>
      <c r="I15" s="140">
        <f>E15</f>
        <v>89</v>
      </c>
      <c r="J15" s="140" t="s">
        <v>525</v>
      </c>
      <c r="K15" s="140">
        <f>G4</f>
        <v>89</v>
      </c>
    </row>
    <row r="16" spans="1:11">
      <c r="A16" s="140" t="s">
        <v>37</v>
      </c>
      <c r="B16" s="140">
        <f>SUM(B14:B15)</f>
        <v>75</v>
      </c>
      <c r="C16" s="140">
        <f>SUM(C14:C15)</f>
        <v>45</v>
      </c>
      <c r="D16" s="140">
        <f>SUM(D14:D15)</f>
        <v>66</v>
      </c>
      <c r="E16" s="140">
        <f>SUM(E14:E15)</f>
        <v>186</v>
      </c>
      <c r="H16" s="140" t="s">
        <v>467</v>
      </c>
      <c r="I16" s="140">
        <f>B16</f>
        <v>75</v>
      </c>
      <c r="J16" s="140" t="s">
        <v>525</v>
      </c>
      <c r="K16" s="140">
        <f>B8</f>
        <v>75</v>
      </c>
    </row>
    <row r="17" spans="1:11">
      <c r="H17" s="140" t="s">
        <v>464</v>
      </c>
      <c r="I17" s="140">
        <f>C16</f>
        <v>45</v>
      </c>
      <c r="J17" s="140" t="s">
        <v>525</v>
      </c>
      <c r="K17" s="140">
        <f>B9</f>
        <v>45</v>
      </c>
    </row>
    <row r="18" spans="1:11">
      <c r="A18" s="140" t="s">
        <v>526</v>
      </c>
      <c r="B18" s="141">
        <f>SUMPRODUCT(B3:D4,B14:D15)</f>
        <v>67910</v>
      </c>
      <c r="H18" s="140" t="s">
        <v>461</v>
      </c>
      <c r="I18" s="140">
        <f>D16</f>
        <v>66</v>
      </c>
      <c r="J18" s="140" t="s">
        <v>525</v>
      </c>
      <c r="K18" s="140">
        <f>B10</f>
        <v>66</v>
      </c>
    </row>
    <row r="21" spans="1:11">
      <c r="B21" s="145"/>
      <c r="C21" s="145"/>
      <c r="D21" s="145"/>
      <c r="E21" s="145"/>
      <c r="F21" s="145"/>
      <c r="G21" s="145"/>
      <c r="H21" s="145"/>
      <c r="I21" s="145"/>
    </row>
    <row r="22" spans="1:11">
      <c r="B22" s="145"/>
      <c r="C22" s="145"/>
      <c r="D22" s="145"/>
      <c r="E22" s="145"/>
      <c r="F22" s="145"/>
      <c r="G22" s="145"/>
      <c r="H22" s="145"/>
      <c r="I22" s="145"/>
    </row>
    <row r="23" spans="1:11">
      <c r="B23" s="145"/>
      <c r="C23" s="145"/>
      <c r="D23" s="145"/>
      <c r="E23" s="145"/>
      <c r="F23" s="145"/>
      <c r="G23" s="145"/>
      <c r="H23" s="145"/>
      <c r="I23" s="145"/>
    </row>
    <row r="24" spans="1:11">
      <c r="B24" s="145"/>
      <c r="C24" s="145"/>
      <c r="D24" s="145"/>
      <c r="E24" s="145"/>
      <c r="F24" s="145"/>
      <c r="G24" s="145"/>
      <c r="H24" s="145"/>
      <c r="I24" s="145"/>
    </row>
    <row r="25" spans="1:11">
      <c r="B25" s="145"/>
      <c r="C25" s="145"/>
      <c r="D25" s="145"/>
      <c r="E25" s="145"/>
      <c r="F25" s="145"/>
      <c r="G25" s="145"/>
      <c r="H25" s="145"/>
      <c r="I25" s="145"/>
    </row>
    <row r="26" spans="1:11">
      <c r="B26" s="145"/>
      <c r="C26" s="145"/>
      <c r="D26" s="145"/>
      <c r="E26" s="145"/>
      <c r="F26" s="145"/>
      <c r="G26" s="145"/>
      <c r="H26" s="145"/>
      <c r="I26" s="145"/>
    </row>
    <row r="27" spans="1:11">
      <c r="B27" s="145"/>
      <c r="C27" s="145"/>
      <c r="D27" s="145"/>
      <c r="E27" s="145"/>
      <c r="F27" s="145"/>
      <c r="G27" s="145"/>
      <c r="H27" s="145"/>
      <c r="I27" s="145"/>
    </row>
    <row r="29" spans="1:11">
      <c r="B29" s="146"/>
      <c r="C29" s="146"/>
      <c r="D29" s="146"/>
      <c r="E29" s="146"/>
      <c r="F29" s="146"/>
      <c r="G29" s="146"/>
      <c r="H29" s="146"/>
      <c r="I29" s="146"/>
    </row>
    <row r="30" spans="1:11">
      <c r="B30" s="146"/>
      <c r="C30" s="146"/>
      <c r="D30" s="146"/>
      <c r="E30" s="146"/>
      <c r="F30" s="146"/>
      <c r="G30" s="146"/>
      <c r="H30" s="146"/>
      <c r="I30" s="146"/>
    </row>
    <row r="31" spans="1:11">
      <c r="B31" s="146"/>
      <c r="C31" s="146"/>
      <c r="D31" s="146"/>
      <c r="E31" s="146"/>
      <c r="F31" s="146"/>
      <c r="G31" s="146"/>
      <c r="H31" s="146"/>
      <c r="I31" s="146"/>
    </row>
    <row r="32" spans="1:11">
      <c r="B32" s="146"/>
      <c r="C32" s="146"/>
      <c r="D32" s="146"/>
      <c r="E32" s="146"/>
      <c r="F32" s="146"/>
      <c r="G32" s="146"/>
      <c r="H32" s="146"/>
      <c r="I32" s="146"/>
    </row>
    <row r="33" spans="2:9">
      <c r="B33" s="146"/>
      <c r="C33" s="146"/>
      <c r="D33" s="146"/>
      <c r="E33" s="146"/>
      <c r="F33" s="146"/>
      <c r="G33" s="146"/>
      <c r="H33" s="146"/>
      <c r="I33" s="146"/>
    </row>
    <row r="34" spans="2:9">
      <c r="B34" s="146"/>
      <c r="C34" s="146"/>
      <c r="D34" s="146"/>
      <c r="E34" s="146"/>
      <c r="F34" s="146"/>
      <c r="G34" s="146"/>
      <c r="H34" s="146"/>
      <c r="I34" s="146"/>
    </row>
    <row r="35" spans="2:9">
      <c r="B35" s="146"/>
      <c r="C35" s="146"/>
      <c r="D35" s="146"/>
      <c r="E35" s="146"/>
      <c r="F35" s="146"/>
      <c r="G35" s="146"/>
      <c r="H35" s="146"/>
      <c r="I35" s="146"/>
    </row>
    <row r="36" spans="2:9">
      <c r="B36" s="146"/>
      <c r="C36" s="146"/>
      <c r="D36" s="146"/>
      <c r="E36" s="146"/>
      <c r="F36" s="146"/>
      <c r="G36" s="146"/>
      <c r="H36" s="146"/>
      <c r="I36" s="146"/>
    </row>
  </sheetData>
  <mergeCells count="3">
    <mergeCell ref="B1:D1"/>
    <mergeCell ref="A1:A2"/>
    <mergeCell ref="I13:K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4"/>
  <sheetViews>
    <sheetView showGridLines="0" topLeftCell="A13" workbookViewId="0">
      <selection activeCell="M23" sqref="M23"/>
    </sheetView>
  </sheetViews>
  <sheetFormatPr defaultRowHeight="14.4"/>
  <cols>
    <col min="1" max="1" width="2.33203125" customWidth="1"/>
    <col min="2" max="2" width="5.5546875" bestFit="1" customWidth="1"/>
    <col min="3" max="3" width="17.88671875" bestFit="1" customWidth="1"/>
    <col min="4" max="4" width="13.6640625" bestFit="1" customWidth="1"/>
    <col min="5" max="5" width="12.6640625" bestFit="1" customWidth="1"/>
    <col min="6" max="6" width="7.6640625" bestFit="1" customWidth="1"/>
    <col min="7" max="7" width="5.44140625" bestFit="1" customWidth="1"/>
  </cols>
  <sheetData>
    <row r="1" spans="1:5">
      <c r="A1" s="2" t="s">
        <v>510</v>
      </c>
    </row>
    <row r="2" spans="1:5">
      <c r="A2" s="2" t="s">
        <v>509</v>
      </c>
    </row>
    <row r="3" spans="1:5">
      <c r="A3" s="2" t="s">
        <v>508</v>
      </c>
    </row>
    <row r="4" spans="1:5">
      <c r="A4" s="2" t="s">
        <v>507</v>
      </c>
    </row>
    <row r="5" spans="1:5">
      <c r="A5" s="2" t="s">
        <v>506</v>
      </c>
    </row>
    <row r="6" spans="1:5">
      <c r="A6" s="2"/>
      <c r="B6" t="s">
        <v>505</v>
      </c>
    </row>
    <row r="7" spans="1:5">
      <c r="A7" s="2"/>
      <c r="B7" t="s">
        <v>504</v>
      </c>
    </row>
    <row r="8" spans="1:5">
      <c r="A8" s="2"/>
      <c r="B8" t="s">
        <v>503</v>
      </c>
    </row>
    <row r="9" spans="1:5">
      <c r="A9" s="2" t="s">
        <v>502</v>
      </c>
    </row>
    <row r="10" spans="1:5">
      <c r="B10" t="s">
        <v>501</v>
      </c>
    </row>
    <row r="11" spans="1:5">
      <c r="B11" t="s">
        <v>500</v>
      </c>
    </row>
    <row r="14" spans="1:5" ht="15" thickBot="1">
      <c r="A14" t="s">
        <v>499</v>
      </c>
    </row>
    <row r="15" spans="1:5" ht="15" thickBot="1">
      <c r="B15" s="137" t="s">
        <v>480</v>
      </c>
      <c r="C15" s="137" t="s">
        <v>479</v>
      </c>
      <c r="D15" s="137" t="s">
        <v>495</v>
      </c>
      <c r="E15" s="137" t="s">
        <v>494</v>
      </c>
    </row>
    <row r="16" spans="1:5" ht="15" thickBot="1">
      <c r="B16" s="133" t="s">
        <v>498</v>
      </c>
      <c r="C16" s="133" t="s">
        <v>497</v>
      </c>
      <c r="D16" s="134">
        <v>67910</v>
      </c>
      <c r="E16" s="134">
        <v>67910</v>
      </c>
    </row>
    <row r="19" spans="1:7" ht="15" thickBot="1">
      <c r="A19" t="s">
        <v>496</v>
      </c>
    </row>
    <row r="20" spans="1:7" ht="15" thickBot="1">
      <c r="B20" s="137" t="s">
        <v>480</v>
      </c>
      <c r="C20" s="137" t="s">
        <v>479</v>
      </c>
      <c r="D20" s="137" t="s">
        <v>495</v>
      </c>
      <c r="E20" s="137" t="s">
        <v>494</v>
      </c>
      <c r="F20" s="137" t="s">
        <v>493</v>
      </c>
    </row>
    <row r="21" spans="1:7">
      <c r="B21" s="135" t="s">
        <v>492</v>
      </c>
      <c r="C21" s="135" t="s">
        <v>491</v>
      </c>
      <c r="D21" s="136">
        <v>75</v>
      </c>
      <c r="E21" s="136">
        <v>75</v>
      </c>
      <c r="F21" s="135" t="s">
        <v>482</v>
      </c>
    </row>
    <row r="22" spans="1:7">
      <c r="B22" s="135" t="s">
        <v>490</v>
      </c>
      <c r="C22" s="135" t="s">
        <v>489</v>
      </c>
      <c r="D22" s="136">
        <v>22</v>
      </c>
      <c r="E22" s="136">
        <v>22</v>
      </c>
      <c r="F22" s="135" t="s">
        <v>482</v>
      </c>
    </row>
    <row r="23" spans="1:7">
      <c r="B23" s="135" t="s">
        <v>488</v>
      </c>
      <c r="C23" s="135" t="s">
        <v>487</v>
      </c>
      <c r="D23" s="136">
        <v>0</v>
      </c>
      <c r="E23" s="136">
        <v>0</v>
      </c>
      <c r="F23" s="135" t="s">
        <v>482</v>
      </c>
    </row>
    <row r="24" spans="1:7">
      <c r="B24" s="135" t="s">
        <v>486</v>
      </c>
      <c r="C24" s="135" t="s">
        <v>485</v>
      </c>
      <c r="D24" s="136">
        <v>23</v>
      </c>
      <c r="E24" s="136">
        <v>23</v>
      </c>
      <c r="F24" s="135" t="s">
        <v>482</v>
      </c>
    </row>
    <row r="25" spans="1:7" ht="15" thickBot="1">
      <c r="B25" s="133" t="s">
        <v>484</v>
      </c>
      <c r="C25" s="133" t="s">
        <v>483</v>
      </c>
      <c r="D25" s="134">
        <v>66</v>
      </c>
      <c r="E25" s="134">
        <v>66</v>
      </c>
      <c r="F25" s="133" t="s">
        <v>482</v>
      </c>
    </row>
    <row r="28" spans="1:7" ht="15" thickBot="1">
      <c r="A28" t="s">
        <v>481</v>
      </c>
    </row>
    <row r="29" spans="1:7" ht="15" thickBot="1">
      <c r="B29" s="137" t="s">
        <v>480</v>
      </c>
      <c r="C29" s="137" t="s">
        <v>479</v>
      </c>
      <c r="D29" s="137" t="s">
        <v>478</v>
      </c>
      <c r="E29" s="137" t="s">
        <v>477</v>
      </c>
      <c r="F29" s="137" t="s">
        <v>476</v>
      </c>
      <c r="G29" s="137" t="s">
        <v>475</v>
      </c>
    </row>
    <row r="30" spans="1:7">
      <c r="B30" s="135" t="s">
        <v>474</v>
      </c>
      <c r="C30" s="135" t="s">
        <v>473</v>
      </c>
      <c r="D30" s="136">
        <v>97</v>
      </c>
      <c r="E30" s="135" t="s">
        <v>472</v>
      </c>
      <c r="F30" s="135" t="s">
        <v>459</v>
      </c>
      <c r="G30" s="135">
        <v>0</v>
      </c>
    </row>
    <row r="31" spans="1:7">
      <c r="B31" s="135" t="s">
        <v>471</v>
      </c>
      <c r="C31" s="135" t="s">
        <v>470</v>
      </c>
      <c r="D31" s="136">
        <v>89</v>
      </c>
      <c r="E31" s="135" t="s">
        <v>469</v>
      </c>
      <c r="F31" s="135" t="s">
        <v>459</v>
      </c>
      <c r="G31" s="135">
        <v>0</v>
      </c>
    </row>
    <row r="32" spans="1:7">
      <c r="B32" s="135" t="s">
        <v>468</v>
      </c>
      <c r="C32" s="135" t="s">
        <v>467</v>
      </c>
      <c r="D32" s="136">
        <v>75</v>
      </c>
      <c r="E32" s="135" t="s">
        <v>466</v>
      </c>
      <c r="F32" s="135" t="s">
        <v>459</v>
      </c>
      <c r="G32" s="135">
        <v>0</v>
      </c>
    </row>
    <row r="33" spans="2:7">
      <c r="B33" s="135" t="s">
        <v>465</v>
      </c>
      <c r="C33" s="135" t="s">
        <v>464</v>
      </c>
      <c r="D33" s="136">
        <v>45</v>
      </c>
      <c r="E33" s="135" t="s">
        <v>463</v>
      </c>
      <c r="F33" s="135" t="s">
        <v>459</v>
      </c>
      <c r="G33" s="135">
        <v>0</v>
      </c>
    </row>
    <row r="34" spans="2:7" ht="15" thickBot="1">
      <c r="B34" s="133" t="s">
        <v>462</v>
      </c>
      <c r="C34" s="133" t="s">
        <v>461</v>
      </c>
      <c r="D34" s="134">
        <v>66</v>
      </c>
      <c r="E34" s="133" t="s">
        <v>460</v>
      </c>
      <c r="F34" s="133" t="s">
        <v>459</v>
      </c>
      <c r="G34" s="13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2"/>
  <sheetViews>
    <sheetView showGridLines="0" workbookViewId="0">
      <selection activeCell="M23" sqref="M23"/>
    </sheetView>
  </sheetViews>
  <sheetFormatPr defaultRowHeight="14.4"/>
  <cols>
    <col min="1" max="1" width="2.33203125" customWidth="1"/>
    <col min="2" max="2" width="6.33203125" bestFit="1" customWidth="1"/>
    <col min="3" max="3" width="17.88671875" bestFit="1" customWidth="1"/>
    <col min="4" max="4" width="6.109375" bestFit="1" customWidth="1"/>
    <col min="5" max="5" width="8.6640625" bestFit="1" customWidth="1"/>
    <col min="6" max="6" width="10.88671875" bestFit="1" customWidth="1"/>
    <col min="7" max="8" width="10" bestFit="1" customWidth="1"/>
  </cols>
  <sheetData>
    <row r="1" spans="1:8">
      <c r="A1" s="2" t="s">
        <v>524</v>
      </c>
    </row>
    <row r="2" spans="1:8">
      <c r="A2" s="2" t="s">
        <v>509</v>
      </c>
    </row>
    <row r="3" spans="1:8">
      <c r="A3" s="2" t="s">
        <v>508</v>
      </c>
    </row>
    <row r="6" spans="1:8" ht="15" thickBot="1">
      <c r="A6" t="s">
        <v>496</v>
      </c>
    </row>
    <row r="7" spans="1:8">
      <c r="B7" s="139"/>
      <c r="C7" s="139"/>
      <c r="D7" s="139" t="s">
        <v>519</v>
      </c>
      <c r="E7" s="139" t="s">
        <v>523</v>
      </c>
      <c r="F7" s="139" t="s">
        <v>522</v>
      </c>
      <c r="G7" s="139" t="s">
        <v>516</v>
      </c>
      <c r="H7" s="139" t="s">
        <v>516</v>
      </c>
    </row>
    <row r="8" spans="1:8" ht="15" thickBot="1">
      <c r="B8" s="138" t="s">
        <v>480</v>
      </c>
      <c r="C8" s="138" t="s">
        <v>479</v>
      </c>
      <c r="D8" s="138" t="s">
        <v>515</v>
      </c>
      <c r="E8" s="138" t="s">
        <v>521</v>
      </c>
      <c r="F8" s="138" t="s">
        <v>520</v>
      </c>
      <c r="G8" s="138" t="s">
        <v>512</v>
      </c>
      <c r="H8" s="138" t="s">
        <v>511</v>
      </c>
    </row>
    <row r="9" spans="1:8">
      <c r="B9" s="135" t="s">
        <v>492</v>
      </c>
      <c r="C9" s="135" t="s">
        <v>491</v>
      </c>
      <c r="D9" s="135">
        <v>75</v>
      </c>
      <c r="E9" s="135">
        <v>0</v>
      </c>
      <c r="F9" s="135">
        <v>350</v>
      </c>
      <c r="G9" s="135">
        <v>1E+30</v>
      </c>
      <c r="H9" s="135">
        <v>80</v>
      </c>
    </row>
    <row r="10" spans="1:8">
      <c r="B10" s="135" t="s">
        <v>490</v>
      </c>
      <c r="C10" s="135" t="s">
        <v>489</v>
      </c>
      <c r="D10" s="135">
        <v>22</v>
      </c>
      <c r="E10" s="135">
        <v>0</v>
      </c>
      <c r="F10" s="135">
        <v>320</v>
      </c>
      <c r="G10" s="135">
        <v>80</v>
      </c>
      <c r="H10" s="135">
        <v>20</v>
      </c>
    </row>
    <row r="11" spans="1:8">
      <c r="B11" s="135" t="s">
        <v>488</v>
      </c>
      <c r="C11" s="135" t="s">
        <v>487</v>
      </c>
      <c r="D11" s="135">
        <v>0</v>
      </c>
      <c r="E11" s="135">
        <v>-80</v>
      </c>
      <c r="F11" s="135">
        <v>250</v>
      </c>
      <c r="G11" s="135">
        <v>80</v>
      </c>
      <c r="H11" s="135">
        <v>1E+30</v>
      </c>
    </row>
    <row r="12" spans="1:8">
      <c r="B12" s="135" t="s">
        <v>486</v>
      </c>
      <c r="C12" s="135" t="s">
        <v>485</v>
      </c>
      <c r="D12" s="135">
        <v>23</v>
      </c>
      <c r="E12" s="135">
        <v>0</v>
      </c>
      <c r="F12" s="135">
        <v>300</v>
      </c>
      <c r="G12" s="135">
        <v>20</v>
      </c>
      <c r="H12" s="135">
        <v>80</v>
      </c>
    </row>
    <row r="13" spans="1:8" ht="15" thickBot="1">
      <c r="B13" s="133" t="s">
        <v>484</v>
      </c>
      <c r="C13" s="133" t="s">
        <v>483</v>
      </c>
      <c r="D13" s="133">
        <v>66</v>
      </c>
      <c r="E13" s="133">
        <v>0</v>
      </c>
      <c r="F13" s="133">
        <v>420</v>
      </c>
      <c r="G13" s="133">
        <v>1E+30</v>
      </c>
      <c r="H13" s="133">
        <v>420</v>
      </c>
    </row>
    <row r="15" spans="1:8" ht="15" thickBot="1">
      <c r="A15" t="s">
        <v>481</v>
      </c>
    </row>
    <row r="16" spans="1:8">
      <c r="B16" s="139"/>
      <c r="C16" s="139"/>
      <c r="D16" s="139" t="s">
        <v>519</v>
      </c>
      <c r="E16" s="139" t="s">
        <v>518</v>
      </c>
      <c r="F16" s="139" t="s">
        <v>517</v>
      </c>
      <c r="G16" s="139" t="s">
        <v>516</v>
      </c>
      <c r="H16" s="139" t="s">
        <v>516</v>
      </c>
    </row>
    <row r="17" spans="2:8" ht="15" thickBot="1">
      <c r="B17" s="138" t="s">
        <v>480</v>
      </c>
      <c r="C17" s="138" t="s">
        <v>479</v>
      </c>
      <c r="D17" s="138" t="s">
        <v>515</v>
      </c>
      <c r="E17" s="138" t="s">
        <v>514</v>
      </c>
      <c r="F17" s="138" t="s">
        <v>513</v>
      </c>
      <c r="G17" s="138" t="s">
        <v>512</v>
      </c>
      <c r="H17" s="138" t="s">
        <v>511</v>
      </c>
    </row>
    <row r="18" spans="2:8">
      <c r="B18" s="135" t="s">
        <v>474</v>
      </c>
      <c r="C18" s="135" t="s">
        <v>473</v>
      </c>
      <c r="D18" s="135">
        <v>97</v>
      </c>
      <c r="E18" s="135">
        <v>20</v>
      </c>
      <c r="F18" s="135">
        <v>97</v>
      </c>
      <c r="G18" s="135">
        <v>23</v>
      </c>
      <c r="H18" s="135">
        <v>0</v>
      </c>
    </row>
    <row r="19" spans="2:8">
      <c r="B19" s="135" t="s">
        <v>471</v>
      </c>
      <c r="C19" s="135" t="s">
        <v>470</v>
      </c>
      <c r="D19" s="135">
        <v>89</v>
      </c>
      <c r="E19" s="135">
        <v>0</v>
      </c>
      <c r="F19" s="135">
        <v>89</v>
      </c>
      <c r="G19" s="135">
        <v>1E+30</v>
      </c>
      <c r="H19" s="135">
        <v>0</v>
      </c>
    </row>
    <row r="20" spans="2:8">
      <c r="B20" s="135" t="s">
        <v>468</v>
      </c>
      <c r="C20" s="135" t="s">
        <v>467</v>
      </c>
      <c r="D20" s="135">
        <v>75</v>
      </c>
      <c r="E20" s="135">
        <v>330</v>
      </c>
      <c r="F20" s="135">
        <v>75</v>
      </c>
      <c r="G20" s="135">
        <v>0</v>
      </c>
      <c r="H20" s="135">
        <v>23</v>
      </c>
    </row>
    <row r="21" spans="2:8">
      <c r="B21" s="135" t="s">
        <v>465</v>
      </c>
      <c r="C21" s="135" t="s">
        <v>464</v>
      </c>
      <c r="D21" s="135">
        <v>45</v>
      </c>
      <c r="E21" s="135">
        <v>300</v>
      </c>
      <c r="F21" s="135">
        <v>45</v>
      </c>
      <c r="G21" s="135">
        <v>0</v>
      </c>
      <c r="H21" s="135">
        <v>23</v>
      </c>
    </row>
    <row r="22" spans="2:8" ht="15" thickBot="1">
      <c r="B22" s="133" t="s">
        <v>462</v>
      </c>
      <c r="C22" s="133" t="s">
        <v>461</v>
      </c>
      <c r="D22" s="133">
        <v>66</v>
      </c>
      <c r="E22" s="133">
        <v>420</v>
      </c>
      <c r="F22" s="133">
        <v>66</v>
      </c>
      <c r="G22" s="133">
        <v>0</v>
      </c>
      <c r="H22" s="133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1048576"/>
  <sheetViews>
    <sheetView showGridLines="0" tabSelected="1" zoomScaleNormal="100" workbookViewId="0">
      <selection activeCell="A1048573" sqref="A1048573:XFD1048573"/>
    </sheetView>
  </sheetViews>
  <sheetFormatPr defaultColWidth="8.88671875" defaultRowHeight="14.4" zeroHeight="1"/>
  <cols>
    <col min="1" max="18" width="8.88671875" customWidth="1"/>
    <col min="19" max="16381" width="0" hidden="1" customWidth="1"/>
    <col min="16382" max="16383" width="8.88671875" customWidth="1"/>
  </cols>
  <sheetData>
    <row r="1" ht="15.45" customHeight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1048573"/>
    <row r="1048574"/>
    <row r="1048575"/>
    <row r="1048576"/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enLogin">
                <anchor moveWithCells="1">
                  <from>
                    <xdr:col>9</xdr:col>
                    <xdr:colOff>502920</xdr:colOff>
                    <xdr:row>8</xdr:row>
                    <xdr:rowOff>114300</xdr:rowOff>
                  </from>
                  <to>
                    <xdr:col>11</xdr:col>
                    <xdr:colOff>518160</xdr:colOff>
                    <xdr:row>12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8"/>
  <sheetViews>
    <sheetView workbookViewId="0">
      <selection activeCell="F6" sqref="F6:F7"/>
    </sheetView>
  </sheetViews>
  <sheetFormatPr defaultRowHeight="14.4"/>
  <sheetData>
    <row r="1" spans="1:3">
      <c r="A1" s="140" t="s">
        <v>0</v>
      </c>
      <c r="B1" s="140" t="s">
        <v>1</v>
      </c>
      <c r="C1" s="140" t="s">
        <v>0</v>
      </c>
    </row>
    <row r="2" spans="1:3">
      <c r="A2" s="140"/>
      <c r="B2" s="140"/>
      <c r="C2" s="140"/>
    </row>
    <row r="3" spans="1:3">
      <c r="A3" s="140" t="s">
        <v>15</v>
      </c>
      <c r="B3" s="140">
        <v>1234</v>
      </c>
      <c r="C3" s="140" t="s">
        <v>15</v>
      </c>
    </row>
    <row r="4" spans="1:3">
      <c r="A4" s="140" t="s">
        <v>6</v>
      </c>
      <c r="B4" s="140">
        <v>1644461</v>
      </c>
      <c r="C4" s="140" t="s">
        <v>6</v>
      </c>
    </row>
    <row r="5" spans="1:3">
      <c r="A5" s="140" t="s">
        <v>5</v>
      </c>
      <c r="B5" s="140">
        <v>1601837</v>
      </c>
      <c r="C5" s="140" t="s">
        <v>5</v>
      </c>
    </row>
    <row r="6" spans="1:3">
      <c r="A6" s="140" t="s">
        <v>4</v>
      </c>
      <c r="B6" s="140">
        <v>1602432</v>
      </c>
      <c r="C6" s="140" t="s">
        <v>4</v>
      </c>
    </row>
    <row r="7" spans="1:3">
      <c r="A7" s="140" t="s">
        <v>3</v>
      </c>
      <c r="B7" s="140">
        <v>1603305</v>
      </c>
      <c r="C7" s="140" t="s">
        <v>3</v>
      </c>
    </row>
    <row r="8" spans="1:3">
      <c r="A8" s="140" t="s">
        <v>2</v>
      </c>
      <c r="B8" s="140">
        <v>1602812</v>
      </c>
      <c r="C8" s="140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G1:G3"/>
  <sheetViews>
    <sheetView zoomScaleNormal="100" workbookViewId="0">
      <pane ySplit="1" topLeftCell="A2" activePane="bottomLeft" state="frozen"/>
      <selection pane="bottomLeft"/>
    </sheetView>
  </sheetViews>
  <sheetFormatPr defaultColWidth="8.88671875" defaultRowHeight="14.4"/>
  <cols>
    <col min="1" max="6" width="8.88671875" style="16" customWidth="1"/>
    <col min="7" max="7" width="13.109375" style="16" bestFit="1" customWidth="1"/>
    <col min="8" max="17" width="8.88671875" style="16" customWidth="1"/>
    <col min="18" max="16384" width="8.88671875" style="16"/>
  </cols>
  <sheetData>
    <row r="1" spans="7:7" s="14" customFormat="1" ht="87.45" customHeight="1"/>
    <row r="3" spans="7:7">
      <c r="G3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Logout" altText="Log Out">
                <anchor moveWithCells="1" sizeWithCells="1">
                  <from>
                    <xdr:col>13</xdr:col>
                    <xdr:colOff>632460</xdr:colOff>
                    <xdr:row>0</xdr:row>
                    <xdr:rowOff>251460</xdr:rowOff>
                  </from>
                  <to>
                    <xdr:col>16</xdr:col>
                    <xdr:colOff>0</xdr:colOff>
                    <xdr:row>0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Sheet2.OpenRegister">
                <anchor moveWithCells="1">
                  <from>
                    <xdr:col>11</xdr:col>
                    <xdr:colOff>38100</xdr:colOff>
                    <xdr:row>0</xdr:row>
                    <xdr:rowOff>236220</xdr:rowOff>
                  </from>
                  <to>
                    <xdr:col>13</xdr:col>
                    <xdr:colOff>30480</xdr:colOff>
                    <xdr:row>0</xdr:row>
                    <xdr:rowOff>975360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"/>
  <sheetViews>
    <sheetView zoomScaleNormal="100" workbookViewId="0">
      <pane ySplit="1" topLeftCell="A2" activePane="bottomLeft" state="frozen"/>
      <selection pane="bottomLeft"/>
    </sheetView>
  </sheetViews>
  <sheetFormatPr defaultColWidth="8.88671875" defaultRowHeight="14.4"/>
  <cols>
    <col min="1" max="16384" width="8.88671875" style="17"/>
  </cols>
  <sheetData>
    <row r="1" s="14" customFormat="1" ht="87.4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Logout" altText="Log Out">
                <anchor moveWithCells="1" sizeWithCells="1">
                  <from>
                    <xdr:col>14</xdr:col>
                    <xdr:colOff>304800</xdr:colOff>
                    <xdr:row>0</xdr:row>
                    <xdr:rowOff>251460</xdr:rowOff>
                  </from>
                  <to>
                    <xdr:col>16</xdr:col>
                    <xdr:colOff>312420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"/>
  <sheetViews>
    <sheetView zoomScaleNormal="100" workbookViewId="0">
      <pane ySplit="1" topLeftCell="A2" activePane="bottomLeft" state="frozen"/>
      <selection pane="bottomLeft"/>
    </sheetView>
  </sheetViews>
  <sheetFormatPr defaultColWidth="8.88671875" defaultRowHeight="14.4"/>
  <cols>
    <col min="1" max="16384" width="8.88671875" style="17"/>
  </cols>
  <sheetData>
    <row r="1" s="14" customFormat="1" ht="87.4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Logout" altText="Log Out">
                <anchor moveWithCells="1" sizeWithCells="1">
                  <from>
                    <xdr:col>14</xdr:col>
                    <xdr:colOff>304800</xdr:colOff>
                    <xdr:row>0</xdr:row>
                    <xdr:rowOff>251460</xdr:rowOff>
                  </from>
                  <to>
                    <xdr:col>16</xdr:col>
                    <xdr:colOff>312420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B1:Z26"/>
  <sheetViews>
    <sheetView zoomScale="80" zoomScaleNormal="80" workbookViewId="0">
      <pane ySplit="1" topLeftCell="A5" activePane="bottomLeft" state="frozen"/>
      <selection pane="bottomLeft"/>
    </sheetView>
  </sheetViews>
  <sheetFormatPr defaultColWidth="8.88671875" defaultRowHeight="14.4"/>
  <cols>
    <col min="1" max="16384" width="8.88671875" style="17"/>
  </cols>
  <sheetData>
    <row r="1" spans="2:26" s="14" customFormat="1" ht="87.45" customHeight="1"/>
    <row r="3" spans="2:26">
      <c r="B3" s="153" t="s">
        <v>171</v>
      </c>
      <c r="C3" s="154"/>
      <c r="D3" s="154"/>
      <c r="E3" s="154"/>
      <c r="F3" s="154"/>
      <c r="G3" s="154"/>
      <c r="H3" s="154"/>
      <c r="I3" s="154"/>
      <c r="J3" s="154"/>
      <c r="K3" s="154"/>
      <c r="L3" s="154"/>
    </row>
    <row r="4" spans="2:26">
      <c r="B4" s="154"/>
      <c r="C4" s="154"/>
      <c r="D4" s="154"/>
      <c r="E4" s="154"/>
      <c r="F4" s="154"/>
      <c r="G4" s="154"/>
      <c r="H4" s="154"/>
      <c r="I4" s="154"/>
      <c r="J4" s="154"/>
      <c r="K4" s="154"/>
      <c r="L4" s="154"/>
    </row>
    <row r="5" spans="2:26"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</row>
    <row r="6" spans="2:26" ht="15.75" customHeight="1"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</row>
    <row r="7" spans="2:26" ht="15.75" customHeight="1"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</row>
    <row r="10" spans="2:26">
      <c r="N10" s="155" t="str">
        <f ca="1">"The Maximum value in the comparison is $" &amp; TEXT(Dhc,"########") &amp; " in ($'000) for " &amp; ActivFull</f>
        <v>The Maximum value in the comparison is $145538 in ($'000) for Profit before tax</v>
      </c>
      <c r="O10" s="155"/>
      <c r="P10" s="155"/>
      <c r="Q10" s="155"/>
      <c r="R10" s="155"/>
      <c r="S10" s="155"/>
      <c r="T10" s="155"/>
      <c r="U10" s="155"/>
      <c r="V10" s="155"/>
    </row>
    <row r="11" spans="2:26">
      <c r="G11" s="18"/>
      <c r="H11" s="18"/>
      <c r="I11" s="18"/>
      <c r="J11" s="18"/>
      <c r="K11" s="18"/>
      <c r="L11" s="18"/>
      <c r="M11" s="18"/>
      <c r="N11" s="155"/>
      <c r="O11" s="155"/>
      <c r="P11" s="155"/>
      <c r="Q11" s="155"/>
      <c r="R11" s="155"/>
      <c r="S11" s="155"/>
      <c r="T11" s="155"/>
      <c r="U11" s="155"/>
      <c r="V11" s="155"/>
    </row>
    <row r="12" spans="2:26">
      <c r="G12" s="18"/>
      <c r="H12" s="18"/>
      <c r="I12" s="18"/>
      <c r="J12" s="18"/>
      <c r="K12" s="18"/>
      <c r="L12" s="18"/>
      <c r="M12" s="18"/>
      <c r="N12" s="155" t="str">
        <f ca="1">"The Minimum value in the comparison is $" &amp; TEXT(Dlc,"########") &amp; " in ($'000) for " &amp; ActivFull</f>
        <v>The Minimum value in the comparison is $-26647 in ($'000) for Profit before tax</v>
      </c>
      <c r="O12" s="155"/>
      <c r="P12" s="155"/>
      <c r="Q12" s="155"/>
      <c r="R12" s="155"/>
      <c r="S12" s="155"/>
      <c r="T12" s="155"/>
      <c r="U12" s="155"/>
      <c r="V12" s="155"/>
    </row>
    <row r="13" spans="2:26">
      <c r="G13" s="18"/>
      <c r="H13" s="18"/>
      <c r="I13" s="18"/>
      <c r="J13" s="18"/>
      <c r="K13" s="18"/>
      <c r="L13" s="18"/>
      <c r="M13" s="18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2:26">
      <c r="N14" s="155" t="str">
        <f ca="1">"The Average value in the comparison is $" &amp; TEXT(Dac,"########") &amp; " in ($'000) for " &amp; ActivFull</f>
        <v>The Average value in the comparison is $66764 in ($'000) for Profit before tax</v>
      </c>
      <c r="O14" s="155"/>
      <c r="P14" s="155"/>
      <c r="Q14" s="155"/>
      <c r="R14" s="155"/>
      <c r="S14" s="155"/>
      <c r="T14" s="155"/>
      <c r="U14" s="155"/>
      <c r="V14" s="155"/>
    </row>
    <row r="15" spans="2:26">
      <c r="N15" s="155"/>
      <c r="O15" s="155"/>
      <c r="P15" s="155"/>
      <c r="Q15" s="155"/>
      <c r="R15" s="155"/>
      <c r="S15" s="155"/>
      <c r="T15" s="155"/>
      <c r="U15" s="155"/>
      <c r="V15" s="155"/>
    </row>
    <row r="16" spans="2:26">
      <c r="N16" s="48"/>
      <c r="O16" s="48"/>
      <c r="P16" s="48"/>
      <c r="Q16" s="48"/>
      <c r="R16" s="48"/>
      <c r="S16" s="48"/>
      <c r="T16" s="48"/>
      <c r="U16" s="48"/>
      <c r="V16" s="48"/>
      <c r="Z16" s="49"/>
    </row>
    <row r="18" spans="14:22">
      <c r="N18" s="50" t="s">
        <v>60</v>
      </c>
      <c r="O18" s="51"/>
      <c r="P18" s="51"/>
      <c r="Q18" s="51"/>
      <c r="R18" s="51"/>
      <c r="S18" s="51"/>
      <c r="T18" s="51"/>
      <c r="U18" s="51"/>
      <c r="V18" s="51"/>
    </row>
    <row r="19" spans="14:22" ht="15" customHeight="1">
      <c r="N19" s="152" t="str">
        <f ca="1">'CControl CF Danny'!A16</f>
        <v>In 2013, the Profit before tax of Isetan at $7340, is less than that of Metro at $82049, by $74709. &lt; in ($'000) &gt;</v>
      </c>
      <c r="O19" s="152"/>
      <c r="P19" s="152"/>
      <c r="Q19" s="152"/>
      <c r="R19" s="152"/>
      <c r="S19" s="152"/>
      <c r="T19" s="152"/>
      <c r="U19" s="152"/>
      <c r="V19" s="152"/>
    </row>
    <row r="20" spans="14:22">
      <c r="N20" s="152"/>
      <c r="O20" s="152"/>
      <c r="P20" s="152"/>
      <c r="Q20" s="152"/>
      <c r="R20" s="152"/>
      <c r="S20" s="152"/>
      <c r="T20" s="152"/>
      <c r="U20" s="152"/>
      <c r="V20" s="152"/>
    </row>
    <row r="21" spans="14:22" ht="15" customHeight="1">
      <c r="N21" s="152" t="str">
        <f ca="1">'CControl CF Danny'!A17</f>
        <v>In 2014, the Profit before tax of Isetan at $-3023, is less than that of Metro at $124820, by $127843. &lt; in ($'000) &gt;</v>
      </c>
      <c r="O21" s="152"/>
      <c r="P21" s="152"/>
      <c r="Q21" s="152"/>
      <c r="R21" s="152"/>
      <c r="S21" s="152"/>
      <c r="T21" s="152"/>
      <c r="U21" s="152"/>
      <c r="V21" s="152"/>
    </row>
    <row r="22" spans="14:22">
      <c r="N22" s="152"/>
      <c r="O22" s="152"/>
      <c r="P22" s="152"/>
      <c r="Q22" s="152"/>
      <c r="R22" s="152"/>
      <c r="S22" s="152"/>
      <c r="T22" s="152"/>
      <c r="U22" s="152"/>
      <c r="V22" s="152"/>
    </row>
    <row r="23" spans="14:22" ht="15" customHeight="1">
      <c r="N23" s="152" t="str">
        <f ca="1">'CControl CF Danny'!A18</f>
        <v>In 2015, the Profit before tax of Isetan at $-26647, is less than that of Metro at $145538, by $172185. &lt; in ($'000) &gt;</v>
      </c>
      <c r="O23" s="152"/>
      <c r="P23" s="152"/>
      <c r="Q23" s="152"/>
      <c r="R23" s="152"/>
      <c r="S23" s="152"/>
      <c r="T23" s="152"/>
      <c r="U23" s="152"/>
      <c r="V23" s="152"/>
    </row>
    <row r="24" spans="14:22">
      <c r="N24" s="152"/>
      <c r="O24" s="152"/>
      <c r="P24" s="152"/>
      <c r="Q24" s="152"/>
      <c r="R24" s="152"/>
      <c r="S24" s="152"/>
      <c r="T24" s="152"/>
      <c r="U24" s="152"/>
      <c r="V24" s="152"/>
    </row>
    <row r="25" spans="14:22" ht="15" customHeight="1">
      <c r="N25" s="152" t="str">
        <f ca="1">'CControl CF Danny'!A19</f>
        <v>In 2016, the Profit before tax of Isetan at $2931, is less than that of Metro at $122332, by $119401. &lt; in ($'000) &gt;</v>
      </c>
      <c r="O25" s="152"/>
      <c r="P25" s="152"/>
      <c r="Q25" s="152"/>
      <c r="R25" s="152"/>
      <c r="S25" s="152"/>
      <c r="T25" s="152"/>
      <c r="U25" s="152"/>
      <c r="V25" s="152"/>
    </row>
    <row r="26" spans="14:22">
      <c r="N26" s="152"/>
      <c r="O26" s="152"/>
      <c r="P26" s="152"/>
      <c r="Q26" s="152"/>
      <c r="R26" s="152"/>
      <c r="S26" s="152"/>
      <c r="T26" s="152"/>
      <c r="U26" s="152"/>
      <c r="V26" s="152"/>
    </row>
  </sheetData>
  <mergeCells count="8">
    <mergeCell ref="N25:V26"/>
    <mergeCell ref="B3:L6"/>
    <mergeCell ref="N10:V11"/>
    <mergeCell ref="N12:V13"/>
    <mergeCell ref="N14:V15"/>
    <mergeCell ref="N19:V20"/>
    <mergeCell ref="N21:V22"/>
    <mergeCell ref="N23:V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13</xdr:col>
                    <xdr:colOff>30480</xdr:colOff>
                    <xdr:row>6</xdr:row>
                    <xdr:rowOff>137160</xdr:rowOff>
                  </from>
                  <to>
                    <xdr:col>18</xdr:col>
                    <xdr:colOff>76200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Logout" altText="Log Out">
                <anchor moveWithCells="1" sizeWithCells="1">
                  <from>
                    <xdr:col>14</xdr:col>
                    <xdr:colOff>304800</xdr:colOff>
                    <xdr:row>0</xdr:row>
                    <xdr:rowOff>251460</xdr:rowOff>
                  </from>
                  <to>
                    <xdr:col>16</xdr:col>
                    <xdr:colOff>312420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O19"/>
  <sheetViews>
    <sheetView zoomScale="70" zoomScaleNormal="70" workbookViewId="0">
      <selection activeCell="A16" sqref="A16"/>
    </sheetView>
  </sheetViews>
  <sheetFormatPr defaultRowHeight="14.4"/>
  <cols>
    <col min="1" max="1" width="43" customWidth="1"/>
    <col min="2" max="2" width="8.88671875" customWidth="1"/>
    <col min="3" max="5" width="8.5546875" customWidth="1"/>
    <col min="8" max="8" width="48" customWidth="1"/>
    <col min="15" max="15" width="11.109375" bestFit="1" customWidth="1"/>
  </cols>
  <sheetData>
    <row r="1" spans="1:15">
      <c r="A1" t="s">
        <v>20</v>
      </c>
      <c r="B1" t="s">
        <v>13</v>
      </c>
      <c r="C1" t="s">
        <v>14</v>
      </c>
      <c r="D1" t="s">
        <v>21</v>
      </c>
      <c r="E1" t="s">
        <v>14</v>
      </c>
      <c r="I1">
        <v>1</v>
      </c>
      <c r="J1">
        <v>2</v>
      </c>
      <c r="K1">
        <v>3</v>
      </c>
      <c r="L1">
        <v>4</v>
      </c>
    </row>
    <row r="2" spans="1:15">
      <c r="A2" t="s">
        <v>16</v>
      </c>
      <c r="B2">
        <v>2</v>
      </c>
      <c r="C2" t="str">
        <f>CHOOSE(Cashflow_Link,A2,A3,A4,A5)</f>
        <v>Operating Activities</v>
      </c>
      <c r="D2" t="s">
        <v>22</v>
      </c>
      <c r="E2" t="str">
        <f>CHOOSE(Cashflow_Link,D2,D3,D4,D5)</f>
        <v>OY_Name</v>
      </c>
      <c r="H2" t="str">
        <f>"Isetan Vs Metro in " &amp; ActivFull &amp; " ($'000)"</f>
        <v>Isetan Vs Metro in Profit before tax ($'000)</v>
      </c>
      <c r="I2">
        <v>2013</v>
      </c>
      <c r="J2">
        <v>2014</v>
      </c>
      <c r="K2">
        <v>2015</v>
      </c>
      <c r="L2">
        <v>2016</v>
      </c>
      <c r="M2" t="s">
        <v>27</v>
      </c>
      <c r="N2" t="s">
        <v>28</v>
      </c>
      <c r="O2" t="s">
        <v>29</v>
      </c>
    </row>
    <row r="3" spans="1:15">
      <c r="A3" t="s">
        <v>17</v>
      </c>
      <c r="D3" t="s">
        <v>23</v>
      </c>
      <c r="G3">
        <v>1</v>
      </c>
      <c r="H3" t="s">
        <v>8</v>
      </c>
      <c r="I3">
        <f ca="1">INDEX(INDIRECT(DName),$G$3,I$1)</f>
        <v>7340</v>
      </c>
      <c r="J3">
        <f ca="1">INDEX(INDIRECT(DName),$G$3,J$1)</f>
        <v>-3023</v>
      </c>
      <c r="K3">
        <f ca="1">INDEX(INDIRECT(DName),$G$3,K$1)</f>
        <v>-26647</v>
      </c>
      <c r="L3">
        <f ca="1">INDEX(INDIRECT(DName),$G$3,L$1)</f>
        <v>2931</v>
      </c>
      <c r="M3" s="1">
        <f ca="1">MAX(I3:L4)</f>
        <v>145538</v>
      </c>
      <c r="N3" s="1">
        <f ca="1">MIN(I3:L4)</f>
        <v>-26647</v>
      </c>
      <c r="O3" s="1">
        <f ca="1">AVERAGE(I3:M4)</f>
        <v>66764.222222222219</v>
      </c>
    </row>
    <row r="4" spans="1:15">
      <c r="A4" t="s">
        <v>18</v>
      </c>
      <c r="D4" t="s">
        <v>24</v>
      </c>
      <c r="G4">
        <v>2</v>
      </c>
      <c r="H4" t="s">
        <v>9</v>
      </c>
      <c r="I4">
        <f ca="1">INDEX(INDIRECT(DName),$G$4,I$1)</f>
        <v>82049</v>
      </c>
      <c r="J4">
        <f ca="1">INDEX(INDIRECT(DName),$G$4,J$1)</f>
        <v>124820</v>
      </c>
      <c r="K4">
        <f ca="1">INDEX(INDIRECT(DName),$G$4,K$1)</f>
        <v>145538</v>
      </c>
      <c r="L4">
        <f ca="1">INDEX(INDIRECT(DName),$G$4,L$1)</f>
        <v>122332</v>
      </c>
    </row>
    <row r="5" spans="1:15">
      <c r="A5" t="s">
        <v>19</v>
      </c>
      <c r="D5" t="s">
        <v>25</v>
      </c>
    </row>
    <row r="10" spans="1:15">
      <c r="H10" t="s">
        <v>20</v>
      </c>
      <c r="I10" t="s">
        <v>13</v>
      </c>
      <c r="J10" t="s">
        <v>14</v>
      </c>
      <c r="K10" t="s">
        <v>21</v>
      </c>
      <c r="L10" t="s">
        <v>14</v>
      </c>
    </row>
    <row r="11" spans="1:15">
      <c r="H11" t="s">
        <v>98</v>
      </c>
      <c r="I11">
        <v>1</v>
      </c>
      <c r="J11" t="str">
        <f>CHOOSE(I11,H11,H12,H13,H14,H15,H16)</f>
        <v>Profit before tax</v>
      </c>
      <c r="K11" t="s">
        <v>105</v>
      </c>
      <c r="L11" t="str">
        <f>CHOOSE(I11,K11,K12,K13,K14,K15,K16)</f>
        <v>PBT_Name</v>
      </c>
    </row>
    <row r="12" spans="1:15">
      <c r="H12" t="s">
        <v>100</v>
      </c>
      <c r="K12" t="s">
        <v>104</v>
      </c>
    </row>
    <row r="13" spans="1:15">
      <c r="A13" t="s">
        <v>26</v>
      </c>
      <c r="B13" t="str">
        <f>"D" &amp; ActivShort</f>
        <v>DPBT_Name</v>
      </c>
      <c r="H13" t="s">
        <v>17</v>
      </c>
      <c r="K13" t="s">
        <v>23</v>
      </c>
    </row>
    <row r="14" spans="1:15">
      <c r="H14" t="s">
        <v>18</v>
      </c>
      <c r="K14" t="s">
        <v>24</v>
      </c>
    </row>
    <row r="15" spans="1:15">
      <c r="A15" t="s">
        <v>95</v>
      </c>
      <c r="H15" t="s">
        <v>19</v>
      </c>
      <c r="K15" t="s">
        <v>25</v>
      </c>
    </row>
    <row r="16" spans="1:15">
      <c r="A16" t="str">
        <f ca="1">"In 2013, the " &amp; ActivFull &amp; " of Isetan at $" &amp; I3 &amp; ", is " &amp; IF(I3&gt;I4, "more than ", "less than ") &amp; "that of Metro at $" &amp; I4 &amp; ", by $" &amp; IF(I3&gt;I4,I3-I4,I4-I3) &amp; ". &lt; in ($'000) &gt;"</f>
        <v>In 2013, the Profit before tax of Isetan at $7340, is less than that of Metro at $82049, by $74709. &lt; in ($'000) &gt;</v>
      </c>
      <c r="H16" t="s">
        <v>16</v>
      </c>
      <c r="K16" t="s">
        <v>22</v>
      </c>
    </row>
    <row r="17" spans="1:1">
      <c r="A17" t="str">
        <f ca="1">"In 2014, the " &amp; ActivFull &amp; " of Isetan at $" &amp; J3 &amp; ", is " &amp; IF(J3&gt;J4, "more than ", "less than ") &amp; "that of Metro at $" &amp; J4 &amp; ", by $" &amp; IF(J3&gt;J4,J3-J4,J4-J3) &amp; ". &lt; in ($'000) &gt;"</f>
        <v>In 2014, the Profit before tax of Isetan at $-3023, is less than that of Metro at $124820, by $127843. &lt; in ($'000) &gt;</v>
      </c>
    </row>
    <row r="18" spans="1:1">
      <c r="A18" t="str">
        <f ca="1">"In 2015, the " &amp; ActivFull &amp; " of Isetan at $" &amp; K3 &amp; ", is " &amp; IF(K3&gt;K4, "more than ", "less than ") &amp; "that of Metro at $" &amp; K4 &amp; ", by $" &amp; IF(K3&gt;K4,K3-K4,K4-K3) &amp; ". &lt; in ($'000) &gt;"</f>
        <v>In 2015, the Profit before tax of Isetan at $-26647, is less than that of Metro at $145538, by $172185. &lt; in ($'000) &gt;</v>
      </c>
    </row>
    <row r="19" spans="1:1">
      <c r="A19" t="str">
        <f ca="1">"In 2016, the " &amp; ActivFull &amp; " of Isetan at $" &amp; L3 &amp; ", is " &amp; IF(L3&gt;L4, "more than ", "less than ") &amp; "that of Metro at $" &amp; L4 &amp; ", by $" &amp; IF(L3&gt;L4,L3-L4,L4-L3) &amp; ". &lt; in ($'000) &gt;"</f>
        <v>In 2016, the Profit before tax of Isetan at $2931, is less than that of Metro at $122332, by $119401. &lt; in ($'000) &gt;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M23"/>
  <sheetViews>
    <sheetView topLeftCell="A6" workbookViewId="0">
      <selection activeCell="B22" sqref="B22:E23"/>
    </sheetView>
  </sheetViews>
  <sheetFormatPr defaultRowHeight="14.4"/>
  <sheetData>
    <row r="1" spans="1:13">
      <c r="A1" t="s">
        <v>7</v>
      </c>
      <c r="B1">
        <v>2013</v>
      </c>
      <c r="C1">
        <v>2014</v>
      </c>
      <c r="D1">
        <v>2015</v>
      </c>
      <c r="E1">
        <v>2016</v>
      </c>
    </row>
    <row r="2" spans="1:13">
      <c r="A2" t="s">
        <v>8</v>
      </c>
      <c r="B2">
        <v>97630</v>
      </c>
      <c r="C2">
        <v>87976</v>
      </c>
      <c r="D2">
        <v>63328</v>
      </c>
      <c r="E2">
        <v>54688</v>
      </c>
    </row>
    <row r="3" spans="1:13">
      <c r="A3" t="s">
        <v>9</v>
      </c>
      <c r="B3">
        <v>351605</v>
      </c>
      <c r="C3">
        <v>297971</v>
      </c>
      <c r="D3">
        <v>349987</v>
      </c>
      <c r="E3">
        <v>493606</v>
      </c>
    </row>
    <row r="5" spans="1:13">
      <c r="A5" t="s">
        <v>10</v>
      </c>
      <c r="B5">
        <v>2013</v>
      </c>
      <c r="C5">
        <v>2014</v>
      </c>
      <c r="D5">
        <v>2015</v>
      </c>
      <c r="E5">
        <v>2016</v>
      </c>
    </row>
    <row r="6" spans="1:13">
      <c r="A6" t="s">
        <v>8</v>
      </c>
      <c r="B6">
        <v>11548</v>
      </c>
      <c r="C6">
        <v>-2768</v>
      </c>
      <c r="D6">
        <v>-9455</v>
      </c>
      <c r="E6">
        <v>-5757</v>
      </c>
    </row>
    <row r="7" spans="1:13">
      <c r="A7" t="s">
        <v>9</v>
      </c>
      <c r="B7">
        <v>-194456</v>
      </c>
      <c r="C7">
        <v>30357</v>
      </c>
      <c r="D7">
        <v>-2157</v>
      </c>
      <c r="E7">
        <v>-16381</v>
      </c>
    </row>
    <row r="9" spans="1:13">
      <c r="A9" t="s">
        <v>11</v>
      </c>
      <c r="B9">
        <v>2013</v>
      </c>
      <c r="C9">
        <v>2014</v>
      </c>
      <c r="D9">
        <v>2015</v>
      </c>
      <c r="E9">
        <v>2016</v>
      </c>
    </row>
    <row r="10" spans="1:13">
      <c r="A10" t="s">
        <v>8</v>
      </c>
      <c r="B10">
        <v>-9847</v>
      </c>
      <c r="C10">
        <v>-3792</v>
      </c>
      <c r="D10">
        <v>-12099</v>
      </c>
      <c r="E10">
        <v>-820</v>
      </c>
      <c r="J10" s="20">
        <v>45773</v>
      </c>
      <c r="K10" s="20">
        <v>36735</v>
      </c>
      <c r="L10" s="20">
        <v>-4623</v>
      </c>
      <c r="M10" s="20">
        <v>-18176</v>
      </c>
    </row>
    <row r="11" spans="1:13">
      <c r="A11" t="s">
        <v>9</v>
      </c>
      <c r="B11">
        <v>-44471</v>
      </c>
      <c r="C11">
        <v>-46371</v>
      </c>
      <c r="D11">
        <v>157348</v>
      </c>
      <c r="E11">
        <v>274574</v>
      </c>
    </row>
    <row r="13" spans="1:13">
      <c r="A13" t="s">
        <v>12</v>
      </c>
      <c r="B13">
        <v>2013</v>
      </c>
      <c r="C13">
        <v>2014</v>
      </c>
      <c r="D13">
        <v>2015</v>
      </c>
      <c r="E13">
        <v>2016</v>
      </c>
    </row>
    <row r="14" spans="1:13">
      <c r="A14" t="s">
        <v>8</v>
      </c>
      <c r="B14">
        <v>-3094</v>
      </c>
      <c r="C14">
        <v>-3094</v>
      </c>
      <c r="D14">
        <v>-3094</v>
      </c>
      <c r="E14">
        <v>-2063</v>
      </c>
    </row>
    <row r="15" spans="1:13">
      <c r="A15" t="s">
        <v>9</v>
      </c>
      <c r="B15">
        <v>46680</v>
      </c>
      <c r="C15">
        <v>-39000</v>
      </c>
      <c r="D15">
        <v>-50630</v>
      </c>
      <c r="E15">
        <v>-109121</v>
      </c>
    </row>
    <row r="17" spans="1:5">
      <c r="A17" t="s">
        <v>98</v>
      </c>
      <c r="B17">
        <v>2013</v>
      </c>
      <c r="C17">
        <v>2014</v>
      </c>
      <c r="D17">
        <v>2015</v>
      </c>
      <c r="E17">
        <v>2016</v>
      </c>
    </row>
    <row r="18" spans="1:5">
      <c r="A18" t="s">
        <v>8</v>
      </c>
      <c r="B18">
        <v>7340</v>
      </c>
      <c r="C18">
        <v>-3023</v>
      </c>
      <c r="D18">
        <v>-26647</v>
      </c>
      <c r="E18">
        <v>2931</v>
      </c>
    </row>
    <row r="19" spans="1:5">
      <c r="A19" t="s">
        <v>9</v>
      </c>
      <c r="B19">
        <v>82049</v>
      </c>
      <c r="C19">
        <v>124820</v>
      </c>
      <c r="D19">
        <v>145538</v>
      </c>
      <c r="E19">
        <v>122332</v>
      </c>
    </row>
    <row r="21" spans="1:5">
      <c r="A21" t="s">
        <v>101</v>
      </c>
      <c r="B21">
        <v>2013</v>
      </c>
      <c r="C21">
        <v>2014</v>
      </c>
      <c r="D21">
        <v>2015</v>
      </c>
      <c r="E21">
        <v>2016</v>
      </c>
    </row>
    <row r="22" spans="1:5">
      <c r="A22" t="s">
        <v>8</v>
      </c>
      <c r="B22">
        <v>11989</v>
      </c>
      <c r="C22">
        <v>3079</v>
      </c>
      <c r="D22">
        <v>-10652</v>
      </c>
      <c r="E22">
        <v>192</v>
      </c>
    </row>
    <row r="23" spans="1:5">
      <c r="A23" t="s">
        <v>9</v>
      </c>
      <c r="B23">
        <v>45773</v>
      </c>
      <c r="C23">
        <v>36735</v>
      </c>
      <c r="D23">
        <v>-4623</v>
      </c>
      <c r="E23">
        <v>-18176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V23"/>
  <sheetViews>
    <sheetView zoomScale="80" zoomScaleNormal="80" workbookViewId="0">
      <pane ySplit="1" topLeftCell="A2" activePane="bottomLeft" state="frozen"/>
      <selection pane="bottomLeft"/>
    </sheetView>
  </sheetViews>
  <sheetFormatPr defaultColWidth="8.88671875" defaultRowHeight="14.4"/>
  <cols>
    <col min="1" max="16384" width="8.88671875" style="17"/>
  </cols>
  <sheetData>
    <row r="1" spans="2:22" s="14" customFormat="1" ht="87.45" customHeight="1"/>
    <row r="3" spans="2:22">
      <c r="B3" s="157" t="s">
        <v>171</v>
      </c>
      <c r="C3" s="157"/>
      <c r="D3" s="157"/>
      <c r="E3" s="157"/>
      <c r="F3" s="157"/>
      <c r="G3" s="157"/>
      <c r="H3" s="157"/>
      <c r="I3" s="157"/>
      <c r="J3" s="157"/>
      <c r="K3" s="157"/>
      <c r="L3" s="157"/>
    </row>
    <row r="4" spans="2:22">
      <c r="B4" s="157"/>
      <c r="C4" s="157"/>
      <c r="D4" s="157"/>
      <c r="E4" s="157"/>
      <c r="F4" s="157"/>
      <c r="G4" s="157"/>
      <c r="H4" s="157"/>
      <c r="I4" s="157"/>
      <c r="J4" s="157"/>
      <c r="K4" s="157"/>
      <c r="L4" s="157"/>
    </row>
    <row r="5" spans="2:22">
      <c r="B5" s="157"/>
      <c r="C5" s="157"/>
      <c r="D5" s="157"/>
      <c r="E5" s="157"/>
      <c r="F5" s="157"/>
      <c r="G5" s="157"/>
      <c r="H5" s="157"/>
      <c r="I5" s="157"/>
      <c r="J5" s="157"/>
      <c r="K5" s="157"/>
      <c r="L5" s="157"/>
    </row>
    <row r="6" spans="2:22">
      <c r="B6" s="157"/>
      <c r="C6" s="157"/>
      <c r="D6" s="157"/>
      <c r="E6" s="157"/>
      <c r="F6" s="157"/>
      <c r="G6" s="157"/>
      <c r="H6" s="157"/>
      <c r="I6" s="157"/>
      <c r="J6" s="157"/>
      <c r="K6" s="157"/>
      <c r="L6" s="157"/>
    </row>
    <row r="10" spans="2:22">
      <c r="N10" s="158" t="str">
        <f ca="1">"The Maximum value in the comparison is $" &amp; TEXT(Dhc,"########") &amp; " in ($'000) for " &amp; ActFull</f>
        <v>The Maximum value in the comparison is $145538 in ($'000) for Operating Cash Flows before working capital changes</v>
      </c>
      <c r="O10" s="158"/>
      <c r="P10" s="158"/>
      <c r="Q10" s="158"/>
      <c r="R10" s="158"/>
      <c r="S10" s="158"/>
      <c r="T10" s="158"/>
      <c r="U10" s="158"/>
      <c r="V10" s="158"/>
    </row>
    <row r="11" spans="2:22">
      <c r="N11" s="158"/>
      <c r="O11" s="158"/>
      <c r="P11" s="158"/>
      <c r="Q11" s="158"/>
      <c r="R11" s="158"/>
      <c r="S11" s="158"/>
      <c r="T11" s="158"/>
      <c r="U11" s="158"/>
      <c r="V11" s="158"/>
    </row>
    <row r="12" spans="2:22">
      <c r="N12" s="158" t="str">
        <f ca="1">"The Minimum value in the comparison is $" &amp; TEXT(Dlc,"########") &amp; " in ($'000) for " &amp; ActFull</f>
        <v>The Minimum value in the comparison is $-26647 in ($'000) for Operating Cash Flows before working capital changes</v>
      </c>
      <c r="O12" s="158"/>
      <c r="P12" s="158"/>
      <c r="Q12" s="158"/>
      <c r="R12" s="158"/>
      <c r="S12" s="158"/>
      <c r="T12" s="158"/>
      <c r="U12" s="158"/>
      <c r="V12" s="158"/>
    </row>
    <row r="13" spans="2:22">
      <c r="N13" s="158"/>
      <c r="O13" s="158"/>
      <c r="P13" s="158"/>
      <c r="Q13" s="158"/>
      <c r="R13" s="158"/>
      <c r="S13" s="158"/>
      <c r="T13" s="158"/>
      <c r="U13" s="158"/>
      <c r="V13" s="158"/>
    </row>
    <row r="14" spans="2:22">
      <c r="N14" s="158" t="str">
        <f ca="1">"The Average value in the comparison is $" &amp; TEXT(Dac,"########") &amp; " in ($'000) for " &amp; ActFull</f>
        <v>The Average value in the comparison is $66764 in ($'000) for Operating Cash Flows before working capital changes</v>
      </c>
      <c r="O14" s="158"/>
      <c r="P14" s="158"/>
      <c r="Q14" s="158"/>
      <c r="R14" s="158"/>
      <c r="S14" s="158"/>
      <c r="T14" s="158"/>
      <c r="U14" s="158"/>
      <c r="V14" s="158"/>
    </row>
    <row r="15" spans="2:22">
      <c r="N15" s="158"/>
      <c r="O15" s="158"/>
      <c r="P15" s="158"/>
      <c r="Q15" s="158"/>
      <c r="R15" s="158"/>
      <c r="S15" s="158"/>
      <c r="T15" s="158"/>
      <c r="U15" s="158"/>
      <c r="V15" s="158"/>
    </row>
    <row r="17" spans="14:22">
      <c r="N17" s="19" t="s">
        <v>60</v>
      </c>
    </row>
    <row r="18" spans="14:22">
      <c r="N18" s="156" t="str">
        <f ca="1">'Control CF Danny'!A10</f>
        <v>In comparison with 2013, Isetan's 2014's Operating Cash Flows before working capital changes has decreased by 8910.</v>
      </c>
      <c r="O18" s="156"/>
      <c r="P18" s="156"/>
      <c r="Q18" s="156"/>
      <c r="R18" s="156"/>
      <c r="S18" s="156"/>
      <c r="T18" s="156"/>
      <c r="U18" s="156"/>
      <c r="V18" s="156"/>
    </row>
    <row r="19" spans="14:22">
      <c r="N19" s="156"/>
      <c r="O19" s="156"/>
      <c r="P19" s="156"/>
      <c r="Q19" s="156"/>
      <c r="R19" s="156"/>
      <c r="S19" s="156"/>
      <c r="T19" s="156"/>
      <c r="U19" s="156"/>
      <c r="V19" s="156"/>
    </row>
    <row r="20" spans="14:22">
      <c r="N20" s="156" t="str">
        <f ca="1">'Control CF Danny'!A11</f>
        <v>In comparison with 2014, Isetan's 2015's Operating Cash Flows before working capital changes has decreased by 13731.</v>
      </c>
      <c r="O20" s="156"/>
      <c r="P20" s="156"/>
      <c r="Q20" s="156"/>
      <c r="R20" s="156"/>
      <c r="S20" s="156"/>
      <c r="T20" s="156"/>
      <c r="U20" s="156"/>
      <c r="V20" s="156"/>
    </row>
    <row r="21" spans="14:22">
      <c r="N21" s="156"/>
      <c r="O21" s="156"/>
      <c r="P21" s="156"/>
      <c r="Q21" s="156"/>
      <c r="R21" s="156"/>
      <c r="S21" s="156"/>
      <c r="T21" s="156"/>
      <c r="U21" s="156"/>
      <c r="V21" s="156"/>
    </row>
    <row r="22" spans="14:22">
      <c r="N22" s="156" t="str">
        <f ca="1">'Control CF Danny'!A12</f>
        <v>In comparison with 2015, Isetan's 2016's Operating Cash Flows before working capital changes has increased by 10844.</v>
      </c>
      <c r="O22" s="156"/>
      <c r="P22" s="156"/>
      <c r="Q22" s="156"/>
      <c r="R22" s="156"/>
      <c r="S22" s="156"/>
      <c r="T22" s="156"/>
      <c r="U22" s="156"/>
      <c r="V22" s="156"/>
    </row>
    <row r="23" spans="14:22">
      <c r="N23" s="156"/>
      <c r="O23" s="156"/>
      <c r="P23" s="156"/>
      <c r="Q23" s="156"/>
      <c r="R23" s="156"/>
      <c r="S23" s="156"/>
      <c r="T23" s="156"/>
      <c r="U23" s="156"/>
      <c r="V23" s="156"/>
    </row>
  </sheetData>
  <mergeCells count="7">
    <mergeCell ref="N22:V23"/>
    <mergeCell ref="B3:L6"/>
    <mergeCell ref="N10:V11"/>
    <mergeCell ref="N12:V13"/>
    <mergeCell ref="N14:V15"/>
    <mergeCell ref="N18:V19"/>
    <mergeCell ref="N20:V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3" name="Button 2">
              <controlPr defaultSize="0" print="0" autoFill="0" autoPict="0" macro="[0]!Logout" altText="Log Out">
                <anchor moveWithCells="1" sizeWithCells="1">
                  <from>
                    <xdr:col>14</xdr:col>
                    <xdr:colOff>304800</xdr:colOff>
                    <xdr:row>0</xdr:row>
                    <xdr:rowOff>251460</xdr:rowOff>
                  </from>
                  <to>
                    <xdr:col>16</xdr:col>
                    <xdr:colOff>312420</xdr:colOff>
                    <xdr:row>0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Drop Down 5">
              <controlPr defaultSize="0" autoLine="0" autoPict="0">
                <anchor moveWithCells="1">
                  <from>
                    <xdr:col>13</xdr:col>
                    <xdr:colOff>0</xdr:colOff>
                    <xdr:row>6</xdr:row>
                    <xdr:rowOff>182880</xdr:rowOff>
                  </from>
                  <to>
                    <xdr:col>15</xdr:col>
                    <xdr:colOff>632460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12"/>
  <sheetViews>
    <sheetView workbookViewId="0">
      <selection activeCell="A13" sqref="A13"/>
    </sheetView>
  </sheetViews>
  <sheetFormatPr defaultRowHeight="14.4"/>
  <cols>
    <col min="1" max="1" width="42.5546875" customWidth="1"/>
    <col min="3" max="3" width="14.5546875" customWidth="1"/>
    <col min="4" max="4" width="14" customWidth="1"/>
  </cols>
  <sheetData>
    <row r="1" spans="1:12">
      <c r="A1" t="s">
        <v>102</v>
      </c>
      <c r="B1" t="s">
        <v>13</v>
      </c>
      <c r="C1" t="s">
        <v>14</v>
      </c>
      <c r="D1" t="s">
        <v>103</v>
      </c>
      <c r="E1" t="s">
        <v>14</v>
      </c>
      <c r="I1">
        <v>1</v>
      </c>
      <c r="J1">
        <v>2</v>
      </c>
      <c r="K1">
        <v>3</v>
      </c>
      <c r="L1">
        <v>4</v>
      </c>
    </row>
    <row r="2" spans="1:12">
      <c r="A2" t="s">
        <v>98</v>
      </c>
      <c r="B2">
        <v>2</v>
      </c>
      <c r="C2" t="str">
        <f>CHOOSE(Cffull_Link,A2,A3,A4,A5,A6,A7)</f>
        <v>Operating Cash Flows before working capital changes</v>
      </c>
      <c r="D2" t="s">
        <v>105</v>
      </c>
      <c r="E2" t="str">
        <f>CHOOSE(Cffull_Link,D2,D3,D4,D5,D6,D7)</f>
        <v>OCF_Name</v>
      </c>
      <c r="G2" t="s">
        <v>170</v>
      </c>
      <c r="H2" t="str">
        <f>C2 &amp; " for " &amp; H3</f>
        <v>Operating Cash Flows before working capital changes for Isetan</v>
      </c>
      <c r="I2">
        <v>2013</v>
      </c>
      <c r="J2">
        <v>2014</v>
      </c>
      <c r="K2">
        <v>2015</v>
      </c>
      <c r="L2">
        <v>2016</v>
      </c>
    </row>
    <row r="3" spans="1:12">
      <c r="A3" t="s">
        <v>99</v>
      </c>
      <c r="D3" t="s">
        <v>104</v>
      </c>
      <c r="G3">
        <v>1</v>
      </c>
      <c r="H3" t="s">
        <v>8</v>
      </c>
      <c r="I3">
        <f ca="1">INDEX(INDIRECT($E$2),$G$3,I$1)</f>
        <v>11989</v>
      </c>
      <c r="J3">
        <f t="shared" ref="J3:L3" ca="1" si="0">INDEX(INDIRECT($E$2),$G$3,J$1)</f>
        <v>3079</v>
      </c>
      <c r="K3">
        <f t="shared" ca="1" si="0"/>
        <v>-10652</v>
      </c>
      <c r="L3">
        <f t="shared" ca="1" si="0"/>
        <v>192</v>
      </c>
    </row>
    <row r="4" spans="1:12">
      <c r="A4" t="s">
        <v>17</v>
      </c>
      <c r="D4" t="s">
        <v>23</v>
      </c>
    </row>
    <row r="5" spans="1:12">
      <c r="A5" t="s">
        <v>97</v>
      </c>
      <c r="D5" t="s">
        <v>24</v>
      </c>
    </row>
    <row r="6" spans="1:12">
      <c r="A6" t="s">
        <v>19</v>
      </c>
      <c r="D6" t="s">
        <v>25</v>
      </c>
    </row>
    <row r="7" spans="1:12">
      <c r="A7" t="s">
        <v>7</v>
      </c>
      <c r="D7" t="s">
        <v>22</v>
      </c>
    </row>
    <row r="9" spans="1:12">
      <c r="A9" t="s">
        <v>60</v>
      </c>
    </row>
    <row r="10" spans="1:12">
      <c r="A10" t="str">
        <f ca="1">"In comparison with 2013, Isetan's 2014's " &amp; ActFull &amp; " has " &amp; IF(J3&gt;I3,"increased by","decreased by") &amp; " " &amp; IF(J3&gt;I3,J3-I3,I3-J3) &amp; "."</f>
        <v>In comparison with 2013, Isetan's 2014's Operating Cash Flows before working capital changes has decreased by 8910.</v>
      </c>
    </row>
    <row r="11" spans="1:12">
      <c r="A11" t="str">
        <f ca="1">"In comparison with 2014, Isetan's 2015's " &amp; ActFull &amp; " has " &amp; IF(K3&gt;J3,"increased by","decreased by") &amp; " " &amp; IF(K3&gt;J3,K3-J3,J3-K3) &amp; "."</f>
        <v>In comparison with 2014, Isetan's 2015's Operating Cash Flows before working capital changes has decreased by 13731.</v>
      </c>
    </row>
    <row r="12" spans="1:12">
      <c r="A12" t="str">
        <f ca="1">"In comparison with 2015, Isetan's 2016's " &amp; ActFull &amp; " has " &amp; IF(L3&gt;K3,"increased by","decreased by") &amp; " " &amp; IF(L3&gt;K3,L3-K3,K3-L3) &amp; "."</f>
        <v>In comparison with 2015, Isetan's 2016's Operating Cash Flows before working capital changes has increased by 10844.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7"/>
  <sheetViews>
    <sheetView workbookViewId="0">
      <selection activeCell="G8" sqref="G8"/>
    </sheetView>
  </sheetViews>
  <sheetFormatPr defaultRowHeight="14.4"/>
  <cols>
    <col min="1" max="1" width="44.44140625" customWidth="1"/>
    <col min="7" max="7" width="26.44140625" customWidth="1"/>
  </cols>
  <sheetData>
    <row r="1" spans="1:11">
      <c r="A1" t="s">
        <v>96</v>
      </c>
      <c r="B1">
        <v>2013</v>
      </c>
      <c r="C1">
        <v>2014</v>
      </c>
      <c r="D1">
        <v>2015</v>
      </c>
      <c r="E1">
        <v>2016</v>
      </c>
    </row>
    <row r="2" spans="1:11">
      <c r="A2" t="s">
        <v>98</v>
      </c>
      <c r="B2">
        <v>7340</v>
      </c>
      <c r="C2">
        <v>-3023</v>
      </c>
      <c r="D2">
        <v>-26647</v>
      </c>
      <c r="E2">
        <v>2931</v>
      </c>
    </row>
    <row r="3" spans="1:11">
      <c r="A3" t="s">
        <v>99</v>
      </c>
      <c r="B3">
        <v>11989</v>
      </c>
      <c r="C3">
        <v>3079</v>
      </c>
      <c r="D3">
        <v>-10652</v>
      </c>
      <c r="E3">
        <v>192</v>
      </c>
      <c r="H3" s="20"/>
      <c r="I3" s="20"/>
      <c r="J3" s="20"/>
      <c r="K3" s="20"/>
    </row>
    <row r="4" spans="1:11">
      <c r="A4" t="s">
        <v>17</v>
      </c>
      <c r="B4">
        <v>11548</v>
      </c>
      <c r="C4">
        <v>-2768</v>
      </c>
      <c r="D4">
        <v>-9455</v>
      </c>
      <c r="E4">
        <v>-5757</v>
      </c>
    </row>
    <row r="5" spans="1:11">
      <c r="A5" t="s">
        <v>97</v>
      </c>
      <c r="B5">
        <v>-9847</v>
      </c>
      <c r="C5">
        <v>-3792</v>
      </c>
      <c r="D5">
        <v>-12099</v>
      </c>
      <c r="E5">
        <v>-820</v>
      </c>
    </row>
    <row r="6" spans="1:11">
      <c r="A6" t="s">
        <v>19</v>
      </c>
      <c r="B6">
        <v>-3094</v>
      </c>
      <c r="C6">
        <v>-3094</v>
      </c>
      <c r="D6">
        <v>-3094</v>
      </c>
      <c r="E6">
        <v>-2063</v>
      </c>
    </row>
    <row r="7" spans="1:11">
      <c r="A7" t="s">
        <v>7</v>
      </c>
      <c r="B7">
        <v>97630</v>
      </c>
      <c r="C7">
        <v>87976</v>
      </c>
      <c r="D7">
        <v>63328</v>
      </c>
      <c r="E7">
        <v>54688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B1:Y93"/>
  <sheetViews>
    <sheetView zoomScale="80" zoomScaleNormal="80" workbookViewId="0">
      <pane ySplit="1" topLeftCell="A2" activePane="bottomLeft" state="frozen"/>
      <selection pane="bottomLeft"/>
    </sheetView>
  </sheetViews>
  <sheetFormatPr defaultColWidth="8.88671875" defaultRowHeight="14.4"/>
  <cols>
    <col min="1" max="16384" width="8.88671875" style="17"/>
  </cols>
  <sheetData>
    <row r="1" spans="2:12" s="14" customFormat="1" ht="87.45" customHeight="1"/>
    <row r="3" spans="2:12">
      <c r="B3" s="159" t="s">
        <v>172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</row>
    <row r="4" spans="2:12"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</row>
    <row r="5" spans="2:12"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2:12"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</row>
    <row r="28" spans="2:25">
      <c r="B28" s="160" t="str">
        <f>'CControl IS Phone'!B12</f>
        <v>Isetan made 140043 more in Revenue than Metro &lt; '$000 &gt;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O28" s="160" t="str">
        <f>'CControl IS Phone'!B13</f>
        <v>Metro made 74709 more in NetProfit than Isetan &lt;'000&gt;</v>
      </c>
      <c r="P28" s="160"/>
      <c r="Q28" s="160"/>
      <c r="R28" s="160"/>
      <c r="S28" s="160"/>
      <c r="T28" s="160"/>
      <c r="U28" s="160"/>
      <c r="V28" s="160"/>
      <c r="W28" s="160"/>
      <c r="X28" s="160"/>
      <c r="Y28" s="160"/>
    </row>
    <row r="56" spans="15:25"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</row>
    <row r="67" spans="15:24">
      <c r="O67" s="51" t="str">
        <f>'CControl IS Phone'!B40</f>
        <v xml:space="preserve">&lt;'$000&gt; </v>
      </c>
      <c r="Q67" s="51"/>
      <c r="R67" s="51"/>
      <c r="S67" s="51"/>
      <c r="T67" s="51"/>
      <c r="U67" s="51"/>
      <c r="V67" s="51"/>
      <c r="W67" s="51"/>
      <c r="X67" s="51"/>
    </row>
    <row r="68" spans="15:24">
      <c r="O68" s="93" t="str">
        <f ca="1">'CControl IS Phone'!B41</f>
        <v>Total Revenue($) for Isetan is 1270180</v>
      </c>
      <c r="Q68" s="93"/>
      <c r="R68" s="93"/>
      <c r="S68" s="93"/>
      <c r="T68" s="51"/>
      <c r="U68" s="51" t="str">
        <f ca="1">'CControl IS Phone'!B43</f>
        <v>Highest Revenue($) for Isetan is 340316 in 2014</v>
      </c>
      <c r="V68" s="51"/>
      <c r="W68" s="51"/>
      <c r="X68" s="51"/>
    </row>
    <row r="69" spans="15:24">
      <c r="O69" s="93" t="str">
        <f ca="1">'CControl IS Phone'!F41</f>
        <v xml:space="preserve"> Average Revenue($) for Isetan is 317545</v>
      </c>
      <c r="Q69" s="93"/>
      <c r="R69" s="93"/>
      <c r="S69" s="93"/>
      <c r="T69" s="51"/>
      <c r="U69" s="51" t="str">
        <f ca="1">'CControl IS Phone'!B44</f>
        <v>Lowest Revenue($) for Isetan is 294638 in 2016</v>
      </c>
      <c r="V69" s="51"/>
      <c r="W69" s="51"/>
      <c r="X69" s="51"/>
    </row>
    <row r="70" spans="15:24">
      <c r="O70" s="51"/>
      <c r="Q70" s="51"/>
      <c r="R70" s="51"/>
      <c r="S70" s="51"/>
      <c r="T70" s="51"/>
      <c r="U70" s="51"/>
      <c r="V70" s="51"/>
      <c r="W70" s="51"/>
      <c r="X70" s="51"/>
    </row>
    <row r="71" spans="15:24">
      <c r="O71" s="51"/>
      <c r="Q71" s="51"/>
      <c r="R71" s="51"/>
      <c r="S71" s="51"/>
      <c r="T71" s="51"/>
      <c r="U71" s="51"/>
      <c r="V71" s="51"/>
      <c r="W71" s="51"/>
      <c r="X71" s="51"/>
    </row>
    <row r="72" spans="15:24">
      <c r="O72" s="51" t="str">
        <f ca="1">'CControl IS Phone'!B42</f>
        <v>Total Revenue($) for Metro is 681807</v>
      </c>
      <c r="Q72" s="51"/>
      <c r="R72" s="51"/>
      <c r="S72" s="51"/>
      <c r="T72" s="51"/>
      <c r="U72" s="51" t="str">
        <f ca="1">'CControl IS Phone'!F43</f>
        <v>Highest Revenue($) for Metro is 194266 in 2014</v>
      </c>
      <c r="V72" s="51"/>
      <c r="W72" s="51"/>
      <c r="X72" s="51"/>
    </row>
    <row r="73" spans="15:24">
      <c r="O73" s="51" t="str">
        <f ca="1">'CControl IS Phone'!F42</f>
        <v xml:space="preserve"> Average Revenue($) for Metro is 170451.75</v>
      </c>
      <c r="Q73" s="51"/>
      <c r="R73" s="51"/>
      <c r="S73" s="51"/>
      <c r="T73" s="51"/>
      <c r="U73" s="51" t="str">
        <f ca="1">'CControl IS Phone'!F44</f>
        <v>Lowest Revenue($) for Metro is 145826 in 2015</v>
      </c>
      <c r="V73" s="51"/>
      <c r="W73" s="51"/>
      <c r="X73" s="51"/>
    </row>
    <row r="93" spans="16:16">
      <c r="P93" s="51"/>
    </row>
  </sheetData>
  <mergeCells count="4">
    <mergeCell ref="B3:L6"/>
    <mergeCell ref="B28:L28"/>
    <mergeCell ref="O28:Y28"/>
    <mergeCell ref="O56:Y5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5</xdr:col>
                    <xdr:colOff>259080</xdr:colOff>
                    <xdr:row>6</xdr:row>
                    <xdr:rowOff>121920</xdr:rowOff>
                  </from>
                  <to>
                    <xdr:col>7</xdr:col>
                    <xdr:colOff>220980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 altText="Dollar_x000a_">
                <anchor moveWithCells="1">
                  <from>
                    <xdr:col>3</xdr:col>
                    <xdr:colOff>160020</xdr:colOff>
                    <xdr:row>32</xdr:row>
                    <xdr:rowOff>106680</xdr:rowOff>
                  </from>
                  <to>
                    <xdr:col>5</xdr:col>
                    <xdr:colOff>45720</xdr:colOff>
                    <xdr:row>33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Option Button 3">
              <controlPr defaultSize="0" autoFill="0" autoLine="0" autoPict="0">
                <anchor moveWithCells="1">
                  <from>
                    <xdr:col>4</xdr:col>
                    <xdr:colOff>449580</xdr:colOff>
                    <xdr:row>32</xdr:row>
                    <xdr:rowOff>106680</xdr:rowOff>
                  </from>
                  <to>
                    <xdr:col>6</xdr:col>
                    <xdr:colOff>304800</xdr:colOff>
                    <xdr:row>33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Drop Down 4">
              <controlPr defaultSize="0" autoLine="0" autoPict="0">
                <anchor moveWithCells="1">
                  <from>
                    <xdr:col>18</xdr:col>
                    <xdr:colOff>251460</xdr:colOff>
                    <xdr:row>6</xdr:row>
                    <xdr:rowOff>160020</xdr:rowOff>
                  </from>
                  <to>
                    <xdr:col>20</xdr:col>
                    <xdr:colOff>251460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Drop Down 5">
              <controlPr defaultSize="0" autoLine="0" autoPict="0">
                <anchor moveWithCells="1">
                  <from>
                    <xdr:col>7</xdr:col>
                    <xdr:colOff>152400</xdr:colOff>
                    <xdr:row>32</xdr:row>
                    <xdr:rowOff>99060</xdr:rowOff>
                  </from>
                  <to>
                    <xdr:col>9</xdr:col>
                    <xdr:colOff>152400</xdr:colOff>
                    <xdr:row>33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Drop Down 6">
              <controlPr defaultSize="0" autoLine="0" autoPict="0">
                <anchor moveWithCells="1">
                  <from>
                    <xdr:col>1</xdr:col>
                    <xdr:colOff>144780</xdr:colOff>
                    <xdr:row>58</xdr:row>
                    <xdr:rowOff>38100</xdr:rowOff>
                  </from>
                  <to>
                    <xdr:col>3</xdr:col>
                    <xdr:colOff>190500</xdr:colOff>
                    <xdr:row>59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9" name="Button 11">
              <controlPr defaultSize="0" print="0" autoFill="0" autoPict="0" macro="[0]!Logout" altText="Log Out">
                <anchor moveWithCells="1" sizeWithCells="1">
                  <from>
                    <xdr:col>14</xdr:col>
                    <xdr:colOff>304800</xdr:colOff>
                    <xdr:row>0</xdr:row>
                    <xdr:rowOff>251460</xdr:rowOff>
                  </from>
                  <to>
                    <xdr:col>16</xdr:col>
                    <xdr:colOff>312420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J66"/>
  <sheetViews>
    <sheetView topLeftCell="A31" workbookViewId="0">
      <selection activeCell="M53" sqref="M53"/>
    </sheetView>
  </sheetViews>
  <sheetFormatPr defaultRowHeight="14.4"/>
  <cols>
    <col min="1" max="1" width="12.6640625" customWidth="1"/>
    <col min="2" max="2" width="10" customWidth="1"/>
    <col min="4" max="4" width="9.5546875" customWidth="1"/>
    <col min="5" max="5" width="14" customWidth="1"/>
    <col min="10" max="10" width="9.109375" customWidth="1"/>
  </cols>
  <sheetData>
    <row r="1" spans="1:7">
      <c r="B1" t="s">
        <v>32</v>
      </c>
      <c r="C1" t="s">
        <v>14</v>
      </c>
      <c r="F1" t="s">
        <v>32</v>
      </c>
      <c r="G1" t="s">
        <v>14</v>
      </c>
    </row>
    <row r="2" spans="1:7">
      <c r="A2">
        <v>2013</v>
      </c>
      <c r="B2">
        <v>4</v>
      </c>
      <c r="C2">
        <f>CHOOSE(Row_Year,A2,A3,A4,A5)</f>
        <v>2016</v>
      </c>
      <c r="E2">
        <v>2013</v>
      </c>
      <c r="F2">
        <v>1</v>
      </c>
      <c r="G2">
        <f>CHOOSE(Row_Year1,E2,E3,E4,E5)</f>
        <v>2013</v>
      </c>
    </row>
    <row r="3" spans="1:7">
      <c r="A3">
        <v>2014</v>
      </c>
      <c r="E3">
        <v>2014</v>
      </c>
    </row>
    <row r="4" spans="1:7">
      <c r="A4">
        <v>2015</v>
      </c>
      <c r="E4">
        <v>2015</v>
      </c>
    </row>
    <row r="5" spans="1:7">
      <c r="A5">
        <v>2016</v>
      </c>
      <c r="E5">
        <v>2016</v>
      </c>
    </row>
    <row r="6" spans="1:7">
      <c r="B6">
        <f>Row_Year</f>
        <v>4</v>
      </c>
      <c r="F6">
        <v>1</v>
      </c>
    </row>
    <row r="7" spans="1:7">
      <c r="B7">
        <f>Year_Chosen</f>
        <v>2016</v>
      </c>
      <c r="F7">
        <f>Year_chosen1</f>
        <v>2013</v>
      </c>
    </row>
    <row r="8" spans="1:7">
      <c r="A8">
        <v>1</v>
      </c>
      <c r="B8" t="s">
        <v>8</v>
      </c>
      <c r="C8">
        <f>INDEX(Revenue,A8,B6)</f>
        <v>294638</v>
      </c>
      <c r="D8">
        <v>1</v>
      </c>
      <c r="E8" t="s">
        <v>8</v>
      </c>
      <c r="F8">
        <f>INDEX(NetProfit,D8,Row_Year1)</f>
        <v>7340</v>
      </c>
    </row>
    <row r="9" spans="1:7">
      <c r="A9">
        <v>2</v>
      </c>
      <c r="B9" t="s">
        <v>9</v>
      </c>
      <c r="C9">
        <f>INDEX(Revenue,A9,B6)</f>
        <v>154595</v>
      </c>
      <c r="D9">
        <v>2</v>
      </c>
      <c r="E9" t="s">
        <v>9</v>
      </c>
      <c r="F9">
        <f>INDEX(NetProfit,D9,Row_Year1)</f>
        <v>82049</v>
      </c>
    </row>
    <row r="10" spans="1:7">
      <c r="B10" t="s">
        <v>38</v>
      </c>
      <c r="C10">
        <f>IF(C8&gt;C9,C8-C9,C9-C8)</f>
        <v>140043</v>
      </c>
      <c r="E10" t="s">
        <v>38</v>
      </c>
      <c r="F10">
        <f>IF(F8&gt;F9,F8-F9,F9-F8)</f>
        <v>74709</v>
      </c>
    </row>
    <row r="11" spans="1:7">
      <c r="B11" t="str">
        <f>" Revenue " &amp;  "in " &amp; Year_Chosen</f>
        <v xml:space="preserve"> Revenue in 2016</v>
      </c>
      <c r="E11" t="str">
        <f>" Net Profit " &amp;  "in " &amp; Year_chosen1</f>
        <v xml:space="preserve"> Net Profit in 2013</v>
      </c>
    </row>
    <row r="12" spans="1:7">
      <c r="B12" t="str">
        <f>IF(C8&gt;C9,B8,B9) &amp; " made " &amp; C10 &amp; " more in Revenue than " &amp; IF(C8&gt;C9,B9,B8) &amp; " &lt; '$000 &gt;"</f>
        <v>Isetan made 140043 more in Revenue than Metro &lt; '$000 &gt;</v>
      </c>
    </row>
    <row r="13" spans="1:7">
      <c r="B13" t="str">
        <f>IF(F8&gt;F9,E8,E9) &amp; " made " &amp; F10 &amp; " more in NetProfit than " &amp; IF(F8&gt;F9,E9,E8) &amp; " &lt;'000&gt;"</f>
        <v>Metro made 74709 more in NetProfit than Isetan &lt;'000&gt;</v>
      </c>
    </row>
    <row r="14" spans="1:7">
      <c r="A14" s="2" t="s">
        <v>46</v>
      </c>
      <c r="C14" s="2" t="s">
        <v>45</v>
      </c>
      <c r="D14" s="2" t="s">
        <v>44</v>
      </c>
      <c r="E14" s="2" t="s">
        <v>43</v>
      </c>
    </row>
    <row r="15" spans="1:7">
      <c r="A15" s="162" t="s">
        <v>8</v>
      </c>
      <c r="B15" s="162"/>
      <c r="C15" s="6">
        <f t="shared" ref="C15:E16" ca="1" si="0">IF($D$23="Dollar",D19-C19,(D19-C19)/C19*100)</f>
        <v>-10363</v>
      </c>
      <c r="D15" s="6">
        <f t="shared" ca="1" si="0"/>
        <v>-23624</v>
      </c>
      <c r="E15" s="6">
        <f t="shared" ca="1" si="0"/>
        <v>29578</v>
      </c>
    </row>
    <row r="16" spans="1:7">
      <c r="A16" s="162" t="s">
        <v>9</v>
      </c>
      <c r="B16" s="162"/>
      <c r="C16" s="6">
        <f t="shared" ca="1" si="0"/>
        <v>42771</v>
      </c>
      <c r="D16" s="6">
        <f t="shared" ca="1" si="0"/>
        <v>20718</v>
      </c>
      <c r="E16" s="6">
        <f t="shared" ca="1" si="0"/>
        <v>-23206</v>
      </c>
    </row>
    <row r="17" spans="1:8">
      <c r="C17">
        <v>1</v>
      </c>
      <c r="D17">
        <v>2</v>
      </c>
      <c r="E17">
        <v>3</v>
      </c>
      <c r="F17">
        <v>4</v>
      </c>
    </row>
    <row r="18" spans="1:8">
      <c r="B18" s="2"/>
      <c r="C18" s="2">
        <v>2013</v>
      </c>
      <c r="D18" s="2">
        <v>2014</v>
      </c>
      <c r="E18" s="2">
        <v>2015</v>
      </c>
      <c r="F18" s="2">
        <v>2016</v>
      </c>
    </row>
    <row r="19" spans="1:8">
      <c r="A19">
        <v>1</v>
      </c>
      <c r="B19" t="s">
        <v>8</v>
      </c>
      <c r="C19" s="3">
        <f ca="1">INDEX(INDIRECT($F$26),$A$19,C17)</f>
        <v>7340</v>
      </c>
      <c r="D19" s="3">
        <f ca="1">INDEX(INDIRECT($F$26),$A$19,D17)</f>
        <v>-3023</v>
      </c>
      <c r="E19" s="3">
        <f ca="1">INDEX(INDIRECT($F$26),$A$19,E17)</f>
        <v>-26647</v>
      </c>
      <c r="F19" s="3">
        <f ca="1">INDEX(INDIRECT($F$26),$A$19,F17)</f>
        <v>2931</v>
      </c>
    </row>
    <row r="20" spans="1:8">
      <c r="A20">
        <v>2</v>
      </c>
      <c r="B20" t="s">
        <v>9</v>
      </c>
      <c r="C20" s="3">
        <f ca="1">INDEX(INDIRECT($F$26),$A$20,C17)</f>
        <v>82049</v>
      </c>
      <c r="D20" s="3">
        <f ca="1">INDEX(INDIRECT($F$26),$A$20,D17)</f>
        <v>124820</v>
      </c>
      <c r="E20" s="3">
        <f ca="1">INDEX(INDIRECT($F$26),$A$20,E17)</f>
        <v>145538</v>
      </c>
      <c r="F20" s="3">
        <f ca="1">INDEX(INDIRECT($F$26),$A$20,F17)</f>
        <v>122332</v>
      </c>
    </row>
    <row r="22" spans="1:8">
      <c r="B22" t="s">
        <v>42</v>
      </c>
      <c r="C22" t="s">
        <v>32</v>
      </c>
      <c r="D22" t="s">
        <v>14</v>
      </c>
      <c r="G22" t="s">
        <v>32</v>
      </c>
      <c r="H22" t="s">
        <v>14</v>
      </c>
    </row>
    <row r="23" spans="1:8">
      <c r="A23">
        <v>1</v>
      </c>
      <c r="B23" t="s">
        <v>41</v>
      </c>
      <c r="C23">
        <v>1</v>
      </c>
      <c r="D23" t="str">
        <f>CHOOSE(Row_Change,B23,B24)</f>
        <v>Dollar</v>
      </c>
      <c r="F23" t="s">
        <v>33</v>
      </c>
      <c r="G23">
        <v>2</v>
      </c>
      <c r="H23" t="str">
        <f>CHOOSE(Row_change1,F23,F24)</f>
        <v>NetProfit</v>
      </c>
    </row>
    <row r="24" spans="1:8">
      <c r="A24">
        <v>2</v>
      </c>
      <c r="B24" t="s">
        <v>40</v>
      </c>
      <c r="F24" t="s">
        <v>34</v>
      </c>
    </row>
    <row r="26" spans="1:8">
      <c r="A26" t="str">
        <f>Change_chosen &amp; " Change " &amp; "For " &amp; "Revenue"</f>
        <v>Dollar Change For Revenue</v>
      </c>
      <c r="F26" t="str">
        <f>Change_chosen1</f>
        <v>NetProfit</v>
      </c>
    </row>
    <row r="27" spans="1:8">
      <c r="A27" t="str">
        <f>IF(Change_chosen="Dollar","$'000","%")</f>
        <v>$'000</v>
      </c>
    </row>
    <row r="29" spans="1:8">
      <c r="B29" t="s">
        <v>32</v>
      </c>
      <c r="C29" t="s">
        <v>14</v>
      </c>
    </row>
    <row r="30" spans="1:8">
      <c r="A30" t="s">
        <v>33</v>
      </c>
      <c r="B30">
        <v>1</v>
      </c>
      <c r="C30" t="str">
        <f>CHOOSE(Row_Cat,A30,A31,A32)</f>
        <v>Revenue</v>
      </c>
    </row>
    <row r="31" spans="1:8">
      <c r="A31" t="s">
        <v>34</v>
      </c>
    </row>
    <row r="32" spans="1:8">
      <c r="A32" t="s">
        <v>177</v>
      </c>
      <c r="C32">
        <v>1</v>
      </c>
      <c r="D32">
        <v>2</v>
      </c>
      <c r="E32">
        <v>3</v>
      </c>
      <c r="F32">
        <v>4</v>
      </c>
    </row>
    <row r="33" spans="1:10">
      <c r="C33">
        <v>2013</v>
      </c>
      <c r="D33">
        <v>2014</v>
      </c>
      <c r="E33">
        <v>2015</v>
      </c>
      <c r="F33">
        <v>2016</v>
      </c>
      <c r="G33" t="s">
        <v>37</v>
      </c>
      <c r="H33" t="s">
        <v>39</v>
      </c>
      <c r="I33" t="s">
        <v>35</v>
      </c>
      <c r="J33" t="s">
        <v>36</v>
      </c>
    </row>
    <row r="34" spans="1:10">
      <c r="A34">
        <v>1</v>
      </c>
      <c r="B34" t="s">
        <v>8</v>
      </c>
      <c r="C34">
        <f ca="1">INDEX(INDIRECT($B$37),$A$34,C32)</f>
        <v>333048</v>
      </c>
      <c r="D34">
        <f ca="1">INDEX(INDIRECT($B$37),$A$34,D32)</f>
        <v>340316</v>
      </c>
      <c r="E34">
        <f ca="1">INDEX(INDIRECT($B$37),$A$34,E32)</f>
        <v>302178</v>
      </c>
      <c r="F34">
        <f ca="1">INDEX(INDIRECT($B$37),$A$34,F32)</f>
        <v>294638</v>
      </c>
      <c r="G34">
        <f ca="1">SUM(C34:F34)</f>
        <v>1270180</v>
      </c>
      <c r="H34">
        <f ca="1">AVERAGE(C34:F34)</f>
        <v>317545</v>
      </c>
      <c r="I34">
        <f ca="1">MAX(C34:F34)</f>
        <v>340316</v>
      </c>
      <c r="J34">
        <f ca="1">MIN(C34:F34)</f>
        <v>294638</v>
      </c>
    </row>
    <row r="35" spans="1:10">
      <c r="A35">
        <v>2</v>
      </c>
      <c r="B35" t="s">
        <v>9</v>
      </c>
      <c r="C35">
        <f ca="1">INDEX(INDIRECT($B$37),$A$35,C32)</f>
        <v>187120</v>
      </c>
      <c r="D35">
        <f ca="1">INDEX(INDIRECT($B$37),$A$35,D32)</f>
        <v>194266</v>
      </c>
      <c r="E35">
        <f ca="1">INDEX(INDIRECT($B$37),$A$35,E32)</f>
        <v>145826</v>
      </c>
      <c r="F35">
        <f ca="1">INDEX(INDIRECT($B$37),$A$35,F32)</f>
        <v>154595</v>
      </c>
      <c r="G35">
        <f ca="1">SUM(C35:F35)</f>
        <v>681807</v>
      </c>
      <c r="H35">
        <f ca="1">AVERAGE(C35:F35)</f>
        <v>170451.75</v>
      </c>
      <c r="I35">
        <f ca="1">MAX(C35:F35)</f>
        <v>194266</v>
      </c>
      <c r="J35">
        <f ca="1">MIN(C35:F35)</f>
        <v>145826</v>
      </c>
    </row>
    <row r="36" spans="1:10">
      <c r="I36">
        <f ca="1">MATCH(I34,C34:F34,0)</f>
        <v>2</v>
      </c>
      <c r="J36">
        <f ca="1">MATCH(J34,C34:F34,0)</f>
        <v>4</v>
      </c>
    </row>
    <row r="37" spans="1:10">
      <c r="B37" t="str">
        <f>C30</f>
        <v>Revenue</v>
      </c>
      <c r="I37">
        <f ca="1">CHOOSE(I36,C33,D33,E33,F33)</f>
        <v>2014</v>
      </c>
      <c r="J37">
        <f ca="1">CHOOSE(J36,C33,D33,E33,F33)</f>
        <v>2016</v>
      </c>
    </row>
    <row r="38" spans="1:10">
      <c r="B38" t="str">
        <f xml:space="preserve"> "Overview of " &amp; B37 &amp; " 2013 to 2016 "</f>
        <v xml:space="preserve">Overview of Revenue 2013 to 2016 </v>
      </c>
      <c r="I38">
        <f ca="1">MATCH(I35,C35:F35,0)</f>
        <v>2</v>
      </c>
      <c r="J38">
        <f ca="1">MATCH(J35,C35:F35,0)</f>
        <v>3</v>
      </c>
    </row>
    <row r="39" spans="1:10">
      <c r="I39">
        <f ca="1">CHOOSE(I38,C33,D33,E33,F33)</f>
        <v>2014</v>
      </c>
      <c r="J39">
        <f ca="1">CHOOSE(J38,C33,D33,E33,F33)</f>
        <v>2015</v>
      </c>
    </row>
    <row r="40" spans="1:10">
      <c r="B40" t="str">
        <f>"&lt;'$000&gt; "</f>
        <v xml:space="preserve">&lt;'$000&gt; </v>
      </c>
    </row>
    <row r="41" spans="1:10">
      <c r="B41" s="5" t="str">
        <f ca="1" xml:space="preserve"> IF(G34&gt;0,"Total " &amp; C30 &amp; "($) for Isetan is " &amp; G34,"Total " &amp; " NetLoss " &amp; "($) for Isetan is " &amp; G34)</f>
        <v>Total Revenue($) for Isetan is 1270180</v>
      </c>
      <c r="F41" t="str">
        <f ca="1">IF(H34&gt;0," Average " &amp; C30 &amp; "($) for Isetan is " &amp; H34," Average NetLoss " &amp; "($) for Isetan is " &amp; H34)</f>
        <v xml:space="preserve"> Average Revenue($) for Isetan is 317545</v>
      </c>
    </row>
    <row r="42" spans="1:10">
      <c r="B42" s="5" t="str">
        <f ca="1" xml:space="preserve"> IF(G35&gt;0,"Total " &amp; C30 &amp; "($) for Metro is " &amp; G35,"Total " &amp; " NetLoss " &amp; "($) for Metro is " &amp; G35)</f>
        <v>Total Revenue($) for Metro is 681807</v>
      </c>
      <c r="F42" t="str">
        <f ca="1">IF(H35&gt;0," Average " &amp; C30 &amp; "($) for Metro is " &amp; H35," Average NetLoss " &amp; "($) for Metro is " &amp; H35)</f>
        <v xml:space="preserve"> Average Revenue($) for Metro is 170451.75</v>
      </c>
    </row>
    <row r="43" spans="1:10">
      <c r="B43" t="str">
        <f ca="1">"Highest " &amp; C30 &amp; "($) for Isetan is "  &amp; I34 &amp; " in " &amp; I37</f>
        <v>Highest Revenue($) for Isetan is 340316 in 2014</v>
      </c>
      <c r="F43" t="str">
        <f ca="1">"Highest " &amp; C30 &amp; "($) for Metro is "  &amp; I35 &amp; " in " &amp; I39</f>
        <v>Highest Revenue($) for Metro is 194266 in 2014</v>
      </c>
    </row>
    <row r="44" spans="1:10">
      <c r="B44" t="str">
        <f ca="1">"Lowest " &amp; C30 &amp; "($) for Isetan is " &amp; J34 &amp; " in " &amp; J37</f>
        <v>Lowest Revenue($) for Isetan is 294638 in 2016</v>
      </c>
      <c r="F44" t="str">
        <f ca="1">"Lowest " &amp; C30 &amp; "($) for Metro is " &amp; J35 &amp; " in " &amp; J39</f>
        <v>Lowest Revenue($) for Metro is 145826 in 2015</v>
      </c>
    </row>
    <row r="66" spans="2:2">
      <c r="B66" s="45"/>
    </row>
  </sheetData>
  <mergeCells count="2">
    <mergeCell ref="A15:B15"/>
    <mergeCell ref="A16:B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/>
  <dimension ref="A1:L21"/>
  <sheetViews>
    <sheetView topLeftCell="A4" workbookViewId="0">
      <selection activeCell="H16" sqref="H16"/>
    </sheetView>
  </sheetViews>
  <sheetFormatPr defaultRowHeight="14.4"/>
  <cols>
    <col min="1" max="1" width="33.5546875" customWidth="1"/>
    <col min="9" max="9" width="9.6640625" customWidth="1"/>
    <col min="10" max="10" width="9.88671875" customWidth="1"/>
    <col min="11" max="11" width="10" customWidth="1"/>
  </cols>
  <sheetData>
    <row r="1" spans="1:12">
      <c r="A1" s="2" t="s">
        <v>30</v>
      </c>
      <c r="B1" s="2">
        <v>2013</v>
      </c>
      <c r="C1" s="2">
        <v>2014</v>
      </c>
      <c r="D1" s="2">
        <v>2015</v>
      </c>
      <c r="E1" s="2">
        <v>2016</v>
      </c>
      <c r="L1" s="2"/>
    </row>
    <row r="2" spans="1:12">
      <c r="A2" t="s">
        <v>8</v>
      </c>
      <c r="B2" s="3">
        <v>333048</v>
      </c>
      <c r="C2" s="3">
        <v>340316</v>
      </c>
      <c r="D2" s="3">
        <v>302178</v>
      </c>
      <c r="E2" s="3">
        <v>294638</v>
      </c>
    </row>
    <row r="3" spans="1:12">
      <c r="A3" t="s">
        <v>9</v>
      </c>
      <c r="B3" s="3">
        <v>187120</v>
      </c>
      <c r="C3" s="3">
        <v>194266</v>
      </c>
      <c r="D3" s="3">
        <v>145826</v>
      </c>
      <c r="E3" s="3">
        <v>154595</v>
      </c>
    </row>
    <row r="5" spans="1:12">
      <c r="A5" s="2" t="s">
        <v>169</v>
      </c>
      <c r="B5" s="2">
        <v>2013</v>
      </c>
      <c r="C5" s="2">
        <v>2014</v>
      </c>
      <c r="D5" s="2">
        <v>2015</v>
      </c>
      <c r="E5" s="2">
        <v>2016</v>
      </c>
    </row>
    <row r="6" spans="1:12">
      <c r="A6" t="s">
        <v>8</v>
      </c>
      <c r="B6" s="3">
        <v>7340</v>
      </c>
      <c r="C6" s="3">
        <v>-3023</v>
      </c>
      <c r="D6" s="3">
        <v>-26647</v>
      </c>
      <c r="E6" s="3">
        <v>2931</v>
      </c>
    </row>
    <row r="7" spans="1:12">
      <c r="A7" t="s">
        <v>9</v>
      </c>
      <c r="B7" s="3">
        <v>82049</v>
      </c>
      <c r="C7" s="3">
        <v>124820</v>
      </c>
      <c r="D7" s="3">
        <v>145538</v>
      </c>
      <c r="E7" s="3">
        <v>122332</v>
      </c>
    </row>
    <row r="8" spans="1:12">
      <c r="I8" s="2"/>
    </row>
    <row r="9" spans="1:12">
      <c r="A9" s="2" t="s">
        <v>31</v>
      </c>
      <c r="B9" s="2">
        <v>2013</v>
      </c>
      <c r="C9" s="2">
        <v>2014</v>
      </c>
      <c r="D9" s="2">
        <v>2015</v>
      </c>
      <c r="E9" s="2">
        <v>2016</v>
      </c>
    </row>
    <row r="10" spans="1:12">
      <c r="A10" t="s">
        <v>8</v>
      </c>
      <c r="B10" s="4">
        <v>15.86</v>
      </c>
      <c r="C10" s="4">
        <v>-7.6</v>
      </c>
      <c r="D10" s="4">
        <v>-62.6</v>
      </c>
      <c r="E10" s="4">
        <v>6.23</v>
      </c>
    </row>
    <row r="11" spans="1:12">
      <c r="A11" t="s">
        <v>9</v>
      </c>
      <c r="B11" s="4">
        <v>7.8</v>
      </c>
      <c r="C11" s="4">
        <v>12.9</v>
      </c>
      <c r="D11" s="4">
        <v>17.3</v>
      </c>
      <c r="E11" s="4">
        <v>13.7</v>
      </c>
    </row>
    <row r="13" spans="1:12">
      <c r="A13" s="2" t="s">
        <v>176</v>
      </c>
      <c r="B13" s="2">
        <v>2013</v>
      </c>
      <c r="C13" s="2">
        <v>2014</v>
      </c>
      <c r="D13" s="2">
        <v>2015</v>
      </c>
      <c r="E13" s="2">
        <v>2016</v>
      </c>
    </row>
    <row r="14" spans="1:12">
      <c r="A14" t="s">
        <v>8</v>
      </c>
      <c r="B14" s="3">
        <v>6426</v>
      </c>
      <c r="C14" s="3">
        <v>-2998</v>
      </c>
      <c r="D14" s="3">
        <v>-25880</v>
      </c>
      <c r="E14" s="3">
        <v>2423</v>
      </c>
    </row>
    <row r="15" spans="1:12">
      <c r="A15" t="s">
        <v>9</v>
      </c>
      <c r="B15" s="3">
        <v>80593</v>
      </c>
      <c r="C15" s="3">
        <v>70302</v>
      </c>
      <c r="D15" s="3">
        <v>241288</v>
      </c>
      <c r="E15" s="3">
        <v>51857</v>
      </c>
    </row>
    <row r="17" spans="1:3">
      <c r="A17" s="2" t="s">
        <v>166</v>
      </c>
      <c r="B17" s="2" t="s">
        <v>165</v>
      </c>
      <c r="C17" s="2" t="s">
        <v>164</v>
      </c>
    </row>
    <row r="18" spans="1:3">
      <c r="A18" s="46">
        <v>2013</v>
      </c>
      <c r="B18" s="3">
        <v>244527</v>
      </c>
      <c r="C18" s="3">
        <v>90987</v>
      </c>
    </row>
    <row r="19" spans="1:3">
      <c r="A19" s="46">
        <v>2014</v>
      </c>
      <c r="B19" s="3">
        <v>251085</v>
      </c>
      <c r="C19" s="3">
        <v>101015</v>
      </c>
    </row>
    <row r="20" spans="1:3">
      <c r="A20" s="46">
        <v>2015</v>
      </c>
      <c r="B20" s="3">
        <f>223325</f>
        <v>223325</v>
      </c>
      <c r="C20" s="3">
        <v>101880</v>
      </c>
    </row>
    <row r="21" spans="1:3">
      <c r="A21" s="46">
        <v>2016</v>
      </c>
      <c r="B21" s="3">
        <f>212894</f>
        <v>212894</v>
      </c>
      <c r="C21" s="3">
        <v>93869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B1:Q40"/>
  <sheetViews>
    <sheetView zoomScale="80" zoomScaleNormal="80" workbookViewId="0">
      <pane ySplit="1" topLeftCell="A2" activePane="bottomLeft" state="frozen"/>
      <selection pane="bottomLeft"/>
    </sheetView>
  </sheetViews>
  <sheetFormatPr defaultColWidth="9.109375" defaultRowHeight="14.4"/>
  <cols>
    <col min="1" max="16384" width="9.109375" style="17"/>
  </cols>
  <sheetData>
    <row r="1" spans="2:17" s="53" customFormat="1" ht="87.45" customHeight="1"/>
    <row r="3" spans="2:17">
      <c r="B3" s="159" t="s">
        <v>172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</row>
    <row r="4" spans="2:17"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</row>
    <row r="5" spans="2:17"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2:17"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</row>
    <row r="13" spans="2:17">
      <c r="O13" s="51" t="str">
        <f>'Control IS Phone'!C16</f>
        <v>&lt;'$000&gt;</v>
      </c>
    </row>
    <row r="14" spans="2:17">
      <c r="P14" s="51"/>
      <c r="Q14" s="51"/>
    </row>
    <row r="15" spans="2:17">
      <c r="O15" s="51" t="str">
        <f ca="1">'Control IS Phone'!C13</f>
        <v>Highest ($)TotalCI_Loss is 6426 in the year 2016</v>
      </c>
      <c r="P15" s="51"/>
      <c r="Q15" s="51"/>
    </row>
    <row r="16" spans="2:17">
      <c r="P16" s="51"/>
      <c r="Q16" s="51"/>
    </row>
    <row r="17" spans="15:17">
      <c r="O17" s="51" t="str">
        <f ca="1">'Control IS Phone'!C14</f>
        <v>Lowest ($)NetLoss is -25880 in the year 2015</v>
      </c>
      <c r="P17" s="51"/>
      <c r="Q17" s="51"/>
    </row>
    <row r="19" spans="15:17">
      <c r="O19" s="51" t="str">
        <f ca="1">'Control IS Phone'!C15</f>
        <v>Total ($)NetLoss is -20029</v>
      </c>
    </row>
    <row r="40" spans="15:15">
      <c r="O40" s="51" t="str">
        <f>'Control IS Phone'!C29</f>
        <v>Total ($)Expenses for Isetan in 2014 is 352100 &lt;$000&gt;</v>
      </c>
    </row>
  </sheetData>
  <mergeCells count="1">
    <mergeCell ref="B3: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1</xdr:col>
                    <xdr:colOff>114300</xdr:colOff>
                    <xdr:row>6</xdr:row>
                    <xdr:rowOff>45720</xdr:rowOff>
                  </from>
                  <to>
                    <xdr:col>3</xdr:col>
                    <xdr:colOff>114300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Drop Down 2">
              <controlPr defaultSize="0" autoLine="0" autoPict="0">
                <anchor moveWithCells="1">
                  <from>
                    <xdr:col>5</xdr:col>
                    <xdr:colOff>304800</xdr:colOff>
                    <xdr:row>28</xdr:row>
                    <xdr:rowOff>22860</xdr:rowOff>
                  </from>
                  <to>
                    <xdr:col>7</xdr:col>
                    <xdr:colOff>327660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Logout" altText="Log Out">
                <anchor moveWithCells="1" sizeWithCells="1">
                  <from>
                    <xdr:col>14</xdr:col>
                    <xdr:colOff>137160</xdr:colOff>
                    <xdr:row>0</xdr:row>
                    <xdr:rowOff>251460</xdr:rowOff>
                  </from>
                  <to>
                    <xdr:col>16</xdr:col>
                    <xdr:colOff>121920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B2:I29"/>
  <sheetViews>
    <sheetView workbookViewId="0">
      <selection activeCell="K8" sqref="K8"/>
    </sheetView>
  </sheetViews>
  <sheetFormatPr defaultRowHeight="14.4"/>
  <sheetData>
    <row r="2" spans="2:9">
      <c r="C2" t="s">
        <v>32</v>
      </c>
      <c r="D2" t="s">
        <v>14</v>
      </c>
    </row>
    <row r="3" spans="2:9">
      <c r="B3" t="s">
        <v>33</v>
      </c>
      <c r="C3">
        <v>4</v>
      </c>
      <c r="D3" t="str">
        <f>CHOOSE(Row_Ise2,B3,B4,B5,B6)</f>
        <v>TotalCI_Loss</v>
      </c>
    </row>
    <row r="4" spans="2:9">
      <c r="B4" t="s">
        <v>34</v>
      </c>
    </row>
    <row r="5" spans="2:9">
      <c r="B5" t="s">
        <v>106</v>
      </c>
    </row>
    <row r="6" spans="2:9">
      <c r="B6" t="s">
        <v>177</v>
      </c>
    </row>
    <row r="7" spans="2:9">
      <c r="C7">
        <v>1</v>
      </c>
      <c r="D7">
        <v>2</v>
      </c>
      <c r="E7">
        <v>3</v>
      </c>
      <c r="F7">
        <v>4</v>
      </c>
    </row>
    <row r="8" spans="2:9">
      <c r="C8">
        <v>2013</v>
      </c>
      <c r="D8">
        <v>2014</v>
      </c>
      <c r="E8">
        <v>2015</v>
      </c>
      <c r="F8">
        <v>2016</v>
      </c>
      <c r="G8" t="s">
        <v>35</v>
      </c>
      <c r="H8" t="s">
        <v>36</v>
      </c>
      <c r="I8" t="s">
        <v>37</v>
      </c>
    </row>
    <row r="9" spans="2:9">
      <c r="B9" t="str">
        <f>D3</f>
        <v>TotalCI_Loss</v>
      </c>
      <c r="C9">
        <f ca="1">INDEX(INDIRECT($B$9),1,C7)</f>
        <v>6426</v>
      </c>
      <c r="D9">
        <f ca="1">INDEX(INDIRECT($B$9),1,D7)</f>
        <v>-2998</v>
      </c>
      <c r="E9">
        <f ca="1">INDEX(INDIRECT($B$9),1,E7)</f>
        <v>-25880</v>
      </c>
      <c r="F9">
        <f ca="1">INDEX(INDIRECT($B$9),1,F7)</f>
        <v>2423</v>
      </c>
      <c r="G9">
        <f ca="1">MAX(C9:F9)</f>
        <v>6426</v>
      </c>
      <c r="H9">
        <f ca="1">MIN(C9:F9)</f>
        <v>-25880</v>
      </c>
      <c r="I9">
        <f ca="1">SUM(C9:F9)</f>
        <v>-20029</v>
      </c>
    </row>
    <row r="10" spans="2:9">
      <c r="G10">
        <f ca="1">MATCH(G9,C9:F9)</f>
        <v>4</v>
      </c>
      <c r="H10">
        <f ca="1">MATCH(H9,C9:F9,0)</f>
        <v>3</v>
      </c>
    </row>
    <row r="11" spans="2:9">
      <c r="G11">
        <f ca="1">CHOOSE(G10,C8,D8,E8,F8)</f>
        <v>2016</v>
      </c>
      <c r="H11">
        <f ca="1">CHOOSE(H10,C8,D8,E8,F8)</f>
        <v>2015</v>
      </c>
    </row>
    <row r="12" spans="2:9">
      <c r="C12" t="str">
        <f>IF(D3="EPS","cents per share","($'000)")</f>
        <v>($'000)</v>
      </c>
    </row>
    <row r="13" spans="2:9">
      <c r="C13" t="str">
        <f ca="1">"Highest ($)" &amp; IF(C9&gt;0,D3,"NetLoss") &amp; " is " &amp; G9 &amp; " in the year " &amp; G11</f>
        <v>Highest ($)TotalCI_Loss is 6426 in the year 2016</v>
      </c>
    </row>
    <row r="14" spans="2:9">
      <c r="C14" t="str">
        <f ca="1">"Lowest ($)" &amp; IF(H9&gt;0,D3,"NetLoss") &amp; " is " &amp; H9 &amp; " in the year " &amp; H11</f>
        <v>Lowest ($)NetLoss is -25880 in the year 2015</v>
      </c>
    </row>
    <row r="15" spans="2:9">
      <c r="C15" t="str">
        <f ca="1">"Total ($)" &amp; IF(I9&gt;0,D3,"NetLoss") &amp; " is " &amp; I9</f>
        <v>Total ($)NetLoss is -20029</v>
      </c>
    </row>
    <row r="16" spans="2:9">
      <c r="C16" t="str">
        <f>"&lt;'$000&gt;"</f>
        <v>&lt;'$000&gt;</v>
      </c>
    </row>
    <row r="19" spans="2:5">
      <c r="C19" t="s">
        <v>168</v>
      </c>
      <c r="D19" t="s">
        <v>121</v>
      </c>
    </row>
    <row r="20" spans="2:5">
      <c r="B20">
        <v>2013</v>
      </c>
      <c r="C20">
        <v>2</v>
      </c>
      <c r="D20">
        <f>CHOOSE(Row_Exp1,B20,B21,B22,B23)</f>
        <v>2014</v>
      </c>
    </row>
    <row r="21" spans="2:5">
      <c r="B21">
        <v>2014</v>
      </c>
    </row>
    <row r="22" spans="2:5">
      <c r="B22">
        <v>2015</v>
      </c>
    </row>
    <row r="23" spans="2:5">
      <c r="B23">
        <v>2016</v>
      </c>
    </row>
    <row r="24" spans="2:5">
      <c r="C24">
        <v>1</v>
      </c>
      <c r="D24">
        <v>2</v>
      </c>
    </row>
    <row r="25" spans="2:5">
      <c r="C25" t="s">
        <v>165</v>
      </c>
      <c r="D25" t="s">
        <v>167</v>
      </c>
      <c r="E25" t="s">
        <v>37</v>
      </c>
    </row>
    <row r="26" spans="2:5">
      <c r="B26">
        <f>Exp_Chosen1</f>
        <v>2014</v>
      </c>
      <c r="C26">
        <f>INDEX(IseExp,Row_Exp1,C24)</f>
        <v>251085</v>
      </c>
      <c r="D26">
        <f>INDEX(IseExp,Row_Exp1,D24)</f>
        <v>101015</v>
      </c>
      <c r="E26">
        <f>SUM(C26:D26)</f>
        <v>352100</v>
      </c>
    </row>
    <row r="28" spans="2:5">
      <c r="C28" t="str">
        <f>"Total Expenses in " &amp; Exp_Chosen1</f>
        <v>Total Expenses in 2014</v>
      </c>
    </row>
    <row r="29" spans="2:5">
      <c r="C29" t="str">
        <f>"Total ($)Expenses for Isetan in " &amp; Exp_Chosen1 &amp; " is " &amp; E26 &amp; " &lt;$000&gt;"</f>
        <v>Total ($)Expenses for Isetan in 2014 is 352100 &lt;$000&gt;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B1:X132"/>
  <sheetViews>
    <sheetView zoomScale="80" zoomScaleNormal="80" workbookViewId="0">
      <pane ySplit="1" topLeftCell="A2" activePane="bottomLeft" state="frozen"/>
      <selection pane="bottomLeft" activeCell="Q7" sqref="Q7"/>
    </sheetView>
  </sheetViews>
  <sheetFormatPr defaultColWidth="9.109375" defaultRowHeight="13.2"/>
  <cols>
    <col min="1" max="16384" width="9.109375" style="54"/>
  </cols>
  <sheetData>
    <row r="1" spans="2:12" s="53" customFormat="1" ht="87.45" customHeight="1"/>
    <row r="3" spans="2:12" s="17" customFormat="1" ht="14.4">
      <c r="B3" s="159" t="s">
        <v>173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</row>
    <row r="4" spans="2:12" s="17" customFormat="1" ht="14.4"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</row>
    <row r="5" spans="2:12" s="17" customFormat="1" ht="14.4"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2:12" s="17" customFormat="1" ht="14.4"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</row>
    <row r="8" spans="2:12">
      <c r="B8" s="164" t="s">
        <v>94</v>
      </c>
      <c r="C8" s="165"/>
      <c r="D8" s="165"/>
      <c r="E8" s="165"/>
      <c r="F8" s="165"/>
      <c r="G8" s="165"/>
      <c r="H8" s="165"/>
      <c r="I8" s="165"/>
    </row>
    <row r="9" spans="2:12">
      <c r="B9" s="165"/>
      <c r="C9" s="165"/>
      <c r="D9" s="165"/>
      <c r="E9" s="165"/>
      <c r="F9" s="165"/>
      <c r="G9" s="165"/>
      <c r="H9" s="165"/>
      <c r="I9" s="165"/>
    </row>
    <row r="10" spans="2:12">
      <c r="B10" s="165"/>
      <c r="C10" s="165"/>
      <c r="D10" s="165"/>
      <c r="E10" s="165"/>
      <c r="F10" s="165"/>
      <c r="G10" s="165"/>
      <c r="H10" s="165"/>
      <c r="I10" s="165"/>
    </row>
    <row r="23" spans="12:24">
      <c r="L23" s="91"/>
    </row>
    <row r="24" spans="12:24">
      <c r="Q24" s="167" t="str">
        <f ca="1">'Control BS YK'!I10</f>
        <v xml:space="preserve">Total Assets has decreased over the past 4 years from $279 million in 2013 to $227 million in 2016. </v>
      </c>
      <c r="R24" s="167"/>
      <c r="S24" s="167"/>
      <c r="T24" s="167"/>
      <c r="U24" s="167"/>
      <c r="V24" s="167"/>
      <c r="W24" s="167"/>
      <c r="X24" s="167"/>
    </row>
    <row r="25" spans="12:24">
      <c r="Q25" s="167"/>
      <c r="R25" s="167"/>
      <c r="S25" s="167"/>
      <c r="T25" s="167"/>
      <c r="U25" s="167"/>
      <c r="V25" s="167"/>
      <c r="W25" s="167"/>
      <c r="X25" s="167"/>
    </row>
    <row r="27" spans="12:24">
      <c r="Q27" s="163" t="str">
        <f ca="1">'Control BS YK'!S8</f>
        <v xml:space="preserve">In 2013, Isetan's Total Assets amounted to $279 million which is the highest among all 4 years. </v>
      </c>
      <c r="R27" s="163"/>
      <c r="S27" s="163"/>
      <c r="T27" s="163"/>
      <c r="U27" s="163"/>
      <c r="V27" s="163"/>
      <c r="W27" s="163"/>
      <c r="X27" s="163"/>
    </row>
    <row r="28" spans="12:24">
      <c r="Q28" s="163"/>
      <c r="R28" s="163"/>
      <c r="S28" s="163"/>
      <c r="T28" s="163"/>
      <c r="U28" s="163"/>
      <c r="V28" s="163"/>
      <c r="W28" s="163"/>
      <c r="X28" s="163"/>
    </row>
    <row r="30" spans="12:24">
      <c r="Q30" s="163" t="str">
        <f ca="1">'Control BS YK'!S11</f>
        <v xml:space="preserve">In 2016, Isetan's Total Assets amounted to $227 million which is the lowest among all 4 years. </v>
      </c>
      <c r="R30" s="163"/>
      <c r="S30" s="163"/>
      <c r="T30" s="163"/>
      <c r="U30" s="163"/>
      <c r="V30" s="163"/>
      <c r="W30" s="163"/>
      <c r="X30" s="163"/>
    </row>
    <row r="31" spans="12:24">
      <c r="Q31" s="163"/>
      <c r="R31" s="163"/>
      <c r="S31" s="163"/>
      <c r="T31" s="163"/>
      <c r="U31" s="163"/>
      <c r="V31" s="163"/>
      <c r="W31" s="163"/>
      <c r="X31" s="163"/>
    </row>
    <row r="58" spans="17:24">
      <c r="Q58" s="92" t="str">
        <f>'Control BS YK'!I24</f>
        <v xml:space="preserve">In 2016, </v>
      </c>
      <c r="R58" s="92"/>
      <c r="S58" s="92"/>
      <c r="T58" s="92"/>
      <c r="U58" s="92"/>
      <c r="V58" s="92"/>
      <c r="W58" s="92"/>
      <c r="X58" s="92"/>
    </row>
    <row r="59" spans="17:24">
      <c r="Q59" s="163" t="str">
        <f>'Control BS YK'!I27</f>
        <v xml:space="preserve">Isetan has $91 million worth of Current Assets which is 40% of Total Assets and $136 million worth of Non-Current Assets which is 60% of Total Assets </v>
      </c>
      <c r="R59" s="163"/>
      <c r="S59" s="163"/>
      <c r="T59" s="163"/>
      <c r="U59" s="163"/>
      <c r="V59" s="163"/>
      <c r="W59" s="163"/>
      <c r="X59" s="163"/>
    </row>
    <row r="60" spans="17:24">
      <c r="Q60" s="163"/>
      <c r="R60" s="163"/>
      <c r="S60" s="163"/>
      <c r="T60" s="163"/>
      <c r="U60" s="163"/>
      <c r="V60" s="163"/>
      <c r="W60" s="163"/>
      <c r="X60" s="163"/>
    </row>
    <row r="75" spans="2:12">
      <c r="B75" s="164" t="s">
        <v>93</v>
      </c>
      <c r="C75" s="166"/>
      <c r="D75" s="166"/>
      <c r="E75" s="166"/>
      <c r="F75" s="166"/>
      <c r="G75" s="166"/>
      <c r="H75" s="166"/>
      <c r="I75" s="166"/>
      <c r="J75" s="166"/>
      <c r="K75" s="166"/>
      <c r="L75" s="166"/>
    </row>
    <row r="76" spans="2:12">
      <c r="B76" s="166"/>
      <c r="C76" s="166"/>
      <c r="D76" s="166"/>
      <c r="E76" s="166"/>
      <c r="F76" s="166"/>
      <c r="G76" s="166"/>
      <c r="H76" s="166"/>
      <c r="I76" s="166"/>
      <c r="J76" s="166"/>
      <c r="K76" s="166"/>
      <c r="L76" s="166"/>
    </row>
    <row r="77" spans="2:12">
      <c r="B77" s="166"/>
      <c r="C77" s="166"/>
      <c r="D77" s="166"/>
      <c r="E77" s="166"/>
      <c r="F77" s="166"/>
      <c r="G77" s="166"/>
      <c r="H77" s="166"/>
      <c r="I77" s="166"/>
      <c r="J77" s="166"/>
      <c r="K77" s="166"/>
      <c r="L77" s="166"/>
    </row>
    <row r="78" spans="2:12"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</row>
    <row r="97" spans="17:24">
      <c r="Q97" s="163" t="str">
        <f ca="1">'Control BS YK'!I38</f>
        <v xml:space="preserve">Non-Current Liabilities has increased over the past 4 years from $4 million in 2013 to $7 million in 2016. </v>
      </c>
      <c r="R97" s="163"/>
      <c r="S97" s="163"/>
      <c r="T97" s="163"/>
      <c r="U97" s="163"/>
      <c r="V97" s="163"/>
      <c r="W97" s="163"/>
      <c r="X97" s="163"/>
    </row>
    <row r="98" spans="17:24">
      <c r="Q98" s="163"/>
      <c r="R98" s="163"/>
      <c r="S98" s="163"/>
      <c r="T98" s="163"/>
      <c r="U98" s="163"/>
      <c r="V98" s="163"/>
      <c r="W98" s="163"/>
      <c r="X98" s="163"/>
    </row>
    <row r="99" spans="17:24">
      <c r="Q99" s="92"/>
      <c r="R99" s="92"/>
      <c r="S99" s="92"/>
      <c r="T99" s="92"/>
      <c r="U99" s="92"/>
      <c r="V99" s="92"/>
      <c r="W99" s="92"/>
      <c r="X99" s="92"/>
    </row>
    <row r="100" spans="17:24">
      <c r="Q100" s="163" t="str">
        <f ca="1">'Control BS YK'!S36</f>
        <v xml:space="preserve">In 2016, Isetan's Non-Current Liabilities amounted to $7 million which is the highest among all 4 years. </v>
      </c>
      <c r="R100" s="163"/>
      <c r="S100" s="163"/>
      <c r="T100" s="163"/>
      <c r="U100" s="163"/>
      <c r="V100" s="163"/>
      <c r="W100" s="163"/>
      <c r="X100" s="163"/>
    </row>
    <row r="101" spans="17:24">
      <c r="Q101" s="163"/>
      <c r="R101" s="163"/>
      <c r="S101" s="163"/>
      <c r="T101" s="163"/>
      <c r="U101" s="163"/>
      <c r="V101" s="163"/>
      <c r="W101" s="163"/>
      <c r="X101" s="163"/>
    </row>
    <row r="102" spans="17:24">
      <c r="Q102" s="92"/>
      <c r="R102" s="92"/>
      <c r="S102" s="92"/>
      <c r="T102" s="92"/>
      <c r="U102" s="92"/>
      <c r="V102" s="92"/>
      <c r="W102" s="92"/>
      <c r="X102" s="92"/>
    </row>
    <row r="103" spans="17:24">
      <c r="Q103" s="163" t="str">
        <f ca="1">'Control BS YK'!S39</f>
        <v xml:space="preserve">In 2013, Isetan's Non-Current Liabilities amounted to $4 million which is the lowest among all 4 years. </v>
      </c>
      <c r="R103" s="163"/>
      <c r="S103" s="163"/>
      <c r="T103" s="163"/>
      <c r="U103" s="163"/>
      <c r="V103" s="163"/>
      <c r="W103" s="163"/>
      <c r="X103" s="163"/>
    </row>
    <row r="104" spans="17:24">
      <c r="Q104" s="163"/>
      <c r="R104" s="163"/>
      <c r="S104" s="163"/>
      <c r="T104" s="163"/>
      <c r="U104" s="163"/>
      <c r="V104" s="163"/>
      <c r="W104" s="163"/>
      <c r="X104" s="163"/>
    </row>
    <row r="130" spans="17:24">
      <c r="Q130" s="92" t="str">
        <f>'Control BS YK'!I52</f>
        <v xml:space="preserve">In 2015, </v>
      </c>
      <c r="R130" s="92"/>
      <c r="S130" s="92"/>
      <c r="T130" s="92"/>
      <c r="U130" s="92"/>
      <c r="V130" s="92"/>
      <c r="W130" s="92"/>
      <c r="X130" s="92"/>
    </row>
    <row r="131" spans="17:24">
      <c r="Q131" s="163" t="str">
        <f>'Control BS YK'!I55</f>
        <v xml:space="preserve">Isetan has $56 million worth of Current Liabilities which is 91% of Total Liabilities and $6 million worth of Non-Current Liabilities which is 9% of Total Liabilities </v>
      </c>
      <c r="R131" s="163"/>
      <c r="S131" s="163"/>
      <c r="T131" s="163"/>
      <c r="U131" s="163"/>
      <c r="V131" s="163"/>
      <c r="W131" s="163"/>
      <c r="X131" s="163"/>
    </row>
    <row r="132" spans="17:24">
      <c r="Q132" s="163"/>
      <c r="R132" s="163"/>
      <c r="S132" s="163"/>
      <c r="T132" s="163"/>
      <c r="U132" s="163"/>
      <c r="V132" s="163"/>
      <c r="W132" s="163"/>
      <c r="X132" s="163"/>
    </row>
  </sheetData>
  <mergeCells count="11">
    <mergeCell ref="Q131:X132"/>
    <mergeCell ref="Q97:X98"/>
    <mergeCell ref="Q100:X101"/>
    <mergeCell ref="Q103:X104"/>
    <mergeCell ref="B3:L6"/>
    <mergeCell ref="B8:I10"/>
    <mergeCell ref="B75:L78"/>
    <mergeCell ref="Q59:X60"/>
    <mergeCell ref="Q24:X25"/>
    <mergeCell ref="Q27:X28"/>
    <mergeCell ref="Q30:X3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Group Box 2">
              <controlPr defaultSize="0" autoFill="0" autoPict="0">
                <anchor moveWithCells="1">
                  <from>
                    <xdr:col>3</xdr:col>
                    <xdr:colOff>373380</xdr:colOff>
                    <xdr:row>29</xdr:row>
                    <xdr:rowOff>68580</xdr:rowOff>
                  </from>
                  <to>
                    <xdr:col>11</xdr:col>
                    <xdr:colOff>144780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9" r:id="rId4" name="Group Box 1">
              <controlPr defaultSize="0" autoFill="0" autoPict="0">
                <anchor moveWithCells="1">
                  <from>
                    <xdr:col>4</xdr:col>
                    <xdr:colOff>60960</xdr:colOff>
                    <xdr:row>98</xdr:row>
                    <xdr:rowOff>7620</xdr:rowOff>
                  </from>
                  <to>
                    <xdr:col>8</xdr:col>
                    <xdr:colOff>365760</xdr:colOff>
                    <xdr:row>100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Drop Down 3">
              <controlPr defaultSize="0" autoLine="0" autoPict="0">
                <anchor moveWithCells="1">
                  <from>
                    <xdr:col>1</xdr:col>
                    <xdr:colOff>0</xdr:colOff>
                    <xdr:row>10</xdr:row>
                    <xdr:rowOff>106680</xdr:rowOff>
                  </from>
                  <to>
                    <xdr:col>5</xdr:col>
                    <xdr:colOff>22860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Scroll Bar 4">
              <controlPr defaultSize="0" autoPict="0">
                <anchor moveWithCells="1">
                  <from>
                    <xdr:col>0</xdr:col>
                    <xdr:colOff>609600</xdr:colOff>
                    <xdr:row>70</xdr:row>
                    <xdr:rowOff>45720</xdr:rowOff>
                  </from>
                  <to>
                    <xdr:col>12</xdr:col>
                    <xdr:colOff>68580</xdr:colOff>
                    <xdr:row>71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7" name="Drop Down 5">
              <controlPr defaultSize="0" autoLine="0" autoPict="0">
                <anchor moveWithCells="1">
                  <from>
                    <xdr:col>1</xdr:col>
                    <xdr:colOff>30480</xdr:colOff>
                    <xdr:row>77</xdr:row>
                    <xdr:rowOff>152400</xdr:rowOff>
                  </from>
                  <to>
                    <xdr:col>4</xdr:col>
                    <xdr:colOff>342900</xdr:colOff>
                    <xdr:row>79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8" name="Scroll Bar 6">
              <controlPr defaultSize="0" autoPict="0">
                <anchor moveWithCells="1">
                  <from>
                    <xdr:col>1</xdr:col>
                    <xdr:colOff>7620</xdr:colOff>
                    <xdr:row>117</xdr:row>
                    <xdr:rowOff>99060</xdr:rowOff>
                  </from>
                  <to>
                    <xdr:col>12</xdr:col>
                    <xdr:colOff>121920</xdr:colOff>
                    <xdr:row>118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9" name="Option Button 9">
              <controlPr defaultSize="0" autoFill="0" autoLine="0" autoPict="0">
                <anchor moveWithCells="1">
                  <from>
                    <xdr:col>4</xdr:col>
                    <xdr:colOff>495300</xdr:colOff>
                    <xdr:row>98</xdr:row>
                    <xdr:rowOff>99060</xdr:rowOff>
                  </from>
                  <to>
                    <xdr:col>6</xdr:col>
                    <xdr:colOff>327660</xdr:colOff>
                    <xdr:row>99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0" name="Option Button 10">
              <controlPr defaultSize="0" autoFill="0" autoLine="0" autoPict="0">
                <anchor moveWithCells="1">
                  <from>
                    <xdr:col>6</xdr:col>
                    <xdr:colOff>327660</xdr:colOff>
                    <xdr:row>98</xdr:row>
                    <xdr:rowOff>99060</xdr:rowOff>
                  </from>
                  <to>
                    <xdr:col>8</xdr:col>
                    <xdr:colOff>137160</xdr:colOff>
                    <xdr:row>99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1" name="Button 12">
              <controlPr defaultSize="0" print="0" autoFill="0" autoPict="0" macro="[0]!Logout" altText="Log Out">
                <anchor moveWithCells="1" sizeWithCells="1">
                  <from>
                    <xdr:col>14</xdr:col>
                    <xdr:colOff>45720</xdr:colOff>
                    <xdr:row>0</xdr:row>
                    <xdr:rowOff>251460</xdr:rowOff>
                  </from>
                  <to>
                    <xdr:col>16</xdr:col>
                    <xdr:colOff>22860</xdr:colOff>
                    <xdr:row>0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2" name="Option Button 15">
              <controlPr defaultSize="0" autoFill="0" autoLine="0" autoPict="0">
                <anchor moveWithCells="1">
                  <from>
                    <xdr:col>5</xdr:col>
                    <xdr:colOff>38100</xdr:colOff>
                    <xdr:row>29</xdr:row>
                    <xdr:rowOff>152400</xdr:rowOff>
                  </from>
                  <to>
                    <xdr:col>6</xdr:col>
                    <xdr:colOff>480060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3" name="Option Button 16">
              <controlPr defaultSize="0" autoFill="0" autoLine="0" autoPict="0">
                <anchor moveWithCells="1">
                  <from>
                    <xdr:col>6</xdr:col>
                    <xdr:colOff>487680</xdr:colOff>
                    <xdr:row>29</xdr:row>
                    <xdr:rowOff>152400</xdr:rowOff>
                  </from>
                  <to>
                    <xdr:col>8</xdr:col>
                    <xdr:colOff>312420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V92"/>
  <sheetViews>
    <sheetView showGridLines="0" zoomScale="90" zoomScaleNormal="90" zoomScaleSheetLayoutView="40" workbookViewId="0">
      <pane ySplit="1" topLeftCell="A53" activePane="bottomLeft" state="frozen"/>
      <selection pane="bottomLeft" activeCell="B54" sqref="B54:H56"/>
    </sheetView>
  </sheetViews>
  <sheetFormatPr defaultColWidth="9.109375" defaultRowHeight="13.2"/>
  <cols>
    <col min="1" max="16384" width="9.109375" style="54"/>
  </cols>
  <sheetData>
    <row r="1" spans="2:12" s="53" customFormat="1" ht="87.45" customHeight="1"/>
    <row r="2" spans="2:12" s="17" customFormat="1" ht="14.4"/>
    <row r="3" spans="2:12" s="17" customFormat="1" ht="15" customHeight="1">
      <c r="B3" s="159" t="s">
        <v>173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</row>
    <row r="4" spans="2:12" s="17" customFormat="1" ht="15" customHeight="1"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</row>
    <row r="5" spans="2:12" s="17" customFormat="1" ht="15" customHeight="1"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2:12" s="17" customFormat="1" ht="15" customHeight="1"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</row>
    <row r="8" spans="2:12">
      <c r="B8" s="164" t="s">
        <v>94</v>
      </c>
      <c r="C8" s="164"/>
      <c r="D8" s="164"/>
      <c r="E8" s="164"/>
      <c r="F8" s="164"/>
      <c r="G8" s="164"/>
      <c r="H8" s="164"/>
      <c r="I8" s="164"/>
    </row>
    <row r="9" spans="2:12">
      <c r="B9" s="164"/>
      <c r="C9" s="164"/>
      <c r="D9" s="164"/>
      <c r="E9" s="164"/>
      <c r="F9" s="164"/>
      <c r="G9" s="164"/>
      <c r="H9" s="164"/>
      <c r="I9" s="164"/>
    </row>
    <row r="10" spans="2:12">
      <c r="B10" s="164"/>
      <c r="C10" s="164"/>
      <c r="D10" s="164"/>
      <c r="E10" s="164"/>
      <c r="F10" s="164"/>
      <c r="G10" s="164"/>
      <c r="H10" s="164"/>
      <c r="I10" s="164"/>
    </row>
    <row r="12" spans="2:12">
      <c r="E12" s="55"/>
    </row>
    <row r="20" spans="11:22" ht="12.75" customHeight="1">
      <c r="O20" s="163" t="str">
        <f ca="1">'Control BS YK'!I67&amp;"."</f>
        <v>From 2013 to 2016, Isetan's Non-Current Assets decreased by $9 million (6.51%) from $145 million to $136 million while Metro's Non-Current Assets increased by $182 million (23.01%) from $793 million to $975 million.</v>
      </c>
      <c r="P20" s="163"/>
      <c r="Q20" s="163"/>
      <c r="R20" s="163"/>
      <c r="S20" s="163"/>
      <c r="T20" s="163"/>
      <c r="U20" s="163"/>
      <c r="V20" s="163"/>
    </row>
    <row r="21" spans="11:22" ht="12.75" customHeight="1">
      <c r="O21" s="163"/>
      <c r="P21" s="163"/>
      <c r="Q21" s="163"/>
      <c r="R21" s="163"/>
      <c r="S21" s="163"/>
      <c r="T21" s="163"/>
      <c r="U21" s="163"/>
      <c r="V21" s="163"/>
    </row>
    <row r="22" spans="11:22">
      <c r="K22" s="56"/>
      <c r="L22" s="56"/>
      <c r="M22" s="56"/>
      <c r="N22" s="56"/>
      <c r="O22" s="163"/>
      <c r="P22" s="163"/>
      <c r="Q22" s="163"/>
      <c r="R22" s="163"/>
      <c r="S22" s="163"/>
      <c r="T22" s="163"/>
      <c r="U22" s="163"/>
      <c r="V22" s="163"/>
    </row>
    <row r="23" spans="11:22">
      <c r="K23" s="56"/>
      <c r="L23" s="56"/>
      <c r="M23" s="56"/>
      <c r="N23" s="56"/>
      <c r="O23" s="163"/>
      <c r="P23" s="163"/>
      <c r="Q23" s="163"/>
      <c r="R23" s="163"/>
      <c r="S23" s="163"/>
      <c r="T23" s="163"/>
      <c r="U23" s="163"/>
      <c r="V23" s="163"/>
    </row>
    <row r="38" spans="15:22" ht="12.75" customHeight="1">
      <c r="O38" s="94" t="str">
        <f>'Control BS YK'!I94</f>
        <v xml:space="preserve">Changes in Non-Current Assets for each year are as follows: </v>
      </c>
    </row>
    <row r="39" spans="15:22">
      <c r="O39" s="168" t="str">
        <f ca="1">'Control BS YK'!I95</f>
        <v xml:space="preserve">From 2013 to 2014, Isetan's Non-Current Assets decreased by $15 million which is a 10.05% decrease while Metro's Non-Current Assets increased by $209 million which is a 26.36% increase. </v>
      </c>
      <c r="P39" s="168"/>
      <c r="Q39" s="168"/>
      <c r="R39" s="168"/>
      <c r="S39" s="168"/>
      <c r="T39" s="168"/>
      <c r="U39" s="168"/>
      <c r="V39" s="168"/>
    </row>
    <row r="40" spans="15:22">
      <c r="O40" s="168"/>
      <c r="P40" s="168"/>
      <c r="Q40" s="168"/>
      <c r="R40" s="168"/>
      <c r="S40" s="168"/>
      <c r="T40" s="168"/>
      <c r="U40" s="168"/>
      <c r="V40" s="168"/>
    </row>
    <row r="41" spans="15:22" ht="12.75" customHeight="1">
      <c r="O41" s="168"/>
      <c r="P41" s="168"/>
      <c r="Q41" s="168"/>
      <c r="R41" s="168"/>
      <c r="S41" s="168"/>
      <c r="T41" s="168"/>
      <c r="U41" s="168"/>
      <c r="V41" s="168"/>
    </row>
    <row r="42" spans="15:22">
      <c r="O42" s="168" t="str">
        <f ca="1">'Control BS YK'!J95</f>
        <v xml:space="preserve">From 2014 to 2015, Isetan's Non-Current Assets increased by $15 million which is a 11.74% increase while Metro's Non-Current Assets increased by $84 million which is a 8.35% increase. </v>
      </c>
      <c r="P42" s="168"/>
      <c r="Q42" s="168"/>
      <c r="R42" s="168"/>
      <c r="S42" s="168"/>
      <c r="T42" s="168"/>
      <c r="U42" s="168"/>
      <c r="V42" s="168"/>
    </row>
    <row r="43" spans="15:22">
      <c r="O43" s="168"/>
      <c r="P43" s="168"/>
      <c r="Q43" s="168"/>
      <c r="R43" s="168"/>
      <c r="S43" s="168"/>
      <c r="T43" s="168"/>
      <c r="U43" s="168"/>
      <c r="V43" s="168"/>
    </row>
    <row r="44" spans="15:22" ht="12.75" customHeight="1">
      <c r="O44" s="168"/>
      <c r="P44" s="168"/>
      <c r="Q44" s="168"/>
      <c r="R44" s="168"/>
      <c r="S44" s="168"/>
      <c r="T44" s="168"/>
      <c r="U44" s="168"/>
      <c r="V44" s="168"/>
    </row>
    <row r="45" spans="15:22">
      <c r="O45" s="168" t="str">
        <f ca="1">'Control BS YK'!K95</f>
        <v xml:space="preserve">From 2015 to 2016, Isetan's Non-Current Assets decreased by $10 million which is a 6.98% decrease while Metro's Non-Current Assets decreased by $110 million which is a 10.15% decrease. </v>
      </c>
      <c r="P45" s="168"/>
      <c r="Q45" s="168"/>
      <c r="R45" s="168"/>
      <c r="S45" s="168"/>
      <c r="T45" s="168"/>
      <c r="U45" s="168"/>
      <c r="V45" s="168"/>
    </row>
    <row r="46" spans="15:22">
      <c r="O46" s="168"/>
      <c r="P46" s="168"/>
      <c r="Q46" s="168"/>
      <c r="R46" s="168"/>
      <c r="S46" s="168"/>
      <c r="T46" s="168"/>
      <c r="U46" s="168"/>
      <c r="V46" s="168"/>
    </row>
    <row r="47" spans="15:22">
      <c r="O47" s="168"/>
      <c r="P47" s="168"/>
      <c r="Q47" s="168"/>
      <c r="R47" s="168"/>
      <c r="S47" s="168"/>
      <c r="T47" s="168"/>
      <c r="U47" s="168"/>
      <c r="V47" s="168"/>
    </row>
    <row r="54" spans="1:8">
      <c r="A54" s="58"/>
      <c r="B54" s="169" t="s">
        <v>93</v>
      </c>
      <c r="C54" s="169"/>
      <c r="D54" s="169"/>
      <c r="E54" s="169"/>
      <c r="F54" s="169"/>
      <c r="G54" s="169"/>
      <c r="H54" s="169"/>
    </row>
    <row r="55" spans="1:8">
      <c r="B55" s="169"/>
      <c r="C55" s="169"/>
      <c r="D55" s="169"/>
      <c r="E55" s="169"/>
      <c r="F55" s="169"/>
      <c r="G55" s="169"/>
      <c r="H55" s="169"/>
    </row>
    <row r="56" spans="1:8">
      <c r="B56" s="169"/>
      <c r="C56" s="169"/>
      <c r="D56" s="169"/>
      <c r="E56" s="169"/>
      <c r="F56" s="169"/>
      <c r="G56" s="169"/>
      <c r="H56" s="169"/>
    </row>
    <row r="58" spans="1:8">
      <c r="E58" s="55"/>
    </row>
    <row r="65" spans="15:22" ht="12.75" customHeight="1"/>
    <row r="66" spans="15:22">
      <c r="O66" s="163" t="str">
        <f ca="1">'Control BS YK'!I105&amp;"."</f>
        <v>From 2013 to 2016, Isetan's Total Liabilities decreased by $18 million (24.41%) from $72 million to $54 million while Metro's Total Liabilities decreased by $166 million (51.81%) from $320 million to $154 million.</v>
      </c>
      <c r="P66" s="163"/>
      <c r="Q66" s="163"/>
      <c r="R66" s="163"/>
      <c r="S66" s="163"/>
      <c r="T66" s="163"/>
      <c r="U66" s="163"/>
      <c r="V66" s="163"/>
    </row>
    <row r="67" spans="15:22">
      <c r="O67" s="163"/>
      <c r="P67" s="163"/>
      <c r="Q67" s="163"/>
      <c r="R67" s="163"/>
      <c r="S67" s="163"/>
      <c r="T67" s="163"/>
      <c r="U67" s="163"/>
      <c r="V67" s="163"/>
    </row>
    <row r="68" spans="15:22">
      <c r="O68" s="163"/>
      <c r="P68" s="163"/>
      <c r="Q68" s="163"/>
      <c r="R68" s="163"/>
      <c r="S68" s="163"/>
      <c r="T68" s="163"/>
      <c r="U68" s="163"/>
      <c r="V68" s="163"/>
    </row>
    <row r="69" spans="15:22">
      <c r="O69" s="163"/>
      <c r="P69" s="163"/>
      <c r="Q69" s="163"/>
      <c r="R69" s="163"/>
      <c r="S69" s="163"/>
      <c r="T69" s="163"/>
      <c r="U69" s="163"/>
      <c r="V69" s="163"/>
    </row>
    <row r="83" spans="15:22">
      <c r="O83" s="94" t="str">
        <f>'Control BS YK'!I128</f>
        <v xml:space="preserve">Changes in Total Liabilities for each year are as follows: </v>
      </c>
      <c r="P83" s="92"/>
      <c r="Q83" s="92"/>
      <c r="R83" s="92"/>
      <c r="S83" s="92"/>
      <c r="T83" s="92"/>
      <c r="U83" s="92"/>
      <c r="V83" s="92"/>
    </row>
    <row r="84" spans="15:22">
      <c r="O84" s="168" t="str">
        <f ca="1">'Control BS YK'!I129</f>
        <v xml:space="preserve">From 2013 to 2014, Isetan's Total Liabilities decreased by $11 million which is a 15.76% decrease while Metro's Total Liabilities increased by $79 million which is a 24.64% increase. </v>
      </c>
      <c r="P84" s="168"/>
      <c r="Q84" s="168"/>
      <c r="R84" s="168"/>
      <c r="S84" s="168"/>
      <c r="T84" s="168"/>
      <c r="U84" s="168"/>
      <c r="V84" s="168"/>
    </row>
    <row r="85" spans="15:22">
      <c r="O85" s="168"/>
      <c r="P85" s="168"/>
      <c r="Q85" s="168"/>
      <c r="R85" s="168"/>
      <c r="S85" s="168"/>
      <c r="T85" s="168"/>
      <c r="U85" s="168"/>
      <c r="V85" s="168"/>
    </row>
    <row r="86" spans="15:22">
      <c r="O86" s="168"/>
      <c r="P86" s="168"/>
      <c r="Q86" s="168"/>
      <c r="R86" s="168"/>
      <c r="S86" s="168"/>
      <c r="T86" s="168"/>
      <c r="U86" s="168"/>
      <c r="V86" s="168"/>
    </row>
    <row r="87" spans="15:22">
      <c r="O87" s="168" t="str">
        <f ca="1">'Control BS YK'!J129</f>
        <v xml:space="preserve">From 2014 to 2015, Isetan's Total Liabilities increased by $1 million which is a 2.03% increase while Metro's Total Liabilities decreased by $134 million which is a 33.69% decrease. </v>
      </c>
      <c r="P87" s="168"/>
      <c r="Q87" s="168"/>
      <c r="R87" s="168"/>
      <c r="S87" s="168"/>
      <c r="T87" s="168"/>
      <c r="U87" s="168"/>
      <c r="V87" s="168"/>
    </row>
    <row r="88" spans="15:22">
      <c r="O88" s="168"/>
      <c r="P88" s="168"/>
      <c r="Q88" s="168"/>
      <c r="R88" s="168"/>
      <c r="S88" s="168"/>
      <c r="T88" s="168"/>
      <c r="U88" s="168"/>
      <c r="V88" s="168"/>
    </row>
    <row r="89" spans="15:22">
      <c r="O89" s="168"/>
      <c r="P89" s="168"/>
      <c r="Q89" s="168"/>
      <c r="R89" s="168"/>
      <c r="S89" s="168"/>
      <c r="T89" s="168"/>
      <c r="U89" s="168"/>
      <c r="V89" s="168"/>
    </row>
    <row r="90" spans="15:22">
      <c r="O90" s="168" t="str">
        <f ca="1">'Control BS YK'!K129</f>
        <v xml:space="preserve">From 2015 to 2016, Isetan's Total Liabilities decreased by $7 million which is a 12.06% decrease while Metro's Total Liabilities decreased by $110 million which is a 41.7% decrease. </v>
      </c>
      <c r="P90" s="168"/>
      <c r="Q90" s="168"/>
      <c r="R90" s="168"/>
      <c r="S90" s="168"/>
      <c r="T90" s="168"/>
      <c r="U90" s="168"/>
      <c r="V90" s="168"/>
    </row>
    <row r="91" spans="15:22">
      <c r="O91" s="168"/>
      <c r="P91" s="168"/>
      <c r="Q91" s="168"/>
      <c r="R91" s="168"/>
      <c r="S91" s="168"/>
      <c r="T91" s="168"/>
      <c r="U91" s="168"/>
      <c r="V91" s="168"/>
    </row>
    <row r="92" spans="15:22">
      <c r="O92" s="168"/>
      <c r="P92" s="168"/>
      <c r="Q92" s="168"/>
      <c r="R92" s="168"/>
      <c r="S92" s="168"/>
      <c r="T92" s="168"/>
      <c r="U92" s="168"/>
      <c r="V92" s="168"/>
    </row>
  </sheetData>
  <mergeCells count="11">
    <mergeCell ref="B3:L6"/>
    <mergeCell ref="B8:I10"/>
    <mergeCell ref="O90:V92"/>
    <mergeCell ref="O39:V41"/>
    <mergeCell ref="B54:H56"/>
    <mergeCell ref="O42:V44"/>
    <mergeCell ref="O45:V47"/>
    <mergeCell ref="O84:V86"/>
    <mergeCell ref="O87:V89"/>
    <mergeCell ref="O20:V23"/>
    <mergeCell ref="O66:V6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419100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5" name="Drop Down 4">
              <controlPr defaultSize="0" autoLine="0" autoPict="0">
                <anchor moveWithCells="1">
                  <from>
                    <xdr:col>1</xdr:col>
                    <xdr:colOff>7620</xdr:colOff>
                    <xdr:row>31</xdr:row>
                    <xdr:rowOff>144780</xdr:rowOff>
                  </from>
                  <to>
                    <xdr:col>2</xdr:col>
                    <xdr:colOff>373380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6" name="Drop Down 5">
              <controlPr defaultSize="0" autoLine="0" autoPict="0">
                <anchor moveWithCells="1">
                  <from>
                    <xdr:col>1</xdr:col>
                    <xdr:colOff>0</xdr:colOff>
                    <xdr:row>56</xdr:row>
                    <xdr:rowOff>152400</xdr:rowOff>
                  </from>
                  <to>
                    <xdr:col>3</xdr:col>
                    <xdr:colOff>419100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7" name="Drop Down 8">
              <controlPr defaultSize="0" autoLine="0" autoPict="0">
                <anchor moveWithCells="1">
                  <from>
                    <xdr:col>1</xdr:col>
                    <xdr:colOff>7620</xdr:colOff>
                    <xdr:row>77</xdr:row>
                    <xdr:rowOff>0</xdr:rowOff>
                  </from>
                  <to>
                    <xdr:col>2</xdr:col>
                    <xdr:colOff>373380</xdr:colOff>
                    <xdr:row>78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8" name="Button 10">
              <controlPr defaultSize="0" print="0" autoFill="0" autoPict="0" macro="[0]!Logout" altText="Log Out">
                <anchor moveWithCells="1" sizeWithCells="1">
                  <from>
                    <xdr:col>14</xdr:col>
                    <xdr:colOff>137160</xdr:colOff>
                    <xdr:row>0</xdr:row>
                    <xdr:rowOff>251460</xdr:rowOff>
                  </from>
                  <to>
                    <xdr:col>16</xdr:col>
                    <xdr:colOff>121920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S132"/>
  <sheetViews>
    <sheetView zoomScale="70" zoomScaleNormal="70" workbookViewId="0">
      <selection activeCell="K126" sqref="K126"/>
    </sheetView>
  </sheetViews>
  <sheetFormatPr defaultColWidth="9.109375" defaultRowHeight="13.2"/>
  <cols>
    <col min="1" max="1" width="9.109375" style="7"/>
    <col min="2" max="5" width="12.88671875" style="7" bestFit="1" customWidth="1"/>
    <col min="6" max="16384" width="9.109375" style="7"/>
  </cols>
  <sheetData>
    <row r="1" spans="1:19">
      <c r="A1" s="7" t="s">
        <v>76</v>
      </c>
      <c r="B1" s="7" t="s">
        <v>75</v>
      </c>
    </row>
    <row r="2" spans="1:19">
      <c r="A2" s="7" t="s">
        <v>8</v>
      </c>
      <c r="B2" s="7">
        <v>1</v>
      </c>
    </row>
    <row r="3" spans="1:19">
      <c r="A3" s="7" t="s">
        <v>9</v>
      </c>
      <c r="B3" s="7">
        <v>2</v>
      </c>
    </row>
    <row r="5" spans="1:19">
      <c r="A5" s="7" t="s">
        <v>63</v>
      </c>
      <c r="B5" s="7" t="s">
        <v>62</v>
      </c>
      <c r="C5" s="7" t="s">
        <v>13</v>
      </c>
      <c r="D5" s="7" t="s">
        <v>14</v>
      </c>
      <c r="E5" s="7" t="s">
        <v>61</v>
      </c>
      <c r="I5" s="7" t="s">
        <v>66</v>
      </c>
    </row>
    <row r="6" spans="1:19">
      <c r="A6" s="7" t="s">
        <v>73</v>
      </c>
      <c r="B6" s="7" t="s">
        <v>72</v>
      </c>
      <c r="C6" s="7">
        <v>1</v>
      </c>
      <c r="D6" s="7" t="str">
        <f>CHOOSE($C$6,A6,A7,A8)</f>
        <v>Total Assets</v>
      </c>
      <c r="E6" s="7" t="str">
        <f>CHOOSE($C$6,B6,B7,B8)</f>
        <v>TotalAssets</v>
      </c>
      <c r="I6" s="7" t="str">
        <f>D6&amp;" has "</f>
        <v xml:space="preserve">Total Assets has </v>
      </c>
      <c r="S6" s="7" t="str">
        <f ca="1">"In "&amp;H12&amp;", "</f>
        <v xml:space="preserve">In 2013, </v>
      </c>
    </row>
    <row r="7" spans="1:19">
      <c r="A7" s="7" t="s">
        <v>71</v>
      </c>
      <c r="B7" s="7" t="s">
        <v>70</v>
      </c>
      <c r="I7" s="7" t="str">
        <f ca="1">"increased over the past 4 years from $"&amp;TEXT(ROUND(B12,-3)/1000,"##,###")&amp;" million in "&amp;B11&amp;" to $"&amp;TEXT(ROUND(E12,-3)/1000,"##,###")&amp;" million in "&amp;E11&amp;". "</f>
        <v xml:space="preserve">increased over the past 4 years from $279 million in 2013 to $227 million in 2016. </v>
      </c>
      <c r="S7" s="7" t="str">
        <f ca="1">"Isetan's "&amp;D6&amp;" amounted to $"&amp;TEXT(ROUND(F12,-3)/1000,"##,###")&amp;" million which is the highest among all 4 years. "</f>
        <v xml:space="preserve">Isetan's Total Assets amounted to $279 million which is the highest among all 4 years. </v>
      </c>
    </row>
    <row r="8" spans="1:19">
      <c r="A8" s="7" t="s">
        <v>69</v>
      </c>
      <c r="B8" s="7" t="s">
        <v>68</v>
      </c>
      <c r="I8" s="7" t="str">
        <f ca="1">"decreased over the past 4 years from $"&amp;TEXT(ROUND(B12,-3)/1000,"##,###")&amp;" million in "&amp;B11&amp;" to $"&amp;TEXT(ROUND(E12,-3)/1000,"##,###")&amp;" million in "&amp;E11&amp;". "</f>
        <v xml:space="preserve">decreased over the past 4 years from $279 million in 2013 to $227 million in 2016. </v>
      </c>
      <c r="S8" s="7" t="str">
        <f ca="1">S6&amp;S7</f>
        <v xml:space="preserve">In 2013, Isetan's Total Assets amounted to $279 million which is the highest among all 4 years. </v>
      </c>
    </row>
    <row r="9" spans="1:19">
      <c r="I9" s="7" t="s">
        <v>107</v>
      </c>
      <c r="S9" s="7" t="str">
        <f ca="1">"In "&amp;K12&amp;", "</f>
        <v xml:space="preserve">In 2016, </v>
      </c>
    </row>
    <row r="10" spans="1:19">
      <c r="B10" s="7">
        <v>1</v>
      </c>
      <c r="C10" s="7">
        <v>2</v>
      </c>
      <c r="D10" s="7">
        <v>3</v>
      </c>
      <c r="E10" s="7">
        <v>4</v>
      </c>
      <c r="I10" s="7" t="str">
        <f ca="1">I6&amp;IF(E12&gt;B12,I7,IF(B12&gt;E12,I8,I9))</f>
        <v xml:space="preserve">Total Assets has decreased over the past 4 years from $279 million in 2013 to $227 million in 2016. </v>
      </c>
      <c r="S10" s="7" t="str">
        <f ca="1">"Isetan's "&amp;D6&amp;" amounted to $"&amp;TEXT(ROUND(I12,-3)/1000,"##,###")&amp;" million which is the lowest among all 4 years. "</f>
        <v xml:space="preserve">Isetan's Total Assets amounted to $227 million which is the lowest among all 4 years. </v>
      </c>
    </row>
    <row r="11" spans="1:19">
      <c r="A11" s="7" t="str">
        <f>E6</f>
        <v>TotalAssets</v>
      </c>
      <c r="B11" s="7">
        <v>2013</v>
      </c>
      <c r="C11" s="7">
        <v>2014</v>
      </c>
      <c r="D11" s="7">
        <v>2015</v>
      </c>
      <c r="E11" s="7">
        <v>2016</v>
      </c>
      <c r="F11" s="7" t="s">
        <v>27</v>
      </c>
      <c r="G11" s="7" t="s">
        <v>79</v>
      </c>
      <c r="H11" s="7" t="s">
        <v>14</v>
      </c>
      <c r="I11" s="7" t="s">
        <v>28</v>
      </c>
      <c r="J11" s="7" t="s">
        <v>79</v>
      </c>
      <c r="K11" s="7" t="s">
        <v>14</v>
      </c>
      <c r="S11" s="7" t="str">
        <f ca="1">S9&amp;S10</f>
        <v xml:space="preserve">In 2016, Isetan's Total Assets amounted to $227 million which is the lowest among all 4 years. </v>
      </c>
    </row>
    <row r="12" spans="1:19">
      <c r="A12" s="7" t="str">
        <f>"Overview of "&amp;D6</f>
        <v>Overview of Total Assets</v>
      </c>
      <c r="B12" s="7">
        <f ca="1">INDEX(INDIRECT($A$11),$B$2,B10)</f>
        <v>279012</v>
      </c>
      <c r="C12" s="7">
        <f ca="1">INDEX(INDIRECT($A$11),$B$2,C10)</f>
        <v>261588</v>
      </c>
      <c r="D12" s="7">
        <f ca="1">INDEX(INDIRECT($A$11),$B$2,D10)</f>
        <v>233844</v>
      </c>
      <c r="E12" s="7">
        <f ca="1">INDEX(INDIRECT($A$11),$B$2,E10)</f>
        <v>226749</v>
      </c>
      <c r="F12" s="7">
        <f ca="1">MAX(B12:E12)</f>
        <v>279012</v>
      </c>
      <c r="G12" s="7">
        <f ca="1">MATCH(F12,B12:E12,0)</f>
        <v>1</v>
      </c>
      <c r="H12" s="7">
        <f ca="1">CHOOSE(G12,B11,C11,D11,E11)</f>
        <v>2013</v>
      </c>
      <c r="I12" s="7">
        <f ca="1">MIN(B12:E12)</f>
        <v>226749</v>
      </c>
      <c r="J12" s="7">
        <f ca="1">MATCH(I12,B12:E12,0)</f>
        <v>4</v>
      </c>
      <c r="K12" s="7">
        <f ca="1">CHOOSE(J12,B11,C11,D11,E11)</f>
        <v>2016</v>
      </c>
    </row>
    <row r="14" spans="1:19" s="8" customFormat="1">
      <c r="A14" s="8" t="s">
        <v>85</v>
      </c>
    </row>
    <row r="15" spans="1:19">
      <c r="A15" s="7" t="s">
        <v>53</v>
      </c>
      <c r="B15" s="7" t="s">
        <v>13</v>
      </c>
      <c r="C15" s="7" t="s">
        <v>14</v>
      </c>
    </row>
    <row r="16" spans="1:19">
      <c r="A16" s="7" t="s">
        <v>41</v>
      </c>
      <c r="B16" s="7">
        <v>1</v>
      </c>
      <c r="C16" s="7" t="str">
        <f>CHOOSE(B16,A16,A17)</f>
        <v>Dollar</v>
      </c>
    </row>
    <row r="17" spans="1:9">
      <c r="A17" s="7" t="s">
        <v>40</v>
      </c>
    </row>
    <row r="19" spans="1:9">
      <c r="A19" s="7" t="str">
        <f>C16</f>
        <v>Dollar</v>
      </c>
      <c r="B19" s="7" t="s">
        <v>51</v>
      </c>
      <c r="C19" s="7" t="s">
        <v>50</v>
      </c>
      <c r="D19" s="7" t="s">
        <v>49</v>
      </c>
      <c r="E19" s="7" t="s">
        <v>48</v>
      </c>
    </row>
    <row r="20" spans="1:9">
      <c r="A20" s="7" t="str">
        <f>A19&amp;" change in "&amp;D6</f>
        <v>Dollar change in Total Assets</v>
      </c>
      <c r="B20" s="7">
        <f ca="1">IF($A$19="Dollar",C12-B12,IF($A$19="Percentage",((C12-B12)/B12)*100))</f>
        <v>-17424</v>
      </c>
      <c r="C20" s="7">
        <f ca="1">IF($A$19="Dollar",D12-C12,IF($A$19="Percentage",((D12-C12)/C12)*100))</f>
        <v>-27744</v>
      </c>
      <c r="D20" s="7">
        <f ca="1">IF($A$19="Dollar",E12-D12,IF($A$19="Percentage",((E12-D12)/D12)*100))</f>
        <v>-7095</v>
      </c>
      <c r="E20" s="7" t="str">
        <f>IF($A$19="Dollar","$'000",IF($A$19="Percentage","%"))</f>
        <v>$'000</v>
      </c>
    </row>
    <row r="22" spans="1:9" s="8" customFormat="1">
      <c r="A22" s="8" t="s">
        <v>84</v>
      </c>
    </row>
    <row r="23" spans="1:9">
      <c r="A23" s="7" t="s">
        <v>65</v>
      </c>
      <c r="B23" s="7" t="s">
        <v>79</v>
      </c>
      <c r="C23" s="7" t="s">
        <v>13</v>
      </c>
      <c r="I23" s="7" t="s">
        <v>66</v>
      </c>
    </row>
    <row r="24" spans="1:9">
      <c r="A24" s="7">
        <v>2013</v>
      </c>
      <c r="B24" s="7">
        <f>MATCH(C24,A24:A27,0)</f>
        <v>4</v>
      </c>
      <c r="C24" s="7">
        <v>2016</v>
      </c>
      <c r="I24" s="7" t="str">
        <f>"In "&amp;C24&amp;", "</f>
        <v xml:space="preserve">In 2016, </v>
      </c>
    </row>
    <row r="25" spans="1:9">
      <c r="A25" s="7">
        <v>2014</v>
      </c>
      <c r="I25" s="7" t="str">
        <f>$A$2&amp;" has $"&amp;TEXT(ROUND(B30,-3)/1000,"##,###")&amp;" million worth of "&amp;B29&amp;" which is "&amp;TEXT(B30/(B30+C30),"##%")&amp;" of Total Assets "</f>
        <v xml:space="preserve">Isetan has $91 million worth of Current Assets which is 40% of Total Assets </v>
      </c>
    </row>
    <row r="26" spans="1:9">
      <c r="A26" s="7">
        <v>2015</v>
      </c>
      <c r="I26" s="7" t="str">
        <f>"and $"&amp;TEXT(ROUND(C30,-3)/1000,"##,###")&amp;" million worth of "&amp;C29&amp;" which is "&amp;TEXT(C30/(B30+C30),"##%")&amp;" of Total Assets "</f>
        <v xml:space="preserve">and $136 million worth of Non-Current Assets which is 60% of Total Assets </v>
      </c>
    </row>
    <row r="27" spans="1:9">
      <c r="A27" s="7">
        <v>2016</v>
      </c>
      <c r="I27" s="7" t="str">
        <f>I25&amp;I26</f>
        <v xml:space="preserve">Isetan has $91 million worth of Current Assets which is 40% of Total Assets and $136 million worth of Non-Current Assets which is 60% of Total Assets </v>
      </c>
    </row>
    <row r="29" spans="1:9">
      <c r="A29" s="7" t="s">
        <v>52</v>
      </c>
      <c r="B29" s="7" t="s">
        <v>69</v>
      </c>
      <c r="C29" s="7" t="s">
        <v>71</v>
      </c>
    </row>
    <row r="30" spans="1:9">
      <c r="A30" s="7" t="s">
        <v>83</v>
      </c>
      <c r="B30" s="7">
        <f>INDEX(CAssets,$B$2,B24)</f>
        <v>90932</v>
      </c>
      <c r="C30" s="7">
        <f>INDEX(NCAssets,$B$2,B24)</f>
        <v>135817</v>
      </c>
    </row>
    <row r="32" spans="1:9" s="8" customFormat="1">
      <c r="A32" s="8" t="s">
        <v>82</v>
      </c>
    </row>
    <row r="33" spans="1:19">
      <c r="A33" s="9" t="s">
        <v>63</v>
      </c>
      <c r="B33" s="7" t="s">
        <v>62</v>
      </c>
      <c r="C33" s="7" t="s">
        <v>13</v>
      </c>
      <c r="D33" s="7" t="s">
        <v>14</v>
      </c>
      <c r="E33" s="7" t="s">
        <v>61</v>
      </c>
      <c r="I33" s="7" t="s">
        <v>66</v>
      </c>
    </row>
    <row r="34" spans="1:19">
      <c r="A34" s="9" t="s">
        <v>59</v>
      </c>
      <c r="B34" s="7" t="s">
        <v>58</v>
      </c>
      <c r="C34" s="7">
        <v>2</v>
      </c>
      <c r="D34" s="7" t="str">
        <f>CHOOSE($C$34,A34,A35,A36)</f>
        <v>Non-Current Liabilities</v>
      </c>
      <c r="E34" s="7" t="str">
        <f>CHOOSE($C$34,B34,B35,B36)</f>
        <v>NCLiabilities</v>
      </c>
      <c r="I34" s="7" t="str">
        <f>D34&amp;" has "</f>
        <v xml:space="preserve">Non-Current Liabilities has </v>
      </c>
      <c r="S34" s="7" t="str">
        <f ca="1">"In "&amp;H40&amp;", "</f>
        <v xml:space="preserve">In 2016, </v>
      </c>
    </row>
    <row r="35" spans="1:19">
      <c r="A35" s="9" t="s">
        <v>57</v>
      </c>
      <c r="B35" s="7" t="s">
        <v>56</v>
      </c>
      <c r="I35" s="7" t="str">
        <f ca="1">"increased over the past 4 years from $"&amp;TEXT(ROUND(B40,-3)/1000,"##,###")&amp;" million in "&amp;B39&amp;" to $"&amp;TEXT(ROUND(E40,-3)/1000,"##,###")&amp;" million in "&amp;E39&amp;". "</f>
        <v xml:space="preserve">increased over the past 4 years from $4 million in 2013 to $7 million in 2016. </v>
      </c>
      <c r="S35" s="7" t="str">
        <f ca="1">"Isetan's "&amp;D34&amp;" amounted to $"&amp;TEXT(ROUND(F40,-3)/1000,"##,###")&amp;" million which is the highest among all 4 years. "</f>
        <v xml:space="preserve">Isetan's Non-Current Liabilities amounted to $7 million which is the highest among all 4 years. </v>
      </c>
    </row>
    <row r="36" spans="1:19">
      <c r="A36" s="9" t="s">
        <v>55</v>
      </c>
      <c r="B36" s="7" t="s">
        <v>54</v>
      </c>
      <c r="I36" s="7" t="str">
        <f ca="1">"decreased over the past 4 years from $"&amp;TEXT(ROUND(B40,-3)/1000,"##,###")&amp;" million in "&amp;B39&amp;" to $"&amp;TEXT(ROUND(E40,-3)/1000,"##,###")&amp;" million in "&amp;E39&amp;". "</f>
        <v xml:space="preserve">decreased over the past 4 years from $4 million in 2013 to $7 million in 2016. </v>
      </c>
      <c r="S36" s="7" t="str">
        <f ca="1">S34&amp;S35</f>
        <v xml:space="preserve">In 2016, Isetan's Non-Current Liabilities amounted to $7 million which is the highest among all 4 years. </v>
      </c>
    </row>
    <row r="37" spans="1:19">
      <c r="I37" s="7" t="s">
        <v>107</v>
      </c>
      <c r="S37" s="7" t="str">
        <f ca="1">"In "&amp;K40&amp;", "</f>
        <v xml:space="preserve">In 2013, </v>
      </c>
    </row>
    <row r="38" spans="1:19">
      <c r="B38" s="7">
        <v>1</v>
      </c>
      <c r="C38" s="7">
        <v>2</v>
      </c>
      <c r="D38" s="7">
        <v>3</v>
      </c>
      <c r="E38" s="7">
        <v>4</v>
      </c>
      <c r="I38" s="7" t="str">
        <f ca="1">I34&amp;IF(E40&gt;B40,I35,IF(B40&gt;E40,I36,I37))</f>
        <v xml:space="preserve">Non-Current Liabilities has increased over the past 4 years from $4 million in 2013 to $7 million in 2016. </v>
      </c>
      <c r="S38" s="7" t="str">
        <f ca="1">"Isetan's "&amp;D34&amp;" amounted to $"&amp;TEXT(ROUND(I40,-3)/1000,"##,###")&amp;" million which is the lowest among all 4 years. "</f>
        <v xml:space="preserve">Isetan's Non-Current Liabilities amounted to $4 million which is the lowest among all 4 years. </v>
      </c>
    </row>
    <row r="39" spans="1:19">
      <c r="A39" s="7" t="str">
        <f>E34</f>
        <v>NCLiabilities</v>
      </c>
      <c r="B39" s="7">
        <v>2013</v>
      </c>
      <c r="C39" s="7">
        <v>2014</v>
      </c>
      <c r="D39" s="7">
        <v>2015</v>
      </c>
      <c r="E39" s="7">
        <v>2016</v>
      </c>
      <c r="F39" s="7" t="s">
        <v>27</v>
      </c>
      <c r="G39" s="7" t="s">
        <v>79</v>
      </c>
      <c r="H39" s="7" t="s">
        <v>14</v>
      </c>
      <c r="I39" s="7" t="s">
        <v>28</v>
      </c>
      <c r="J39" s="7" t="s">
        <v>79</v>
      </c>
      <c r="K39" s="7" t="s">
        <v>14</v>
      </c>
      <c r="S39" s="7" t="str">
        <f ca="1">S37&amp;S38</f>
        <v xml:space="preserve">In 2013, Isetan's Non-Current Liabilities amounted to $4 million which is the lowest among all 4 years. </v>
      </c>
    </row>
    <row r="40" spans="1:19">
      <c r="A40" s="7" t="str">
        <f>"Overview of "&amp;D34</f>
        <v>Overview of Non-Current Liabilities</v>
      </c>
      <c r="B40" s="7">
        <f ca="1">INDEX(INDIRECT($A$39),$B$2,B38)</f>
        <v>3625</v>
      </c>
      <c r="C40" s="7">
        <f ca="1">INDEX(INDIRECT($A$39),$B$2,C38)</f>
        <v>4318</v>
      </c>
      <c r="D40" s="7">
        <f ca="1">INDEX(INDIRECT($A$39),$B$2,D38)</f>
        <v>5597</v>
      </c>
      <c r="E40" s="7">
        <f ca="1">INDEX(INDIRECT($A$39),$B$2,E38)</f>
        <v>7183</v>
      </c>
      <c r="F40" s="7">
        <f ca="1">MAX(B40:E40)</f>
        <v>7183</v>
      </c>
      <c r="G40" s="7">
        <f ca="1">MATCH(F40,B40:E40,0)</f>
        <v>4</v>
      </c>
      <c r="H40" s="7">
        <f ca="1">CHOOSE(G40,B39,C39,D39,E39)</f>
        <v>2016</v>
      </c>
      <c r="I40" s="7">
        <f ca="1">MIN(B40:E40)</f>
        <v>3625</v>
      </c>
      <c r="J40" s="7">
        <f ca="1">MATCH(I40,B40:E40,0)</f>
        <v>1</v>
      </c>
      <c r="K40" s="7">
        <f ca="1">CHOOSE(J40,B39,C39,D39,E39)</f>
        <v>2013</v>
      </c>
    </row>
    <row r="42" spans="1:19" s="8" customFormat="1">
      <c r="A42" s="8" t="s">
        <v>81</v>
      </c>
    </row>
    <row r="43" spans="1:19">
      <c r="A43" s="7" t="s">
        <v>53</v>
      </c>
      <c r="B43" s="7" t="s">
        <v>13</v>
      </c>
      <c r="C43" s="7" t="s">
        <v>14</v>
      </c>
    </row>
    <row r="44" spans="1:19">
      <c r="A44" s="7" t="s">
        <v>41</v>
      </c>
      <c r="B44" s="7">
        <v>1</v>
      </c>
      <c r="C44" s="7" t="str">
        <f>CHOOSE(B44,A44,A45)</f>
        <v>Dollar</v>
      </c>
    </row>
    <row r="45" spans="1:19">
      <c r="A45" s="7" t="s">
        <v>40</v>
      </c>
    </row>
    <row r="47" spans="1:19">
      <c r="A47" s="7" t="str">
        <f>C44</f>
        <v>Dollar</v>
      </c>
      <c r="B47" s="7" t="s">
        <v>51</v>
      </c>
      <c r="C47" s="7" t="s">
        <v>50</v>
      </c>
      <c r="D47" s="7" t="s">
        <v>49</v>
      </c>
      <c r="E47" s="7" t="s">
        <v>48</v>
      </c>
    </row>
    <row r="48" spans="1:19">
      <c r="A48" s="7" t="str">
        <f>A47&amp;" change in "&amp;D34</f>
        <v>Dollar change in Non-Current Liabilities</v>
      </c>
      <c r="B48" s="7">
        <f ca="1">IF($A$47="Dollar",C40-B40,IF($A$47="Percentage",((C40-B40)/B40)*100))</f>
        <v>693</v>
      </c>
      <c r="C48" s="7">
        <f ca="1">IF($A$47="Dollar",D40-C40,IF($A$47="Percentage",((D40-C40)/C40)*100))</f>
        <v>1279</v>
      </c>
      <c r="D48" s="7">
        <f ca="1">IF($A$47="Dollar",E40-D40,IF($A$47="Percentage",((E40-D40)/D40)*100))</f>
        <v>1586</v>
      </c>
      <c r="E48" s="7" t="str">
        <f>IF($A$47="Dollar","$'000",IF($A$47="Percentage","%"))</f>
        <v>$'000</v>
      </c>
    </row>
    <row r="50" spans="1:11" s="8" customFormat="1">
      <c r="A50" s="8" t="s">
        <v>80</v>
      </c>
    </row>
    <row r="51" spans="1:11">
      <c r="A51" s="7" t="s">
        <v>65</v>
      </c>
      <c r="B51" s="7" t="s">
        <v>79</v>
      </c>
      <c r="C51" s="7" t="s">
        <v>13</v>
      </c>
      <c r="I51" s="7" t="s">
        <v>66</v>
      </c>
    </row>
    <row r="52" spans="1:11">
      <c r="A52" s="7">
        <v>2013</v>
      </c>
      <c r="B52" s="7">
        <f>MATCH(C52,A52:A55,0)</f>
        <v>3</v>
      </c>
      <c r="C52" s="7">
        <v>2015</v>
      </c>
      <c r="I52" s="7" t="str">
        <f>"In "&amp;C52&amp;", "</f>
        <v xml:space="preserve">In 2015, </v>
      </c>
    </row>
    <row r="53" spans="1:11">
      <c r="A53" s="7">
        <v>2014</v>
      </c>
      <c r="I53" s="7" t="str">
        <f>$A$2&amp;" has $"&amp;TEXT(ROUND(B58,-3)/1000,"##,###")&amp;" million worth of "&amp;B57&amp;" which is "&amp;TEXT(B58/(B58+C58),"##%")&amp;" of Total Liabilities "</f>
        <v xml:space="preserve">Isetan has $56 million worth of Current Liabilities which is 91% of Total Liabilities </v>
      </c>
    </row>
    <row r="54" spans="1:11">
      <c r="A54" s="7">
        <v>2015</v>
      </c>
      <c r="I54" s="7" t="str">
        <f>"and $"&amp;TEXT(ROUND(C58,-3)/1000,"##,###")&amp;" million worth of "&amp;C57&amp;" which is "&amp;TEXT(C58/(B58+C58),"##%")&amp;" of Total Liabilities "</f>
        <v xml:space="preserve">and $6 million worth of Non-Current Liabilities which is 9% of Total Liabilities </v>
      </c>
    </row>
    <row r="55" spans="1:11">
      <c r="A55" s="7">
        <v>2016</v>
      </c>
      <c r="I55" s="7" t="str">
        <f>I53&amp;I54</f>
        <v xml:space="preserve">Isetan has $56 million worth of Current Liabilities which is 91% of Total Liabilities and $6 million worth of Non-Current Liabilities which is 9% of Total Liabilities </v>
      </c>
    </row>
    <row r="57" spans="1:11">
      <c r="A57" s="7" t="s">
        <v>52</v>
      </c>
      <c r="B57" s="7" t="s">
        <v>55</v>
      </c>
      <c r="C57" s="7" t="s">
        <v>57</v>
      </c>
    </row>
    <row r="58" spans="1:11">
      <c r="A58" s="7" t="s">
        <v>78</v>
      </c>
      <c r="B58" s="7">
        <f>INDEX(CLiabilities,$B$2,B52)</f>
        <v>56227</v>
      </c>
      <c r="C58" s="7">
        <f>INDEX(NCLiabilities,$B$2,B52)</f>
        <v>5597</v>
      </c>
    </row>
    <row r="60" spans="1:11" s="8" customFormat="1">
      <c r="A60" s="8" t="s">
        <v>77</v>
      </c>
    </row>
    <row r="61" spans="1:11">
      <c r="A61" s="7" t="s">
        <v>76</v>
      </c>
      <c r="B61" s="7" t="s">
        <v>75</v>
      </c>
      <c r="I61" s="7" t="s">
        <v>66</v>
      </c>
    </row>
    <row r="62" spans="1:11">
      <c r="A62" s="7" t="s">
        <v>8</v>
      </c>
      <c r="B62" s="7">
        <v>1</v>
      </c>
      <c r="I62" s="7" t="str">
        <f>"From "&amp;B71&amp;" to "&amp;E71&amp;", "&amp;A72&amp;"'s "&amp;D66</f>
        <v>From 2013 to 2016, Isetan's Non-Current Assets</v>
      </c>
    </row>
    <row r="63" spans="1:11">
      <c r="A63" s="7" t="s">
        <v>9</v>
      </c>
      <c r="B63" s="7">
        <v>2</v>
      </c>
      <c r="I63" s="7" t="str">
        <f>" remained the same "</f>
        <v xml:space="preserve"> remained the same </v>
      </c>
      <c r="J63" s="7" t="str">
        <f ca="1">" increased by $"&amp;TEXT(ROUND((E72-B72),-3)/1000,"##,##0")&amp;" million "&amp; TEXT((E72-B72)/B72,"(#0.00%)")</f>
        <v xml:space="preserve"> increased by $-9 million -(6.51%)</v>
      </c>
      <c r="K63" s="7" t="str">
        <f ca="1">" decreased by $"&amp;TEXT(ROUND((B72-E72),-3)/1000,"##,##0")&amp;" million "&amp; TEXT((B72-E72)/B72,"(#0.00%)")</f>
        <v xml:space="preserve"> decreased by $9 million (6.51%)</v>
      </c>
    </row>
    <row r="64" spans="1:11">
      <c r="I64" s="7" t="str">
        <f ca="1">" from $"&amp;TEXT(ROUND((B72),-3)/1000,"##,##0")&amp;" million"&amp;" to $"&amp;TEXT(ROUND((E72),-3)/1000,"##,##0")&amp;" million while "&amp;A73&amp;"'s "&amp;D66</f>
        <v xml:space="preserve"> from $145 million to $136 million while Metro's Non-Current Assets</v>
      </c>
    </row>
    <row r="65" spans="1:11">
      <c r="A65" s="7" t="s">
        <v>63</v>
      </c>
      <c r="B65" s="7" t="s">
        <v>62</v>
      </c>
      <c r="C65" s="7" t="s">
        <v>13</v>
      </c>
      <c r="D65" s="7" t="s">
        <v>14</v>
      </c>
      <c r="E65" s="7" t="s">
        <v>61</v>
      </c>
      <c r="I65" s="7" t="str">
        <f>" remained the same "</f>
        <v xml:space="preserve"> remained the same </v>
      </c>
      <c r="J65" s="7" t="str">
        <f ca="1">" increased by $"&amp;TEXT(ROUND((E73-B73),-3)/1000,"##,##0")&amp;" million "&amp;TEXT((E73-B73)/B73,"(#0.00%)")</f>
        <v xml:space="preserve"> increased by $182 million (23.01%)</v>
      </c>
      <c r="K65" s="7" t="str">
        <f ca="1">" decreased by $"&amp;TEXT(ROUND((B73-E73),-3)/1000,"##,##0")&amp;" million "&amp;TEXT((B73-E73)/B73,"(#0.00%)")</f>
        <v xml:space="preserve"> decreased by $-182 million -(23.01%)</v>
      </c>
    </row>
    <row r="66" spans="1:11">
      <c r="A66" s="7" t="s">
        <v>73</v>
      </c>
      <c r="B66" s="7" t="s">
        <v>72</v>
      </c>
      <c r="C66" s="7">
        <v>2</v>
      </c>
      <c r="D66" s="7" t="str">
        <f>CHOOSE($C$66,A66,A67,A68)</f>
        <v>Non-Current Assets</v>
      </c>
      <c r="E66" s="7" t="str">
        <f>CHOOSE($C$66,B66,B67,B68)</f>
        <v>NCAssets</v>
      </c>
      <c r="I66" s="7" t="str">
        <f ca="1">" from $"&amp;TEXT(ROUND((B73),-3)/1000,"##,##0")&amp;" million to $"&amp;TEXT(ROUND((E73),-3)/1000,"##,##0")&amp;" million"</f>
        <v xml:space="preserve"> from $793 million to $975 million</v>
      </c>
    </row>
    <row r="67" spans="1:11">
      <c r="A67" s="7" t="s">
        <v>71</v>
      </c>
      <c r="B67" s="7" t="s">
        <v>70</v>
      </c>
      <c r="I67" s="7" t="str">
        <f ca="1">I62&amp;IF(B72=E72,I63,IF(E72&gt;B72,J63,K63))&amp;I64&amp;IF(E73=B73,I65,IF(E73&gt;B73,J65,K65))&amp;I66</f>
        <v>From 2013 to 2016, Isetan's Non-Current Assets decreased by $9 million (6.51%) from $145 million to $136 million while Metro's Non-Current Assets increased by $182 million (23.01%) from $793 million to $975 million</v>
      </c>
    </row>
    <row r="68" spans="1:11">
      <c r="A68" s="7" t="s">
        <v>69</v>
      </c>
      <c r="B68" s="7" t="s">
        <v>68</v>
      </c>
    </row>
    <row r="70" spans="1:11">
      <c r="B70" s="7">
        <v>1</v>
      </c>
      <c r="C70" s="7">
        <v>2</v>
      </c>
      <c r="D70" s="7">
        <v>3</v>
      </c>
      <c r="E70" s="7">
        <v>4</v>
      </c>
    </row>
    <row r="71" spans="1:11">
      <c r="A71" s="7" t="str">
        <f>E66</f>
        <v>NCAssets</v>
      </c>
      <c r="B71" s="7">
        <v>2013</v>
      </c>
      <c r="C71" s="7">
        <v>2014</v>
      </c>
      <c r="D71" s="7">
        <v>2015</v>
      </c>
      <c r="E71" s="7">
        <v>2016</v>
      </c>
    </row>
    <row r="72" spans="1:11">
      <c r="A72" s="7" t="s">
        <v>8</v>
      </c>
      <c r="B72" s="47">
        <f ca="1">INDEX(INDIRECT($A$71),$B62,B$70)</f>
        <v>145270</v>
      </c>
      <c r="C72" s="47">
        <f t="shared" ref="C72:E72" ca="1" si="0">INDEX(INDIRECT($A$71),$B62,C$70)</f>
        <v>130672</v>
      </c>
      <c r="D72" s="47">
        <f t="shared" ca="1" si="0"/>
        <v>146010</v>
      </c>
      <c r="E72" s="47">
        <f t="shared" ca="1" si="0"/>
        <v>135817</v>
      </c>
    </row>
    <row r="73" spans="1:11">
      <c r="A73" s="7" t="s">
        <v>9</v>
      </c>
      <c r="B73" s="47">
        <f ca="1">INDEX(INDIRECT($A$71),$B63,B$70)</f>
        <v>792798</v>
      </c>
      <c r="C73" s="47">
        <f t="shared" ref="C73:E73" ca="1" si="1">INDEX(INDIRECT($A$71),$B63,C$70)</f>
        <v>1001774</v>
      </c>
      <c r="D73" s="47">
        <f t="shared" ca="1" si="1"/>
        <v>1085374</v>
      </c>
      <c r="E73" s="47">
        <f t="shared" ca="1" si="1"/>
        <v>975226</v>
      </c>
    </row>
    <row r="75" spans="1:11">
      <c r="A75" s="7" t="s">
        <v>52</v>
      </c>
      <c r="B75" s="7" t="str">
        <f>D66&amp;" Comparison"</f>
        <v>Non-Current Assets Comparison</v>
      </c>
    </row>
    <row r="79" spans="1:11" s="8" customFormat="1">
      <c r="A79" s="8" t="s">
        <v>74</v>
      </c>
    </row>
    <row r="80" spans="1:11">
      <c r="I80" s="7" t="s">
        <v>60</v>
      </c>
    </row>
    <row r="81" spans="1:11">
      <c r="I81" s="7" t="str">
        <f>"From "&amp;B94</f>
        <v>From 2013 to 2014</v>
      </c>
      <c r="J81" s="7" t="str">
        <f>"From "&amp;C94</f>
        <v>From 2014 to 2015</v>
      </c>
      <c r="K81" s="7" t="str">
        <f>"From "&amp;D94</f>
        <v>From 2015 to 2016</v>
      </c>
    </row>
    <row r="82" spans="1:11">
      <c r="I82" s="7" t="str">
        <f>", "&amp;A95&amp;"'s "&amp;D66</f>
        <v>, Isetan's Non-Current Assets</v>
      </c>
    </row>
    <row r="83" spans="1:11">
      <c r="I83" s="7" t="str">
        <f>" remained the same while "</f>
        <v xml:space="preserve"> remained the same while </v>
      </c>
    </row>
    <row r="84" spans="1:11">
      <c r="I84" s="7" t="str">
        <f ca="1">" increased by $"&amp;TEXT(ROUND((C86-B86),-3)/1000,"##,###")</f>
        <v xml:space="preserve"> increased by $-15</v>
      </c>
      <c r="J84" s="7" t="str">
        <f ca="1">" increased by $"&amp;TEXT(ROUND((D86-C86),-3)/1000,"##,###")</f>
        <v xml:space="preserve"> increased by $15</v>
      </c>
      <c r="K84" s="7" t="str">
        <f ca="1">" increased by $"&amp;TEXT(ROUND((E86-D86),-3)/1000,"##,###")</f>
        <v xml:space="preserve"> increased by $-10</v>
      </c>
    </row>
    <row r="85" spans="1:11">
      <c r="A85" s="7" t="str">
        <f>E66</f>
        <v>NCAssets</v>
      </c>
      <c r="B85" s="7">
        <v>1</v>
      </c>
      <c r="C85" s="7">
        <v>2</v>
      </c>
      <c r="D85" s="7">
        <v>3</v>
      </c>
      <c r="E85" s="7">
        <v>4</v>
      </c>
      <c r="I85" s="7" t="str">
        <f ca="1">" decreased by $"&amp;TEXT(ROUND(B86-C86,-3)/1000,"##,###")</f>
        <v xml:space="preserve"> decreased by $15</v>
      </c>
      <c r="J85" s="7" t="str">
        <f ca="1">" decreased by $"&amp;TEXT(ROUND(C86-D86,-3)/1000,"##,###")</f>
        <v xml:space="preserve"> decreased by $-15</v>
      </c>
      <c r="K85" s="7" t="str">
        <f ca="1">" decreased by $"&amp;TEXT(ROUND(D86-E86,-3)/1000,"##,###")</f>
        <v xml:space="preserve"> decreased by $10</v>
      </c>
    </row>
    <row r="86" spans="1:11">
      <c r="A86" s="7" t="s">
        <v>8</v>
      </c>
      <c r="B86" s="7">
        <f t="shared" ref="B86:E87" ca="1" si="2">INDEX(INDIRECT($A$85),$B62,B$85)</f>
        <v>145270</v>
      </c>
      <c r="C86" s="7">
        <f t="shared" ca="1" si="2"/>
        <v>130672</v>
      </c>
      <c r="D86" s="7">
        <f t="shared" ca="1" si="2"/>
        <v>146010</v>
      </c>
      <c r="E86" s="7">
        <f t="shared" ca="1" si="2"/>
        <v>135817</v>
      </c>
      <c r="I86" s="7" t="str">
        <f ca="1">" million which is a "&amp;TEXT((C86-B86)/B86,"##0.##%")&amp;" increase while "</f>
        <v xml:space="preserve"> million which is a -10.05% increase while </v>
      </c>
      <c r="J86" s="7" t="str">
        <f ca="1">" million which is a "&amp;TEXT((D86-C86)/C86,"##0.##%")&amp;" increase while "</f>
        <v xml:space="preserve"> million which is a 11.74% increase while </v>
      </c>
      <c r="K86" s="7" t="str">
        <f ca="1">" million which is a "&amp;TEXT((E86-D86)/D86,"##0.##%")&amp;" increase while "</f>
        <v xml:space="preserve"> million which is a -6.98% increase while </v>
      </c>
    </row>
    <row r="87" spans="1:11">
      <c r="A87" s="7" t="s">
        <v>9</v>
      </c>
      <c r="B87" s="7">
        <f t="shared" ca="1" si="2"/>
        <v>792798</v>
      </c>
      <c r="C87" s="7">
        <f t="shared" ca="1" si="2"/>
        <v>1001774</v>
      </c>
      <c r="D87" s="7">
        <f t="shared" ca="1" si="2"/>
        <v>1085374</v>
      </c>
      <c r="E87" s="7">
        <f t="shared" ca="1" si="2"/>
        <v>975226</v>
      </c>
      <c r="I87" s="7" t="str">
        <f ca="1">" million which is a "&amp;TEXT((B86-C86)/B86,"##0.##%")&amp;" decrease while "</f>
        <v xml:space="preserve"> million which is a 10.05% decrease while </v>
      </c>
      <c r="J87" s="7" t="str">
        <f ca="1">" million which is a "&amp;TEXT((C86-D86)/C86,"##0.##%")&amp;" decrease while "</f>
        <v xml:space="preserve"> million which is a -11.74% decrease while </v>
      </c>
      <c r="K87" s="7" t="str">
        <f ca="1">" million which is a "&amp;TEXT((D86-E86)/D86,"##0.##%")&amp;" decrease while "</f>
        <v xml:space="preserve"> million which is a 6.98% decrease while </v>
      </c>
    </row>
    <row r="88" spans="1:11">
      <c r="I88" s="7" t="str">
        <f>A96&amp;"'s "&amp;D66</f>
        <v>Metro's Non-Current Assets</v>
      </c>
    </row>
    <row r="89" spans="1:11">
      <c r="A89" s="7" t="s">
        <v>53</v>
      </c>
      <c r="B89" s="7" t="s">
        <v>13</v>
      </c>
      <c r="C89" s="7" t="s">
        <v>14</v>
      </c>
      <c r="I89" s="7" t="str">
        <f ca="1">" increased by $"&amp;TEXT(ROUND((C87-B87),-3)/1000,"##,###")</f>
        <v xml:space="preserve"> increased by $209</v>
      </c>
      <c r="J89" s="7" t="str">
        <f ca="1">" increased by $"&amp;TEXT(ROUND((D87-C87),-3)/1000,"##,###")</f>
        <v xml:space="preserve"> increased by $84</v>
      </c>
      <c r="K89" s="7" t="str">
        <f ca="1">" increased by $"&amp;TEXT(ROUND((E87-D87),-3)/1000,"##,###")</f>
        <v xml:space="preserve"> increased by $-110</v>
      </c>
    </row>
    <row r="90" spans="1:11">
      <c r="A90" s="7" t="s">
        <v>41</v>
      </c>
      <c r="B90" s="7">
        <v>1</v>
      </c>
      <c r="C90" s="7" t="str">
        <f>CHOOSE(B90,A90,A91)</f>
        <v>Dollar</v>
      </c>
      <c r="I90" s="7" t="str">
        <f ca="1">" decreased by $"&amp;TEXT(ROUND((B87-C87),-3)/1000,"##,###")</f>
        <v xml:space="preserve"> decreased by $-209</v>
      </c>
      <c r="J90" s="7" t="str">
        <f ca="1">" decreased by $"&amp;TEXT(ROUND((C87-D87),-3)/1000,"##,###")</f>
        <v xml:space="preserve"> decreased by $-84</v>
      </c>
      <c r="K90" s="7" t="str">
        <f ca="1">" decreased by $"&amp;TEXT(ROUND((D87-E87),-3)/1000,"##,###")</f>
        <v xml:space="preserve"> decreased by $110</v>
      </c>
    </row>
    <row r="91" spans="1:11">
      <c r="A91" s="7" t="s">
        <v>40</v>
      </c>
      <c r="I91" s="7" t="str">
        <f ca="1">" million which is a "&amp;TEXT((C87-B87)/B87,"##0.##%")&amp;" increase. "</f>
        <v xml:space="preserve"> million which is a 26.36% increase. </v>
      </c>
      <c r="J91" s="7" t="str">
        <f ca="1">" million which is a "&amp;TEXT((D87-C87)/C87,"##0.##%")&amp;" increase. "</f>
        <v xml:space="preserve"> million which is a 8.35% increase. </v>
      </c>
      <c r="K91" s="7" t="str">
        <f ca="1">" million which is a "&amp;TEXT((E87-D87)/D87,"##0.##%")&amp;" increase. "</f>
        <v xml:space="preserve"> million which is a -10.15% increase. </v>
      </c>
    </row>
    <row r="92" spans="1:11">
      <c r="I92" s="7" t="str">
        <f ca="1">" million which is a "&amp;TEXT((B87-C87)/B87,"##0.##%")&amp;" decrease. "</f>
        <v xml:space="preserve"> million which is a -26.36% decrease. </v>
      </c>
      <c r="J92" s="7" t="str">
        <f ca="1">" million which is a "&amp;TEXT((C87-D87)/C87,"##0.##%")&amp;" decrease. "</f>
        <v xml:space="preserve"> million which is a -8.35% decrease. </v>
      </c>
      <c r="K92" s="7" t="str">
        <f ca="1">" million which is a "&amp;TEXT((D87-E87)/D87,"##0.##%")&amp;" decrease. "</f>
        <v xml:space="preserve"> million which is a 10.15% decrease. </v>
      </c>
    </row>
    <row r="93" spans="1:11">
      <c r="A93" s="7" t="s">
        <v>52</v>
      </c>
      <c r="B93" s="7" t="str">
        <f>A94&amp;" change in "&amp;D66</f>
        <v>Dollar change in Non-Current Assets</v>
      </c>
      <c r="I93" s="7" t="str">
        <f>" remained the same. "</f>
        <v xml:space="preserve"> remained the same. </v>
      </c>
    </row>
    <row r="94" spans="1:11">
      <c r="A94" s="7" t="str">
        <f>C90</f>
        <v>Dollar</v>
      </c>
      <c r="B94" s="7" t="s">
        <v>51</v>
      </c>
      <c r="C94" s="7" t="s">
        <v>50</v>
      </c>
      <c r="D94" s="7" t="s">
        <v>49</v>
      </c>
      <c r="E94" s="7" t="s">
        <v>48</v>
      </c>
      <c r="I94" s="7" t="str">
        <f>"Changes in "&amp;D66&amp;" for each year are as follows: "</f>
        <v xml:space="preserve">Changes in Non-Current Assets for each year are as follows: </v>
      </c>
    </row>
    <row r="95" spans="1:11">
      <c r="A95" s="7" t="s">
        <v>8</v>
      </c>
      <c r="B95" s="7">
        <f t="shared" ref="B95:D96" ca="1" si="3">IF($A$94="Dollar",C86-B86,IF($A$94="Percentage",((C86-B86)/B86)*100))</f>
        <v>-14598</v>
      </c>
      <c r="C95" s="7">
        <f t="shared" ca="1" si="3"/>
        <v>15338</v>
      </c>
      <c r="D95" s="7">
        <f t="shared" ca="1" si="3"/>
        <v>-10193</v>
      </c>
      <c r="E95" s="7" t="str">
        <f>IF(A94="Dollar","$'000",IF(A94="Percentage","%"))</f>
        <v>$'000</v>
      </c>
      <c r="I95" s="7" t="str">
        <f ca="1">I81&amp;$I$82&amp;IF(B86=C86,I83,IF(C86&gt;B86,I84&amp;I86,I85&amp;I87))&amp;$I$88&amp;IF(B87=C87,I93,IF(C87&gt;B87,I89&amp;I91,I90&amp;I92))</f>
        <v xml:space="preserve">From 2013 to 2014, Isetan's Non-Current Assets decreased by $15 million which is a 10.05% decrease while Metro's Non-Current Assets increased by $209 million which is a 26.36% increase. </v>
      </c>
      <c r="J95" s="7" t="str">
        <f ca="1">J81&amp;$I$82&amp;IF(C86=D86,J83,IF(D86&gt;C86,J84&amp;J86,J85&amp;J87))&amp;$I$88&amp;IF(C87=D87,J93,IF(D87&gt;C87,J89&amp;J91,J90&amp;J92))</f>
        <v xml:space="preserve">From 2014 to 2015, Isetan's Non-Current Assets increased by $15 million which is a 11.74% increase while Metro's Non-Current Assets increased by $84 million which is a 8.35% increase. </v>
      </c>
      <c r="K95" s="7" t="str">
        <f ca="1">K81&amp;$I$82&amp;IF(D86=E86,K83,IF(E86&gt;D86,K84&amp;K86,K85&amp;K87))&amp;$I$88&amp;IF(D87=E87,K93,IF(E87&gt;D87,K89&amp;K91,K90&amp;K92))</f>
        <v xml:space="preserve">From 2015 to 2016, Isetan's Non-Current Assets decreased by $10 million which is a 6.98% decrease while Metro's Non-Current Assets decreased by $110 million which is a 10.15% decrease. </v>
      </c>
    </row>
    <row r="96" spans="1:11">
      <c r="A96" s="7" t="s">
        <v>9</v>
      </c>
      <c r="B96" s="7">
        <f t="shared" ca="1" si="3"/>
        <v>208976</v>
      </c>
      <c r="C96" s="7">
        <f t="shared" ca="1" si="3"/>
        <v>83600</v>
      </c>
      <c r="D96" s="7">
        <f t="shared" ca="1" si="3"/>
        <v>-110148</v>
      </c>
    </row>
    <row r="98" spans="1:11" s="8" customFormat="1">
      <c r="A98" s="8" t="s">
        <v>67</v>
      </c>
    </row>
    <row r="99" spans="1:11">
      <c r="A99" s="9" t="s">
        <v>63</v>
      </c>
      <c r="B99" s="7" t="s">
        <v>62</v>
      </c>
      <c r="C99" s="7" t="s">
        <v>13</v>
      </c>
      <c r="D99" s="7" t="s">
        <v>14</v>
      </c>
      <c r="E99" s="7" t="s">
        <v>61</v>
      </c>
      <c r="I99" s="7" t="s">
        <v>66</v>
      </c>
    </row>
    <row r="100" spans="1:11">
      <c r="A100" s="9" t="s">
        <v>59</v>
      </c>
      <c r="B100" s="7" t="s">
        <v>58</v>
      </c>
      <c r="C100" s="7">
        <v>1</v>
      </c>
      <c r="D100" s="7" t="str">
        <f>CHOOSE(C100,A100,A101,A102)</f>
        <v>Total Liabilities</v>
      </c>
      <c r="E100" s="7" t="str">
        <f>CHOOSE(C100,B100,B101,B102)</f>
        <v>TotalLiabilities</v>
      </c>
      <c r="I100" s="7" t="str">
        <f>"From "&amp;B105&amp;" to "&amp;E105&amp;", "&amp;A106&amp;"'s "&amp;D100</f>
        <v>From 2013 to 2016, Isetan's Total Liabilities</v>
      </c>
    </row>
    <row r="101" spans="1:11">
      <c r="A101" s="9" t="s">
        <v>57</v>
      </c>
      <c r="B101" s="7" t="s">
        <v>56</v>
      </c>
      <c r="I101" s="7" t="str">
        <f>" remained the same "</f>
        <v xml:space="preserve"> remained the same </v>
      </c>
      <c r="J101" s="7" t="str">
        <f ca="1">" increased by $"&amp;TEXT(ROUND((E106-B106),-3)/1000,"##,##0")&amp;" million "&amp; TEXT((E106-B106)/B106,"(#0.00%)")</f>
        <v xml:space="preserve"> increased by $-18 million -(24.41%)</v>
      </c>
      <c r="K101" s="7" t="str">
        <f ca="1">" decreased by $"&amp;TEXT(ROUND((B106-E106),-3)/1000,"##,##0")&amp;" million "&amp; TEXT((B106-E106)/B106,"(#0.00%)")</f>
        <v xml:space="preserve"> decreased by $18 million (24.41%)</v>
      </c>
    </row>
    <row r="102" spans="1:11">
      <c r="A102" s="9" t="s">
        <v>55</v>
      </c>
      <c r="B102" s="7" t="s">
        <v>54</v>
      </c>
      <c r="I102" s="7" t="str">
        <f ca="1">" from $"&amp;TEXT(ROUND((B106),-3)/1000,"##,##0")&amp;" million"&amp;" to $"&amp;TEXT(ROUND((E106),-3)/1000,"##,##0")&amp;" million while "&amp;A107&amp;"'s "&amp;D100</f>
        <v xml:space="preserve"> from $72 million to $54 million while Metro's Total Liabilities</v>
      </c>
    </row>
    <row r="103" spans="1:11">
      <c r="I103" s="7" t="str">
        <f>" remained the same "</f>
        <v xml:space="preserve"> remained the same </v>
      </c>
      <c r="J103" s="7" t="str">
        <f ca="1">" increased by $"&amp;TEXT(ROUND((E107-B107),-3)/1000,"##,##0")&amp;" million "&amp;TEXT((E107-B107)/B107,"(#0.00%)")</f>
        <v xml:space="preserve"> increased by $-166 million -(51.81%)</v>
      </c>
      <c r="K103" s="7" t="str">
        <f ca="1">" decreased by $"&amp;TEXT(ROUND((B107-E107),-3)/1000,"##,##0")&amp;" million "&amp;TEXT((B107-E107)/B107,"(#0.00%)")</f>
        <v xml:space="preserve"> decreased by $166 million (51.81%)</v>
      </c>
    </row>
    <row r="104" spans="1:11">
      <c r="B104" s="7">
        <v>1</v>
      </c>
      <c r="C104" s="7">
        <v>2</v>
      </c>
      <c r="D104" s="7">
        <v>3</v>
      </c>
      <c r="E104" s="7">
        <v>4</v>
      </c>
      <c r="I104" s="7" t="str">
        <f ca="1">" from $"&amp;TEXT(ROUND((B107),-3)/1000,"##,##0")&amp;" million to $"&amp;TEXT(ROUND((E107),-3)/1000,"##,##0")&amp;" million"</f>
        <v xml:space="preserve"> from $320 million to $154 million</v>
      </c>
    </row>
    <row r="105" spans="1:11">
      <c r="A105" s="7" t="str">
        <f>E100</f>
        <v>TotalLiabilities</v>
      </c>
      <c r="B105" s="7">
        <v>2013</v>
      </c>
      <c r="C105" s="7">
        <v>2014</v>
      </c>
      <c r="D105" s="7">
        <v>2015</v>
      </c>
      <c r="E105" s="7">
        <v>2016</v>
      </c>
      <c r="I105" s="7" t="str">
        <f ca="1">I100&amp;IF(B106=E106,I101,IF(E106&gt;B106,J101,K101))&amp;I102&amp;IF(E107=B107,I103,IF(E107&gt;B107,J103,K103))&amp;I104</f>
        <v>From 2013 to 2016, Isetan's Total Liabilities decreased by $18 million (24.41%) from $72 million to $54 million while Metro's Total Liabilities decreased by $166 million (51.81%) from $320 million to $154 million</v>
      </c>
    </row>
    <row r="106" spans="1:11">
      <c r="A106" s="7" t="s">
        <v>8</v>
      </c>
      <c r="B106" s="47">
        <f ca="1">INDEX(INDIRECT($A$105),$B62,B$104)</f>
        <v>71926</v>
      </c>
      <c r="C106" s="47">
        <f t="shared" ref="C106:E106" ca="1" si="4">INDEX(INDIRECT($A$105),$B62,C$104)</f>
        <v>60594</v>
      </c>
      <c r="D106" s="47">
        <f t="shared" ca="1" si="4"/>
        <v>61824</v>
      </c>
      <c r="E106" s="47">
        <f t="shared" ca="1" si="4"/>
        <v>54369</v>
      </c>
    </row>
    <row r="107" spans="1:11">
      <c r="A107" s="7" t="s">
        <v>9</v>
      </c>
      <c r="B107" s="47">
        <f ca="1">INDEX(INDIRECT($A$105),$B63,B$104)</f>
        <v>319665</v>
      </c>
      <c r="C107" s="47">
        <f t="shared" ref="C107:E107" ca="1" si="5">INDEX(INDIRECT($A$105),$B63,C$104)</f>
        <v>398445</v>
      </c>
      <c r="D107" s="47">
        <f t="shared" ca="1" si="5"/>
        <v>264206</v>
      </c>
      <c r="E107" s="47">
        <f t="shared" ca="1" si="5"/>
        <v>154035</v>
      </c>
    </row>
    <row r="109" spans="1:11">
      <c r="A109" s="7" t="s">
        <v>52</v>
      </c>
      <c r="B109" s="7" t="str">
        <f>D100&amp;" Comparison"</f>
        <v>Total Liabilities Comparison</v>
      </c>
    </row>
    <row r="113" spans="1:11" s="8" customFormat="1">
      <c r="A113" s="8" t="s">
        <v>64</v>
      </c>
    </row>
    <row r="114" spans="1:11">
      <c r="A114" s="9"/>
      <c r="I114" s="7" t="s">
        <v>60</v>
      </c>
    </row>
    <row r="115" spans="1:11">
      <c r="A115" s="9"/>
      <c r="I115" s="7" t="str">
        <f>"From "&amp;B128</f>
        <v>From 2013 to 2014</v>
      </c>
      <c r="J115" s="7" t="str">
        <f>"From "&amp;C128</f>
        <v>From 2014 to 2015</v>
      </c>
      <c r="K115" s="7" t="str">
        <f>"From "&amp;D128</f>
        <v>From 2015 to 2016</v>
      </c>
    </row>
    <row r="116" spans="1:11">
      <c r="A116" s="9"/>
      <c r="I116" s="7" t="str">
        <f>", "&amp;A129&amp;"'s "&amp;D100</f>
        <v>, Isetan's Total Liabilities</v>
      </c>
    </row>
    <row r="117" spans="1:11">
      <c r="A117" s="9"/>
      <c r="I117" s="7" t="str">
        <f>" remained the same while "</f>
        <v xml:space="preserve"> remained the same while </v>
      </c>
    </row>
    <row r="118" spans="1:11">
      <c r="I118" s="7" t="str">
        <f ca="1">" increased by $"&amp;TEXT(ROUND((C120-B120),-3)/1000,"##,###")</f>
        <v xml:space="preserve"> increased by $-11</v>
      </c>
      <c r="J118" s="7" t="str">
        <f ca="1">" increased by $"&amp;TEXT(ROUND((D120-C120),-3)/1000,"##,###")</f>
        <v xml:space="preserve"> increased by $1</v>
      </c>
      <c r="K118" s="7" t="str">
        <f ca="1">" increased by $"&amp;TEXT(ROUND((E120-D120),-3)/1000,"##,###")</f>
        <v xml:space="preserve"> increased by $-7</v>
      </c>
    </row>
    <row r="119" spans="1:11">
      <c r="A119" s="7" t="str">
        <f>E100</f>
        <v>TotalLiabilities</v>
      </c>
      <c r="B119" s="7">
        <v>1</v>
      </c>
      <c r="C119" s="7">
        <v>2</v>
      </c>
      <c r="D119" s="7">
        <v>3</v>
      </c>
      <c r="E119" s="7">
        <v>4</v>
      </c>
      <c r="I119" s="7" t="str">
        <f ca="1">" decreased by $"&amp;TEXT(ROUND(B120-C120,-3)/1000,"##,###")</f>
        <v xml:space="preserve"> decreased by $11</v>
      </c>
      <c r="J119" s="7" t="str">
        <f ca="1">" decreased by $"&amp;TEXT(ROUND(C120-D120,-3)/1000,"##,###")</f>
        <v xml:space="preserve"> decreased by $-1</v>
      </c>
      <c r="K119" s="7" t="str">
        <f ca="1">" decreased by $"&amp;TEXT(ROUND(D120-E120,-3)/1000,"##,###")</f>
        <v xml:space="preserve"> decreased by $7</v>
      </c>
    </row>
    <row r="120" spans="1:11">
      <c r="A120" s="7" t="s">
        <v>8</v>
      </c>
      <c r="B120" s="7">
        <f t="shared" ref="B120:E121" ca="1" si="6">INDEX(INDIRECT($A$119),$B62,B$119)</f>
        <v>71926</v>
      </c>
      <c r="C120" s="7">
        <f t="shared" ca="1" si="6"/>
        <v>60594</v>
      </c>
      <c r="D120" s="7">
        <f t="shared" ca="1" si="6"/>
        <v>61824</v>
      </c>
      <c r="E120" s="7">
        <f t="shared" ca="1" si="6"/>
        <v>54369</v>
      </c>
      <c r="I120" s="7" t="str">
        <f ca="1">" million which is a "&amp;TEXT((C120-B120)/B120,"##0.##%")&amp;" increase while "</f>
        <v xml:space="preserve"> million which is a -15.76% increase while </v>
      </c>
      <c r="J120" s="7" t="str">
        <f ca="1">" million which is a "&amp;TEXT((D120-C120)/C120,"##0.##%")&amp;" increase while "</f>
        <v xml:space="preserve"> million which is a 2.03% increase while </v>
      </c>
      <c r="K120" s="7" t="str">
        <f ca="1">" million which is a "&amp;TEXT((E120-D120)/D120,"##0.##%")&amp;" increase while "</f>
        <v xml:space="preserve"> million which is a -12.06% increase while </v>
      </c>
    </row>
    <row r="121" spans="1:11">
      <c r="A121" s="7" t="s">
        <v>9</v>
      </c>
      <c r="B121" s="7">
        <f t="shared" ca="1" si="6"/>
        <v>319665</v>
      </c>
      <c r="C121" s="7">
        <f t="shared" ca="1" si="6"/>
        <v>398445</v>
      </c>
      <c r="D121" s="7">
        <f t="shared" ca="1" si="6"/>
        <v>264206</v>
      </c>
      <c r="E121" s="7">
        <f t="shared" ca="1" si="6"/>
        <v>154035</v>
      </c>
      <c r="I121" s="7" t="str">
        <f ca="1">" million which is a "&amp;TEXT((B120-C120)/B120,"##0.##%")&amp;" decrease while "</f>
        <v xml:space="preserve"> million which is a 15.76% decrease while </v>
      </c>
      <c r="J121" s="7" t="str">
        <f ca="1">" million which is a "&amp;TEXT((C120-D120)/C120,"##0.##%")&amp;" decrease while "</f>
        <v xml:space="preserve"> million which is a -2.03% decrease while </v>
      </c>
      <c r="K121" s="7" t="str">
        <f ca="1">" million which is a "&amp;TEXT((D120-E120)/D120,"##0.##%")&amp;" decrease while "</f>
        <v xml:space="preserve"> million which is a 12.06% decrease while </v>
      </c>
    </row>
    <row r="122" spans="1:11">
      <c r="I122" s="7" t="str">
        <f>A130&amp;"'s "&amp;D100</f>
        <v>Metro's Total Liabilities</v>
      </c>
    </row>
    <row r="123" spans="1:11">
      <c r="A123" s="7" t="s">
        <v>53</v>
      </c>
      <c r="B123" s="7" t="s">
        <v>13</v>
      </c>
      <c r="C123" s="7" t="s">
        <v>14</v>
      </c>
      <c r="I123" s="7" t="str">
        <f ca="1">" increased by $"&amp;TEXT(ROUND((C121-B121),-3)/1000,"##,###")</f>
        <v xml:space="preserve"> increased by $79</v>
      </c>
      <c r="J123" s="7" t="str">
        <f ca="1">" increased by $"&amp;TEXT(ROUND((D121-C121),-3)/1000,"##,###")</f>
        <v xml:space="preserve"> increased by $-134</v>
      </c>
      <c r="K123" s="7" t="str">
        <f ca="1">" increased by $"&amp;TEXT(ROUND((E121-D121),-3)/1000,"##,###")</f>
        <v xml:space="preserve"> increased by $-110</v>
      </c>
    </row>
    <row r="124" spans="1:11">
      <c r="A124" s="7" t="s">
        <v>41</v>
      </c>
      <c r="B124" s="7">
        <v>1</v>
      </c>
      <c r="C124" s="7" t="str">
        <f>CHOOSE(B124,A124,A125)</f>
        <v>Dollar</v>
      </c>
      <c r="I124" s="7" t="str">
        <f ca="1">" decreased by $"&amp;TEXT(ROUND((B121-C121),-3)/1000,"##,###")</f>
        <v xml:space="preserve"> decreased by $-79</v>
      </c>
      <c r="J124" s="7" t="str">
        <f ca="1">" decreased by $"&amp;TEXT(ROUND((C121-D121),-3)/1000,"##,###")</f>
        <v xml:space="preserve"> decreased by $134</v>
      </c>
      <c r="K124" s="7" t="str">
        <f ca="1">" decreased by $"&amp;TEXT(ROUND((D121-E121),-3)/1000,"##,###")</f>
        <v xml:space="preserve"> decreased by $110</v>
      </c>
    </row>
    <row r="125" spans="1:11">
      <c r="A125" s="7" t="s">
        <v>40</v>
      </c>
      <c r="I125" s="7" t="str">
        <f ca="1">" million which is a "&amp;TEXT((C121-B121)/B121,"##0.##%")&amp;" increase. "</f>
        <v xml:space="preserve"> million which is a 24.64% increase. </v>
      </c>
      <c r="J125" s="7" t="str">
        <f ca="1">" million which is a "&amp;TEXT((D121-C121)/C121,"##0.##%")&amp;" increase. "</f>
        <v xml:space="preserve"> million which is a -33.69% increase. </v>
      </c>
      <c r="K125" s="7" t="str">
        <f ca="1">" million which is a "&amp;TEXT((E121-D121)/D121,"##0.##%")&amp;" increase. "</f>
        <v xml:space="preserve"> million which is a -41.7% increase. </v>
      </c>
    </row>
    <row r="126" spans="1:11">
      <c r="I126" s="7" t="str">
        <f ca="1">" million which is a "&amp;TEXT((B121-C121)/B121,"##0.##%")&amp;" decrease. "</f>
        <v xml:space="preserve"> million which is a -24.64% decrease. </v>
      </c>
      <c r="J126" s="7" t="str">
        <f ca="1">" million which is a "&amp;TEXT((C121-D121)/C121,"##0.##%")&amp;" decrease. "</f>
        <v xml:space="preserve"> million which is a 33.69% decrease. </v>
      </c>
      <c r="K126" s="7" t="str">
        <f ca="1">" million which is a "&amp;TEXT((D121-E121)/D121,"##0.##%")&amp;" decrease. "</f>
        <v xml:space="preserve"> million which is a 41.7% decrease. </v>
      </c>
    </row>
    <row r="127" spans="1:11">
      <c r="A127" s="7" t="s">
        <v>52</v>
      </c>
      <c r="B127" s="7" t="str">
        <f>A128&amp;" change in "&amp;D100</f>
        <v>Dollar change in Total Liabilities</v>
      </c>
      <c r="I127" s="7" t="str">
        <f>" remained the same. "</f>
        <v xml:space="preserve"> remained the same. </v>
      </c>
    </row>
    <row r="128" spans="1:11">
      <c r="A128" s="7" t="str">
        <f>C124</f>
        <v>Dollar</v>
      </c>
      <c r="B128" s="7" t="s">
        <v>51</v>
      </c>
      <c r="C128" s="7" t="s">
        <v>50</v>
      </c>
      <c r="D128" s="7" t="s">
        <v>49</v>
      </c>
      <c r="E128" s="7" t="s">
        <v>48</v>
      </c>
      <c r="I128" s="7" t="str">
        <f>"Changes in "&amp;D100&amp;" for each year are as follows: "</f>
        <v xml:space="preserve">Changes in Total Liabilities for each year are as follows: </v>
      </c>
    </row>
    <row r="129" spans="1:11">
      <c r="A129" s="7" t="s">
        <v>8</v>
      </c>
      <c r="B129" s="7">
        <f t="shared" ref="B129:D130" ca="1" si="7">IF($A$128="Dollar",C120-B120,IF($A$128="Percentage",((C120-B120)/B120)*100))</f>
        <v>-11332</v>
      </c>
      <c r="C129" s="7">
        <f t="shared" ca="1" si="7"/>
        <v>1230</v>
      </c>
      <c r="D129" s="7">
        <f t="shared" ca="1" si="7"/>
        <v>-7455</v>
      </c>
      <c r="E129" s="7" t="str">
        <f>IF(A128="Dollar","$'000",IF(A128="Percentage","%"))</f>
        <v>$'000</v>
      </c>
      <c r="I129" s="7" t="str">
        <f ca="1">I115&amp;$I$116&amp;IF(B120=C120,I117,IF(C120&gt;B120,I118&amp;I120,I119&amp;I121))&amp;$I$122&amp;IF(B121=C121,I127,IF(C121&gt;B121,I123&amp;I125,I124&amp;I126))</f>
        <v xml:space="preserve">From 2013 to 2014, Isetan's Total Liabilities decreased by $11 million which is a 15.76% decrease while Metro's Total Liabilities increased by $79 million which is a 24.64% increase. </v>
      </c>
      <c r="J129" s="7" t="str">
        <f ca="1">J115&amp;$I$116&amp;IF(C120=D120,J117,IF(D120&gt;C120,J118&amp;J120,J119&amp;J121))&amp;$I$122&amp;IF(C121=D121,J127,IF(D121&gt;C121,J123&amp;J125,J124&amp;J126))</f>
        <v xml:space="preserve">From 2014 to 2015, Isetan's Total Liabilities increased by $1 million which is a 2.03% increase while Metro's Total Liabilities decreased by $134 million which is a 33.69% decrease. </v>
      </c>
      <c r="K129" s="7" t="str">
        <f ca="1">K115&amp;$I$116&amp;IF(D120=E120,K117,IF(E120&gt;D120,K118&amp;K120,K119&amp;K121))&amp;$I$122&amp;IF(D121=E121,K127,IF(E121&gt;D121,K123&amp;K125,K124&amp;K126))</f>
        <v xml:space="preserve">From 2015 to 2016, Isetan's Total Liabilities decreased by $7 million which is a 12.06% decrease while Metro's Total Liabilities decreased by $110 million which is a 41.7% decrease. </v>
      </c>
    </row>
    <row r="130" spans="1:11">
      <c r="A130" s="7" t="s">
        <v>9</v>
      </c>
      <c r="B130" s="7">
        <f t="shared" ca="1" si="7"/>
        <v>78780</v>
      </c>
      <c r="C130" s="7">
        <f t="shared" ca="1" si="7"/>
        <v>-134239</v>
      </c>
      <c r="D130" s="7">
        <f t="shared" ca="1" si="7"/>
        <v>-110171</v>
      </c>
    </row>
    <row r="132" spans="1:11" s="8" customFormat="1">
      <c r="A132" s="8" t="s">
        <v>47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K19"/>
  <sheetViews>
    <sheetView workbookViewId="0">
      <selection activeCell="K131" sqref="K131"/>
    </sheetView>
  </sheetViews>
  <sheetFormatPr defaultColWidth="9.109375" defaultRowHeight="13.2"/>
  <cols>
    <col min="1" max="1" width="11.88671875" style="7" customWidth="1"/>
    <col min="2" max="2" width="13.6640625" style="7" customWidth="1"/>
    <col min="3" max="3" width="13.33203125" style="7" customWidth="1"/>
    <col min="4" max="4" width="13.6640625" style="7" customWidth="1"/>
    <col min="5" max="5" width="12" style="7" customWidth="1"/>
    <col min="6" max="16384" width="9.109375" style="7"/>
  </cols>
  <sheetData>
    <row r="1" spans="1:11">
      <c r="A1" s="10" t="s">
        <v>73</v>
      </c>
      <c r="B1" s="13" t="s">
        <v>92</v>
      </c>
      <c r="C1" s="13" t="s">
        <v>91</v>
      </c>
      <c r="D1" s="13" t="s">
        <v>90</v>
      </c>
      <c r="E1" s="13" t="s">
        <v>89</v>
      </c>
    </row>
    <row r="2" spans="1:11">
      <c r="A2" s="7" t="s">
        <v>8</v>
      </c>
      <c r="B2" s="12">
        <v>279012</v>
      </c>
      <c r="C2" s="12">
        <v>261588</v>
      </c>
      <c r="D2" s="12">
        <v>233844</v>
      </c>
      <c r="E2" s="12">
        <v>226749</v>
      </c>
    </row>
    <row r="3" spans="1:11">
      <c r="A3" s="7" t="s">
        <v>9</v>
      </c>
      <c r="B3" s="7">
        <v>1546975</v>
      </c>
      <c r="C3" s="7">
        <v>1644590</v>
      </c>
      <c r="D3" s="7">
        <v>1641523</v>
      </c>
      <c r="E3" s="7">
        <v>1533527</v>
      </c>
    </row>
    <row r="4" spans="1:11">
      <c r="A4" s="10" t="s">
        <v>88</v>
      </c>
    </row>
    <row r="5" spans="1:11">
      <c r="A5" s="7" t="s">
        <v>8</v>
      </c>
      <c r="B5" s="7">
        <v>145270</v>
      </c>
      <c r="C5" s="7">
        <v>130672</v>
      </c>
      <c r="D5" s="7">
        <v>146010</v>
      </c>
      <c r="E5" s="7">
        <v>135817</v>
      </c>
    </row>
    <row r="6" spans="1:11">
      <c r="A6" s="7" t="s">
        <v>9</v>
      </c>
      <c r="B6" s="7">
        <v>792798</v>
      </c>
      <c r="C6" s="7">
        <v>1001774</v>
      </c>
      <c r="D6" s="7">
        <v>1085374</v>
      </c>
      <c r="E6" s="7">
        <v>975226</v>
      </c>
    </row>
    <row r="7" spans="1:11">
      <c r="A7" s="10" t="s">
        <v>86</v>
      </c>
    </row>
    <row r="8" spans="1:11">
      <c r="A8" s="7" t="s">
        <v>8</v>
      </c>
      <c r="B8" s="7">
        <v>133742</v>
      </c>
      <c r="C8" s="7">
        <v>130916</v>
      </c>
      <c r="D8" s="7">
        <v>87834</v>
      </c>
      <c r="E8" s="7">
        <v>90932</v>
      </c>
    </row>
    <row r="9" spans="1:11">
      <c r="A9" s="7" t="s">
        <v>9</v>
      </c>
      <c r="B9" s="7">
        <v>754177</v>
      </c>
      <c r="C9" s="7">
        <v>642816</v>
      </c>
      <c r="D9" s="7">
        <v>556149</v>
      </c>
      <c r="E9" s="7">
        <v>558301</v>
      </c>
      <c r="H9" s="11"/>
      <c r="I9" s="11"/>
      <c r="J9" s="11"/>
      <c r="K9" s="11"/>
    </row>
    <row r="11" spans="1:11">
      <c r="A11" s="10" t="s">
        <v>59</v>
      </c>
    </row>
    <row r="12" spans="1:11">
      <c r="A12" s="7" t="s">
        <v>8</v>
      </c>
      <c r="B12" s="7">
        <v>71926</v>
      </c>
      <c r="C12" s="7">
        <v>60594</v>
      </c>
      <c r="D12" s="7">
        <v>61824</v>
      </c>
      <c r="E12" s="7">
        <v>54369</v>
      </c>
    </row>
    <row r="13" spans="1:11">
      <c r="A13" s="7" t="s">
        <v>9</v>
      </c>
      <c r="B13" s="7">
        <v>319665</v>
      </c>
      <c r="C13" s="7">
        <v>398445</v>
      </c>
      <c r="D13" s="7">
        <v>264206</v>
      </c>
      <c r="E13" s="7">
        <v>154035</v>
      </c>
    </row>
    <row r="14" spans="1:11">
      <c r="A14" s="10" t="s">
        <v>87</v>
      </c>
    </row>
    <row r="15" spans="1:11">
      <c r="A15" s="7" t="s">
        <v>8</v>
      </c>
      <c r="B15" s="7">
        <v>3625</v>
      </c>
      <c r="C15" s="7">
        <v>4318</v>
      </c>
      <c r="D15" s="7">
        <v>5597</v>
      </c>
      <c r="E15" s="7">
        <v>7183</v>
      </c>
    </row>
    <row r="16" spans="1:11">
      <c r="A16" s="7" t="s">
        <v>9</v>
      </c>
      <c r="B16" s="7">
        <v>169405</v>
      </c>
      <c r="C16" s="7">
        <v>274853</v>
      </c>
      <c r="D16" s="7">
        <v>64805</v>
      </c>
      <c r="E16" s="7">
        <v>27489</v>
      </c>
    </row>
    <row r="17" spans="1:5">
      <c r="A17" s="10" t="s">
        <v>86</v>
      </c>
    </row>
    <row r="18" spans="1:5">
      <c r="A18" s="7" t="s">
        <v>8</v>
      </c>
      <c r="B18" s="7">
        <v>68301</v>
      </c>
      <c r="C18" s="7">
        <v>56276</v>
      </c>
      <c r="D18" s="7">
        <v>56227</v>
      </c>
      <c r="E18" s="7">
        <v>47186</v>
      </c>
    </row>
    <row r="19" spans="1:5">
      <c r="A19" s="7" t="s">
        <v>9</v>
      </c>
      <c r="B19" s="7">
        <v>123592</v>
      </c>
      <c r="C19" s="7">
        <v>133637</v>
      </c>
      <c r="D19" s="7">
        <v>199401</v>
      </c>
      <c r="E19" s="7">
        <v>126546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B1:L6"/>
  <sheetViews>
    <sheetView showGridLines="0" zoomScale="80" zoomScaleNormal="80" workbookViewId="0">
      <pane ySplit="1" topLeftCell="A27" activePane="bottomLeft" state="frozen"/>
      <selection pane="bottomLeft"/>
    </sheetView>
  </sheetViews>
  <sheetFormatPr defaultColWidth="9.109375" defaultRowHeight="13.2"/>
  <cols>
    <col min="1" max="10" width="9.109375" style="54"/>
    <col min="11" max="11" width="12.88671875" style="54" customWidth="1"/>
    <col min="12" max="16384" width="9.109375" style="54"/>
  </cols>
  <sheetData>
    <row r="1" spans="2:12" s="53" customFormat="1" ht="87.45" customHeight="1"/>
    <row r="2" spans="2:12" s="17" customFormat="1" ht="14.4"/>
    <row r="3" spans="2:12" s="17" customFormat="1" ht="14.4">
      <c r="B3" s="159" t="s">
        <v>174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</row>
    <row r="4" spans="2:12" s="17" customFormat="1" ht="14.4"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</row>
    <row r="5" spans="2:12" s="17" customFormat="1" ht="14.4"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2:12" s="17" customFormat="1" ht="14.4"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</row>
  </sheetData>
  <mergeCells count="1">
    <mergeCell ref="B3:L6"/>
  </mergeCells>
  <pageMargins left="0.7" right="0.7" top="0.75" bottom="0.75" header="0.3" footer="0.3"/>
  <pageSetup paperSize="9" orientation="portrait" horizontalDpi="0" verticalDpi="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Drop Down 1">
              <controlPr defaultSize="0" autoLine="0" autoPict="0">
                <anchor moveWithCells="1">
                  <from>
                    <xdr:col>5</xdr:col>
                    <xdr:colOff>350520</xdr:colOff>
                    <xdr:row>8</xdr:row>
                    <xdr:rowOff>45720</xdr:rowOff>
                  </from>
                  <to>
                    <xdr:col>8</xdr:col>
                    <xdr:colOff>365760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Drop Down 2">
              <controlPr defaultSize="0" autoLine="0" autoPict="0">
                <anchor moveWithCells="1">
                  <from>
                    <xdr:col>5</xdr:col>
                    <xdr:colOff>571500</xdr:colOff>
                    <xdr:row>31</xdr:row>
                    <xdr:rowOff>68580</xdr:rowOff>
                  </from>
                  <to>
                    <xdr:col>8</xdr:col>
                    <xdr:colOff>45720</xdr:colOff>
                    <xdr:row>33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Logout" altText="Log Out">
                <anchor moveWithCells="1" sizeWithCells="1">
                  <from>
                    <xdr:col>13</xdr:col>
                    <xdr:colOff>563880</xdr:colOff>
                    <xdr:row>0</xdr:row>
                    <xdr:rowOff>251460</xdr:rowOff>
                  </from>
                  <to>
                    <xdr:col>15</xdr:col>
                    <xdr:colOff>563880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2:L48"/>
  <sheetViews>
    <sheetView zoomScale="85" zoomScaleNormal="85" workbookViewId="0">
      <selection activeCell="B44" sqref="B44"/>
    </sheetView>
  </sheetViews>
  <sheetFormatPr defaultColWidth="9.109375" defaultRowHeight="13.2"/>
  <cols>
    <col min="1" max="1" width="25.33203125" style="7" customWidth="1"/>
    <col min="2" max="2" width="28.109375" style="7" customWidth="1"/>
    <col min="3" max="3" width="17.109375" style="7" customWidth="1"/>
    <col min="4" max="4" width="9.109375" style="7"/>
    <col min="5" max="5" width="22.109375" style="7" bestFit="1" customWidth="1"/>
    <col min="6" max="6" width="15.109375" style="7" bestFit="1" customWidth="1"/>
    <col min="7" max="7" width="20.109375" style="7" customWidth="1"/>
    <col min="8" max="8" width="9.109375" style="7"/>
    <col min="9" max="9" width="24" style="7" bestFit="1" customWidth="1"/>
    <col min="10" max="12" width="9.109375" style="7"/>
    <col min="13" max="13" width="23.109375" style="7" bestFit="1" customWidth="1"/>
    <col min="14" max="16384" width="9.109375" style="7"/>
  </cols>
  <sheetData>
    <row r="2" spans="1:11">
      <c r="A2" s="7" t="s">
        <v>130</v>
      </c>
      <c r="D2" s="7" t="s">
        <v>122</v>
      </c>
      <c r="E2" s="7" t="s">
        <v>121</v>
      </c>
    </row>
    <row r="3" spans="1:11">
      <c r="A3" s="7" t="str">
        <f>'[1]Financial Ratios'!A14</f>
        <v>Accounts receivable turnover</v>
      </c>
      <c r="D3" s="7">
        <v>3</v>
      </c>
      <c r="E3" s="7" t="str">
        <f>CHOOSE(liquidity_row,A3,A4,A5,A6,A7,A8)</f>
        <v>Inventory turnover</v>
      </c>
      <c r="F3" s="7" t="str">
        <f>VLOOKUP(E3,AXNAM,2,0)</f>
        <v>Inventory turnover</v>
      </c>
      <c r="G3" s="7" t="str">
        <f>A20&amp;"_"&amp;"LQ"</f>
        <v>Metro_LQ</v>
      </c>
      <c r="K3" s="23">
        <v>43138.027743055558</v>
      </c>
    </row>
    <row r="4" spans="1:11">
      <c r="A4" s="7" t="str">
        <f>'[1]Financial Ratios'!A15</f>
        <v>Days to collect receivable</v>
      </c>
      <c r="G4" s="7" t="str">
        <f>A21&amp;"_"&amp;"LQ"</f>
        <v>Isetan_LQ</v>
      </c>
    </row>
    <row r="5" spans="1:11">
      <c r="A5" s="7" t="str">
        <f>'[1]Financial Ratios'!A16</f>
        <v>Inventory turnover</v>
      </c>
      <c r="I5" s="7" t="s">
        <v>113</v>
      </c>
      <c r="J5" s="7" t="s">
        <v>129</v>
      </c>
    </row>
    <row r="6" spans="1:11">
      <c r="A6" s="7" t="str">
        <f>'[1]Financial Ratios'!A17</f>
        <v>Days to sell inventory</v>
      </c>
      <c r="I6" s="7" t="s">
        <v>112</v>
      </c>
      <c r="J6" s="7" t="s">
        <v>128</v>
      </c>
    </row>
    <row r="7" spans="1:11">
      <c r="A7" s="7" t="str">
        <f>'[1]Financial Ratios'!A18</f>
        <v>Accounts payable turnover</v>
      </c>
      <c r="I7" s="7" t="s">
        <v>111</v>
      </c>
      <c r="J7" s="7" t="str">
        <f>I7</f>
        <v>Inventory turnover</v>
      </c>
    </row>
    <row r="8" spans="1:11">
      <c r="A8" s="7" t="str">
        <f>'[1]Financial Ratios'!A19</f>
        <v>Days to pay payable</v>
      </c>
      <c r="I8" s="7" t="s">
        <v>110</v>
      </c>
      <c r="J8" s="7" t="s">
        <v>127</v>
      </c>
    </row>
    <row r="9" spans="1:11">
      <c r="I9" s="7" t="s">
        <v>109</v>
      </c>
      <c r="J9" s="7" t="s">
        <v>126</v>
      </c>
    </row>
    <row r="10" spans="1:11">
      <c r="I10" s="7" t="s">
        <v>108</v>
      </c>
      <c r="J10" s="7" t="s">
        <v>125</v>
      </c>
    </row>
    <row r="12" spans="1:11">
      <c r="F12" s="7" t="s">
        <v>122</v>
      </c>
      <c r="G12" s="7" t="s">
        <v>124</v>
      </c>
    </row>
    <row r="13" spans="1:11">
      <c r="A13" s="7" t="s">
        <v>123</v>
      </c>
      <c r="B13" s="7" t="s">
        <v>122</v>
      </c>
      <c r="C13" s="7" t="s">
        <v>121</v>
      </c>
      <c r="E13" s="7" t="str">
        <f>'[1]Financial Ratios'!A10</f>
        <v>Current ratio</v>
      </c>
      <c r="F13" s="7">
        <v>2</v>
      </c>
      <c r="G13" s="7" t="str">
        <f>CHOOSE(std_row,E13,E14,)</f>
        <v>Quick ratio</v>
      </c>
    </row>
    <row r="14" spans="1:11">
      <c r="A14" s="22">
        <v>2013</v>
      </c>
      <c r="B14" s="7">
        <v>1</v>
      </c>
      <c r="C14" s="7">
        <f>CHOOSE(year_row,A14,A15,A16,A17)</f>
        <v>2013</v>
      </c>
      <c r="E14" s="7" t="str">
        <f>'[1]Financial Ratios'!A11</f>
        <v>Quick ratio</v>
      </c>
    </row>
    <row r="15" spans="1:11">
      <c r="A15" s="22">
        <v>2014</v>
      </c>
      <c r="G15" s="7">
        <v>1</v>
      </c>
      <c r="H15" s="7">
        <v>2</v>
      </c>
      <c r="I15" s="7">
        <v>3</v>
      </c>
      <c r="J15" s="7">
        <v>4</v>
      </c>
    </row>
    <row r="16" spans="1:11">
      <c r="A16" s="22">
        <v>2015</v>
      </c>
      <c r="G16" s="7">
        <v>2013</v>
      </c>
      <c r="H16" s="7">
        <v>2014</v>
      </c>
      <c r="I16" s="7">
        <v>2015</v>
      </c>
      <c r="J16" s="7">
        <v>2016</v>
      </c>
    </row>
    <row r="17" spans="1:12">
      <c r="A17" s="22">
        <v>2016</v>
      </c>
      <c r="F17" s="7" t="s">
        <v>9</v>
      </c>
      <c r="G17" s="21">
        <f ca="1">INDEX(INDIRECT($I$27),std_row,G15)</f>
        <v>5.9809696420480289</v>
      </c>
      <c r="H17" s="21">
        <f ca="1">INDEX(INDIRECT($I$27),std_row,H15)</f>
        <v>4.6971497414638161</v>
      </c>
      <c r="I17" s="21">
        <f ca="1">INDEX(INDIRECT($I$27),std_row,I15)</f>
        <v>2.6538031404055147</v>
      </c>
      <c r="J17" s="21">
        <f ca="1">INDEX(INDIRECT($I$27),std_row,J15)</f>
        <v>2.8606593649740018</v>
      </c>
      <c r="K17" s="21">
        <f ca="1">MAX(G17:J17)</f>
        <v>5.9809696420480289</v>
      </c>
      <c r="L17" s="21">
        <f ca="1">MIN(G17:J17)</f>
        <v>2.6538031404055147</v>
      </c>
    </row>
    <row r="18" spans="1:12">
      <c r="F18" s="7" t="s">
        <v>8</v>
      </c>
      <c r="G18" s="21">
        <f ca="1">INDEX(INDIRECT($I$28),std_row,G15)</f>
        <v>1.6264329951245224</v>
      </c>
      <c r="H18" s="21">
        <f ca="1">INDEX(INDIRECT($I$28),std_row,H15)</f>
        <v>1.7696353685407633</v>
      </c>
      <c r="I18" s="21">
        <f ca="1">INDEX(INDIRECT($I$28),std_row,I15)</f>
        <v>1.3196151315204439</v>
      </c>
      <c r="J18" s="21">
        <f ca="1">INDEX(INDIRECT($I$28),std_row,J15)</f>
        <v>1.4195100241597083</v>
      </c>
      <c r="K18" s="21">
        <f ca="1">MAX(G18:J18)</f>
        <v>1.7696353685407633</v>
      </c>
      <c r="L18" s="21">
        <f ca="1">MIN(G17:J18)</f>
        <v>1.3196151315204439</v>
      </c>
    </row>
    <row r="19" spans="1:12">
      <c r="B19" s="7" t="str">
        <f>F3</f>
        <v>Inventory turnover</v>
      </c>
      <c r="I19" s="21">
        <f ca="1">MIN(G17:J18)</f>
        <v>1.3196151315204439</v>
      </c>
      <c r="J19" s="21">
        <f ca="1">MAX(G17:J18)</f>
        <v>5.9809696420480289</v>
      </c>
      <c r="K19" s="21">
        <f ca="1">AVERAGE(G17:J18)</f>
        <v>2.7909719260296</v>
      </c>
    </row>
    <row r="20" spans="1:12">
      <c r="A20" s="7" t="s">
        <v>9</v>
      </c>
      <c r="B20" s="21">
        <f ca="1">INDEX(INDIRECT($G$3),liquidity_row,year_row)</f>
        <v>8.6731655204647122</v>
      </c>
      <c r="C20" s="21">
        <f ca="1">B20-B21</f>
        <v>-7.3351487184878241</v>
      </c>
      <c r="I20" s="7" t="str">
        <f ca="1">TEXT(I19,"0.00")</f>
        <v>1.32</v>
      </c>
      <c r="J20" s="7" t="str">
        <f ca="1">TEXT(J19,"0.00")</f>
        <v>5.98</v>
      </c>
      <c r="K20" s="7" t="str">
        <f ca="1">TEXT(K19,"0.00")</f>
        <v>2.79</v>
      </c>
    </row>
    <row r="21" spans="1:12">
      <c r="A21" s="7" t="s">
        <v>8</v>
      </c>
      <c r="B21" s="21">
        <f ca="1">INDEX(INDIRECT($G$4),liquidity_row,year_row)</f>
        <v>16.008314238952536</v>
      </c>
      <c r="C21" s="21">
        <f ca="1">B21-B20</f>
        <v>7.3351487184878241</v>
      </c>
      <c r="H21" s="7" t="s">
        <v>120</v>
      </c>
    </row>
    <row r="22" spans="1:12">
      <c r="H22" s="7" t="s">
        <v>119</v>
      </c>
    </row>
    <row r="23" spans="1:12">
      <c r="F23" s="7" t="s">
        <v>76</v>
      </c>
      <c r="G23" s="7" t="str">
        <f>" in the Year "&amp;C14</f>
        <v xml:space="preserve"> in the Year 2013</v>
      </c>
    </row>
    <row r="24" spans="1:12">
      <c r="A24" s="7" t="str">
        <f>E3</f>
        <v>Inventory turnover</v>
      </c>
      <c r="F24" s="7" t="s">
        <v>9</v>
      </c>
      <c r="G24" s="7" t="str">
        <f ca="1">TEXT(G17,"0.00")</f>
        <v>5.98</v>
      </c>
    </row>
    <row r="25" spans="1:12">
      <c r="D25" s="7" t="str">
        <f>B19</f>
        <v>Inventory turnover</v>
      </c>
      <c r="F25" s="7" t="s">
        <v>8</v>
      </c>
      <c r="G25" s="7" t="str">
        <f ca="1">TEXT(G18,"0.00")</f>
        <v>1.63</v>
      </c>
    </row>
    <row r="26" spans="1:12">
      <c r="A26" s="7" t="s">
        <v>118</v>
      </c>
      <c r="D26" s="21">
        <f ca="1">B20</f>
        <v>8.6731655204647122</v>
      </c>
    </row>
    <row r="27" spans="1:12">
      <c r="A27" s="7" t="s">
        <v>116</v>
      </c>
      <c r="D27" s="21">
        <f ca="1">B21</f>
        <v>16.008314238952536</v>
      </c>
      <c r="I27" s="7" t="str">
        <f>H21&amp;"_"&amp; "Currentratio"</f>
        <v>metro_Currentratio</v>
      </c>
    </row>
    <row r="28" spans="1:12">
      <c r="I28" s="7" t="str">
        <f>H22&amp;"_"&amp;"Quickratio"</f>
        <v>isetan_Quickratio</v>
      </c>
    </row>
    <row r="30" spans="1:12">
      <c r="A30" s="7" t="str">
        <f>A3</f>
        <v>Accounts receivable turnover</v>
      </c>
      <c r="F30" s="7" t="str">
        <f ca="1">IF(K17=J19,"The highest "&amp;G13&amp;" of "&amp;J20&amp;" was by "&amp;F17,"The highest "&amp;G13&amp;" was by "&amp;F18)</f>
        <v>The highest Quick ratio of 5.98 was by Metro</v>
      </c>
    </row>
    <row r="31" spans="1:12">
      <c r="F31" s="7" t="str">
        <f ca="1">IF(L17=I19,"The lowest "&amp;G13&amp;" of "&amp;I20&amp;" was by "&amp;F17,"The lowest "&amp;G13&amp;" of "&amp;I20&amp;" was by "&amp;F18)</f>
        <v>The lowest Quick ratio of 1.32 was by Isetan</v>
      </c>
    </row>
    <row r="32" spans="1:12">
      <c r="F32" s="7" t="str">
        <f ca="1">"The average "&amp;G13&amp;" is "&amp;K20&amp;" across "&amp;G16&amp;" to "&amp;J16</f>
        <v>The average Quick ratio is 2.79 across 2013 to 2016</v>
      </c>
    </row>
    <row r="39" spans="1:8">
      <c r="A39" s="7" t="str">
        <f>F3</f>
        <v>Inventory turnover</v>
      </c>
      <c r="B39" s="7">
        <v>1</v>
      </c>
      <c r="C39" s="7">
        <v>2</v>
      </c>
      <c r="D39" s="7">
        <v>3</v>
      </c>
      <c r="E39" s="7">
        <v>4</v>
      </c>
    </row>
    <row r="40" spans="1:8">
      <c r="B40" s="7">
        <v>2013</v>
      </c>
      <c r="C40" s="7">
        <v>2014</v>
      </c>
      <c r="D40" s="7">
        <v>2015</v>
      </c>
      <c r="E40" s="7">
        <v>2016</v>
      </c>
    </row>
    <row r="41" spans="1:8">
      <c r="A41" s="7" t="s">
        <v>9</v>
      </c>
      <c r="B41" s="21">
        <f ca="1">INDEX(INDIRECT($G$3),liquidity_row,B39)</f>
        <v>8.6731655204647122</v>
      </c>
      <c r="C41" s="21">
        <f ca="1">INDEX(INDIRECT($G$3),liquidity_row,C39)</f>
        <v>9.1728723404255312</v>
      </c>
      <c r="D41" s="21">
        <f ca="1">INDEX(INDIRECT($G$3),liquidity_row,D39)</f>
        <v>6.5337800907773103</v>
      </c>
      <c r="E41" s="21">
        <f ca="1">INDEX(INDIRECT($G$3),liquidity_row,E39)</f>
        <v>6.1908198988632925</v>
      </c>
      <c r="F41" s="21">
        <f ca="1">MAX(B41:E41)</f>
        <v>9.1728723404255312</v>
      </c>
      <c r="G41" s="7" t="s">
        <v>9</v>
      </c>
      <c r="H41" s="21" t="str">
        <f ca="1">TEXT(B43,"0.00")</f>
        <v>6.19</v>
      </c>
    </row>
    <row r="42" spans="1:8">
      <c r="A42" s="7" t="s">
        <v>8</v>
      </c>
      <c r="B42" s="21">
        <f ca="1">INDEX(INDIRECT($G$4),liquidity_row,B39)</f>
        <v>16.008314238952536</v>
      </c>
      <c r="C42" s="21">
        <f ca="1">INDEX(INDIRECT($G$4),liquidity_row,C39)</f>
        <v>17.182891360136868</v>
      </c>
      <c r="D42" s="21">
        <f ca="1">INDEX(INDIRECT($G$4),liquidity_row,D39)</f>
        <v>16.869995467593291</v>
      </c>
      <c r="E42" s="21">
        <f ca="1">INDEX(INDIRECT($G$4),liquidity_row,E39)</f>
        <v>17.730085363314593</v>
      </c>
      <c r="F42" s="21">
        <f ca="1">MAX(B42:E42)</f>
        <v>17.730085363314593</v>
      </c>
      <c r="G42" s="7" t="s">
        <v>8</v>
      </c>
      <c r="H42" s="21" t="str">
        <f ca="1">TEXT(C43,"0.00")</f>
        <v>17.73</v>
      </c>
    </row>
    <row r="43" spans="1:8">
      <c r="B43" s="21">
        <f ca="1">MIN(B41:E42)</f>
        <v>6.1908198988632925</v>
      </c>
      <c r="C43" s="21">
        <f ca="1">MAX(B41:E42)</f>
        <v>17.730085363314593</v>
      </c>
      <c r="D43" s="21">
        <f ca="1">AVERAGE(B41:E42)</f>
        <v>12.295240535066018</v>
      </c>
    </row>
    <row r="44" spans="1:8">
      <c r="B44" s="7" t="str">
        <f ca="1">TEXT(B43,"0.00")</f>
        <v>6.19</v>
      </c>
      <c r="C44" s="7" t="str">
        <f ca="1">TEXT(C43,"0.00")</f>
        <v>17.73</v>
      </c>
      <c r="D44" s="7" t="str">
        <f ca="1">TEXT(D43,"0.00")</f>
        <v>12.30</v>
      </c>
    </row>
    <row r="46" spans="1:8">
      <c r="A46" s="7" t="str">
        <f ca="1">"The highest "&amp;A24&amp;" was "&amp;C44&amp;" by "&amp;IF(F41&gt;F42,G41,G42)</f>
        <v>The highest Inventory turnover was 17.73 by Isetan</v>
      </c>
    </row>
    <row r="47" spans="1:8">
      <c r="A47" s="7" t="str">
        <f ca="1">"The lowest "&amp;A24&amp;" was "&amp;B44&amp;" by "&amp;IF(H41&lt;H42,G41,G42)</f>
        <v>The lowest Inventory turnover was 6.19 by Isetan</v>
      </c>
    </row>
    <row r="48" spans="1:8">
      <c r="A48" s="7" t="str">
        <f ca="1">"The average "&amp;A24&amp;" was "&amp;D44</f>
        <v>The average Inventory turnover was 12.30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/>
  <dimension ref="A1:K12"/>
  <sheetViews>
    <sheetView workbookViewId="0">
      <selection activeCell="F9" sqref="F9"/>
    </sheetView>
  </sheetViews>
  <sheetFormatPr defaultRowHeight="14.4"/>
  <sheetData>
    <row r="1" spans="1:11">
      <c r="D1" t="s">
        <v>117</v>
      </c>
      <c r="I1" t="s">
        <v>116</v>
      </c>
    </row>
    <row r="2" spans="1:11">
      <c r="C2">
        <v>2013</v>
      </c>
      <c r="D2">
        <v>2014</v>
      </c>
      <c r="E2">
        <v>2015</v>
      </c>
      <c r="F2">
        <v>2016</v>
      </c>
      <c r="H2">
        <v>2013</v>
      </c>
      <c r="I2">
        <v>2014</v>
      </c>
      <c r="J2">
        <v>2015</v>
      </c>
      <c r="K2">
        <v>2016</v>
      </c>
    </row>
    <row r="4" spans="1:11">
      <c r="A4" t="s">
        <v>115</v>
      </c>
      <c r="C4">
        <v>6.1021506246358985</v>
      </c>
      <c r="D4">
        <v>4.8101648495551386</v>
      </c>
      <c r="E4">
        <v>2.789098349556923</v>
      </c>
      <c r="F4">
        <v>4.4118423340129285</v>
      </c>
      <c r="H4">
        <v>1.9581265281621059</v>
      </c>
      <c r="I4">
        <v>2.3263202786267683</v>
      </c>
      <c r="J4">
        <v>1.5621320717804614</v>
      </c>
      <c r="K4">
        <v>1.9270970203026321</v>
      </c>
    </row>
    <row r="5" spans="1:11">
      <c r="A5" t="s">
        <v>114</v>
      </c>
      <c r="C5">
        <v>5.9809696420480289</v>
      </c>
      <c r="D5">
        <v>4.6971497414638161</v>
      </c>
      <c r="E5">
        <v>2.6538031404055147</v>
      </c>
      <c r="F5">
        <v>2.8606593649740018</v>
      </c>
      <c r="H5">
        <v>1.6264329951245224</v>
      </c>
      <c r="I5">
        <v>1.7696353685407633</v>
      </c>
      <c r="J5">
        <v>1.3196151315204439</v>
      </c>
      <c r="K5">
        <v>1.4195100241597083</v>
      </c>
    </row>
    <row r="7" spans="1:11">
      <c r="A7" t="s">
        <v>113</v>
      </c>
      <c r="C7">
        <v>11.441849088907912</v>
      </c>
      <c r="D7">
        <v>12.00803560390654</v>
      </c>
      <c r="E7">
        <v>11.121992144300805</v>
      </c>
      <c r="F7">
        <v>14.92734031767489</v>
      </c>
      <c r="H7">
        <v>24.749052537712714</v>
      </c>
      <c r="I7">
        <v>27.150345047668434</v>
      </c>
      <c r="J7">
        <v>26.881772084334134</v>
      </c>
      <c r="K7">
        <v>25.440400638950049</v>
      </c>
    </row>
    <row r="8" spans="1:11">
      <c r="A8" t="s">
        <v>112</v>
      </c>
      <c r="C8">
        <v>31.900438221462167</v>
      </c>
      <c r="D8">
        <v>30.396312272862978</v>
      </c>
      <c r="E8">
        <v>32.817861698188253</v>
      </c>
      <c r="F8">
        <v>24.451777224360427</v>
      </c>
      <c r="H8">
        <v>14.748039321659341</v>
      </c>
      <c r="I8">
        <v>13.443659716263708</v>
      </c>
      <c r="J8">
        <v>13.577973909417627</v>
      </c>
      <c r="K8">
        <v>14.347258330561571</v>
      </c>
    </row>
    <row r="9" spans="1:11">
      <c r="A9" t="s">
        <v>111</v>
      </c>
      <c r="C9">
        <v>8.6731655204647122</v>
      </c>
      <c r="D9">
        <v>9.1728723404255312</v>
      </c>
      <c r="E9">
        <v>6.5337800907773103</v>
      </c>
      <c r="F9">
        <v>6.1908198988632925</v>
      </c>
      <c r="H9">
        <v>16.008314238952536</v>
      </c>
      <c r="I9">
        <v>17.182891360136868</v>
      </c>
      <c r="J9">
        <v>16.869995467593291</v>
      </c>
      <c r="K9">
        <v>17.730085363314593</v>
      </c>
    </row>
    <row r="10" spans="1:11">
      <c r="A10" t="s">
        <v>110</v>
      </c>
      <c r="C10">
        <v>42.083827310659132</v>
      </c>
      <c r="D10">
        <v>39.791243838793854</v>
      </c>
      <c r="E10">
        <v>55.863526921454238</v>
      </c>
      <c r="F10">
        <v>284.47611301549182</v>
      </c>
      <c r="H10">
        <v>22.80065187075456</v>
      </c>
      <c r="I10">
        <v>21.242059461935202</v>
      </c>
      <c r="J10">
        <v>21.636046121123922</v>
      </c>
      <c r="K10">
        <v>20.586477307956073</v>
      </c>
    </row>
    <row r="11" spans="1:11">
      <c r="A11" t="s">
        <v>109</v>
      </c>
      <c r="C11">
        <v>1.7096566156437962</v>
      </c>
      <c r="D11">
        <v>1.6428699017564752</v>
      </c>
      <c r="E11">
        <v>1.8004583851745137</v>
      </c>
      <c r="F11">
        <v>2.5257580165930471</v>
      </c>
      <c r="H11">
        <v>3.6594334116520257</v>
      </c>
      <c r="I11">
        <v>4.0841439214027782</v>
      </c>
      <c r="J11">
        <v>3.9750983428561257</v>
      </c>
      <c r="K11">
        <v>4.1173546846141198</v>
      </c>
    </row>
    <row r="12" spans="1:11">
      <c r="A12" t="s">
        <v>108</v>
      </c>
      <c r="C12">
        <v>213.49316386703416</v>
      </c>
      <c r="D12">
        <v>222.17218759060597</v>
      </c>
      <c r="E12">
        <v>202.72615185416879</v>
      </c>
      <c r="F12">
        <v>144.51107255806809</v>
      </c>
      <c r="H12">
        <v>99.742216605937173</v>
      </c>
      <c r="I12">
        <v>89.370014138638311</v>
      </c>
      <c r="J12">
        <v>91.821627672674353</v>
      </c>
      <c r="K12">
        <v>88.649151690512653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P72"/>
  <sheetViews>
    <sheetView zoomScale="80" zoomScaleNormal="80" workbookViewId="0">
      <pane ySplit="1" topLeftCell="A71" activePane="bottomLeft" state="frozen"/>
      <selection pane="bottomLeft"/>
    </sheetView>
  </sheetViews>
  <sheetFormatPr defaultColWidth="9.109375" defaultRowHeight="13.2"/>
  <cols>
    <col min="1" max="11" width="9.109375" style="54"/>
    <col min="12" max="12" width="9.109375" style="54" customWidth="1"/>
    <col min="13" max="13" width="90.5546875" style="54" customWidth="1"/>
    <col min="14" max="14" width="9.109375" style="54"/>
    <col min="15" max="15" width="17.109375" style="54" customWidth="1"/>
    <col min="16" max="16" width="13" style="54" bestFit="1" customWidth="1"/>
    <col min="17" max="17" width="9.109375" style="54"/>
    <col min="18" max="18" width="10" style="54" customWidth="1"/>
    <col min="19" max="16384" width="9.109375" style="54"/>
  </cols>
  <sheetData>
    <row r="1" spans="1:16" s="53" customFormat="1" ht="87.45" customHeight="1"/>
    <row r="2" spans="1:16" ht="14.4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6" ht="14.4">
      <c r="A3" s="17"/>
      <c r="B3" s="159" t="s">
        <v>175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</row>
    <row r="4" spans="1:16" ht="14.4">
      <c r="A4" s="17"/>
      <c r="B4" s="159"/>
      <c r="C4" s="159"/>
      <c r="D4" s="159"/>
      <c r="E4" s="159"/>
      <c r="F4" s="159"/>
      <c r="G4" s="159"/>
      <c r="H4" s="159"/>
      <c r="I4" s="159"/>
      <c r="J4" s="159"/>
      <c r="K4" s="159"/>
      <c r="L4" s="159"/>
    </row>
    <row r="5" spans="1:16" ht="14.4">
      <c r="A5" s="17"/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</row>
    <row r="6" spans="1:16" ht="14.4">
      <c r="A6" s="17"/>
      <c r="B6" s="159"/>
      <c r="C6" s="159"/>
      <c r="D6" s="159"/>
      <c r="E6" s="159"/>
      <c r="F6" s="159"/>
      <c r="G6" s="159"/>
      <c r="H6" s="159"/>
      <c r="I6" s="159"/>
      <c r="J6" s="159"/>
      <c r="K6" s="159"/>
      <c r="L6" s="159"/>
    </row>
    <row r="12" spans="1:16" ht="50.4">
      <c r="B12" s="68" t="str">
        <f>'Control Profitability Prisca'!A1</f>
        <v>Net Profit Margin</v>
      </c>
    </row>
    <row r="16" spans="1:16">
      <c r="O16" s="57"/>
      <c r="P16" s="57"/>
    </row>
    <row r="22" spans="12:16" ht="13.8" thickBot="1">
      <c r="M22" s="60"/>
    </row>
    <row r="23" spans="12:16" ht="16.2">
      <c r="L23" s="60"/>
      <c r="M23" s="61" t="str">
        <f>"The financial ratio of Net Profit Margin "&amp;Year_Choosen1&amp;" for "&amp;IS_name&amp;" is "&amp;TEXT(NPM_IS,"##0.00%")&amp; ","</f>
        <v>The financial ratio of Net Profit Margin 2013 for Isetan Singapore Limited is 2.20%,</v>
      </c>
    </row>
    <row r="24" spans="12:16" ht="16.8" thickBot="1">
      <c r="L24" s="60"/>
      <c r="M24" s="62" t="str">
        <f>"which is " &amp; difference &amp; M_Name&amp;" of " &amp;TEXT(NPM_Metro,"##.00%")&amp;" by " &amp;TEXT(diff_amt,"##.00%")&amp;"."</f>
        <v>which is lesser than Metro Holdings Ltd of 43.85% by 41.64%.</v>
      </c>
    </row>
    <row r="27" spans="12:16" ht="18.600000000000001">
      <c r="L27" s="60"/>
      <c r="M27" s="60"/>
      <c r="P27" s="63"/>
    </row>
    <row r="28" spans="12:16" ht="18.600000000000001">
      <c r="P28" s="63"/>
    </row>
    <row r="35" spans="2:13" ht="50.4">
      <c r="B35" s="68" t="str">
        <f>'Control Profitability Prisca'!H1</f>
        <v>Return on Equity</v>
      </c>
    </row>
    <row r="42" spans="2:13" ht="13.8" thickBot="1"/>
    <row r="43" spans="2:13" ht="16.2">
      <c r="M43" s="64" t="str">
        <f>"The financial ratio of "&amp;Year_Choosen1&amp; " for " &amp;IS_name &amp;" is "&amp;TEXT(ROE_amt,"##.00%")&amp;","</f>
        <v>The financial ratio of 2013 for Isetan Singapore Limited is 3.10%,</v>
      </c>
    </row>
    <row r="44" spans="2:13" ht="16.8" thickBot="1">
      <c r="M44" s="62" t="str">
        <f>"which is "&amp;difference2&amp;M_Name&amp; " of "&amp;TEXT(ROE_amt,"##.00%")&amp;" by "&amp;TEXT(diff_amt2,"##.00%")&amp;"."</f>
        <v>which is less than Metro Holdings Ltd of 3.10% by 4.11%.</v>
      </c>
    </row>
    <row r="59" spans="2:2" ht="50.4">
      <c r="B59" s="68" t="str">
        <f>'Control Profitability Prisca'!O1</f>
        <v>Return on Assets</v>
      </c>
    </row>
    <row r="68" spans="13:13" ht="13.8" thickBot="1"/>
    <row r="69" spans="13:13" ht="18.600000000000001">
      <c r="M69" s="65" t="str">
        <f>"The financial ratio of "&amp;Year_Choosen1&amp;" for "&amp;IS_name&amp;" is "&amp;TEXT(ROA_IS,"##.00%")&amp;","</f>
        <v>The financial ratio of 2013 for Isetan Singapore Limited is 2.30%,</v>
      </c>
    </row>
    <row r="70" spans="13:13" ht="19.2" thickBot="1">
      <c r="M70" s="66" t="str">
        <f>"which is"&amp;diff3&amp;M_Name&amp;" of " &amp;TEXT(ROA_M,"##.00%")&amp;" by "&amp;TEXT(diff_amt3,"##.00%")&amp;"."</f>
        <v>which is less than Metro Holdings Ltd of 5.21% by 2.91%.</v>
      </c>
    </row>
    <row r="71" spans="13:13">
      <c r="M71" s="67"/>
    </row>
    <row r="72" spans="13:13">
      <c r="M72" s="60"/>
    </row>
  </sheetData>
  <mergeCells count="1">
    <mergeCell ref="B3:L6"/>
  </mergeCells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Drop Down 1">
              <controlPr defaultSize="0" autoLine="0" autoPict="0" altText="">
                <anchor moveWithCells="1">
                  <from>
                    <xdr:col>1</xdr:col>
                    <xdr:colOff>121920</xdr:colOff>
                    <xdr:row>8</xdr:row>
                    <xdr:rowOff>83820</xdr:rowOff>
                  </from>
                  <to>
                    <xdr:col>3</xdr:col>
                    <xdr:colOff>464820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6" name="Button 2">
              <controlPr defaultSize="0" print="0" autoFill="0" autoPict="0" macro="[0]!Logout" altText="Log Out">
                <anchor moveWithCells="1" sizeWithCells="1">
                  <from>
                    <xdr:col>12</xdr:col>
                    <xdr:colOff>1394460</xdr:colOff>
                    <xdr:row>0</xdr:row>
                    <xdr:rowOff>251460</xdr:rowOff>
                  </from>
                  <to>
                    <xdr:col>12</xdr:col>
                    <xdr:colOff>2613660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5"/>
  <dimension ref="B1:W77"/>
  <sheetViews>
    <sheetView zoomScale="85" zoomScaleNormal="85" workbookViewId="0">
      <pane ySplit="1" topLeftCell="A2" activePane="bottomLeft" state="frozen"/>
      <selection pane="bottomLeft" activeCell="M84" sqref="M84"/>
    </sheetView>
  </sheetViews>
  <sheetFormatPr defaultColWidth="9.109375" defaultRowHeight="13.2"/>
  <cols>
    <col min="1" max="12" width="9.109375" style="54"/>
    <col min="13" max="13" width="22.33203125" style="54" customWidth="1"/>
    <col min="14" max="16384" width="9.109375" style="54"/>
  </cols>
  <sheetData>
    <row r="1" spans="2:23" s="53" customFormat="1" ht="87.45" customHeight="1"/>
    <row r="3" spans="2:23" ht="71.400000000000006">
      <c r="B3" s="59" t="str">
        <f>'Control Profitability Prisca'!A1</f>
        <v>Net Profit Margin</v>
      </c>
    </row>
    <row r="9" spans="2:23" ht="28.8" thickBot="1">
      <c r="L9" s="69"/>
      <c r="M9" s="70" t="s">
        <v>163</v>
      </c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2:23" ht="15.6">
      <c r="M10" s="71" t="str">
        <f ca="1">IS_name&amp;" generated total of $"&amp;Total_I_NPM &amp; NPM_choosen1&amp;" which is"</f>
        <v>Isetan Singapore Limited generated total of $1270180 Revenue which is</v>
      </c>
      <c r="N10" s="72"/>
      <c r="O10" s="72"/>
      <c r="P10" s="72"/>
      <c r="Q10" s="72"/>
      <c r="R10" s="72"/>
      <c r="S10" s="72"/>
      <c r="T10" s="72"/>
      <c r="U10" s="73"/>
    </row>
    <row r="11" spans="2:23" ht="15.6">
      <c r="M11" s="74" t="str">
        <f ca="1">diff_npm1&amp;M_Name&amp;" of $"&amp;total_M_NPM&amp;"."</f>
        <v xml:space="preserve"> more than Metro Holdings Ltd of $681807.</v>
      </c>
      <c r="N11" s="60"/>
      <c r="O11" s="60"/>
      <c r="P11" s="60"/>
      <c r="Q11" s="60"/>
      <c r="R11" s="60"/>
      <c r="S11" s="60"/>
      <c r="T11" s="60"/>
      <c r="U11" s="75"/>
    </row>
    <row r="12" spans="2:23" ht="15.6">
      <c r="M12" s="74"/>
      <c r="N12" s="60"/>
      <c r="O12" s="60"/>
      <c r="P12" s="60"/>
      <c r="Q12" s="60"/>
      <c r="R12" s="60"/>
      <c r="S12" s="60"/>
      <c r="T12" s="60"/>
      <c r="U12" s="75"/>
    </row>
    <row r="13" spans="2:23" ht="15.6">
      <c r="M13" s="74" t="str">
        <f>"By taking into accounts of both Revenue and Net Profit before Tax of "&amp; IS_name&amp;","</f>
        <v>By taking into accounts of both Revenue and Net Profit before Tax of Isetan Singapore Limited,</v>
      </c>
      <c r="N13" s="60"/>
      <c r="O13" s="60"/>
      <c r="P13" s="60"/>
      <c r="Q13" s="60"/>
      <c r="R13" s="60"/>
      <c r="S13" s="60"/>
      <c r="T13" s="60"/>
      <c r="U13" s="75"/>
    </row>
    <row r="14" spans="2:23" ht="15.6">
      <c r="M14" s="74" t="str">
        <f>"the amount of profits extracted from its total sales is lower as it generates lesser profits or Net Loss"</f>
        <v>the amount of profits extracted from its total sales is lower as it generates lesser profits or Net Loss</v>
      </c>
      <c r="N14" s="60"/>
      <c r="O14" s="60"/>
      <c r="P14" s="60"/>
      <c r="Q14" s="60"/>
      <c r="R14" s="60"/>
      <c r="S14" s="60"/>
      <c r="T14" s="60"/>
      <c r="U14" s="75"/>
    </row>
    <row r="15" spans="2:23" ht="16.2" thickBot="1">
      <c r="M15" s="76" t="str">
        <f>"compared to "&amp;M_Name&amp;"."</f>
        <v>compared to Metro Holdings Ltd.</v>
      </c>
      <c r="N15" s="77"/>
      <c r="O15" s="77"/>
      <c r="P15" s="77"/>
      <c r="Q15" s="77"/>
      <c r="R15" s="77"/>
      <c r="S15" s="77"/>
      <c r="T15" s="77"/>
      <c r="U15" s="78"/>
    </row>
    <row r="33" spans="2:23" ht="71.400000000000006">
      <c r="B33" s="59" t="str">
        <f>'Control Profitability Prisca'!H1</f>
        <v>Return on Equity</v>
      </c>
    </row>
    <row r="37" spans="2:23" ht="28.8" thickBot="1">
      <c r="M37" s="70" t="s">
        <v>163</v>
      </c>
      <c r="V37" s="60"/>
      <c r="W37" s="60"/>
    </row>
    <row r="38" spans="2:23" ht="15.6">
      <c r="M38" s="79" t="str">
        <f ca="1">IS_name&amp;" generated total of $"&amp;total_roe_I &amp;ROE_choose1&amp;", which is "</f>
        <v xml:space="preserve">Isetan Singapore Limited generated total of $-20029 Income , which is </v>
      </c>
      <c r="N38" s="80"/>
      <c r="O38" s="80"/>
      <c r="P38" s="80"/>
      <c r="Q38" s="80"/>
      <c r="R38" s="80"/>
      <c r="S38" s="80"/>
      <c r="T38" s="80"/>
      <c r="U38" s="81"/>
      <c r="V38" s="60"/>
    </row>
    <row r="39" spans="2:23" ht="15.6">
      <c r="M39" s="82" t="str">
        <f ca="1">ROE_diffs&amp;M_Name&amp;" of $"&amp;total_roe_M&amp;"."</f>
        <v>less than Metro Holdings Ltd of $444040.</v>
      </c>
      <c r="N39" s="60"/>
      <c r="O39" s="60"/>
      <c r="P39" s="60"/>
      <c r="Q39" s="60"/>
      <c r="R39" s="60"/>
      <c r="S39" s="60"/>
      <c r="T39" s="60"/>
      <c r="U39" s="83"/>
      <c r="V39" s="60"/>
    </row>
    <row r="40" spans="2:23" ht="15.6">
      <c r="M40" s="82"/>
      <c r="N40" s="60"/>
      <c r="O40" s="60"/>
      <c r="P40" s="60"/>
      <c r="Q40" s="60"/>
      <c r="R40" s="60"/>
      <c r="S40" s="60"/>
      <c r="T40" s="60"/>
      <c r="U40" s="83"/>
      <c r="V40" s="60"/>
    </row>
    <row r="41" spans="2:23" ht="15.6">
      <c r="M41" s="82" t="str">
        <f>"By taking into consideration of both Income and Total Equity of "&amp;IS_name&amp;","</f>
        <v>By taking into consideration of both Income and Total Equity of Isetan Singapore Limited,</v>
      </c>
      <c r="N41" s="60"/>
      <c r="O41" s="60"/>
      <c r="P41" s="60"/>
      <c r="Q41" s="60"/>
      <c r="R41" s="60"/>
      <c r="S41" s="60"/>
      <c r="T41" s="60"/>
      <c r="U41" s="83"/>
      <c r="V41" s="60"/>
    </row>
    <row r="42" spans="2:23" ht="15.6">
      <c r="M42" s="82" t="str">
        <f>"the amount of profit that the company generated from shareholder's investments is lower"</f>
        <v>the amount of profit that the company generated from shareholder's investments is lower</v>
      </c>
      <c r="N42" s="60"/>
      <c r="O42" s="60"/>
      <c r="P42" s="60"/>
      <c r="Q42" s="60"/>
      <c r="R42" s="60"/>
      <c r="S42" s="60"/>
      <c r="T42" s="60"/>
      <c r="U42" s="83"/>
      <c r="V42" s="60"/>
    </row>
    <row r="43" spans="2:23" ht="15.6">
      <c r="M43" s="82" t="str">
        <f>"as it generated overall of lower profit or Net Loss and lesser shareholder's investments compared "</f>
        <v xml:space="preserve">as it generated overall of lower profit or Net Loss and lesser shareholder's investments compared </v>
      </c>
      <c r="N43" s="60"/>
      <c r="O43" s="60"/>
      <c r="P43" s="60"/>
      <c r="Q43" s="60"/>
      <c r="R43" s="60"/>
      <c r="S43" s="60"/>
      <c r="T43" s="60"/>
      <c r="U43" s="83"/>
      <c r="V43" s="60"/>
    </row>
    <row r="44" spans="2:23" ht="16.2" thickBot="1">
      <c r="M44" s="84" t="str">
        <f>"to "&amp;M_Name&amp;"."</f>
        <v>to Metro Holdings Ltd.</v>
      </c>
      <c r="N44" s="85"/>
      <c r="O44" s="85"/>
      <c r="P44" s="85"/>
      <c r="Q44" s="85"/>
      <c r="R44" s="85"/>
      <c r="S44" s="85"/>
      <c r="T44" s="85"/>
      <c r="U44" s="86"/>
      <c r="V44" s="60"/>
      <c r="W44" s="60"/>
    </row>
    <row r="49" spans="13:14">
      <c r="M49" s="60"/>
      <c r="N49" s="60"/>
    </row>
    <row r="66" spans="2:22" ht="71.400000000000006">
      <c r="B66" s="59" t="str">
        <f>'Control Profitability Prisca'!O1</f>
        <v>Return on Assets</v>
      </c>
    </row>
    <row r="67" spans="2:22" ht="14.4">
      <c r="B67" s="87"/>
    </row>
    <row r="68" spans="2:22" ht="14.4">
      <c r="B68" s="87"/>
    </row>
    <row r="70" spans="2:22" ht="28.8" thickBot="1">
      <c r="M70" s="70" t="s">
        <v>163</v>
      </c>
    </row>
    <row r="71" spans="2:22" ht="15.6">
      <c r="M71" s="88" t="str">
        <f ca="1">IS_name&amp;" generated total of $"&amp;roa_total_i&amp;ROA_choose&amp;", which is"</f>
        <v>Isetan Singapore Limited generated total of $-20029 Income, which is</v>
      </c>
      <c r="N71" s="80"/>
      <c r="O71" s="80"/>
      <c r="P71" s="80"/>
      <c r="Q71" s="80"/>
      <c r="R71" s="80"/>
      <c r="S71" s="80"/>
      <c r="T71" s="80"/>
      <c r="U71" s="80"/>
      <c r="V71" s="81"/>
    </row>
    <row r="72" spans="2:22" ht="15.6">
      <c r="M72" s="89" t="str">
        <f ca="1">roa_comparison&amp;M_Name&amp;" of $"&amp;roa_total_m&amp;"."</f>
        <v>less than Metro Holdings Ltd of $444040.</v>
      </c>
      <c r="N72" s="60"/>
      <c r="O72" s="60"/>
      <c r="P72" s="60"/>
      <c r="Q72" s="60"/>
      <c r="R72" s="60"/>
      <c r="S72" s="60"/>
      <c r="T72" s="60"/>
      <c r="U72" s="60"/>
      <c r="V72" s="83"/>
    </row>
    <row r="73" spans="2:22" ht="15.6">
      <c r="M73" s="89"/>
      <c r="N73" s="60"/>
      <c r="O73" s="60"/>
      <c r="P73" s="60"/>
      <c r="Q73" s="60"/>
      <c r="R73" s="60"/>
      <c r="S73" s="60"/>
      <c r="T73" s="60"/>
      <c r="U73" s="60"/>
      <c r="V73" s="83"/>
    </row>
    <row r="74" spans="2:22" ht="15.6">
      <c r="M74" s="89" t="str">
        <f>"By taking into account of both Income and Total Assets of "&amp;IS_name&amp;","</f>
        <v>By taking into account of both Income and Total Assets of Isetan Singapore Limited,</v>
      </c>
      <c r="N74" s="60"/>
      <c r="O74" s="60"/>
      <c r="P74" s="60"/>
      <c r="Q74" s="60"/>
      <c r="R74" s="60"/>
      <c r="S74" s="60"/>
      <c r="T74" s="60"/>
      <c r="U74" s="60"/>
      <c r="V74" s="83"/>
    </row>
    <row r="75" spans="2:22" ht="15.6">
      <c r="M75" s="89" t="str">
        <f>"the amount of profit that the company earned from its overall resources of assets is lower"</f>
        <v>the amount of profit that the company earned from its overall resources of assets is lower</v>
      </c>
      <c r="N75" s="60"/>
      <c r="O75" s="60"/>
      <c r="P75" s="60"/>
      <c r="Q75" s="60"/>
      <c r="R75" s="60"/>
      <c r="S75" s="60"/>
      <c r="T75" s="60"/>
      <c r="U75" s="60"/>
      <c r="V75" s="83"/>
    </row>
    <row r="76" spans="2:22" ht="15.6">
      <c r="M76" s="89" t="str">
        <f>"as it generated lower profits and Net Loss, as well as lower assets compared to "&amp;M_Name&amp;"."</f>
        <v>as it generated lower profits and Net Loss, as well as lower assets compared to Metro Holdings Ltd.</v>
      </c>
      <c r="N76" s="60"/>
      <c r="O76" s="60"/>
      <c r="P76" s="60"/>
      <c r="Q76" s="60"/>
      <c r="R76" s="60"/>
      <c r="S76" s="60"/>
      <c r="T76" s="60"/>
      <c r="U76" s="60"/>
      <c r="V76" s="83"/>
    </row>
    <row r="77" spans="2:22" ht="13.8" thickBot="1">
      <c r="M77" s="90"/>
      <c r="N77" s="85"/>
      <c r="O77" s="85"/>
      <c r="P77" s="85"/>
      <c r="Q77" s="85"/>
      <c r="R77" s="85"/>
      <c r="S77" s="85"/>
      <c r="T77" s="85"/>
      <c r="U77" s="85"/>
      <c r="V77" s="86"/>
    </row>
  </sheetData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Drop Down 1">
              <controlPr defaultSize="0" autoLine="0" autoPict="0">
                <anchor moveWithCells="1">
                  <from>
                    <xdr:col>0</xdr:col>
                    <xdr:colOff>289560</xdr:colOff>
                    <xdr:row>3</xdr:row>
                    <xdr:rowOff>7620</xdr:rowOff>
                  </from>
                  <to>
                    <xdr:col>2</xdr:col>
                    <xdr:colOff>274320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Drop Down 2">
              <controlPr defaultSize="0" autoLine="0" autoPict="0">
                <anchor moveWithCells="1">
                  <from>
                    <xdr:col>0</xdr:col>
                    <xdr:colOff>304800</xdr:colOff>
                    <xdr:row>32</xdr:row>
                    <xdr:rowOff>876300</xdr:rowOff>
                  </from>
                  <to>
                    <xdr:col>2</xdr:col>
                    <xdr:colOff>419100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Drop Down 3">
              <controlPr defaultSize="0" autoLine="0" autoPict="0">
                <anchor moveWithCells="1">
                  <from>
                    <xdr:col>0</xdr:col>
                    <xdr:colOff>403860</xdr:colOff>
                    <xdr:row>65</xdr:row>
                    <xdr:rowOff>868680</xdr:rowOff>
                  </from>
                  <to>
                    <xdr:col>2</xdr:col>
                    <xdr:colOff>502920</xdr:colOff>
                    <xdr:row>66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Logout" altText="Log Out">
                <anchor moveWithCells="1" sizeWithCells="1">
                  <from>
                    <xdr:col>12</xdr:col>
                    <xdr:colOff>1447800</xdr:colOff>
                    <xdr:row>0</xdr:row>
                    <xdr:rowOff>251460</xdr:rowOff>
                  </from>
                  <to>
                    <xdr:col>14</xdr:col>
                    <xdr:colOff>563880</xdr:colOff>
                    <xdr:row>0</xdr:row>
                    <xdr:rowOff>944880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/>
  <dimension ref="A1:Z64"/>
  <sheetViews>
    <sheetView workbookViewId="0">
      <selection activeCell="W25" sqref="W25:Z25"/>
    </sheetView>
  </sheetViews>
  <sheetFormatPr defaultColWidth="9.109375" defaultRowHeight="13.2"/>
  <cols>
    <col min="1" max="1" width="46.6640625" style="7" customWidth="1"/>
    <col min="2" max="2" width="20.33203125" style="7" customWidth="1"/>
    <col min="3" max="3" width="19" style="7" customWidth="1"/>
    <col min="4" max="4" width="15.33203125" style="7" customWidth="1"/>
    <col min="5" max="5" width="19.6640625" style="7" customWidth="1"/>
    <col min="6" max="6" width="12.44140625" style="7" bestFit="1" customWidth="1"/>
    <col min="7" max="7" width="24" style="7" customWidth="1"/>
    <col min="8" max="8" width="29.33203125" style="7" customWidth="1"/>
    <col min="9" max="9" width="18.88671875" style="7" customWidth="1"/>
    <col min="10" max="14" width="9.109375" style="7"/>
    <col min="15" max="15" width="22" style="7" customWidth="1"/>
    <col min="16" max="16" width="19.5546875" style="7" customWidth="1"/>
    <col min="17" max="20" width="9.109375" style="7"/>
    <col min="21" max="21" width="17.88671875" style="7" customWidth="1"/>
    <col min="22" max="22" width="46" style="7" customWidth="1"/>
    <col min="23" max="23" width="17.33203125" style="7" customWidth="1"/>
    <col min="24" max="16384" width="9.109375" style="7"/>
  </cols>
  <sheetData>
    <row r="1" spans="1:26">
      <c r="A1" s="43" t="s">
        <v>143</v>
      </c>
      <c r="B1" s="40"/>
      <c r="C1" s="40"/>
      <c r="D1" s="40"/>
      <c r="E1" s="40"/>
      <c r="H1" s="10" t="s">
        <v>162</v>
      </c>
      <c r="O1" s="10" t="s">
        <v>151</v>
      </c>
      <c r="U1" s="44" t="s">
        <v>143</v>
      </c>
      <c r="V1" s="10" t="s">
        <v>161</v>
      </c>
      <c r="W1" s="10">
        <v>2013</v>
      </c>
      <c r="X1" s="10">
        <v>2014</v>
      </c>
      <c r="Y1" s="10">
        <v>2015</v>
      </c>
      <c r="Z1" s="10">
        <v>2016</v>
      </c>
    </row>
    <row r="2" spans="1:26">
      <c r="A2" s="40" t="s">
        <v>160</v>
      </c>
      <c r="B2" s="43">
        <v>2013</v>
      </c>
      <c r="C2" s="43">
        <v>2014</v>
      </c>
      <c r="D2" s="43">
        <v>2015</v>
      </c>
      <c r="E2" s="43">
        <v>2016</v>
      </c>
      <c r="J2" s="43">
        <v>2013</v>
      </c>
      <c r="K2" s="43">
        <v>2014</v>
      </c>
      <c r="L2" s="43">
        <v>2015</v>
      </c>
      <c r="M2" s="43">
        <v>2016</v>
      </c>
      <c r="P2" s="43">
        <v>2013</v>
      </c>
      <c r="Q2" s="43">
        <v>2014</v>
      </c>
      <c r="R2" s="43">
        <v>2015</v>
      </c>
      <c r="S2" s="43">
        <v>2016</v>
      </c>
      <c r="T2" s="43"/>
      <c r="U2" s="43"/>
      <c r="V2" s="7" t="s">
        <v>33</v>
      </c>
      <c r="W2" s="42">
        <v>187120</v>
      </c>
      <c r="X2" s="42">
        <v>194266</v>
      </c>
      <c r="Y2" s="42">
        <v>145826</v>
      </c>
      <c r="Z2" s="42">
        <v>154595</v>
      </c>
    </row>
    <row r="3" spans="1:26">
      <c r="A3" s="40" t="s">
        <v>116</v>
      </c>
      <c r="B3" s="41">
        <f>W8/W7</f>
        <v>2.203886526866998E-2</v>
      </c>
      <c r="C3" s="41">
        <f>X8/X7</f>
        <v>-8.8829205796965172E-3</v>
      </c>
      <c r="D3" s="41">
        <f>Y8/Y7</f>
        <v>-8.8183123854152182E-2</v>
      </c>
      <c r="E3" s="41">
        <f>Z8/Z7</f>
        <v>9.9478003516179168E-3</v>
      </c>
      <c r="H3" s="40" t="s">
        <v>116</v>
      </c>
      <c r="J3" s="30">
        <f>W17/W18</f>
        <v>3.1030586326453745E-2</v>
      </c>
      <c r="K3" s="30">
        <f>X17/X18</f>
        <v>-1.4915868135367225E-2</v>
      </c>
      <c r="L3" s="30">
        <f>Y17/Y18</f>
        <v>-0.15044762236949191</v>
      </c>
      <c r="M3" s="30">
        <f>Z17/Z18</f>
        <v>1.405615500638125E-2</v>
      </c>
      <c r="O3" s="40" t="s">
        <v>116</v>
      </c>
      <c r="P3" s="30">
        <f>W25/W26</f>
        <v>2.3031267472366779E-2</v>
      </c>
      <c r="Q3" s="30">
        <f>X25/X26</f>
        <v>-1.146077037172959E-2</v>
      </c>
      <c r="R3" s="30">
        <f>Y25/Y26</f>
        <v>-0.11067207197961033</v>
      </c>
      <c r="S3" s="30">
        <f>Z25/Z26</f>
        <v>1.0685824413779113E-2</v>
      </c>
      <c r="T3" s="30"/>
      <c r="U3" s="30"/>
      <c r="V3" s="7" t="s">
        <v>157</v>
      </c>
      <c r="W3" s="42">
        <v>82049</v>
      </c>
      <c r="X3" s="42">
        <v>124820</v>
      </c>
      <c r="Y3" s="42">
        <v>145538</v>
      </c>
      <c r="Z3" s="42">
        <v>122332</v>
      </c>
    </row>
    <row r="4" spans="1:26">
      <c r="A4" s="40" t="s">
        <v>117</v>
      </c>
      <c r="B4" s="41">
        <f>W3/W2</f>
        <v>0.43848332620778108</v>
      </c>
      <c r="C4" s="41">
        <f>X3/X2</f>
        <v>0.64252107934481584</v>
      </c>
      <c r="D4" s="41">
        <f>Y3/Y2</f>
        <v>0.99802504354504684</v>
      </c>
      <c r="E4" s="41">
        <f>Z3/Z2</f>
        <v>0.79130631650441474</v>
      </c>
      <c r="H4" s="40" t="s">
        <v>117</v>
      </c>
      <c r="J4" s="30">
        <f>W12/W13</f>
        <v>7.211133668987374E-2</v>
      </c>
      <c r="K4" s="30">
        <f>X12/X13</f>
        <v>6.1210416793640567E-2</v>
      </c>
      <c r="L4" s="30">
        <f>Y12/Y13</f>
        <v>0.1751869758378064</v>
      </c>
      <c r="M4" s="30">
        <f>Z12/Z13</f>
        <v>3.7591374216015751E-2</v>
      </c>
      <c r="O4" s="40" t="s">
        <v>117</v>
      </c>
      <c r="P4" s="39">
        <f>W21/W22</f>
        <v>5.2097157355484092E-2</v>
      </c>
      <c r="Q4" s="39">
        <f>X21/X22</f>
        <v>4.2747432490772778E-2</v>
      </c>
      <c r="R4" s="39">
        <f>Y21/Y22</f>
        <v>0.14699032544777016</v>
      </c>
      <c r="S4" s="39">
        <f>Z21/Z22</f>
        <v>3.3815511562561337E-2</v>
      </c>
      <c r="T4" s="39"/>
      <c r="U4" s="39"/>
    </row>
    <row r="6" spans="1:26">
      <c r="V6" s="10" t="s">
        <v>159</v>
      </c>
      <c r="W6" s="10">
        <v>2013</v>
      </c>
      <c r="X6" s="10">
        <v>2014</v>
      </c>
      <c r="Y6" s="10">
        <v>2015</v>
      </c>
      <c r="Z6" s="10">
        <v>2016</v>
      </c>
    </row>
    <row r="7" spans="1:26">
      <c r="A7" s="7" t="s">
        <v>158</v>
      </c>
      <c r="B7" s="7" t="s">
        <v>13</v>
      </c>
      <c r="C7" s="7" t="s">
        <v>14</v>
      </c>
      <c r="V7" s="7" t="s">
        <v>33</v>
      </c>
      <c r="W7" s="38">
        <v>333048</v>
      </c>
      <c r="X7" s="38">
        <v>340316</v>
      </c>
      <c r="Y7" s="38">
        <v>302178</v>
      </c>
      <c r="Z7" s="38">
        <v>294638</v>
      </c>
    </row>
    <row r="8" spans="1:26">
      <c r="A8" s="7">
        <v>2013</v>
      </c>
      <c r="B8" s="7">
        <v>1</v>
      </c>
      <c r="C8" s="7">
        <f>CHOOSE(Year_Roww,A8,A9,A10,A11)</f>
        <v>2013</v>
      </c>
      <c r="V8" s="7" t="s">
        <v>157</v>
      </c>
      <c r="W8" s="28">
        <v>7340</v>
      </c>
      <c r="X8" s="28">
        <v>-3023</v>
      </c>
      <c r="Y8" s="28">
        <v>-26647</v>
      </c>
      <c r="Z8" s="28">
        <v>2931</v>
      </c>
    </row>
    <row r="9" spans="1:26">
      <c r="A9" s="7">
        <v>2014</v>
      </c>
    </row>
    <row r="10" spans="1:26">
      <c r="A10" s="7">
        <v>2015</v>
      </c>
    </row>
    <row r="11" spans="1:26">
      <c r="A11" s="7">
        <v>2016</v>
      </c>
      <c r="U11" s="33" t="s">
        <v>156</v>
      </c>
      <c r="V11" s="10" t="s">
        <v>155</v>
      </c>
      <c r="W11" s="10">
        <v>2013</v>
      </c>
      <c r="X11" s="10">
        <v>2014</v>
      </c>
      <c r="Y11" s="10">
        <v>2015</v>
      </c>
      <c r="Z11" s="10">
        <v>2016</v>
      </c>
    </row>
    <row r="12" spans="1:26">
      <c r="V12" s="7" t="s">
        <v>148</v>
      </c>
      <c r="W12" s="32">
        <v>80593</v>
      </c>
      <c r="X12" s="32">
        <v>70302</v>
      </c>
      <c r="Y12" s="32">
        <v>241288</v>
      </c>
      <c r="Z12" s="32">
        <v>51857</v>
      </c>
    </row>
    <row r="13" spans="1:26">
      <c r="A13" s="7" t="s">
        <v>154</v>
      </c>
      <c r="B13" s="7">
        <v>1</v>
      </c>
      <c r="C13" s="7">
        <v>2</v>
      </c>
      <c r="D13" s="7">
        <v>3</v>
      </c>
      <c r="E13" s="7">
        <v>4</v>
      </c>
      <c r="G13" s="7" t="s">
        <v>154</v>
      </c>
      <c r="H13" s="7">
        <v>1</v>
      </c>
      <c r="I13" s="7">
        <v>2</v>
      </c>
      <c r="J13" s="7">
        <v>3</v>
      </c>
      <c r="K13" s="7">
        <v>4</v>
      </c>
      <c r="O13" s="7" t="s">
        <v>154</v>
      </c>
      <c r="P13" s="7">
        <v>1</v>
      </c>
      <c r="Q13" s="7">
        <v>2</v>
      </c>
      <c r="R13" s="7">
        <v>3</v>
      </c>
      <c r="S13" s="7">
        <v>4</v>
      </c>
      <c r="V13" s="7" t="s">
        <v>152</v>
      </c>
      <c r="W13" s="37">
        <v>1117619</v>
      </c>
      <c r="X13" s="37">
        <v>1148530</v>
      </c>
      <c r="Y13" s="36">
        <v>1377317</v>
      </c>
      <c r="Z13" s="36">
        <v>1379492</v>
      </c>
    </row>
    <row r="14" spans="1:26">
      <c r="B14" s="10">
        <v>2013</v>
      </c>
      <c r="C14" s="10">
        <v>2014</v>
      </c>
      <c r="D14" s="10">
        <v>2015</v>
      </c>
      <c r="E14" s="10">
        <v>2016</v>
      </c>
      <c r="H14" s="10">
        <v>2013</v>
      </c>
      <c r="I14" s="10">
        <v>2014</v>
      </c>
      <c r="J14" s="10">
        <v>2015</v>
      </c>
      <c r="K14" s="10">
        <v>2016</v>
      </c>
      <c r="P14" s="10">
        <v>2013</v>
      </c>
      <c r="Q14" s="10">
        <v>2014</v>
      </c>
      <c r="R14" s="10">
        <v>2015</v>
      </c>
      <c r="S14" s="10">
        <v>2016</v>
      </c>
      <c r="T14" s="10"/>
      <c r="U14" s="10"/>
    </row>
    <row r="15" spans="1:26">
      <c r="A15" s="7" t="s">
        <v>116</v>
      </c>
      <c r="B15" s="30"/>
      <c r="C15" s="30">
        <f>INDEX(data_npm1,Year_Roww,2)</f>
        <v>-8.8829205796965172E-3</v>
      </c>
      <c r="D15" s="30">
        <f>INDEX(data_npm1,Year_Roww,3)</f>
        <v>-8.8183123854152182E-2</v>
      </c>
      <c r="E15" s="30">
        <f>INDEX(data_npm1,Year_Roww,4)</f>
        <v>9.9478003516179168E-3</v>
      </c>
      <c r="G15" s="7" t="s">
        <v>116</v>
      </c>
      <c r="H15" s="30"/>
      <c r="I15" s="30">
        <f>INDEX(data_ROE1,Year_Roww,2)</f>
        <v>-1.4915868135367225E-2</v>
      </c>
      <c r="J15" s="30">
        <f>INDEX(data_ROE1,Year_Roww,3)</f>
        <v>-0.15044762236949191</v>
      </c>
      <c r="K15" s="30">
        <f>INDEX(data_ROE1,Year_Roww,4)</f>
        <v>1.405615500638125E-2</v>
      </c>
      <c r="O15" s="7" t="s">
        <v>116</v>
      </c>
      <c r="Q15" s="30">
        <f>INDEX(Data_ROA1,Year_Roww,2)</f>
        <v>-1.146077037172959E-2</v>
      </c>
      <c r="R15" s="30">
        <f>INDEX(Data_ROA1,Year_Roww,3)</f>
        <v>-0.11067207197961033</v>
      </c>
      <c r="S15" s="30">
        <f>INDEX(Data_ROA1,Year_Roww,4)</f>
        <v>1.0685824413779113E-2</v>
      </c>
      <c r="T15" s="30"/>
      <c r="U15" s="30"/>
    </row>
    <row r="16" spans="1:26">
      <c r="A16" s="7" t="s">
        <v>117</v>
      </c>
      <c r="C16" s="30">
        <f>INDEX(data_npm1,2,2,Year_Roww)</f>
        <v>0.64252107934481584</v>
      </c>
      <c r="D16" s="30">
        <f>INDEX(data_npm1,2,3,Year_Roww)</f>
        <v>0.99802504354504684</v>
      </c>
      <c r="E16" s="30">
        <f>INDEX(data_npm1,2,4,Year_Roww)</f>
        <v>0.79130631650441474</v>
      </c>
      <c r="G16" s="7" t="s">
        <v>117</v>
      </c>
      <c r="H16" s="30">
        <f>INDEX(data_ROE1,2,Year_Roww)</f>
        <v>7.211133668987374E-2</v>
      </c>
      <c r="I16" s="30">
        <f>INDEX(data_ROE1,2,2,Year_Roww)</f>
        <v>6.1210416793640567E-2</v>
      </c>
      <c r="J16" s="30">
        <f>INDEX(data_ROE1,2,3,Year_Roww)</f>
        <v>0.1751869758378064</v>
      </c>
      <c r="K16" s="30">
        <f>INDEX(data_ROE1,2,4,Year_Roww)</f>
        <v>3.7591374216015751E-2</v>
      </c>
      <c r="O16" s="7" t="s">
        <v>117</v>
      </c>
      <c r="Q16" s="30">
        <f>INDEX(Data_ROA1,2,2,Year_Roww)</f>
        <v>4.2747432490772778E-2</v>
      </c>
      <c r="R16" s="30">
        <f>INDEX(Data_ROA1,2,3,Year_Roww)</f>
        <v>0.14699032544777016</v>
      </c>
      <c r="S16" s="30">
        <f>INDEX(Data_ROA1,2,4,Year_Roww)</f>
        <v>3.3815511562561337E-2</v>
      </c>
      <c r="T16" s="30"/>
      <c r="U16" s="30"/>
      <c r="V16" s="10" t="s">
        <v>153</v>
      </c>
    </row>
    <row r="17" spans="1:26" ht="13.8" thickBot="1">
      <c r="V17" s="7" t="s">
        <v>148</v>
      </c>
      <c r="W17" s="35">
        <v>6426</v>
      </c>
      <c r="X17" s="35">
        <v>-2998</v>
      </c>
      <c r="Y17" s="35">
        <v>-25880</v>
      </c>
      <c r="Z17" s="35">
        <v>2423</v>
      </c>
    </row>
    <row r="18" spans="1:26" ht="14.4" thickTop="1" thickBot="1">
      <c r="V18" s="7" t="s">
        <v>152</v>
      </c>
      <c r="W18" s="34">
        <v>207086</v>
      </c>
      <c r="X18" s="34">
        <v>200994</v>
      </c>
      <c r="Y18" s="34">
        <v>172020</v>
      </c>
      <c r="Z18" s="34">
        <v>172380</v>
      </c>
    </row>
    <row r="19" spans="1:26">
      <c r="B19" s="10" t="s">
        <v>116</v>
      </c>
      <c r="C19" s="10" t="s">
        <v>117</v>
      </c>
      <c r="D19" s="10"/>
      <c r="H19" s="10" t="s">
        <v>116</v>
      </c>
      <c r="I19" s="10" t="s">
        <v>117</v>
      </c>
      <c r="P19" s="10" t="s">
        <v>116</v>
      </c>
      <c r="Q19" s="10" t="s">
        <v>117</v>
      </c>
    </row>
    <row r="20" spans="1:26">
      <c r="A20" s="7" t="str">
        <f>"Year : " &amp; Year_Choosen1</f>
        <v>Year : 2013</v>
      </c>
      <c r="B20" s="30">
        <f>INDEX(data_npm1,1,Year_Roww)</f>
        <v>2.203886526866998E-2</v>
      </c>
      <c r="C20" s="30">
        <f>INDEX(data_npm1,2,Year_Roww)</f>
        <v>0.43848332620778108</v>
      </c>
      <c r="G20" s="7" t="str">
        <f>"Year : " &amp; Year_Choosen1</f>
        <v>Year : 2013</v>
      </c>
      <c r="H20" s="30">
        <f>INDEX(data_ROE1,1,Year_Roww)</f>
        <v>3.1030586326453745E-2</v>
      </c>
      <c r="I20" s="30">
        <f>INDEX(data_ROE1,2,Year_Roww)</f>
        <v>7.211133668987374E-2</v>
      </c>
      <c r="O20" s="7" t="str">
        <f>"Year : " &amp; Year_Choosen1</f>
        <v>Year : 2013</v>
      </c>
      <c r="P20" s="30">
        <f>INDEX(Data_ROA1,1,Year_Roww)</f>
        <v>2.3031267472366779E-2</v>
      </c>
      <c r="Q20" s="30">
        <f>INDEX(Data_ROA1,2,Year_Roww)</f>
        <v>5.2097157355484092E-2</v>
      </c>
      <c r="U20" s="33" t="s">
        <v>151</v>
      </c>
      <c r="V20" s="10" t="s">
        <v>150</v>
      </c>
    </row>
    <row r="21" spans="1:26">
      <c r="V21" s="7" t="s">
        <v>148</v>
      </c>
      <c r="W21" s="32">
        <v>80593</v>
      </c>
      <c r="X21" s="32">
        <v>70302</v>
      </c>
      <c r="Y21" s="32">
        <v>241288</v>
      </c>
      <c r="Z21" s="32">
        <v>51857</v>
      </c>
    </row>
    <row r="22" spans="1:26" ht="13.8" thickBot="1">
      <c r="V22" s="7" t="s">
        <v>73</v>
      </c>
      <c r="W22" s="27">
        <v>1546975</v>
      </c>
      <c r="X22" s="27">
        <v>1644590</v>
      </c>
      <c r="Y22" s="27">
        <v>1641523</v>
      </c>
      <c r="Z22" s="27">
        <v>1533527</v>
      </c>
    </row>
    <row r="24" spans="1:26">
      <c r="B24" s="7" t="str">
        <f>IF(NPM_IS&gt;NPM_Metro,"more than ","lesser than ")</f>
        <v xml:space="preserve">lesser than </v>
      </c>
      <c r="G24" s="7" t="str">
        <f>IF(H20&gt;I20,"more than ","less than ")</f>
        <v xml:space="preserve">less than </v>
      </c>
      <c r="O24" s="7" t="str">
        <f>IF(ROA_IS&gt;ROA_M," more than ", " less than ")</f>
        <v xml:space="preserve"> less than </v>
      </c>
      <c r="V24" s="10" t="s">
        <v>149</v>
      </c>
    </row>
    <row r="25" spans="1:26" ht="15" thickBot="1">
      <c r="B25" s="31">
        <f>NPM_Metro-NPM_IS</f>
        <v>0.41644446093911108</v>
      </c>
      <c r="G25" s="30">
        <f>I20-H20</f>
        <v>4.1080750363419995E-2</v>
      </c>
      <c r="O25" s="29">
        <f>ROA_M-ROA_IS</f>
        <v>2.9065889883117313E-2</v>
      </c>
      <c r="V25" s="7" t="s">
        <v>148</v>
      </c>
      <c r="W25" s="35">
        <v>6426</v>
      </c>
      <c r="X25" s="35">
        <v>-2998</v>
      </c>
      <c r="Y25" s="35">
        <v>-25880</v>
      </c>
      <c r="Z25" s="35">
        <v>2423</v>
      </c>
    </row>
    <row r="26" spans="1:26" ht="14.4" thickTop="1" thickBot="1">
      <c r="B26" s="7" t="str">
        <f>IF(NPM_IS&gt;NPM_Metro,"increase ","decrease ")</f>
        <v xml:space="preserve">decrease </v>
      </c>
      <c r="V26" s="7" t="s">
        <v>73</v>
      </c>
      <c r="W26" s="27">
        <v>279012</v>
      </c>
      <c r="X26" s="27">
        <v>261588</v>
      </c>
      <c r="Y26" s="27">
        <v>233844</v>
      </c>
      <c r="Z26" s="27">
        <v>226749</v>
      </c>
    </row>
    <row r="29" spans="1:26">
      <c r="B29" s="7" t="s">
        <v>13</v>
      </c>
      <c r="C29" s="7" t="s">
        <v>14</v>
      </c>
      <c r="F29" s="7" t="s">
        <v>13</v>
      </c>
      <c r="G29" s="7" t="s">
        <v>14</v>
      </c>
      <c r="J29" s="7" t="s">
        <v>145</v>
      </c>
      <c r="K29" s="7" t="s">
        <v>121</v>
      </c>
    </row>
    <row r="30" spans="1:26">
      <c r="A30" s="7" t="s">
        <v>147</v>
      </c>
      <c r="B30" s="7">
        <v>1</v>
      </c>
      <c r="C30" s="7" t="str">
        <f>CHOOSE(D_row,A30,A31)</f>
        <v xml:space="preserve"> Revenue</v>
      </c>
      <c r="E30" s="7" t="s">
        <v>117</v>
      </c>
      <c r="F30" s="7">
        <v>1</v>
      </c>
      <c r="G30" s="7" t="str">
        <f>CHOOSE(D_Row1,E30,E31)</f>
        <v>Metro Holdings Ltd</v>
      </c>
      <c r="I30" s="7" t="s">
        <v>144</v>
      </c>
      <c r="J30" s="7">
        <v>1</v>
      </c>
      <c r="L30" s="7" t="str">
        <f>CHOOSE(mm_row,I30,I31)</f>
        <v>M_NPM</v>
      </c>
    </row>
    <row r="31" spans="1:26">
      <c r="A31" s="7" t="s">
        <v>146</v>
      </c>
      <c r="E31" s="7" t="s">
        <v>116</v>
      </c>
      <c r="I31" s="7" t="s">
        <v>142</v>
      </c>
    </row>
    <row r="32" spans="1:26">
      <c r="G32" s="7" t="str">
        <f>D_choosen</f>
        <v xml:space="preserve"> Revenue</v>
      </c>
    </row>
    <row r="33" spans="1:11">
      <c r="J33" s="7" t="s">
        <v>145</v>
      </c>
      <c r="K33" s="7" t="s">
        <v>121</v>
      </c>
    </row>
    <row r="34" spans="1:11">
      <c r="B34" s="7">
        <v>1</v>
      </c>
      <c r="C34" s="7">
        <v>2</v>
      </c>
      <c r="D34" s="7">
        <v>3</v>
      </c>
      <c r="E34" s="7">
        <v>4</v>
      </c>
      <c r="I34" s="7" t="s">
        <v>144</v>
      </c>
      <c r="K34" s="7" t="e">
        <f>CHOOSE(J34,I34,I35)</f>
        <v>#VALUE!</v>
      </c>
    </row>
    <row r="35" spans="1:11">
      <c r="A35" s="10" t="s">
        <v>143</v>
      </c>
      <c r="B35" s="7">
        <v>2013</v>
      </c>
      <c r="C35" s="7">
        <v>2014</v>
      </c>
      <c r="D35" s="7">
        <v>2015</v>
      </c>
      <c r="E35" s="7">
        <v>2016</v>
      </c>
      <c r="F35" s="10" t="s">
        <v>131</v>
      </c>
      <c r="I35" s="7" t="s">
        <v>142</v>
      </c>
    </row>
    <row r="36" spans="1:11" ht="14.4">
      <c r="A36" s="7" t="str">
        <f>M_Name&amp;" : " &amp;D_choosen</f>
        <v>Metro Holdings Ltd :  Revenue</v>
      </c>
      <c r="B36" s="25">
        <f ca="1">INDEX(INDIRECT($L$30),D_row,B34)</f>
        <v>187120</v>
      </c>
      <c r="C36" s="25">
        <f ca="1">INDEX(INDIRECT($L$30),D_row,C34)</f>
        <v>194266</v>
      </c>
      <c r="D36" s="25">
        <f ca="1">INDEX(INDIRECT($L$30),D_Row1,D34)</f>
        <v>145826</v>
      </c>
      <c r="E36" s="25">
        <f ca="1">INDEX(INDIRECT($L$30),D_Row1,E34)</f>
        <v>154595</v>
      </c>
      <c r="F36" s="25">
        <f ca="1">SUM(NPM_Mdiff)</f>
        <v>681807</v>
      </c>
    </row>
    <row r="37" spans="1:11" ht="14.4">
      <c r="A37" s="7" t="str">
        <f>IS_name&amp;" : "&amp;D_choosen</f>
        <v>Isetan Singapore Limited :  Revenue</v>
      </c>
      <c r="B37" s="25">
        <f ca="1">INDEX(INDIRECT($I$35),D_row,B34)</f>
        <v>333048</v>
      </c>
      <c r="C37" s="25">
        <f ca="1">INDEX(INDIRECT($I$35),D_row,C34)</f>
        <v>340316</v>
      </c>
      <c r="D37" s="25">
        <f ca="1">INDEX(INDIRECT($I$35),D_row,D34)</f>
        <v>302178</v>
      </c>
      <c r="E37" s="25">
        <f ca="1">INDEX(INDIRECT($I$35),D_row,E34)</f>
        <v>294638</v>
      </c>
      <c r="F37" s="25">
        <f ca="1">SUM(NPM_IDiff)</f>
        <v>1270180</v>
      </c>
    </row>
    <row r="38" spans="1:11">
      <c r="B38" s="7" t="str">
        <f ca="1">IF(B37&gt;0,"Net Profit "," Net Loss ")</f>
        <v xml:space="preserve">Net Profit </v>
      </c>
      <c r="C38" s="7" t="str">
        <f ca="1">IF(C37&gt;0,"Net Profit "," Net Loss ")</f>
        <v xml:space="preserve">Net Profit </v>
      </c>
      <c r="D38" s="7" t="str">
        <f ca="1">IF(D37&gt;0,"Net Profit "," Net Loss ")</f>
        <v xml:space="preserve">Net Profit </v>
      </c>
      <c r="E38" s="7" t="str">
        <f ca="1">IF(E37&gt;0,"Net Profit "," Net Loss ")</f>
        <v xml:space="preserve">Net Profit </v>
      </c>
      <c r="F38" s="7" t="str">
        <f ca="1">IF(F37&gt;0,"Net Profit "," Net Loss ")</f>
        <v xml:space="preserve">Net Profit </v>
      </c>
    </row>
    <row r="39" spans="1:11" ht="14.4">
      <c r="B39" s="25" t="str">
        <f ca="1">IF(F37&gt;F36," more than "," less than ")</f>
        <v xml:space="preserve"> more than </v>
      </c>
    </row>
    <row r="40" spans="1:11">
      <c r="B40" s="7" t="str">
        <f ca="1">IF(B37&gt;B36,"higher ","lower ")</f>
        <v xml:space="preserve">higher </v>
      </c>
      <c r="C40" s="7" t="str">
        <f ca="1">IF(C37&gt;C36,"higher ","lower ")</f>
        <v xml:space="preserve">higher </v>
      </c>
      <c r="D40" s="7" t="str">
        <f ca="1">IF(D37&gt;D36,"higher ","lower ")</f>
        <v xml:space="preserve">higher </v>
      </c>
      <c r="E40" s="7" t="str">
        <f ca="1">IF(E37&gt;E36,"higher ","lower ")</f>
        <v xml:space="preserve">higher </v>
      </c>
      <c r="F40" s="7" t="str">
        <f ca="1">IF(F37&gt;F36,"higher ","lower ")</f>
        <v xml:space="preserve">higher </v>
      </c>
    </row>
    <row r="44" spans="1:11">
      <c r="B44" s="7" t="s">
        <v>13</v>
      </c>
      <c r="C44" s="7" t="s">
        <v>14</v>
      </c>
      <c r="F44" s="7" t="s">
        <v>141</v>
      </c>
      <c r="G44" s="7" t="str">
        <f>ROE_choose1</f>
        <v xml:space="preserve"> Income </v>
      </c>
    </row>
    <row r="45" spans="1:11">
      <c r="A45" s="26" t="s">
        <v>140</v>
      </c>
      <c r="B45" s="7">
        <v>1</v>
      </c>
      <c r="C45" s="7" t="str">
        <f>CHOOSE(ROE_Row1,A45,A46)</f>
        <v xml:space="preserve"> Income </v>
      </c>
      <c r="F45" s="7" t="s">
        <v>139</v>
      </c>
    </row>
    <row r="46" spans="1:11">
      <c r="A46" s="7" t="s">
        <v>138</v>
      </c>
    </row>
    <row r="48" spans="1:11">
      <c r="A48" s="10"/>
      <c r="B48" s="7">
        <v>1</v>
      </c>
      <c r="C48" s="7">
        <v>2</v>
      </c>
      <c r="D48" s="7">
        <v>3</v>
      </c>
      <c r="E48" s="7">
        <v>4</v>
      </c>
    </row>
    <row r="49" spans="1:7">
      <c r="A49" s="10" t="s">
        <v>137</v>
      </c>
      <c r="B49" s="7">
        <v>2013</v>
      </c>
      <c r="C49" s="7">
        <v>2014</v>
      </c>
      <c r="D49" s="7">
        <v>2015</v>
      </c>
      <c r="E49" s="7">
        <v>2016</v>
      </c>
      <c r="F49" s="10" t="s">
        <v>131</v>
      </c>
    </row>
    <row r="50" spans="1:7" ht="14.4">
      <c r="A50" s="7" t="str">
        <f>M_Name&amp;" : "&amp;ROE_choose1</f>
        <v xml:space="preserve">Metro Holdings Ltd :  Income </v>
      </c>
      <c r="B50" s="25">
        <f ca="1">INDEX(INDIRECT($F$44),ROE_Row1,B48)</f>
        <v>80593</v>
      </c>
      <c r="C50" s="25">
        <f ca="1">INDEX(INDIRECT($F$44),ROE_Row1,C48)</f>
        <v>70302</v>
      </c>
      <c r="D50" s="25">
        <f ca="1">INDEX(INDIRECT($F$44),ROE_Row1,D48)</f>
        <v>241288</v>
      </c>
      <c r="E50" s="25">
        <f ca="1">INDEX(INDIRECT($F$44),ROE_Row1,E48)</f>
        <v>51857</v>
      </c>
      <c r="F50" s="24">
        <f ca="1">SUM(B50:E50)</f>
        <v>444040</v>
      </c>
      <c r="G50" s="24" t="str">
        <f ca="1">IF(total_roe_I&gt;total_roe_M,"more than ","less than ")</f>
        <v xml:space="preserve">less than </v>
      </c>
    </row>
    <row r="51" spans="1:7" ht="14.4">
      <c r="A51" s="7" t="str">
        <f>IS_name&amp;" : "&amp;ROE_choose1</f>
        <v xml:space="preserve">Isetan Singapore Limited :  Income </v>
      </c>
      <c r="B51" s="25">
        <f ca="1">INDEX(INDIRECT($F$45),ROE_Row1,B48)</f>
        <v>6426</v>
      </c>
      <c r="C51" s="25">
        <f ca="1">INDEX(INDIRECT($F$45),ROE_Row1,C48)</f>
        <v>-2998</v>
      </c>
      <c r="D51" s="25">
        <f ca="1">INDEX(INDIRECT($F$45),ROE_Row1,D48)</f>
        <v>-25880</v>
      </c>
      <c r="E51" s="25">
        <f ca="1">INDEX(INDIRECT($F$45),ROE_Row1,E48)</f>
        <v>2423</v>
      </c>
      <c r="F51" s="24">
        <f ca="1">SUM(B51:E51)</f>
        <v>-20029</v>
      </c>
    </row>
    <row r="56" spans="1:7">
      <c r="B56" s="7" t="s">
        <v>13</v>
      </c>
      <c r="C56" s="7" t="s">
        <v>14</v>
      </c>
      <c r="F56" s="7" t="str">
        <f>ROA_choose</f>
        <v xml:space="preserve"> Income</v>
      </c>
    </row>
    <row r="57" spans="1:7">
      <c r="A57" s="7" t="s">
        <v>136</v>
      </c>
      <c r="B57" s="7">
        <v>1</v>
      </c>
      <c r="C57" s="7" t="str">
        <f>CHOOSE(ROA_row,A57,A58)</f>
        <v xml:space="preserve"> Income</v>
      </c>
    </row>
    <row r="58" spans="1:7">
      <c r="A58" s="7" t="s">
        <v>135</v>
      </c>
    </row>
    <row r="60" spans="1:7">
      <c r="G60" s="7" t="s">
        <v>134</v>
      </c>
    </row>
    <row r="61" spans="1:7">
      <c r="B61" s="7">
        <v>1</v>
      </c>
      <c r="C61" s="7">
        <v>2</v>
      </c>
      <c r="D61" s="7">
        <v>3</v>
      </c>
      <c r="E61" s="7">
        <v>4</v>
      </c>
      <c r="G61" s="7" t="s">
        <v>133</v>
      </c>
    </row>
    <row r="62" spans="1:7">
      <c r="A62" s="10" t="s">
        <v>132</v>
      </c>
      <c r="B62" s="7">
        <v>2013</v>
      </c>
      <c r="C62" s="7">
        <v>2014</v>
      </c>
      <c r="D62" s="7">
        <v>2015</v>
      </c>
      <c r="E62" s="7">
        <v>2016</v>
      </c>
      <c r="F62" s="10" t="s">
        <v>131</v>
      </c>
    </row>
    <row r="63" spans="1:7" ht="14.4">
      <c r="A63" s="7" t="str">
        <f>M_Name&amp;" : "&amp;ROA_choose</f>
        <v>Metro Holdings Ltd :  Income</v>
      </c>
      <c r="B63" s="25">
        <f ca="1">INDEX(INDIRECT($G$60),ROA_row,B61)</f>
        <v>80593</v>
      </c>
      <c r="C63" s="25">
        <f ca="1">INDEX(INDIRECT($G$60),ROA_row,C61)</f>
        <v>70302</v>
      </c>
      <c r="D63" s="25">
        <f ca="1">INDEX(INDIRECT($G$60),ROA_row,D61)</f>
        <v>241288</v>
      </c>
      <c r="E63" s="25">
        <f ca="1">INDEX(INDIRECT($G$60),ROA_row,E61)</f>
        <v>51857</v>
      </c>
      <c r="F63" s="24">
        <f ca="1">SUM(B63:E63)</f>
        <v>444040</v>
      </c>
      <c r="G63" s="24" t="str">
        <f ca="1">IF(F64&gt;F63,"more than ","less than ")</f>
        <v xml:space="preserve">less than </v>
      </c>
    </row>
    <row r="64" spans="1:7" ht="14.4">
      <c r="A64" s="7" t="str">
        <f>IS_name&amp;" : "&amp;ROA_choose</f>
        <v>Isetan Singapore Limited :  Income</v>
      </c>
      <c r="B64" s="25">
        <f ca="1">INDEX(INDIRECT($G$61),ROA_row,B61)</f>
        <v>6426</v>
      </c>
      <c r="C64" s="25">
        <f ca="1">INDEX(INDIRECT($G$61),ROA_row,C61)</f>
        <v>-2998</v>
      </c>
      <c r="D64" s="25">
        <f ca="1">INDEX(INDIRECT($G$61),ROA_row,D61)</f>
        <v>-25880</v>
      </c>
      <c r="E64" s="25">
        <f ca="1">INDEX(INDIRECT($G$61),ROA_row,E61)</f>
        <v>2423</v>
      </c>
      <c r="F64" s="24">
        <f ca="1">SUM(B64:E64)</f>
        <v>-20029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K32"/>
  <sheetViews>
    <sheetView topLeftCell="A4" workbookViewId="0">
      <selection activeCell="F26" sqref="F26"/>
    </sheetView>
  </sheetViews>
  <sheetFormatPr defaultColWidth="14.44140625" defaultRowHeight="15.75" customHeight="1"/>
  <cols>
    <col min="1" max="1" width="14.44140625" style="7"/>
    <col min="2" max="2" width="17.33203125" style="7" customWidth="1"/>
    <col min="3" max="3" width="16" style="7" customWidth="1"/>
    <col min="4" max="16384" width="14.44140625" style="7"/>
  </cols>
  <sheetData>
    <row r="1" spans="1:11" ht="13.2">
      <c r="A1" s="100"/>
      <c r="C1" s="101"/>
      <c r="D1" s="101" t="s">
        <v>117</v>
      </c>
      <c r="E1" s="101"/>
      <c r="F1" s="101"/>
      <c r="H1" s="101"/>
      <c r="I1" s="101" t="s">
        <v>116</v>
      </c>
      <c r="J1" s="101"/>
      <c r="K1" s="101"/>
    </row>
    <row r="2" spans="1:11" ht="13.2">
      <c r="A2" s="100" t="s">
        <v>458</v>
      </c>
      <c r="C2" s="101" t="s">
        <v>457</v>
      </c>
      <c r="D2" s="101" t="s">
        <v>456</v>
      </c>
      <c r="E2" s="101" t="s">
        <v>455</v>
      </c>
      <c r="F2" s="101" t="s">
        <v>454</v>
      </c>
      <c r="H2" s="101" t="s">
        <v>457</v>
      </c>
      <c r="I2" s="101" t="s">
        <v>456</v>
      </c>
      <c r="J2" s="101" t="s">
        <v>455</v>
      </c>
      <c r="K2" s="101" t="s">
        <v>454</v>
      </c>
    </row>
    <row r="3" spans="1:11" ht="13.2">
      <c r="A3" s="100"/>
    </row>
    <row r="4" spans="1:11" ht="13.2">
      <c r="A4" s="100" t="s">
        <v>453</v>
      </c>
      <c r="C4" s="132">
        <f>'METRO BS'!C27-'METRO BS'!C36</f>
        <v>630585</v>
      </c>
      <c r="D4" s="132">
        <f>'METRO BS'!D27-'METRO BS'!D36</f>
        <v>509179</v>
      </c>
      <c r="E4" s="132">
        <f>'METRO BS'!E27-'METRO BS'!E36</f>
        <v>356748</v>
      </c>
      <c r="F4" s="132">
        <f>'METRO BS'!F27-'METRO BS'!F36</f>
        <v>431755</v>
      </c>
      <c r="H4" s="132">
        <f>'ISETAN BS'!C10-'ISETAN BS'!C29</f>
        <v>65441</v>
      </c>
      <c r="I4" s="132">
        <f>'ISETAN BS'!D10-'ISETAN BS'!D29</f>
        <v>74640</v>
      </c>
      <c r="J4" s="132">
        <f>'ISETAN BS'!E10-'ISETAN BS'!E29</f>
        <v>31607</v>
      </c>
      <c r="K4" s="132">
        <f>'ISETAN BS'!F10-'ISETAN BS'!F29</f>
        <v>43746</v>
      </c>
    </row>
    <row r="5" spans="1:11" ht="13.2">
      <c r="A5" s="100" t="s">
        <v>452</v>
      </c>
      <c r="C5" s="132">
        <f>C4+'METRO BS'!C4</f>
        <v>637188</v>
      </c>
      <c r="D5" s="132">
        <f>D4+'METRO BS'!D4</f>
        <v>513997</v>
      </c>
      <c r="E5" s="132">
        <f>E4+'METRO BS'!E4</f>
        <v>362831</v>
      </c>
      <c r="F5" s="132">
        <f>F4+'METRO BS'!F4</f>
        <v>436627</v>
      </c>
      <c r="H5" s="132">
        <f>H4+'ISETAN BS'!H14+'ISETAN BS'!H19+'ISETAN BS'!H20-'ISETAN BS'!H13</f>
        <v>65441</v>
      </c>
      <c r="I5" s="132">
        <f>I4+'ISETAN BS'!I14-'ISETAN BS'!I13+'ISETAN BS'!I19+'ISETAN BS'!I20</f>
        <v>74640</v>
      </c>
      <c r="J5" s="132">
        <f>J4+'ISETAN BS'!J14-'ISETAN BS'!J13+'ISETAN BS'!J20+'ISETAN BS'!J19</f>
        <v>31607</v>
      </c>
      <c r="K5" s="132">
        <f>K4+'ISETAN BS'!K14-'ISETAN BS'!K13+'ISETAN BS'!K19+'ISETAN BS'!H30</f>
        <v>43746</v>
      </c>
    </row>
    <row r="6" spans="1:11" ht="13.2">
      <c r="A6" s="100" t="s">
        <v>451</v>
      </c>
      <c r="C6" s="132">
        <f>'METRO IS'!B50+'METRO CF'!C10</f>
        <v>83739</v>
      </c>
      <c r="D6" s="132">
        <f>'METRO IS'!C50+'METRO CF'!D10</f>
        <v>73605</v>
      </c>
      <c r="E6" s="132">
        <f>'METRO IS'!D50+'METRO CF'!E10</f>
        <v>245041</v>
      </c>
      <c r="F6" s="132">
        <f>'METRO IS'!E50+'METRO CF'!F10</f>
        <v>54531</v>
      </c>
      <c r="H6" s="132">
        <f>'ISETAN IS'!B41-'ISETAN IS'!B12</f>
        <v>13306</v>
      </c>
      <c r="I6" s="132">
        <f>'ISETAN IS'!C41-'ISETAN IS'!C12</f>
        <v>5400</v>
      </c>
      <c r="J6" s="132">
        <f>'ISETAN IS'!D41-'ISETAN IS'!D12</f>
        <v>-17503</v>
      </c>
      <c r="K6" s="132">
        <f>'ISETAN IS'!E41-'ISETAN IS'!E12</f>
        <v>9917</v>
      </c>
    </row>
    <row r="7" spans="1:11" ht="13.2">
      <c r="A7" s="100" t="s">
        <v>450</v>
      </c>
      <c r="C7" s="132">
        <f>'METRO IS'!B23+'METRO CF'!C10</f>
        <v>68107</v>
      </c>
      <c r="D7" s="132">
        <f>'METRO IS'!C23+'METRO CF'!D10</f>
        <v>110195</v>
      </c>
      <c r="E7" s="132">
        <f>'METRO IS'!D23+'METRO CF'!E10</f>
        <v>146110</v>
      </c>
      <c r="F7" s="132">
        <f>'METRO IS'!E23+'METRO CF'!F10</f>
        <v>115966</v>
      </c>
      <c r="H7" s="132">
        <f>'ISETAN IS'!B23-'ISETAN IS'!B12</f>
        <v>13423</v>
      </c>
      <c r="I7" s="132">
        <f>'ISETAN IS'!C23-'ISETAN IS'!C12</f>
        <v>5262</v>
      </c>
      <c r="J7" s="132">
        <f>'ISETAN IS'!D23-'ISETAN IS'!D12</f>
        <v>-17447</v>
      </c>
      <c r="K7" s="132">
        <f>'ISETAN IS'!E23-'ISETAN IS'!E12</f>
        <v>10063</v>
      </c>
    </row>
    <row r="8" spans="1:11" ht="13.2">
      <c r="C8" s="130"/>
      <c r="D8" s="130"/>
      <c r="E8" s="130"/>
      <c r="F8" s="130"/>
      <c r="H8" s="132"/>
      <c r="I8" s="132"/>
      <c r="J8" s="132"/>
      <c r="K8" s="132"/>
    </row>
    <row r="9" spans="1:11" ht="13.2">
      <c r="A9" s="100" t="s">
        <v>449</v>
      </c>
      <c r="C9" s="130"/>
      <c r="D9" s="130"/>
      <c r="E9" s="130"/>
      <c r="F9" s="130"/>
      <c r="H9" s="132"/>
      <c r="I9" s="132"/>
      <c r="J9" s="132"/>
      <c r="K9" s="132"/>
    </row>
    <row r="10" spans="1:11" ht="13.2">
      <c r="A10" s="100" t="s">
        <v>115</v>
      </c>
      <c r="C10" s="130">
        <f>'METRO BS'!C27/'METRO BS'!C36</f>
        <v>6.1021506246358985</v>
      </c>
      <c r="D10" s="130">
        <f>'METRO BS'!D27/'METRO BS'!D36</f>
        <v>4.8101648495551386</v>
      </c>
      <c r="E10" s="130">
        <f>'METRO BS'!E27/'METRO BS'!E36</f>
        <v>2.789098349556923</v>
      </c>
      <c r="F10" s="130">
        <f>'METRO BS'!F27/'METRO BS'!F36</f>
        <v>4.4118423340129285</v>
      </c>
      <c r="H10" s="130">
        <f>'ISETAN BS'!C10/'ISETAN BS'!C29</f>
        <v>1.9581265281621059</v>
      </c>
      <c r="I10" s="130">
        <f>'ISETAN BS'!D10/'ISETAN BS'!D29</f>
        <v>2.3263202786267683</v>
      </c>
      <c r="J10" s="130">
        <f>'ISETAN BS'!E10/'ISETAN BS'!E29</f>
        <v>1.5621320717804614</v>
      </c>
      <c r="K10" s="130">
        <f>'ISETAN BS'!F10/'ISETAN BS'!F29</f>
        <v>1.9270970203026321</v>
      </c>
    </row>
    <row r="11" spans="1:11" ht="13.2">
      <c r="A11" s="100" t="s">
        <v>114</v>
      </c>
      <c r="C11" s="130">
        <f>('METRO BS'!C27-'METRO BS'!C17)/'METRO BS'!C36</f>
        <v>5.9809696420480289</v>
      </c>
      <c r="D11" s="130">
        <f>('METRO BS'!D27-'METRO BS'!D17)/'METRO BS'!D36</f>
        <v>4.6971497414638161</v>
      </c>
      <c r="E11" s="130">
        <f>('METRO BS'!E27-'METRO BS'!E17)/'METRO BS'!E36</f>
        <v>2.6538031404055147</v>
      </c>
      <c r="F11" s="130">
        <f>('METRO BS'!F27-'METRO BS'!F17)/'METRO BS'!F36</f>
        <v>4.2593602326426758</v>
      </c>
      <c r="H11" s="130">
        <f>('ISETAN BS'!C4+'ISETAN BS'!C5)/'ISETAN BS'!C29</f>
        <v>1.6264329951245224</v>
      </c>
      <c r="I11" s="130">
        <f>('ISETAN BS'!D4+'ISETAN BS'!D5)/'ISETAN BS'!D29</f>
        <v>1.7696353685407633</v>
      </c>
      <c r="J11" s="130">
        <f>('ISETAN BS'!E4+'ISETAN BS'!E5)/'ISETAN BS'!E29</f>
        <v>1.3196151315204439</v>
      </c>
      <c r="K11" s="130">
        <f>('ISETAN BS'!F4+'ISETAN BS'!F5)/'ISETAN BS'!F29</f>
        <v>1.4195100241597083</v>
      </c>
    </row>
    <row r="12" spans="1:11" ht="13.2">
      <c r="C12" s="130"/>
      <c r="D12" s="130"/>
      <c r="E12" s="130"/>
      <c r="F12" s="130"/>
      <c r="H12" s="131"/>
      <c r="I12" s="130"/>
      <c r="J12" s="130"/>
      <c r="K12" s="130"/>
    </row>
    <row r="13" spans="1:11" ht="13.2">
      <c r="A13" s="100" t="s">
        <v>448</v>
      </c>
      <c r="C13" s="130"/>
      <c r="D13" s="130"/>
      <c r="E13" s="130"/>
      <c r="F13" s="130"/>
      <c r="H13" s="131"/>
      <c r="I13" s="130"/>
      <c r="J13" s="130"/>
      <c r="K13" s="130"/>
    </row>
    <row r="14" spans="1:11" ht="13.2">
      <c r="A14" s="100" t="s">
        <v>113</v>
      </c>
      <c r="C14" s="130">
        <f>('METRO IS'!B2/'METRO BS'!C21)</f>
        <v>11.441849088907912</v>
      </c>
      <c r="D14" s="130">
        <f>('METRO IS'!C2/(('METRO BS'!D21+'METRO BS'!C21)/2))</f>
        <v>12.00803560390654</v>
      </c>
      <c r="E14" s="130">
        <f>('METRO IS'!D2/(('METRO BS'!E21+'METRO BS'!D21)/2))</f>
        <v>11.121992144300805</v>
      </c>
      <c r="F14" s="130">
        <f>('METRO IS'!E2/(('METRO BS'!F21+'METRO BS'!E21)/2))</f>
        <v>14.92734031767489</v>
      </c>
      <c r="H14" s="130">
        <f>'ISETAN IS'!B2/'ISETAN BS'!C5</f>
        <v>24.749052537712714</v>
      </c>
      <c r="I14" s="130">
        <f>'ISETAN IS'!C2/(('ISETAN BS'!D5+'ISETAN BS'!C5)/2)</f>
        <v>27.150345047668434</v>
      </c>
      <c r="J14" s="130">
        <f>'ISETAN IS'!D2/(('ISETAN BS'!E5+'ISETAN BS'!D5)/2)</f>
        <v>26.881772084334134</v>
      </c>
      <c r="K14" s="130">
        <f>'ISETAN IS'!E2/(('ISETAN BS'!F5+'ISETAN BS'!E5)/2)</f>
        <v>25.440400638950049</v>
      </c>
    </row>
    <row r="15" spans="1:11" ht="13.2">
      <c r="A15" s="100" t="s">
        <v>112</v>
      </c>
      <c r="C15" s="130">
        <f>365/C14</f>
        <v>31.900438221462167</v>
      </c>
      <c r="D15" s="130">
        <f>365/D14</f>
        <v>30.396312272862978</v>
      </c>
      <c r="E15" s="130">
        <f>365/E14</f>
        <v>32.817861698188253</v>
      </c>
      <c r="F15" s="130">
        <f>365/F14</f>
        <v>24.451777224360427</v>
      </c>
      <c r="H15" s="130">
        <f>365/H14</f>
        <v>14.748039321659341</v>
      </c>
      <c r="I15" s="130">
        <f>365/I14</f>
        <v>13.443659716263708</v>
      </c>
      <c r="J15" s="130">
        <f>365/J14</f>
        <v>13.577973909417627</v>
      </c>
      <c r="K15" s="130">
        <f>365/K14</f>
        <v>14.347258330561571</v>
      </c>
    </row>
    <row r="16" spans="1:11" ht="13.2">
      <c r="A16" s="100" t="s">
        <v>111</v>
      </c>
      <c r="C16" s="130">
        <f>(-'METRO IS'!B3)/'METRO BS'!C17</f>
        <v>8.6731655204647122</v>
      </c>
      <c r="D16" s="130">
        <f>(-'METRO IS'!C3/(('METRO BS'!D17+'METRO BS'!C17)/2))</f>
        <v>9.1728723404255312</v>
      </c>
      <c r="E16" s="130">
        <f>(-'METRO IS'!D3/(('METRO BS'!E17+'METRO BS'!D17)/2))</f>
        <v>6.5337800907773103</v>
      </c>
      <c r="F16" s="130">
        <f>(-'METRO IS'!E3/(('METRO BS'!F17+'METRO BS'!E17)/2))</f>
        <v>6.1908198988632925</v>
      </c>
      <c r="H16" s="130">
        <f>-('ISETAN IS'!B9+'ISETAN IS'!B10)/('ISETAN BS'!C7)</f>
        <v>16.008314238952536</v>
      </c>
      <c r="I16" s="130">
        <f>-('ISETAN IS'!C9+'ISETAN IS'!C10)/(('ISETAN BS'!D7+'ISETAN BS'!C7)/2)</f>
        <v>17.182891360136868</v>
      </c>
      <c r="J16" s="130">
        <f>-('ISETAN IS'!D9+'ISETAN IS'!D10)/(('ISETAN BS'!E7+'ISETAN BS'!D7)/2)</f>
        <v>16.869995467593291</v>
      </c>
      <c r="K16" s="130">
        <f>-('ISETAN IS'!E9+'ISETAN IS'!E10)/(('ISETAN BS'!F7+'ISETAN BS'!E7)/2)</f>
        <v>17.730085363314593</v>
      </c>
    </row>
    <row r="17" spans="1:11" ht="13.2">
      <c r="A17" s="100" t="s">
        <v>110</v>
      </c>
      <c r="C17" s="130">
        <f>365/C16</f>
        <v>42.083827310659132</v>
      </c>
      <c r="D17" s="130">
        <f>365/D16</f>
        <v>39.791243838793854</v>
      </c>
      <c r="E17" s="130">
        <f>365/E16</f>
        <v>55.863526921454238</v>
      </c>
      <c r="F17" s="130">
        <f>365/F16</f>
        <v>58.958264973435632</v>
      </c>
      <c r="H17" s="130">
        <f>365/H16</f>
        <v>22.80065187075456</v>
      </c>
      <c r="I17" s="130">
        <f>365/I16</f>
        <v>21.242059461935202</v>
      </c>
      <c r="J17" s="130">
        <f>365/J16</f>
        <v>21.636046121123922</v>
      </c>
      <c r="K17" s="130">
        <f>365/K16</f>
        <v>20.586477307956073</v>
      </c>
    </row>
    <row r="18" spans="1:11" ht="13.2">
      <c r="A18" s="100" t="s">
        <v>109</v>
      </c>
      <c r="C18" s="130">
        <f>-'METRO IS'!B3/('METRO BS'!C33)</f>
        <v>1.7096566156437962</v>
      </c>
      <c r="D18" s="130">
        <f>-'METRO IS'!C3/(('METRO BS'!D33+'METRO BS'!C33)/2)</f>
        <v>1.6428699017564752</v>
      </c>
      <c r="E18" s="130">
        <f>-'METRO IS'!D3/(('METRO BS'!E33+'METRO BS'!D33)/2)</f>
        <v>1.8004583851745137</v>
      </c>
      <c r="F18" s="130">
        <f>-'METRO IS'!E3/(('METRO BS'!F33+'METRO BS'!E33)/2)</f>
        <v>2.5257580165930471</v>
      </c>
      <c r="H18" s="130">
        <f>-('ISETAN IS'!B9+'ISETAN IS'!B10)/('ISETAN BS'!C27)</f>
        <v>3.6594334116520257</v>
      </c>
      <c r="I18" s="130">
        <f>-('ISETAN IS'!C9+'ISETAN IS'!C10)/(('ISETAN BS'!D27+'ISETAN BS'!C27)/2)</f>
        <v>4.0841439214027782</v>
      </c>
      <c r="J18" s="130">
        <f>-('ISETAN IS'!D9+'ISETAN IS'!D10)/(('ISETAN BS'!E27+'ISETAN BS'!D27)/2)</f>
        <v>3.9750983428561257</v>
      </c>
      <c r="K18" s="130">
        <f>-('ISETAN IS'!E9+'ISETAN IS'!E10)/(('ISETAN BS'!F27+'ISETAN BS'!E27)/2)</f>
        <v>4.1173546846141198</v>
      </c>
    </row>
    <row r="19" spans="1:11" ht="13.2">
      <c r="A19" s="100" t="s">
        <v>108</v>
      </c>
      <c r="C19" s="131">
        <f>365/C18</f>
        <v>213.49316386703416</v>
      </c>
      <c r="D19" s="131">
        <f>365/D18</f>
        <v>222.17218759060597</v>
      </c>
      <c r="E19" s="131">
        <f>365/E18</f>
        <v>202.72615185416879</v>
      </c>
      <c r="F19" s="131">
        <f>365/F18</f>
        <v>144.51107255806809</v>
      </c>
      <c r="H19" s="131">
        <f>365/H18</f>
        <v>99.742216605937173</v>
      </c>
      <c r="I19" s="131">
        <f>365/I18</f>
        <v>89.370014138638311</v>
      </c>
      <c r="J19" s="131">
        <f>365/J18</f>
        <v>91.821627672674353</v>
      </c>
      <c r="K19" s="131">
        <f>365/K18</f>
        <v>88.649151690512653</v>
      </c>
    </row>
    <row r="20" spans="1:11" ht="13.2">
      <c r="C20" s="130"/>
      <c r="D20" s="130"/>
      <c r="E20" s="130"/>
      <c r="F20" s="130"/>
      <c r="H20" s="131" t="s">
        <v>447</v>
      </c>
      <c r="I20" s="130"/>
      <c r="J20" s="130"/>
      <c r="K20" s="130"/>
    </row>
    <row r="21" spans="1:11" ht="13.2">
      <c r="A21" s="100" t="s">
        <v>446</v>
      </c>
      <c r="C21" s="130"/>
      <c r="D21" s="130"/>
      <c r="E21" s="130"/>
      <c r="F21" s="130"/>
      <c r="H21" s="130"/>
      <c r="I21" s="130"/>
      <c r="J21" s="130"/>
      <c r="K21" s="130"/>
    </row>
    <row r="22" spans="1:11" ht="13.2">
      <c r="A22" s="100" t="s">
        <v>445</v>
      </c>
      <c r="C22" s="130">
        <f>('METRO BS'!C36+'METRO BS'!C45)/'METRO BS'!C54</f>
        <v>0.2629471381096869</v>
      </c>
      <c r="D22" s="130">
        <f>('METRO BS'!D36+'METRO BS'!D45)/'METRO BS'!D54</f>
        <v>0.35678537676934069</v>
      </c>
      <c r="E22" s="130">
        <f>('METRO BS'!E36+'METRO BS'!E45)/'METRO BS'!E54</f>
        <v>0.19229428363272189</v>
      </c>
      <c r="F22" s="130">
        <f>('METRO BS'!F36+'METRO BS'!F45)/'METRO BS'!F54</f>
        <v>0.11197276626925366</v>
      </c>
      <c r="H22" s="130">
        <f>'ISETAN BS'!C35/'ISETAN BS'!C46</f>
        <v>0.34732430004925491</v>
      </c>
      <c r="I22" s="130">
        <f>'ISETAN BS'!D35/'ISETAN BS'!D46</f>
        <v>0.30147168572196187</v>
      </c>
      <c r="J22" s="130">
        <f>'ISETAN BS'!E35/'ISETAN BS'!E46</f>
        <v>0.35940006975933031</v>
      </c>
      <c r="K22" s="130">
        <f>'ISETAN BS'!F35/'ISETAN BS'!F46</f>
        <v>0.31540201879568397</v>
      </c>
    </row>
    <row r="23" spans="1:11" ht="13.2">
      <c r="C23" s="130"/>
      <c r="D23" s="130"/>
      <c r="E23" s="130"/>
      <c r="F23" s="130"/>
      <c r="H23" s="130"/>
      <c r="I23" s="130"/>
      <c r="J23" s="130"/>
      <c r="K23" s="130"/>
    </row>
    <row r="24" spans="1:11" ht="13.2">
      <c r="A24" s="100" t="s">
        <v>444</v>
      </c>
      <c r="C24" s="129"/>
      <c r="D24" s="129"/>
      <c r="E24" s="129"/>
      <c r="F24" s="129"/>
      <c r="H24" s="130"/>
      <c r="I24" s="130"/>
      <c r="J24" s="130"/>
      <c r="K24" s="130"/>
    </row>
    <row r="25" spans="1:11" ht="13.2">
      <c r="A25" s="100" t="s">
        <v>443</v>
      </c>
      <c r="C25" s="129">
        <f>('METRO IS'!B2-'METRO IS'!B3)/'METRO IS'!B2</f>
        <v>1.6941962377084223</v>
      </c>
      <c r="D25" s="129">
        <f>('METRO IS'!C2-'METRO IS'!C3)/'METRO IS'!C2</f>
        <v>1.7101602956770614</v>
      </c>
      <c r="E25" s="129">
        <f>('METRO IS'!D2-'METRO IS'!D3)/'METRO IS'!D2</f>
        <v>1.9427262628063582</v>
      </c>
      <c r="F25" s="129">
        <f>('METRO IS'!E2-'METRO IS'!E3)/'METRO IS'!E2</f>
        <v>1.926530612244898</v>
      </c>
      <c r="H25" s="129">
        <f>('ISETAN IS'!B2-'ISETAN IS'!B9+'ISETAN IS'!B10)/'ISETAN IS'!B2</f>
        <v>0.25587002474117843</v>
      </c>
      <c r="I25" s="129">
        <f>('ISETAN IS'!C2-'ISETAN IS'!C9+'ISETAN IS'!C10)/'ISETAN IS'!C2</f>
        <v>0.26999318280656803</v>
      </c>
      <c r="J25" s="129">
        <f>('ISETAN IS'!D2-'ISETAN IS'!D9+'ISETAN IS'!D10)/'ISETAN IS'!D2</f>
        <v>0.27036713460278378</v>
      </c>
      <c r="K25" s="129">
        <f>('ISETAN IS'!E2-'ISETAN IS'!E9+'ISETAN IS'!E10)/'ISETAN IS'!E2</f>
        <v>0.28447790169631887</v>
      </c>
    </row>
    <row r="26" spans="1:11" ht="13.2">
      <c r="A26" s="100" t="s">
        <v>442</v>
      </c>
      <c r="C26" s="129">
        <f>'METRO IS'!B20/'METRO IS'!B2</f>
        <v>0.43848332620778108</v>
      </c>
      <c r="D26" s="129">
        <f>'METRO IS'!C20/'METRO IS'!C2</f>
        <v>0.64252107934481584</v>
      </c>
      <c r="E26" s="129">
        <f>'METRO IS'!D20/'METRO IS'!D2</f>
        <v>0.99802504354504684</v>
      </c>
      <c r="F26" s="129">
        <f>'METRO IS'!E20/'METRO IS'!E2</f>
        <v>0.79130631650441474</v>
      </c>
      <c r="H26" s="129">
        <f>'ISETAN IS'!B19/'ISETAN IS'!B2</f>
        <v>2.203886526866998E-2</v>
      </c>
      <c r="I26" s="129">
        <f>'ISETAN IS'!C19/'ISETAN IS'!C2</f>
        <v>-8.8829205796965172E-3</v>
      </c>
      <c r="J26" s="129">
        <f>'ISETAN IS'!D19/'ISETAN IS'!D2</f>
        <v>-8.8183123854152182E-2</v>
      </c>
      <c r="K26" s="129">
        <f>'ISETAN IS'!E19/'ISETAN IS'!E2</f>
        <v>9.9478003516179168E-3</v>
      </c>
    </row>
    <row r="27" spans="1:11" ht="13.2">
      <c r="A27" s="100" t="s">
        <v>162</v>
      </c>
      <c r="C27" s="129">
        <f>'METRO IS'!B50/'METRO BS'!C56</f>
        <v>7.211133668987374E-2</v>
      </c>
      <c r="D27" s="129">
        <f>'METRO IS'!C50/'METRO BS'!D56</f>
        <v>6.1210416793640567E-2</v>
      </c>
      <c r="E27" s="129">
        <f>'METRO IS'!D50/'METRO BS'!E56</f>
        <v>0.1751869758378064</v>
      </c>
      <c r="F27" s="129">
        <f>'METRO IS'!E50/'METRO BS'!F56</f>
        <v>3.7591374216015751E-2</v>
      </c>
      <c r="H27" s="129">
        <f>'ISETAN IS'!B41/'ISETAN BS'!C46</f>
        <v>3.1030586326453745E-2</v>
      </c>
      <c r="I27" s="129">
        <f>'ISETAN IS'!C41/'ISETAN BS'!D46</f>
        <v>-1.4915868135367225E-2</v>
      </c>
      <c r="J27" s="129">
        <f>'ISETAN IS'!D41/'ISETAN BS'!E46</f>
        <v>-0.15044762236949191</v>
      </c>
      <c r="K27" s="129">
        <f>'ISETAN IS'!E41/'ISETAN BS'!F46</f>
        <v>1.405615500638125E-2</v>
      </c>
    </row>
    <row r="28" spans="1:11" ht="13.2">
      <c r="A28" s="100" t="s">
        <v>151</v>
      </c>
      <c r="C28" s="129">
        <f>'METRO IS'!B50/'METRO BS'!C28</f>
        <v>5.2097157355484092E-2</v>
      </c>
      <c r="D28" s="129">
        <f>'METRO IS'!C50/'METRO BS'!D28</f>
        <v>4.2747432490772778E-2</v>
      </c>
      <c r="E28" s="129">
        <f>'METRO IS'!D50/'METRO BS'!E28</f>
        <v>0.14699032544777016</v>
      </c>
      <c r="F28" s="129">
        <f>'METRO IS'!E50/'METRO BS'!F28</f>
        <v>3.3815511562561337E-2</v>
      </c>
      <c r="H28" s="129">
        <f>'ISETAN IS'!B23/'ISETAN BS'!C23</f>
        <v>2.3450604275084944E-2</v>
      </c>
      <c r="I28" s="129">
        <f>'ISETAN IS'!C23/'ISETAN BS'!D23</f>
        <v>-1.1988317506919277E-2</v>
      </c>
      <c r="J28" s="129">
        <f>'ISETAN IS'!D23/'ISETAN BS'!E23</f>
        <v>-0.11043259608970082</v>
      </c>
      <c r="K28" s="129">
        <f>'ISETAN IS'!E23/'ISETAN BS'!F23</f>
        <v>1.1329708179528906E-2</v>
      </c>
    </row>
    <row r="30" spans="1:11" ht="13.2">
      <c r="B30" s="100"/>
    </row>
    <row r="31" spans="1:11" ht="13.2">
      <c r="B31" s="100"/>
    </row>
    <row r="32" spans="1:11" ht="13.2">
      <c r="B32" s="100"/>
    </row>
  </sheetData>
  <conditionalFormatting sqref="H10:K11">
    <cfRule type="notContainsBlanks" dxfId="0" priority="1">
      <formula>LEN(TRIM(H10))&gt;0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J41"/>
  <sheetViews>
    <sheetView workbookViewId="0">
      <selection activeCell="H13" sqref="H13"/>
    </sheetView>
  </sheetViews>
  <sheetFormatPr defaultColWidth="14.44140625" defaultRowHeight="15.75" customHeight="1"/>
  <cols>
    <col min="1" max="1" width="60.33203125" style="7" customWidth="1"/>
    <col min="2" max="16384" width="14.44140625" style="7"/>
  </cols>
  <sheetData>
    <row r="1" spans="1:10" ht="51">
      <c r="A1" s="106" t="s">
        <v>367</v>
      </c>
      <c r="B1" s="101" t="s">
        <v>220</v>
      </c>
      <c r="C1" s="101" t="s">
        <v>219</v>
      </c>
      <c r="D1" s="101" t="s">
        <v>218</v>
      </c>
      <c r="E1" s="101" t="s">
        <v>217</v>
      </c>
    </row>
    <row r="2" spans="1:10" ht="13.2">
      <c r="A2" s="100" t="s">
        <v>33</v>
      </c>
      <c r="B2" s="118">
        <v>333048</v>
      </c>
      <c r="C2" s="118">
        <v>340316</v>
      </c>
      <c r="D2" s="118">
        <v>302178</v>
      </c>
      <c r="E2" s="118">
        <v>294638</v>
      </c>
    </row>
    <row r="3" spans="1:10" ht="13.2">
      <c r="A3" s="99"/>
      <c r="B3" s="99"/>
      <c r="C3" s="99"/>
      <c r="D3" s="99"/>
      <c r="E3" s="99"/>
    </row>
    <row r="4" spans="1:10" ht="13.2">
      <c r="A4" s="100" t="s">
        <v>366</v>
      </c>
      <c r="B4" s="118">
        <v>9806</v>
      </c>
      <c r="C4" s="118">
        <v>8761</v>
      </c>
      <c r="D4" s="118">
        <v>5594</v>
      </c>
      <c r="E4" s="118">
        <v>7356</v>
      </c>
    </row>
    <row r="5" spans="1:10" ht="13.2">
      <c r="A5" s="99"/>
      <c r="B5" s="99"/>
      <c r="C5" s="99"/>
      <c r="D5" s="99"/>
      <c r="E5" s="99"/>
    </row>
    <row r="6" spans="1:10" ht="13.2">
      <c r="A6" s="100" t="s">
        <v>365</v>
      </c>
      <c r="B6" s="95" t="s">
        <v>184</v>
      </c>
      <c r="C6" s="95" t="s">
        <v>184</v>
      </c>
      <c r="D6" s="118">
        <v>-9234</v>
      </c>
      <c r="E6" s="118">
        <v>7621</v>
      </c>
    </row>
    <row r="7" spans="1:10" ht="13.2">
      <c r="A7" s="100"/>
      <c r="B7" s="99"/>
      <c r="C7" s="99"/>
      <c r="D7" s="99"/>
      <c r="E7" s="99"/>
    </row>
    <row r="8" spans="1:10" ht="13.2">
      <c r="A8" s="100" t="s">
        <v>364</v>
      </c>
      <c r="B8" s="99"/>
      <c r="C8" s="99"/>
      <c r="D8" s="99"/>
      <c r="E8" s="99"/>
    </row>
    <row r="9" spans="1:10" ht="13.2">
      <c r="A9" s="100" t="s">
        <v>363</v>
      </c>
      <c r="B9" s="118">
        <v>1652</v>
      </c>
      <c r="C9" s="118">
        <v>-1326</v>
      </c>
      <c r="D9" s="118">
        <v>-1423</v>
      </c>
      <c r="E9" s="118">
        <v>-1037</v>
      </c>
    </row>
    <row r="10" spans="1:10" ht="13.2">
      <c r="A10" s="100" t="s">
        <v>362</v>
      </c>
      <c r="B10" s="118">
        <v>-246179</v>
      </c>
      <c r="C10" s="118">
        <v>-249759</v>
      </c>
      <c r="D10" s="118">
        <v>-221902</v>
      </c>
      <c r="E10" s="118">
        <v>-211857</v>
      </c>
      <c r="G10" s="122">
        <f>SUM(B9:B10)</f>
        <v>-244527</v>
      </c>
      <c r="H10" s="122">
        <f>SUM(C9:C10)</f>
        <v>-251085</v>
      </c>
      <c r="I10" s="122">
        <f>SUM(D9:D10)</f>
        <v>-223325</v>
      </c>
      <c r="J10" s="122">
        <f>SUM(E9:E10)</f>
        <v>-212894</v>
      </c>
    </row>
    <row r="11" spans="1:10" ht="13.2">
      <c r="A11" s="100" t="s">
        <v>361</v>
      </c>
      <c r="B11" s="118">
        <v>-20866</v>
      </c>
      <c r="C11" s="118">
        <v>-22332</v>
      </c>
      <c r="D11" s="118">
        <v>-21771</v>
      </c>
      <c r="E11" s="118">
        <v>-20680</v>
      </c>
      <c r="G11" s="122">
        <f>SUM(B11:B14)</f>
        <v>-90987</v>
      </c>
      <c r="H11" s="122">
        <f>SUM(C11:C14)</f>
        <v>-101015</v>
      </c>
      <c r="I11" s="122">
        <f>SUM(D11:D14)</f>
        <v>-101880</v>
      </c>
      <c r="J11" s="122">
        <f>SUM(E11:E14)</f>
        <v>-93869</v>
      </c>
    </row>
    <row r="12" spans="1:10" ht="13.2">
      <c r="A12" s="100" t="s">
        <v>360</v>
      </c>
      <c r="B12" s="118">
        <v>-6880</v>
      </c>
      <c r="C12" s="118">
        <v>-8398</v>
      </c>
      <c r="D12" s="118">
        <v>-8377</v>
      </c>
      <c r="E12" s="118">
        <v>-7494</v>
      </c>
    </row>
    <row r="13" spans="1:10" ht="13.2">
      <c r="A13" s="100" t="s">
        <v>359</v>
      </c>
      <c r="B13" s="118">
        <v>-36299</v>
      </c>
      <c r="C13" s="118">
        <v>-43441</v>
      </c>
      <c r="D13" s="118">
        <v>-47525</v>
      </c>
      <c r="E13" s="118">
        <v>-44819</v>
      </c>
    </row>
    <row r="14" spans="1:10" ht="13.2">
      <c r="A14" s="100" t="s">
        <v>358</v>
      </c>
      <c r="B14" s="121">
        <v>-26942</v>
      </c>
      <c r="C14" s="121">
        <v>-26844</v>
      </c>
      <c r="D14" s="118">
        <v>-24207</v>
      </c>
      <c r="E14" s="118">
        <v>-20876</v>
      </c>
    </row>
    <row r="15" spans="1:10" ht="13.2">
      <c r="A15" s="100" t="s">
        <v>357</v>
      </c>
      <c r="B15" s="118">
        <v>-335514</v>
      </c>
      <c r="C15" s="118">
        <v>-352100</v>
      </c>
      <c r="D15" s="117">
        <v>-325205</v>
      </c>
      <c r="E15" s="120">
        <v>-306763</v>
      </c>
    </row>
    <row r="16" spans="1:10" ht="13.2">
      <c r="A16" s="100" t="s">
        <v>356</v>
      </c>
      <c r="B16" s="99"/>
      <c r="C16" s="99"/>
      <c r="D16" s="99"/>
      <c r="E16" s="99"/>
    </row>
    <row r="17" spans="1:5" ht="13.2">
      <c r="A17" s="100" t="s">
        <v>355</v>
      </c>
      <c r="B17" s="95" t="s">
        <v>184</v>
      </c>
      <c r="C17" s="99"/>
      <c r="D17" s="100">
        <v>20</v>
      </c>
      <c r="E17" s="100">
        <v>79</v>
      </c>
    </row>
    <row r="18" spans="1:5" ht="13.2">
      <c r="A18" s="100"/>
      <c r="B18" s="99"/>
      <c r="C18" s="99"/>
      <c r="D18" s="118"/>
      <c r="E18" s="118"/>
    </row>
    <row r="19" spans="1:5" ht="13.2">
      <c r="A19" s="101" t="s">
        <v>354</v>
      </c>
      <c r="B19" s="118">
        <v>7340</v>
      </c>
      <c r="C19" s="118">
        <v>-3023</v>
      </c>
      <c r="D19" s="118">
        <v>-26647</v>
      </c>
      <c r="E19" s="118">
        <v>2931</v>
      </c>
    </row>
    <row r="20" spans="1:5" ht="13.2">
      <c r="A20" s="99"/>
      <c r="B20" s="99"/>
      <c r="C20" s="99"/>
      <c r="D20" s="99"/>
      <c r="E20" s="99"/>
    </row>
    <row r="21" spans="1:5" ht="13.2">
      <c r="A21" s="100" t="s">
        <v>353</v>
      </c>
      <c r="B21" s="100">
        <v>-797</v>
      </c>
      <c r="C21" s="100">
        <v>-113</v>
      </c>
      <c r="D21" s="100">
        <v>823</v>
      </c>
      <c r="E21" s="100">
        <v>-362</v>
      </c>
    </row>
    <row r="22" spans="1:5" ht="13.2">
      <c r="A22" s="99"/>
      <c r="B22" s="119"/>
      <c r="C22" s="119"/>
      <c r="D22" s="99"/>
      <c r="E22" s="99"/>
    </row>
    <row r="23" spans="1:5" ht="13.2">
      <c r="A23" s="101" t="s">
        <v>352</v>
      </c>
      <c r="B23" s="118">
        <v>6543</v>
      </c>
      <c r="C23" s="118">
        <v>-3136</v>
      </c>
      <c r="D23" s="117">
        <v>-25824</v>
      </c>
      <c r="E23" s="117">
        <v>2569</v>
      </c>
    </row>
    <row r="24" spans="1:5" ht="13.2">
      <c r="A24" s="99"/>
      <c r="B24" s="119"/>
      <c r="C24" s="119"/>
      <c r="D24" s="99"/>
      <c r="E24" s="99"/>
    </row>
    <row r="25" spans="1:5" ht="14.4">
      <c r="A25" s="100" t="s">
        <v>351</v>
      </c>
      <c r="B25" s="118">
        <v>6543</v>
      </c>
      <c r="C25" s="118">
        <v>-3136</v>
      </c>
      <c r="D25" s="117">
        <v>-25824</v>
      </c>
      <c r="E25" s="117">
        <v>2569</v>
      </c>
    </row>
    <row r="26" spans="1:5" ht="13.2">
      <c r="A26" s="99"/>
      <c r="B26" s="99"/>
      <c r="C26" s="99"/>
      <c r="D26" s="99"/>
      <c r="E26" s="99"/>
    </row>
    <row r="27" spans="1:5" ht="13.2">
      <c r="A27" s="101" t="s">
        <v>350</v>
      </c>
      <c r="B27" s="99"/>
      <c r="C27" s="99"/>
      <c r="D27" s="99"/>
      <c r="E27" s="99"/>
    </row>
    <row r="28" spans="1:5" ht="13.2">
      <c r="A28" s="100" t="s">
        <v>349</v>
      </c>
      <c r="B28" s="116" t="s">
        <v>347</v>
      </c>
      <c r="C28" s="116" t="s">
        <v>346</v>
      </c>
      <c r="D28" s="115" t="s">
        <v>345</v>
      </c>
      <c r="E28" s="114" t="s">
        <v>344</v>
      </c>
    </row>
    <row r="29" spans="1:5" ht="13.8" thickBot="1">
      <c r="A29" s="100" t="s">
        <v>348</v>
      </c>
      <c r="B29" s="113" t="s">
        <v>347</v>
      </c>
      <c r="C29" s="113" t="s">
        <v>346</v>
      </c>
      <c r="D29" s="112" t="s">
        <v>345</v>
      </c>
      <c r="E29" s="111" t="s">
        <v>344</v>
      </c>
    </row>
    <row r="30" spans="1:5" ht="13.8" thickTop="1">
      <c r="A30" s="99"/>
      <c r="B30" s="99"/>
      <c r="C30" s="99"/>
      <c r="D30" s="99"/>
      <c r="E30" s="99"/>
    </row>
    <row r="31" spans="1:5" ht="13.2">
      <c r="A31" s="101" t="s">
        <v>343</v>
      </c>
      <c r="B31" s="99"/>
      <c r="C31" s="99"/>
      <c r="D31" s="99"/>
      <c r="E31" s="99"/>
    </row>
    <row r="32" spans="1:5" ht="13.2">
      <c r="A32" s="100" t="s">
        <v>342</v>
      </c>
      <c r="B32" s="99"/>
      <c r="C32" s="99"/>
      <c r="D32" s="99"/>
      <c r="E32" s="99"/>
    </row>
    <row r="33" spans="1:5" ht="13.2">
      <c r="A33" s="100" t="s">
        <v>341</v>
      </c>
      <c r="B33" s="100">
        <v>-117</v>
      </c>
      <c r="C33" s="100">
        <v>138</v>
      </c>
      <c r="D33" s="100">
        <v>-87</v>
      </c>
      <c r="E33" s="95" t="s">
        <v>184</v>
      </c>
    </row>
    <row r="34" spans="1:5" ht="13.2">
      <c r="A34" s="100" t="s">
        <v>340</v>
      </c>
      <c r="B34" s="95" t="s">
        <v>184</v>
      </c>
      <c r="C34" s="95" t="s">
        <v>184</v>
      </c>
      <c r="D34" s="100">
        <v>31</v>
      </c>
      <c r="E34" s="100">
        <v>-6</v>
      </c>
    </row>
    <row r="35" spans="1:5" ht="13.2">
      <c r="A35" s="100" t="s">
        <v>339</v>
      </c>
      <c r="B35" s="95" t="s">
        <v>184</v>
      </c>
      <c r="C35" s="95" t="s">
        <v>184</v>
      </c>
      <c r="D35" s="95" t="s">
        <v>184</v>
      </c>
      <c r="E35" s="100">
        <v>-140</v>
      </c>
    </row>
    <row r="36" spans="1:5" ht="13.2">
      <c r="A36" s="100"/>
      <c r="B36" s="99"/>
      <c r="C36" s="99"/>
      <c r="D36" s="95"/>
      <c r="E36" s="100"/>
    </row>
    <row r="37" spans="1:5" ht="13.2">
      <c r="A37" s="101" t="s">
        <v>338</v>
      </c>
      <c r="B37" s="110">
        <v>-117</v>
      </c>
      <c r="C37" s="110">
        <v>138</v>
      </c>
      <c r="D37" s="110">
        <v>-56</v>
      </c>
      <c r="E37" s="110">
        <v>-146</v>
      </c>
    </row>
    <row r="38" spans="1:5" ht="13.2">
      <c r="A38" s="99"/>
      <c r="B38" s="99"/>
      <c r="C38" s="99"/>
      <c r="D38" s="99"/>
      <c r="E38" s="99"/>
    </row>
    <row r="39" spans="1:5" ht="13.8" thickBot="1">
      <c r="A39" s="101" t="s">
        <v>337</v>
      </c>
      <c r="B39" s="109">
        <v>6426</v>
      </c>
      <c r="C39" s="109">
        <v>-2998</v>
      </c>
      <c r="D39" s="109">
        <v>-25880</v>
      </c>
      <c r="E39" s="109">
        <v>2423</v>
      </c>
    </row>
    <row r="40" spans="1:5" ht="13.8" thickTop="1">
      <c r="A40" s="99"/>
      <c r="B40" s="99"/>
      <c r="C40" s="99"/>
      <c r="D40" s="99"/>
      <c r="E40" s="99"/>
    </row>
    <row r="41" spans="1:5" ht="13.8" thickBot="1">
      <c r="A41" s="101" t="s">
        <v>336</v>
      </c>
      <c r="B41" s="109">
        <v>6426</v>
      </c>
      <c r="C41" s="109">
        <v>-2998</v>
      </c>
      <c r="D41" s="109">
        <v>-25880</v>
      </c>
      <c r="E41" s="109">
        <v>2423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F1003"/>
  <sheetViews>
    <sheetView workbookViewId="0">
      <selection activeCell="H13" sqref="H13"/>
    </sheetView>
  </sheetViews>
  <sheetFormatPr defaultColWidth="14.44140625" defaultRowHeight="15.75" customHeight="1"/>
  <cols>
    <col min="1" max="1" width="60.6640625" style="7" customWidth="1"/>
    <col min="2" max="16384" width="14.44140625" style="7"/>
  </cols>
  <sheetData>
    <row r="1" spans="1:6" ht="13.2">
      <c r="A1" s="101" t="s">
        <v>401</v>
      </c>
      <c r="C1" s="13" t="s">
        <v>92</v>
      </c>
      <c r="D1" s="13" t="s">
        <v>91</v>
      </c>
      <c r="E1" s="13" t="s">
        <v>90</v>
      </c>
      <c r="F1" s="13" t="s">
        <v>89</v>
      </c>
    </row>
    <row r="2" spans="1:6" ht="13.2">
      <c r="A2" s="101" t="s">
        <v>266</v>
      </c>
      <c r="C2" s="97"/>
      <c r="D2" s="97"/>
      <c r="E2" s="97"/>
      <c r="F2" s="97"/>
    </row>
    <row r="3" spans="1:6" ht="13.2">
      <c r="A3" s="101" t="s">
        <v>400</v>
      </c>
      <c r="C3" s="97"/>
      <c r="D3" s="97"/>
      <c r="E3" s="97"/>
      <c r="F3" s="97"/>
    </row>
    <row r="4" spans="1:6" ht="13.2">
      <c r="A4" s="100" t="s">
        <v>399</v>
      </c>
      <c r="C4" s="97">
        <v>97630</v>
      </c>
      <c r="D4" s="97">
        <v>87976</v>
      </c>
      <c r="E4" s="97">
        <v>63328</v>
      </c>
      <c r="F4" s="97">
        <v>54688</v>
      </c>
    </row>
    <row r="5" spans="1:6" ht="13.2">
      <c r="A5" s="100" t="s">
        <v>398</v>
      </c>
      <c r="C5" s="97">
        <v>13457</v>
      </c>
      <c r="D5" s="97">
        <v>11612</v>
      </c>
      <c r="E5" s="97">
        <v>10870</v>
      </c>
      <c r="F5" s="97">
        <v>12293</v>
      </c>
    </row>
    <row r="6" spans="1:6" ht="13.2">
      <c r="A6" s="100" t="s">
        <v>397</v>
      </c>
      <c r="C6" s="97">
        <v>7000</v>
      </c>
      <c r="D6" s="97">
        <v>16500</v>
      </c>
      <c r="E6" s="97"/>
      <c r="F6" s="97">
        <v>11753</v>
      </c>
    </row>
    <row r="7" spans="1:6" ht="13.2">
      <c r="A7" s="100" t="s">
        <v>253</v>
      </c>
      <c r="C7" s="97">
        <v>15275</v>
      </c>
      <c r="D7" s="97">
        <v>13950</v>
      </c>
      <c r="E7" s="97">
        <v>12526</v>
      </c>
      <c r="F7" s="97">
        <v>11489</v>
      </c>
    </row>
    <row r="8" spans="1:6" ht="13.2">
      <c r="A8" s="100" t="s">
        <v>396</v>
      </c>
      <c r="C8" s="97" t="s">
        <v>184</v>
      </c>
      <c r="D8" s="97" t="s">
        <v>184</v>
      </c>
      <c r="E8" s="97">
        <v>110</v>
      </c>
      <c r="F8" s="97" t="s">
        <v>184</v>
      </c>
    </row>
    <row r="9" spans="1:6" ht="13.2">
      <c r="A9" s="100" t="s">
        <v>395</v>
      </c>
      <c r="C9" s="97">
        <v>380</v>
      </c>
      <c r="D9" s="97">
        <v>878</v>
      </c>
      <c r="E9" s="97">
        <v>1000</v>
      </c>
      <c r="F9" s="97">
        <v>709</v>
      </c>
    </row>
    <row r="10" spans="1:6" ht="13.2">
      <c r="C10" s="36">
        <v>133742</v>
      </c>
      <c r="D10" s="36">
        <v>130916</v>
      </c>
      <c r="E10" s="36">
        <v>87834</v>
      </c>
      <c r="F10" s="36">
        <v>90932</v>
      </c>
    </row>
    <row r="11" spans="1:6" ht="13.2">
      <c r="A11" s="101" t="s">
        <v>394</v>
      </c>
      <c r="C11" s="97"/>
      <c r="D11" s="97"/>
      <c r="E11" s="97"/>
      <c r="F11" s="97"/>
    </row>
    <row r="12" spans="1:6" ht="13.2">
      <c r="A12" s="100" t="s">
        <v>393</v>
      </c>
      <c r="C12" s="97">
        <v>393</v>
      </c>
      <c r="D12" s="97">
        <v>330</v>
      </c>
      <c r="E12" s="97">
        <v>252</v>
      </c>
      <c r="F12" s="97">
        <v>246</v>
      </c>
    </row>
    <row r="13" spans="1:6" ht="13.2">
      <c r="A13" s="100" t="s">
        <v>392</v>
      </c>
      <c r="C13" s="97">
        <v>3344</v>
      </c>
      <c r="D13" s="97">
        <v>3482</v>
      </c>
      <c r="E13" s="97">
        <v>3395</v>
      </c>
      <c r="F13" s="97">
        <v>3455</v>
      </c>
    </row>
    <row r="14" spans="1:6" ht="13.2">
      <c r="A14" s="100" t="s">
        <v>391</v>
      </c>
      <c r="C14" s="97">
        <v>42500</v>
      </c>
      <c r="D14" s="97">
        <v>31996</v>
      </c>
      <c r="E14" s="97">
        <v>51625</v>
      </c>
      <c r="F14" s="97">
        <v>44534</v>
      </c>
    </row>
    <row r="15" spans="1:6" ht="13.2">
      <c r="A15" s="100" t="s">
        <v>390</v>
      </c>
      <c r="C15" s="97">
        <v>656</v>
      </c>
      <c r="D15" s="97">
        <v>616</v>
      </c>
      <c r="E15" s="97">
        <v>94</v>
      </c>
      <c r="F15" s="97">
        <v>235</v>
      </c>
    </row>
    <row r="16" spans="1:6" ht="13.2">
      <c r="A16" s="100" t="s">
        <v>389</v>
      </c>
      <c r="C16" s="97" t="s">
        <v>184</v>
      </c>
      <c r="D16" s="97" t="s">
        <v>184</v>
      </c>
      <c r="E16" s="97">
        <v>51</v>
      </c>
      <c r="F16" s="97">
        <v>124</v>
      </c>
    </row>
    <row r="17" spans="1:6" ht="13.2">
      <c r="A17" s="100" t="s">
        <v>388</v>
      </c>
      <c r="C17" s="97" t="s">
        <v>184</v>
      </c>
      <c r="D17" s="97" t="s">
        <v>184</v>
      </c>
      <c r="E17" s="97" t="s">
        <v>184</v>
      </c>
      <c r="F17" s="97" t="s">
        <v>184</v>
      </c>
    </row>
    <row r="18" spans="1:6" ht="13.2">
      <c r="A18" s="100" t="s">
        <v>387</v>
      </c>
      <c r="C18" s="97">
        <v>6706</v>
      </c>
      <c r="D18" s="97">
        <v>6973</v>
      </c>
      <c r="E18" s="97">
        <v>7711</v>
      </c>
      <c r="F18" s="97">
        <v>7692</v>
      </c>
    </row>
    <row r="19" spans="1:6" ht="13.2">
      <c r="A19" s="100" t="s">
        <v>386</v>
      </c>
      <c r="C19" s="97">
        <v>2731</v>
      </c>
      <c r="D19" s="97">
        <v>2672</v>
      </c>
      <c r="E19" s="97">
        <v>32325</v>
      </c>
      <c r="F19" s="97">
        <v>31486</v>
      </c>
    </row>
    <row r="20" spans="1:6" ht="13.2">
      <c r="A20" s="100" t="s">
        <v>385</v>
      </c>
      <c r="C20" s="97">
        <v>88940</v>
      </c>
      <c r="D20" s="97">
        <v>84603</v>
      </c>
      <c r="E20" s="97">
        <v>50263</v>
      </c>
      <c r="F20" s="97">
        <v>48045</v>
      </c>
    </row>
    <row r="21" spans="1:6" ht="13.2">
      <c r="A21" s="100" t="s">
        <v>384</v>
      </c>
      <c r="C21" s="97" t="s">
        <v>184</v>
      </c>
      <c r="D21" s="97" t="s">
        <v>184</v>
      </c>
      <c r="E21" s="97">
        <v>294</v>
      </c>
      <c r="F21" s="97"/>
    </row>
    <row r="22" spans="1:6" ht="13.2">
      <c r="C22" s="36">
        <v>145270</v>
      </c>
      <c r="D22" s="36">
        <v>130672</v>
      </c>
      <c r="E22" s="36">
        <v>146010</v>
      </c>
      <c r="F22" s="36">
        <v>135817</v>
      </c>
    </row>
    <row r="23" spans="1:6" ht="13.8" thickBot="1">
      <c r="A23" s="101" t="s">
        <v>383</v>
      </c>
      <c r="C23" s="27">
        <v>279012</v>
      </c>
      <c r="D23" s="27">
        <v>261588</v>
      </c>
      <c r="E23" s="27">
        <v>233844</v>
      </c>
      <c r="F23" s="27">
        <v>226749</v>
      </c>
    </row>
    <row r="24" spans="1:6" ht="13.2">
      <c r="C24" s="97"/>
      <c r="D24" s="97"/>
      <c r="E24" s="97"/>
      <c r="F24" s="97"/>
    </row>
    <row r="25" spans="1:6" ht="13.2">
      <c r="A25" s="101" t="s">
        <v>382</v>
      </c>
      <c r="C25" s="97"/>
      <c r="D25" s="97"/>
      <c r="E25" s="97"/>
      <c r="F25" s="97"/>
    </row>
    <row r="26" spans="1:6" ht="13.2">
      <c r="A26" s="101" t="s">
        <v>381</v>
      </c>
      <c r="C26" s="97"/>
      <c r="D26" s="97"/>
      <c r="E26" s="97"/>
      <c r="F26" s="97"/>
    </row>
    <row r="27" spans="1:6" ht="13.2">
      <c r="A27" s="100" t="s">
        <v>380</v>
      </c>
      <c r="C27" s="97">
        <v>66821</v>
      </c>
      <c r="D27" s="97">
        <v>56135</v>
      </c>
      <c r="E27" s="97">
        <v>56227</v>
      </c>
      <c r="F27" s="97">
        <v>47186</v>
      </c>
    </row>
    <row r="28" spans="1:6" ht="13.2">
      <c r="A28" s="100" t="s">
        <v>379</v>
      </c>
      <c r="C28" s="97">
        <v>1480</v>
      </c>
      <c r="D28" s="97">
        <v>141</v>
      </c>
      <c r="E28" s="97" t="s">
        <v>184</v>
      </c>
      <c r="F28" s="97" t="s">
        <v>184</v>
      </c>
    </row>
    <row r="29" spans="1:6" ht="13.2">
      <c r="C29" s="36">
        <f>C27+C28</f>
        <v>68301</v>
      </c>
      <c r="D29" s="36">
        <v>56276</v>
      </c>
      <c r="E29" s="36">
        <v>56227</v>
      </c>
      <c r="F29" s="36">
        <v>47186</v>
      </c>
    </row>
    <row r="30" spans="1:6" ht="13.2">
      <c r="A30" s="101" t="s">
        <v>236</v>
      </c>
      <c r="C30" s="97"/>
      <c r="D30" s="97"/>
      <c r="E30" s="97"/>
      <c r="F30" s="97"/>
    </row>
    <row r="31" spans="1:6" ht="13.2">
      <c r="A31" s="100" t="s">
        <v>378</v>
      </c>
      <c r="C31" s="97">
        <v>2020</v>
      </c>
      <c r="D31" s="97">
        <v>2377</v>
      </c>
      <c r="E31" s="97">
        <v>3731</v>
      </c>
      <c r="F31" s="97">
        <v>5245</v>
      </c>
    </row>
    <row r="32" spans="1:6" ht="13.2">
      <c r="A32" s="100" t="s">
        <v>377</v>
      </c>
      <c r="C32" s="97">
        <v>1534</v>
      </c>
      <c r="D32" s="97">
        <v>1549</v>
      </c>
      <c r="E32" s="97">
        <v>1866</v>
      </c>
      <c r="F32" s="97">
        <v>1938</v>
      </c>
    </row>
    <row r="33" spans="1:6" ht="13.2">
      <c r="A33" s="100" t="s">
        <v>376</v>
      </c>
      <c r="C33" s="97">
        <v>71</v>
      </c>
      <c r="D33" s="97">
        <v>392</v>
      </c>
      <c r="E33" s="97" t="s">
        <v>184</v>
      </c>
      <c r="F33" s="97" t="s">
        <v>184</v>
      </c>
    </row>
    <row r="34" spans="1:6" ht="13.2">
      <c r="C34" s="36">
        <v>3625</v>
      </c>
      <c r="D34" s="36">
        <v>4318</v>
      </c>
      <c r="E34" s="36">
        <v>5597</v>
      </c>
      <c r="F34" s="36">
        <v>7183</v>
      </c>
    </row>
    <row r="35" spans="1:6" ht="13.8" thickBot="1">
      <c r="A35" s="101" t="s">
        <v>230</v>
      </c>
      <c r="C35" s="27">
        <v>71926</v>
      </c>
      <c r="D35" s="27">
        <v>60594</v>
      </c>
      <c r="E35" s="27">
        <v>61824</v>
      </c>
      <c r="F35" s="27">
        <v>54369</v>
      </c>
    </row>
    <row r="36" spans="1:6" ht="13.8" thickBot="1">
      <c r="A36" s="101" t="s">
        <v>375</v>
      </c>
      <c r="C36" s="27">
        <v>207086</v>
      </c>
      <c r="D36" s="27">
        <v>200994</v>
      </c>
      <c r="E36" s="27">
        <v>172020</v>
      </c>
      <c r="F36" s="27">
        <v>172380</v>
      </c>
    </row>
    <row r="37" spans="1:6" ht="13.2">
      <c r="C37" s="97"/>
      <c r="D37" s="97"/>
      <c r="E37" s="97"/>
      <c r="F37" s="97"/>
    </row>
    <row r="38" spans="1:6" ht="13.2">
      <c r="A38" s="101" t="s">
        <v>374</v>
      </c>
      <c r="C38" s="97"/>
      <c r="D38" s="97"/>
      <c r="E38" s="97"/>
      <c r="F38" s="97"/>
    </row>
    <row r="39" spans="1:6" ht="13.2">
      <c r="A39" s="101" t="s">
        <v>373</v>
      </c>
      <c r="C39" s="97"/>
      <c r="D39" s="97"/>
      <c r="E39" s="97"/>
      <c r="F39" s="97"/>
    </row>
    <row r="40" spans="1:6" ht="13.2">
      <c r="A40" s="100" t="s">
        <v>227</v>
      </c>
      <c r="C40" s="97">
        <v>91710</v>
      </c>
      <c r="D40" s="97">
        <v>91710</v>
      </c>
      <c r="E40" s="97">
        <v>91710</v>
      </c>
      <c r="F40" s="97">
        <v>91710</v>
      </c>
    </row>
    <row r="41" spans="1:6" ht="13.2">
      <c r="A41" s="100" t="s">
        <v>372</v>
      </c>
      <c r="C41" s="97">
        <v>17000</v>
      </c>
      <c r="D41" s="97">
        <v>17000</v>
      </c>
      <c r="E41" s="97">
        <v>17000</v>
      </c>
      <c r="F41" s="97">
        <v>17000</v>
      </c>
    </row>
    <row r="42" spans="1:6" ht="13.2">
      <c r="A42" s="100" t="s">
        <v>371</v>
      </c>
      <c r="C42" s="97">
        <v>1227</v>
      </c>
      <c r="D42" s="97">
        <v>1365</v>
      </c>
      <c r="E42" s="97">
        <v>1278</v>
      </c>
      <c r="F42" s="97">
        <v>1278</v>
      </c>
    </row>
    <row r="43" spans="1:6" ht="13.2">
      <c r="A43" s="100" t="s">
        <v>370</v>
      </c>
      <c r="C43" s="97">
        <v>-228</v>
      </c>
      <c r="D43" s="97">
        <v>-228</v>
      </c>
      <c r="E43" s="97">
        <v>-197</v>
      </c>
      <c r="F43" s="97">
        <v>-203</v>
      </c>
    </row>
    <row r="44" spans="1:6" ht="13.2">
      <c r="A44" s="100" t="s">
        <v>369</v>
      </c>
      <c r="C44" s="97"/>
      <c r="D44" s="97"/>
      <c r="E44" s="97" t="s">
        <v>184</v>
      </c>
      <c r="F44" s="97">
        <v>-140</v>
      </c>
    </row>
    <row r="45" spans="1:6" ht="13.2">
      <c r="A45" s="100" t="s">
        <v>368</v>
      </c>
      <c r="C45" s="97">
        <v>97377</v>
      </c>
      <c r="D45" s="97">
        <v>91147</v>
      </c>
      <c r="E45" s="97">
        <v>62229</v>
      </c>
      <c r="F45" s="97">
        <v>62735</v>
      </c>
    </row>
    <row r="46" spans="1:6" ht="13.8" thickBot="1">
      <c r="A46" s="101" t="s">
        <v>223</v>
      </c>
      <c r="C46" s="34">
        <v>207086</v>
      </c>
      <c r="D46" s="34">
        <v>200994</v>
      </c>
      <c r="E46" s="34">
        <v>172020</v>
      </c>
      <c r="F46" s="34">
        <v>172380</v>
      </c>
    </row>
    <row r="47" spans="1:6" ht="13.2">
      <c r="C47" s="97"/>
      <c r="D47" s="97"/>
      <c r="E47" s="97"/>
      <c r="F47" s="97"/>
    </row>
    <row r="48" spans="1:6" ht="13.2">
      <c r="C48" s="97"/>
      <c r="D48" s="97"/>
      <c r="E48" s="97"/>
      <c r="F48" s="97"/>
    </row>
    <row r="49" spans="3:6" ht="13.2">
      <c r="C49" s="97"/>
      <c r="D49" s="97"/>
      <c r="E49" s="97"/>
      <c r="F49" s="97"/>
    </row>
    <row r="50" spans="3:6" ht="13.2">
      <c r="C50" s="97"/>
      <c r="D50" s="97"/>
      <c r="E50" s="97"/>
      <c r="F50" s="97"/>
    </row>
    <row r="51" spans="3:6" ht="13.2">
      <c r="C51" s="97"/>
      <c r="D51" s="97"/>
      <c r="E51" s="97"/>
      <c r="F51" s="97"/>
    </row>
    <row r="52" spans="3:6" ht="13.2">
      <c r="C52" s="97"/>
      <c r="D52" s="97"/>
      <c r="E52" s="97"/>
      <c r="F52" s="97"/>
    </row>
    <row r="53" spans="3:6" ht="13.2">
      <c r="C53" s="97"/>
      <c r="D53" s="97"/>
      <c r="E53" s="97"/>
      <c r="F53" s="97"/>
    </row>
    <row r="54" spans="3:6" ht="13.2">
      <c r="C54" s="97"/>
      <c r="D54" s="97"/>
      <c r="E54" s="97"/>
      <c r="F54" s="97"/>
    </row>
    <row r="55" spans="3:6" ht="13.2">
      <c r="C55" s="97"/>
      <c r="D55" s="97"/>
      <c r="E55" s="97"/>
      <c r="F55" s="97"/>
    </row>
    <row r="56" spans="3:6" ht="13.2">
      <c r="C56" s="97"/>
      <c r="D56" s="97"/>
      <c r="E56" s="97"/>
      <c r="F56" s="97"/>
    </row>
    <row r="57" spans="3:6" ht="13.2">
      <c r="C57" s="97"/>
      <c r="D57" s="97"/>
      <c r="E57" s="97"/>
      <c r="F57" s="97"/>
    </row>
    <row r="58" spans="3:6" ht="13.2">
      <c r="C58" s="97"/>
      <c r="D58" s="97"/>
      <c r="E58" s="97"/>
      <c r="F58" s="97"/>
    </row>
    <row r="59" spans="3:6" ht="13.2">
      <c r="C59" s="97"/>
      <c r="D59" s="97"/>
      <c r="E59" s="97"/>
      <c r="F59" s="97"/>
    </row>
    <row r="60" spans="3:6" ht="13.2">
      <c r="C60" s="97"/>
      <c r="D60" s="97"/>
      <c r="E60" s="97"/>
      <c r="F60" s="97"/>
    </row>
    <row r="61" spans="3:6" ht="13.2">
      <c r="C61" s="97"/>
      <c r="D61" s="97"/>
      <c r="E61" s="97"/>
      <c r="F61" s="97"/>
    </row>
    <row r="62" spans="3:6" ht="13.2">
      <c r="C62" s="97"/>
      <c r="D62" s="97"/>
      <c r="E62" s="97"/>
      <c r="F62" s="97"/>
    </row>
    <row r="63" spans="3:6" ht="13.2">
      <c r="C63" s="97"/>
      <c r="D63" s="97"/>
      <c r="E63" s="97"/>
      <c r="F63" s="97"/>
    </row>
    <row r="64" spans="3:6" ht="13.2">
      <c r="C64" s="97"/>
      <c r="D64" s="97"/>
      <c r="E64" s="97"/>
      <c r="F64" s="97"/>
    </row>
    <row r="65" spans="3:6" ht="13.2">
      <c r="C65" s="97"/>
      <c r="D65" s="97"/>
      <c r="E65" s="97"/>
      <c r="F65" s="97"/>
    </row>
    <row r="66" spans="3:6" ht="13.2">
      <c r="C66" s="97"/>
      <c r="D66" s="97"/>
      <c r="E66" s="97"/>
      <c r="F66" s="97"/>
    </row>
    <row r="67" spans="3:6" ht="13.2">
      <c r="C67" s="97"/>
      <c r="D67" s="97"/>
      <c r="E67" s="97"/>
      <c r="F67" s="97"/>
    </row>
    <row r="68" spans="3:6" ht="13.2">
      <c r="C68" s="97"/>
      <c r="D68" s="97"/>
      <c r="E68" s="97"/>
      <c r="F68" s="97"/>
    </row>
    <row r="69" spans="3:6" ht="13.2">
      <c r="C69" s="97"/>
      <c r="D69" s="97"/>
      <c r="E69" s="97"/>
      <c r="F69" s="97"/>
    </row>
    <row r="70" spans="3:6" ht="13.2">
      <c r="C70" s="97"/>
      <c r="D70" s="97"/>
      <c r="E70" s="97"/>
      <c r="F70" s="97"/>
    </row>
    <row r="71" spans="3:6" ht="13.2">
      <c r="C71" s="97"/>
      <c r="D71" s="97"/>
      <c r="E71" s="97"/>
      <c r="F71" s="97"/>
    </row>
    <row r="72" spans="3:6" ht="13.2">
      <c r="C72" s="97"/>
      <c r="D72" s="97"/>
      <c r="E72" s="97"/>
      <c r="F72" s="97"/>
    </row>
    <row r="73" spans="3:6" ht="13.2">
      <c r="C73" s="97"/>
      <c r="D73" s="97"/>
      <c r="E73" s="97"/>
      <c r="F73" s="97"/>
    </row>
    <row r="74" spans="3:6" ht="13.2">
      <c r="C74" s="97"/>
      <c r="D74" s="97"/>
      <c r="E74" s="97"/>
      <c r="F74" s="97"/>
    </row>
    <row r="75" spans="3:6" ht="13.2">
      <c r="C75" s="97"/>
      <c r="D75" s="97"/>
      <c r="E75" s="97"/>
      <c r="F75" s="97"/>
    </row>
    <row r="76" spans="3:6" ht="13.2">
      <c r="C76" s="97"/>
      <c r="D76" s="97"/>
      <c r="E76" s="97"/>
      <c r="F76" s="97"/>
    </row>
    <row r="77" spans="3:6" ht="13.2">
      <c r="C77" s="97"/>
      <c r="D77" s="97"/>
      <c r="E77" s="97"/>
      <c r="F77" s="97"/>
    </row>
    <row r="78" spans="3:6" ht="13.2">
      <c r="C78" s="97"/>
      <c r="D78" s="97"/>
      <c r="E78" s="97"/>
      <c r="F78" s="97"/>
    </row>
    <row r="79" spans="3:6" ht="13.2">
      <c r="C79" s="97"/>
      <c r="D79" s="97"/>
      <c r="E79" s="97"/>
      <c r="F79" s="97"/>
    </row>
    <row r="80" spans="3:6" ht="13.2">
      <c r="C80" s="97"/>
      <c r="D80" s="97"/>
      <c r="E80" s="97"/>
      <c r="F80" s="97"/>
    </row>
    <row r="81" spans="3:6" ht="13.2">
      <c r="C81" s="97"/>
      <c r="D81" s="97"/>
      <c r="E81" s="97"/>
      <c r="F81" s="97"/>
    </row>
    <row r="82" spans="3:6" ht="13.2">
      <c r="C82" s="97"/>
      <c r="D82" s="97"/>
      <c r="E82" s="97"/>
      <c r="F82" s="97"/>
    </row>
    <row r="83" spans="3:6" ht="13.2">
      <c r="C83" s="97"/>
      <c r="D83" s="97"/>
      <c r="E83" s="97"/>
      <c r="F83" s="97"/>
    </row>
    <row r="84" spans="3:6" ht="13.2">
      <c r="C84" s="97"/>
      <c r="D84" s="97"/>
      <c r="E84" s="97"/>
      <c r="F84" s="97"/>
    </row>
    <row r="85" spans="3:6" ht="13.2">
      <c r="C85" s="97"/>
      <c r="D85" s="97"/>
      <c r="E85" s="97"/>
      <c r="F85" s="97"/>
    </row>
    <row r="86" spans="3:6" ht="13.2">
      <c r="C86" s="97"/>
      <c r="D86" s="97"/>
      <c r="E86" s="97"/>
      <c r="F86" s="97"/>
    </row>
    <row r="87" spans="3:6" ht="13.2">
      <c r="C87" s="97"/>
      <c r="D87" s="97"/>
      <c r="E87" s="97"/>
      <c r="F87" s="97"/>
    </row>
    <row r="88" spans="3:6" ht="13.2">
      <c r="C88" s="97"/>
      <c r="D88" s="97"/>
      <c r="E88" s="97"/>
      <c r="F88" s="97"/>
    </row>
    <row r="89" spans="3:6" ht="13.2">
      <c r="C89" s="97"/>
      <c r="D89" s="97"/>
      <c r="E89" s="97"/>
      <c r="F89" s="97"/>
    </row>
    <row r="90" spans="3:6" ht="13.2">
      <c r="C90" s="97"/>
      <c r="D90" s="97"/>
      <c r="E90" s="97"/>
      <c r="F90" s="97"/>
    </row>
    <row r="91" spans="3:6" ht="13.2">
      <c r="C91" s="97"/>
      <c r="D91" s="97"/>
      <c r="E91" s="97"/>
      <c r="F91" s="97"/>
    </row>
    <row r="92" spans="3:6" ht="13.2">
      <c r="C92" s="97"/>
      <c r="D92" s="97"/>
      <c r="E92" s="97"/>
      <c r="F92" s="97"/>
    </row>
    <row r="93" spans="3:6" ht="13.2">
      <c r="C93" s="97"/>
      <c r="D93" s="97"/>
      <c r="E93" s="97"/>
      <c r="F93" s="97"/>
    </row>
    <row r="94" spans="3:6" ht="13.2">
      <c r="C94" s="97"/>
      <c r="D94" s="97"/>
      <c r="E94" s="97"/>
      <c r="F94" s="97"/>
    </row>
    <row r="95" spans="3:6" ht="13.2">
      <c r="C95" s="97"/>
      <c r="D95" s="97"/>
      <c r="E95" s="97"/>
      <c r="F95" s="97"/>
    </row>
    <row r="96" spans="3:6" ht="13.2">
      <c r="C96" s="97"/>
      <c r="D96" s="97"/>
      <c r="E96" s="97"/>
      <c r="F96" s="97"/>
    </row>
    <row r="97" spans="3:6" ht="13.2">
      <c r="C97" s="97"/>
      <c r="D97" s="97"/>
      <c r="E97" s="97"/>
      <c r="F97" s="97"/>
    </row>
    <row r="98" spans="3:6" ht="13.2">
      <c r="C98" s="97"/>
      <c r="D98" s="97"/>
      <c r="E98" s="97"/>
      <c r="F98" s="97"/>
    </row>
    <row r="99" spans="3:6" ht="13.2">
      <c r="C99" s="97"/>
      <c r="D99" s="97"/>
      <c r="E99" s="97"/>
      <c r="F99" s="97"/>
    </row>
    <row r="100" spans="3:6" ht="13.2">
      <c r="C100" s="97"/>
      <c r="D100" s="97"/>
      <c r="E100" s="97"/>
      <c r="F100" s="97"/>
    </row>
    <row r="101" spans="3:6" ht="13.2">
      <c r="C101" s="97"/>
      <c r="D101" s="97"/>
      <c r="E101" s="97"/>
      <c r="F101" s="97"/>
    </row>
    <row r="102" spans="3:6" ht="13.2">
      <c r="C102" s="97"/>
      <c r="D102" s="97"/>
      <c r="E102" s="97"/>
      <c r="F102" s="97"/>
    </row>
    <row r="103" spans="3:6" ht="13.2">
      <c r="C103" s="97"/>
      <c r="D103" s="97"/>
      <c r="E103" s="97"/>
      <c r="F103" s="97"/>
    </row>
    <row r="104" spans="3:6" ht="13.2">
      <c r="C104" s="97"/>
      <c r="D104" s="97"/>
      <c r="E104" s="97"/>
      <c r="F104" s="97"/>
    </row>
    <row r="105" spans="3:6" ht="13.2">
      <c r="C105" s="97"/>
      <c r="D105" s="97"/>
      <c r="E105" s="97"/>
      <c r="F105" s="97"/>
    </row>
    <row r="106" spans="3:6" ht="13.2">
      <c r="C106" s="97"/>
      <c r="D106" s="97"/>
      <c r="E106" s="97"/>
      <c r="F106" s="97"/>
    </row>
    <row r="107" spans="3:6" ht="13.2">
      <c r="C107" s="97"/>
      <c r="D107" s="97"/>
      <c r="E107" s="97"/>
      <c r="F107" s="97"/>
    </row>
    <row r="108" spans="3:6" ht="13.2">
      <c r="C108" s="97"/>
      <c r="D108" s="97"/>
      <c r="E108" s="97"/>
      <c r="F108" s="97"/>
    </row>
    <row r="109" spans="3:6" ht="13.2">
      <c r="C109" s="97"/>
      <c r="D109" s="97"/>
      <c r="E109" s="97"/>
      <c r="F109" s="97"/>
    </row>
    <row r="110" spans="3:6" ht="13.2">
      <c r="C110" s="97"/>
      <c r="D110" s="97"/>
      <c r="E110" s="97"/>
      <c r="F110" s="97"/>
    </row>
    <row r="111" spans="3:6" ht="13.2">
      <c r="C111" s="97"/>
      <c r="D111" s="97"/>
      <c r="E111" s="97"/>
      <c r="F111" s="97"/>
    </row>
    <row r="112" spans="3:6" ht="13.2">
      <c r="C112" s="97"/>
      <c r="D112" s="97"/>
      <c r="E112" s="97"/>
      <c r="F112" s="97"/>
    </row>
    <row r="113" spans="3:6" ht="13.2">
      <c r="C113" s="97"/>
      <c r="D113" s="97"/>
      <c r="E113" s="97"/>
      <c r="F113" s="97"/>
    </row>
    <row r="114" spans="3:6" ht="13.2">
      <c r="C114" s="97"/>
      <c r="D114" s="97"/>
      <c r="E114" s="97"/>
      <c r="F114" s="97"/>
    </row>
    <row r="115" spans="3:6" ht="13.2">
      <c r="C115" s="97"/>
      <c r="D115" s="97"/>
      <c r="E115" s="97"/>
      <c r="F115" s="97"/>
    </row>
    <row r="116" spans="3:6" ht="13.2">
      <c r="C116" s="97"/>
      <c r="D116" s="97"/>
      <c r="E116" s="97"/>
      <c r="F116" s="97"/>
    </row>
    <row r="117" spans="3:6" ht="13.2">
      <c r="C117" s="97"/>
      <c r="D117" s="97"/>
      <c r="E117" s="97"/>
      <c r="F117" s="97"/>
    </row>
    <row r="118" spans="3:6" ht="13.2">
      <c r="C118" s="97"/>
      <c r="D118" s="97"/>
      <c r="E118" s="97"/>
      <c r="F118" s="97"/>
    </row>
    <row r="119" spans="3:6" ht="13.2">
      <c r="C119" s="97"/>
      <c r="D119" s="97"/>
      <c r="E119" s="97"/>
      <c r="F119" s="97"/>
    </row>
    <row r="120" spans="3:6" ht="13.2">
      <c r="C120" s="97"/>
      <c r="D120" s="97"/>
      <c r="E120" s="97"/>
      <c r="F120" s="97"/>
    </row>
    <row r="121" spans="3:6" ht="13.2">
      <c r="C121" s="97"/>
      <c r="D121" s="97"/>
      <c r="E121" s="97"/>
      <c r="F121" s="97"/>
    </row>
    <row r="122" spans="3:6" ht="13.2">
      <c r="C122" s="97"/>
      <c r="D122" s="97"/>
      <c r="E122" s="97"/>
      <c r="F122" s="97"/>
    </row>
    <row r="123" spans="3:6" ht="13.2">
      <c r="C123" s="97"/>
      <c r="D123" s="97"/>
      <c r="E123" s="97"/>
      <c r="F123" s="97"/>
    </row>
    <row r="124" spans="3:6" ht="13.2">
      <c r="C124" s="97"/>
      <c r="D124" s="97"/>
      <c r="E124" s="97"/>
      <c r="F124" s="97"/>
    </row>
    <row r="125" spans="3:6" ht="13.2">
      <c r="C125" s="97"/>
      <c r="D125" s="97"/>
      <c r="E125" s="97"/>
      <c r="F125" s="97"/>
    </row>
    <row r="126" spans="3:6" ht="13.2">
      <c r="C126" s="97"/>
      <c r="D126" s="97"/>
      <c r="E126" s="97"/>
      <c r="F126" s="97"/>
    </row>
    <row r="127" spans="3:6" ht="13.2">
      <c r="C127" s="97"/>
      <c r="D127" s="97"/>
      <c r="E127" s="97"/>
      <c r="F127" s="97"/>
    </row>
    <row r="128" spans="3:6" ht="13.2">
      <c r="C128" s="97"/>
      <c r="D128" s="97"/>
      <c r="E128" s="97"/>
      <c r="F128" s="97"/>
    </row>
    <row r="129" spans="3:6" ht="13.2">
      <c r="C129" s="97"/>
      <c r="D129" s="97"/>
      <c r="E129" s="97"/>
      <c r="F129" s="97"/>
    </row>
    <row r="130" spans="3:6" ht="13.2">
      <c r="C130" s="97"/>
      <c r="D130" s="97"/>
      <c r="E130" s="97"/>
      <c r="F130" s="97"/>
    </row>
    <row r="131" spans="3:6" ht="13.2">
      <c r="C131" s="97"/>
      <c r="D131" s="97"/>
      <c r="E131" s="97"/>
      <c r="F131" s="97"/>
    </row>
    <row r="132" spans="3:6" ht="13.2">
      <c r="C132" s="97"/>
      <c r="D132" s="97"/>
      <c r="E132" s="97"/>
      <c r="F132" s="97"/>
    </row>
    <row r="133" spans="3:6" ht="13.2">
      <c r="C133" s="97"/>
      <c r="D133" s="97"/>
      <c r="E133" s="97"/>
      <c r="F133" s="97"/>
    </row>
    <row r="134" spans="3:6" ht="13.2">
      <c r="C134" s="97"/>
      <c r="D134" s="97"/>
      <c r="E134" s="97"/>
      <c r="F134" s="97"/>
    </row>
    <row r="135" spans="3:6" ht="13.2">
      <c r="C135" s="97"/>
      <c r="D135" s="97"/>
      <c r="E135" s="97"/>
      <c r="F135" s="97"/>
    </row>
    <row r="136" spans="3:6" ht="13.2">
      <c r="C136" s="97"/>
      <c r="D136" s="97"/>
      <c r="E136" s="97"/>
      <c r="F136" s="97"/>
    </row>
    <row r="137" spans="3:6" ht="13.2">
      <c r="C137" s="97"/>
      <c r="D137" s="97"/>
      <c r="E137" s="97"/>
      <c r="F137" s="97"/>
    </row>
    <row r="138" spans="3:6" ht="13.2">
      <c r="C138" s="97"/>
      <c r="D138" s="97"/>
      <c r="E138" s="97"/>
      <c r="F138" s="97"/>
    </row>
    <row r="139" spans="3:6" ht="13.2">
      <c r="C139" s="97"/>
      <c r="D139" s="97"/>
      <c r="E139" s="97"/>
      <c r="F139" s="97"/>
    </row>
    <row r="140" spans="3:6" ht="13.2">
      <c r="C140" s="97"/>
      <c r="D140" s="97"/>
      <c r="E140" s="97"/>
      <c r="F140" s="97"/>
    </row>
    <row r="141" spans="3:6" ht="13.2">
      <c r="C141" s="97"/>
      <c r="D141" s="97"/>
      <c r="E141" s="97"/>
      <c r="F141" s="97"/>
    </row>
    <row r="142" spans="3:6" ht="13.2">
      <c r="C142" s="97"/>
      <c r="D142" s="97"/>
      <c r="E142" s="97"/>
      <c r="F142" s="97"/>
    </row>
    <row r="143" spans="3:6" ht="13.2">
      <c r="C143" s="97"/>
      <c r="D143" s="97"/>
      <c r="E143" s="97"/>
      <c r="F143" s="97"/>
    </row>
    <row r="144" spans="3:6" ht="13.2">
      <c r="C144" s="97"/>
      <c r="D144" s="97"/>
      <c r="E144" s="97"/>
      <c r="F144" s="97"/>
    </row>
    <row r="145" spans="3:6" ht="13.2">
      <c r="C145" s="97"/>
      <c r="D145" s="97"/>
      <c r="E145" s="97"/>
      <c r="F145" s="97"/>
    </row>
    <row r="146" spans="3:6" ht="13.2">
      <c r="C146" s="97"/>
      <c r="D146" s="97"/>
      <c r="E146" s="97"/>
      <c r="F146" s="97"/>
    </row>
    <row r="147" spans="3:6" ht="13.2">
      <c r="C147" s="97"/>
      <c r="D147" s="97"/>
      <c r="E147" s="97"/>
      <c r="F147" s="97"/>
    </row>
    <row r="148" spans="3:6" ht="13.2">
      <c r="C148" s="97"/>
      <c r="D148" s="97"/>
      <c r="E148" s="97"/>
      <c r="F148" s="97"/>
    </row>
    <row r="149" spans="3:6" ht="13.2">
      <c r="C149" s="97"/>
      <c r="D149" s="97"/>
      <c r="E149" s="97"/>
      <c r="F149" s="97"/>
    </row>
    <row r="150" spans="3:6" ht="13.2">
      <c r="C150" s="97"/>
      <c r="D150" s="97"/>
      <c r="E150" s="97"/>
      <c r="F150" s="97"/>
    </row>
    <row r="151" spans="3:6" ht="13.2">
      <c r="C151" s="97"/>
      <c r="D151" s="97"/>
      <c r="E151" s="97"/>
      <c r="F151" s="97"/>
    </row>
    <row r="152" spans="3:6" ht="13.2">
      <c r="C152" s="97"/>
      <c r="D152" s="97"/>
      <c r="E152" s="97"/>
      <c r="F152" s="97"/>
    </row>
    <row r="153" spans="3:6" ht="13.2">
      <c r="C153" s="97"/>
      <c r="D153" s="97"/>
      <c r="E153" s="97"/>
      <c r="F153" s="97"/>
    </row>
    <row r="154" spans="3:6" ht="13.2">
      <c r="C154" s="97"/>
      <c r="D154" s="97"/>
      <c r="E154" s="97"/>
      <c r="F154" s="97"/>
    </row>
    <row r="155" spans="3:6" ht="13.2">
      <c r="C155" s="97"/>
      <c r="D155" s="97"/>
      <c r="E155" s="97"/>
      <c r="F155" s="97"/>
    </row>
    <row r="156" spans="3:6" ht="13.2">
      <c r="C156" s="97"/>
      <c r="D156" s="97"/>
      <c r="E156" s="97"/>
      <c r="F156" s="97"/>
    </row>
    <row r="157" spans="3:6" ht="13.2">
      <c r="C157" s="97"/>
      <c r="D157" s="97"/>
      <c r="E157" s="97"/>
      <c r="F157" s="97"/>
    </row>
    <row r="158" spans="3:6" ht="13.2">
      <c r="C158" s="97"/>
      <c r="D158" s="97"/>
      <c r="E158" s="97"/>
      <c r="F158" s="97"/>
    </row>
    <row r="159" spans="3:6" ht="13.2">
      <c r="C159" s="97"/>
      <c r="D159" s="97"/>
      <c r="E159" s="97"/>
      <c r="F159" s="97"/>
    </row>
    <row r="160" spans="3:6" ht="13.2">
      <c r="C160" s="97"/>
      <c r="D160" s="97"/>
      <c r="E160" s="97"/>
      <c r="F160" s="97"/>
    </row>
    <row r="161" spans="3:6" ht="13.2">
      <c r="C161" s="97"/>
      <c r="D161" s="97"/>
      <c r="E161" s="97"/>
      <c r="F161" s="97"/>
    </row>
    <row r="162" spans="3:6" ht="13.2">
      <c r="C162" s="97"/>
      <c r="D162" s="97"/>
      <c r="E162" s="97"/>
      <c r="F162" s="97"/>
    </row>
    <row r="163" spans="3:6" ht="13.2">
      <c r="C163" s="97"/>
      <c r="D163" s="97"/>
      <c r="E163" s="97"/>
      <c r="F163" s="97"/>
    </row>
    <row r="164" spans="3:6" ht="13.2">
      <c r="C164" s="97"/>
      <c r="D164" s="97"/>
      <c r="E164" s="97"/>
      <c r="F164" s="97"/>
    </row>
    <row r="165" spans="3:6" ht="13.2">
      <c r="C165" s="97"/>
      <c r="D165" s="97"/>
      <c r="E165" s="97"/>
      <c r="F165" s="97"/>
    </row>
    <row r="166" spans="3:6" ht="13.2">
      <c r="C166" s="97"/>
      <c r="D166" s="97"/>
      <c r="E166" s="97"/>
      <c r="F166" s="97"/>
    </row>
    <row r="167" spans="3:6" ht="13.2">
      <c r="C167" s="97"/>
      <c r="D167" s="97"/>
      <c r="E167" s="97"/>
      <c r="F167" s="97"/>
    </row>
    <row r="168" spans="3:6" ht="13.2">
      <c r="C168" s="97"/>
      <c r="D168" s="97"/>
      <c r="E168" s="97"/>
      <c r="F168" s="97"/>
    </row>
    <row r="169" spans="3:6" ht="13.2">
      <c r="C169" s="97"/>
      <c r="D169" s="97"/>
      <c r="E169" s="97"/>
      <c r="F169" s="97"/>
    </row>
    <row r="170" spans="3:6" ht="13.2">
      <c r="C170" s="97"/>
      <c r="D170" s="97"/>
      <c r="E170" s="97"/>
      <c r="F170" s="97"/>
    </row>
    <row r="171" spans="3:6" ht="13.2">
      <c r="C171" s="97"/>
      <c r="D171" s="97"/>
      <c r="E171" s="97"/>
      <c r="F171" s="97"/>
    </row>
    <row r="172" spans="3:6" ht="13.2">
      <c r="C172" s="97"/>
      <c r="D172" s="97"/>
      <c r="E172" s="97"/>
      <c r="F172" s="97"/>
    </row>
    <row r="173" spans="3:6" ht="13.2">
      <c r="C173" s="97"/>
      <c r="D173" s="97"/>
      <c r="E173" s="97"/>
      <c r="F173" s="97"/>
    </row>
    <row r="174" spans="3:6" ht="13.2">
      <c r="C174" s="97"/>
      <c r="D174" s="97"/>
      <c r="E174" s="97"/>
      <c r="F174" s="97"/>
    </row>
    <row r="175" spans="3:6" ht="13.2">
      <c r="C175" s="97"/>
      <c r="D175" s="97"/>
      <c r="E175" s="97"/>
      <c r="F175" s="97"/>
    </row>
    <row r="176" spans="3:6" ht="13.2">
      <c r="C176" s="97"/>
      <c r="D176" s="97"/>
      <c r="E176" s="97"/>
      <c r="F176" s="97"/>
    </row>
    <row r="177" spans="3:6" ht="13.2">
      <c r="C177" s="97"/>
      <c r="D177" s="97"/>
      <c r="E177" s="97"/>
      <c r="F177" s="97"/>
    </row>
    <row r="178" spans="3:6" ht="13.2">
      <c r="C178" s="97"/>
      <c r="D178" s="97"/>
      <c r="E178" s="97"/>
      <c r="F178" s="97"/>
    </row>
    <row r="179" spans="3:6" ht="13.2">
      <c r="C179" s="97"/>
      <c r="D179" s="97"/>
      <c r="E179" s="97"/>
      <c r="F179" s="97"/>
    </row>
    <row r="180" spans="3:6" ht="13.2">
      <c r="C180" s="97"/>
      <c r="D180" s="97"/>
      <c r="E180" s="97"/>
      <c r="F180" s="97"/>
    </row>
    <row r="181" spans="3:6" ht="13.2">
      <c r="C181" s="97"/>
      <c r="D181" s="97"/>
      <c r="E181" s="97"/>
      <c r="F181" s="97"/>
    </row>
    <row r="182" spans="3:6" ht="13.2">
      <c r="C182" s="97"/>
      <c r="D182" s="97"/>
      <c r="E182" s="97"/>
      <c r="F182" s="97"/>
    </row>
    <row r="183" spans="3:6" ht="13.2">
      <c r="C183" s="97"/>
      <c r="D183" s="97"/>
      <c r="E183" s="97"/>
      <c r="F183" s="97"/>
    </row>
    <row r="184" spans="3:6" ht="13.2">
      <c r="C184" s="97"/>
      <c r="D184" s="97"/>
      <c r="E184" s="97"/>
      <c r="F184" s="97"/>
    </row>
    <row r="185" spans="3:6" ht="13.2">
      <c r="C185" s="97"/>
      <c r="D185" s="97"/>
      <c r="E185" s="97"/>
      <c r="F185" s="97"/>
    </row>
    <row r="186" spans="3:6" ht="13.2">
      <c r="C186" s="97"/>
      <c r="D186" s="97"/>
      <c r="E186" s="97"/>
      <c r="F186" s="97"/>
    </row>
    <row r="187" spans="3:6" ht="13.2">
      <c r="C187" s="97"/>
      <c r="D187" s="97"/>
      <c r="E187" s="97"/>
      <c r="F187" s="97"/>
    </row>
    <row r="188" spans="3:6" ht="13.2">
      <c r="C188" s="97"/>
      <c r="D188" s="97"/>
      <c r="E188" s="97"/>
      <c r="F188" s="97"/>
    </row>
    <row r="189" spans="3:6" ht="13.2">
      <c r="C189" s="97"/>
      <c r="D189" s="97"/>
      <c r="E189" s="97"/>
      <c r="F189" s="97"/>
    </row>
    <row r="190" spans="3:6" ht="13.2">
      <c r="C190" s="97"/>
      <c r="D190" s="97"/>
      <c r="E190" s="97"/>
      <c r="F190" s="97"/>
    </row>
    <row r="191" spans="3:6" ht="13.2">
      <c r="C191" s="97"/>
      <c r="D191" s="97"/>
      <c r="E191" s="97"/>
      <c r="F191" s="97"/>
    </row>
    <row r="192" spans="3:6" ht="13.2">
      <c r="C192" s="97"/>
      <c r="D192" s="97"/>
      <c r="E192" s="97"/>
      <c r="F192" s="97"/>
    </row>
    <row r="193" spans="3:6" ht="13.2">
      <c r="C193" s="97"/>
      <c r="D193" s="97"/>
      <c r="E193" s="97"/>
      <c r="F193" s="97"/>
    </row>
    <row r="194" spans="3:6" ht="13.2">
      <c r="C194" s="97"/>
      <c r="D194" s="97"/>
      <c r="E194" s="97"/>
      <c r="F194" s="97"/>
    </row>
    <row r="195" spans="3:6" ht="13.2">
      <c r="C195" s="97"/>
      <c r="D195" s="97"/>
      <c r="E195" s="97"/>
      <c r="F195" s="97"/>
    </row>
    <row r="196" spans="3:6" ht="13.2">
      <c r="C196" s="97"/>
      <c r="D196" s="97"/>
      <c r="E196" s="97"/>
      <c r="F196" s="97"/>
    </row>
    <row r="197" spans="3:6" ht="13.2">
      <c r="C197" s="97"/>
      <c r="D197" s="97"/>
      <c r="E197" s="97"/>
      <c r="F197" s="97"/>
    </row>
    <row r="198" spans="3:6" ht="13.2">
      <c r="C198" s="97"/>
      <c r="D198" s="97"/>
      <c r="E198" s="97"/>
      <c r="F198" s="97"/>
    </row>
    <row r="199" spans="3:6" ht="13.2">
      <c r="C199" s="97"/>
      <c r="D199" s="97"/>
      <c r="E199" s="97"/>
      <c r="F199" s="97"/>
    </row>
    <row r="200" spans="3:6" ht="13.2">
      <c r="C200" s="97"/>
      <c r="D200" s="97"/>
      <c r="E200" s="97"/>
      <c r="F200" s="97"/>
    </row>
    <row r="201" spans="3:6" ht="13.2">
      <c r="C201" s="97"/>
      <c r="D201" s="97"/>
      <c r="E201" s="97"/>
      <c r="F201" s="97"/>
    </row>
    <row r="202" spans="3:6" ht="13.2">
      <c r="C202" s="97"/>
      <c r="D202" s="97"/>
      <c r="E202" s="97"/>
      <c r="F202" s="97"/>
    </row>
    <row r="203" spans="3:6" ht="13.2">
      <c r="C203" s="97"/>
      <c r="D203" s="97"/>
      <c r="E203" s="97"/>
      <c r="F203" s="97"/>
    </row>
    <row r="204" spans="3:6" ht="13.2">
      <c r="C204" s="97"/>
      <c r="D204" s="97"/>
      <c r="E204" s="97"/>
      <c r="F204" s="97"/>
    </row>
    <row r="205" spans="3:6" ht="13.2">
      <c r="C205" s="97"/>
      <c r="D205" s="97"/>
      <c r="E205" s="97"/>
      <c r="F205" s="97"/>
    </row>
    <row r="206" spans="3:6" ht="13.2">
      <c r="C206" s="97"/>
      <c r="D206" s="97"/>
      <c r="E206" s="97"/>
      <c r="F206" s="97"/>
    </row>
    <row r="207" spans="3:6" ht="13.2">
      <c r="C207" s="97"/>
      <c r="D207" s="97"/>
      <c r="E207" s="97"/>
      <c r="F207" s="97"/>
    </row>
    <row r="208" spans="3:6" ht="13.2">
      <c r="C208" s="97"/>
      <c r="D208" s="97"/>
      <c r="E208" s="97"/>
      <c r="F208" s="97"/>
    </row>
    <row r="209" spans="3:6" ht="13.2">
      <c r="C209" s="97"/>
      <c r="D209" s="97"/>
      <c r="E209" s="97"/>
      <c r="F209" s="97"/>
    </row>
    <row r="210" spans="3:6" ht="13.2">
      <c r="C210" s="97"/>
      <c r="D210" s="97"/>
      <c r="E210" s="97"/>
      <c r="F210" s="97"/>
    </row>
    <row r="211" spans="3:6" ht="13.2">
      <c r="C211" s="97"/>
      <c r="D211" s="97"/>
      <c r="E211" s="97"/>
      <c r="F211" s="97"/>
    </row>
    <row r="212" spans="3:6" ht="13.2">
      <c r="C212" s="97"/>
      <c r="D212" s="97"/>
      <c r="E212" s="97"/>
      <c r="F212" s="97"/>
    </row>
    <row r="213" spans="3:6" ht="13.2">
      <c r="C213" s="97"/>
      <c r="D213" s="97"/>
      <c r="E213" s="97"/>
      <c r="F213" s="97"/>
    </row>
    <row r="214" spans="3:6" ht="13.2">
      <c r="C214" s="97"/>
      <c r="D214" s="97"/>
      <c r="E214" s="97"/>
      <c r="F214" s="97"/>
    </row>
    <row r="215" spans="3:6" ht="13.2">
      <c r="C215" s="97"/>
      <c r="D215" s="97"/>
      <c r="E215" s="97"/>
      <c r="F215" s="97"/>
    </row>
    <row r="216" spans="3:6" ht="13.2">
      <c r="C216" s="97"/>
      <c r="D216" s="97"/>
      <c r="E216" s="97"/>
      <c r="F216" s="97"/>
    </row>
    <row r="217" spans="3:6" ht="13.2">
      <c r="C217" s="97"/>
      <c r="D217" s="97"/>
      <c r="E217" s="97"/>
      <c r="F217" s="97"/>
    </row>
    <row r="218" spans="3:6" ht="13.2">
      <c r="C218" s="97"/>
      <c r="D218" s="97"/>
      <c r="E218" s="97"/>
      <c r="F218" s="97"/>
    </row>
    <row r="219" spans="3:6" ht="13.2">
      <c r="C219" s="97"/>
      <c r="D219" s="97"/>
      <c r="E219" s="97"/>
      <c r="F219" s="97"/>
    </row>
    <row r="220" spans="3:6" ht="13.2">
      <c r="C220" s="97"/>
      <c r="D220" s="97"/>
      <c r="E220" s="97"/>
      <c r="F220" s="97"/>
    </row>
    <row r="221" spans="3:6" ht="13.2">
      <c r="C221" s="97"/>
      <c r="D221" s="97"/>
      <c r="E221" s="97"/>
      <c r="F221" s="97"/>
    </row>
    <row r="222" spans="3:6" ht="13.2">
      <c r="C222" s="97"/>
      <c r="D222" s="97"/>
      <c r="E222" s="97"/>
      <c r="F222" s="97"/>
    </row>
    <row r="223" spans="3:6" ht="13.2">
      <c r="C223" s="97"/>
      <c r="D223" s="97"/>
      <c r="E223" s="97"/>
      <c r="F223" s="97"/>
    </row>
    <row r="224" spans="3:6" ht="13.2">
      <c r="C224" s="97"/>
      <c r="D224" s="97"/>
      <c r="E224" s="97"/>
      <c r="F224" s="97"/>
    </row>
    <row r="225" spans="3:6" ht="13.2">
      <c r="C225" s="97"/>
      <c r="D225" s="97"/>
      <c r="E225" s="97"/>
      <c r="F225" s="97"/>
    </row>
    <row r="226" spans="3:6" ht="13.2">
      <c r="C226" s="97"/>
      <c r="D226" s="97"/>
      <c r="E226" s="97"/>
      <c r="F226" s="97"/>
    </row>
    <row r="227" spans="3:6" ht="13.2">
      <c r="C227" s="97"/>
      <c r="D227" s="97"/>
      <c r="E227" s="97"/>
      <c r="F227" s="97"/>
    </row>
    <row r="228" spans="3:6" ht="13.2">
      <c r="C228" s="97"/>
      <c r="D228" s="97"/>
      <c r="E228" s="97"/>
      <c r="F228" s="97"/>
    </row>
    <row r="229" spans="3:6" ht="13.2">
      <c r="C229" s="97"/>
      <c r="D229" s="97"/>
      <c r="E229" s="97"/>
      <c r="F229" s="97"/>
    </row>
    <row r="230" spans="3:6" ht="13.2">
      <c r="C230" s="97"/>
      <c r="D230" s="97"/>
      <c r="E230" s="97"/>
      <c r="F230" s="97"/>
    </row>
    <row r="231" spans="3:6" ht="13.2">
      <c r="C231" s="97"/>
      <c r="D231" s="97"/>
      <c r="E231" s="97"/>
      <c r="F231" s="97"/>
    </row>
    <row r="232" spans="3:6" ht="13.2">
      <c r="C232" s="97"/>
      <c r="D232" s="97"/>
      <c r="E232" s="97"/>
      <c r="F232" s="97"/>
    </row>
    <row r="233" spans="3:6" ht="13.2">
      <c r="C233" s="97"/>
      <c r="D233" s="97"/>
      <c r="E233" s="97"/>
      <c r="F233" s="97"/>
    </row>
    <row r="234" spans="3:6" ht="13.2">
      <c r="C234" s="97"/>
      <c r="D234" s="97"/>
      <c r="E234" s="97"/>
      <c r="F234" s="97"/>
    </row>
    <row r="235" spans="3:6" ht="13.2">
      <c r="C235" s="97"/>
      <c r="D235" s="97"/>
      <c r="E235" s="97"/>
      <c r="F235" s="97"/>
    </row>
    <row r="236" spans="3:6" ht="13.2">
      <c r="C236" s="97"/>
      <c r="D236" s="97"/>
      <c r="E236" s="97"/>
      <c r="F236" s="97"/>
    </row>
    <row r="237" spans="3:6" ht="13.2">
      <c r="C237" s="97"/>
      <c r="D237" s="97"/>
      <c r="E237" s="97"/>
      <c r="F237" s="97"/>
    </row>
    <row r="238" spans="3:6" ht="13.2">
      <c r="C238" s="97"/>
      <c r="D238" s="97"/>
      <c r="E238" s="97"/>
      <c r="F238" s="97"/>
    </row>
    <row r="239" spans="3:6" ht="13.2">
      <c r="C239" s="97"/>
      <c r="D239" s="97"/>
      <c r="E239" s="97"/>
      <c r="F239" s="97"/>
    </row>
    <row r="240" spans="3:6" ht="13.2">
      <c r="C240" s="97"/>
      <c r="D240" s="97"/>
      <c r="E240" s="97"/>
      <c r="F240" s="97"/>
    </row>
    <row r="241" spans="3:6" ht="13.2">
      <c r="C241" s="97"/>
      <c r="D241" s="97"/>
      <c r="E241" s="97"/>
      <c r="F241" s="97"/>
    </row>
    <row r="242" spans="3:6" ht="13.2">
      <c r="C242" s="97"/>
      <c r="D242" s="97"/>
      <c r="E242" s="97"/>
      <c r="F242" s="97"/>
    </row>
    <row r="243" spans="3:6" ht="13.2">
      <c r="C243" s="97"/>
      <c r="D243" s="97"/>
      <c r="E243" s="97"/>
      <c r="F243" s="97"/>
    </row>
    <row r="244" spans="3:6" ht="13.2">
      <c r="C244" s="97"/>
      <c r="D244" s="97"/>
      <c r="E244" s="97"/>
      <c r="F244" s="97"/>
    </row>
    <row r="245" spans="3:6" ht="13.2">
      <c r="C245" s="97"/>
      <c r="D245" s="97"/>
      <c r="E245" s="97"/>
      <c r="F245" s="97"/>
    </row>
    <row r="246" spans="3:6" ht="13.2">
      <c r="C246" s="97"/>
      <c r="D246" s="97"/>
      <c r="E246" s="97"/>
      <c r="F246" s="97"/>
    </row>
    <row r="247" spans="3:6" ht="13.2">
      <c r="C247" s="97"/>
      <c r="D247" s="97"/>
      <c r="E247" s="97"/>
      <c r="F247" s="97"/>
    </row>
    <row r="248" spans="3:6" ht="13.2">
      <c r="C248" s="97"/>
      <c r="D248" s="97"/>
      <c r="E248" s="97"/>
      <c r="F248" s="97"/>
    </row>
    <row r="249" spans="3:6" ht="13.2">
      <c r="C249" s="97"/>
      <c r="D249" s="97"/>
      <c r="E249" s="97"/>
      <c r="F249" s="97"/>
    </row>
    <row r="250" spans="3:6" ht="13.2">
      <c r="C250" s="97"/>
      <c r="D250" s="97"/>
      <c r="E250" s="97"/>
      <c r="F250" s="97"/>
    </row>
    <row r="251" spans="3:6" ht="13.2">
      <c r="C251" s="97"/>
      <c r="D251" s="97"/>
      <c r="E251" s="97"/>
      <c r="F251" s="97"/>
    </row>
    <row r="252" spans="3:6" ht="13.2">
      <c r="C252" s="97"/>
      <c r="D252" s="97"/>
      <c r="E252" s="97"/>
      <c r="F252" s="97"/>
    </row>
    <row r="253" spans="3:6" ht="13.2">
      <c r="C253" s="97"/>
      <c r="D253" s="97"/>
      <c r="E253" s="97"/>
      <c r="F253" s="97"/>
    </row>
    <row r="254" spans="3:6" ht="13.2">
      <c r="C254" s="97"/>
      <c r="D254" s="97"/>
      <c r="E254" s="97"/>
      <c r="F254" s="97"/>
    </row>
    <row r="255" spans="3:6" ht="13.2">
      <c r="C255" s="97"/>
      <c r="D255" s="97"/>
      <c r="E255" s="97"/>
      <c r="F255" s="97"/>
    </row>
    <row r="256" spans="3:6" ht="13.2">
      <c r="C256" s="97"/>
      <c r="D256" s="97"/>
      <c r="E256" s="97"/>
      <c r="F256" s="97"/>
    </row>
    <row r="257" spans="3:6" ht="13.2">
      <c r="C257" s="97"/>
      <c r="D257" s="97"/>
      <c r="E257" s="97"/>
      <c r="F257" s="97"/>
    </row>
    <row r="258" spans="3:6" ht="13.2">
      <c r="C258" s="97"/>
      <c r="D258" s="97"/>
      <c r="E258" s="97"/>
      <c r="F258" s="97"/>
    </row>
    <row r="259" spans="3:6" ht="13.2">
      <c r="C259" s="97"/>
      <c r="D259" s="97"/>
      <c r="E259" s="97"/>
      <c r="F259" s="97"/>
    </row>
    <row r="260" spans="3:6" ht="13.2">
      <c r="C260" s="97"/>
      <c r="D260" s="97"/>
      <c r="E260" s="97"/>
      <c r="F260" s="97"/>
    </row>
    <row r="261" spans="3:6" ht="13.2">
      <c r="C261" s="97"/>
      <c r="D261" s="97"/>
      <c r="E261" s="97"/>
      <c r="F261" s="97"/>
    </row>
    <row r="262" spans="3:6" ht="13.2">
      <c r="C262" s="97"/>
      <c r="D262" s="97"/>
      <c r="E262" s="97"/>
      <c r="F262" s="97"/>
    </row>
    <row r="263" spans="3:6" ht="13.2">
      <c r="C263" s="97"/>
      <c r="D263" s="97"/>
      <c r="E263" s="97"/>
      <c r="F263" s="97"/>
    </row>
    <row r="264" spans="3:6" ht="13.2">
      <c r="C264" s="97"/>
      <c r="D264" s="97"/>
      <c r="E264" s="97"/>
      <c r="F264" s="97"/>
    </row>
    <row r="265" spans="3:6" ht="13.2">
      <c r="C265" s="97"/>
      <c r="D265" s="97"/>
      <c r="E265" s="97"/>
      <c r="F265" s="97"/>
    </row>
    <row r="266" spans="3:6" ht="13.2">
      <c r="C266" s="97"/>
      <c r="D266" s="97"/>
      <c r="E266" s="97"/>
      <c r="F266" s="97"/>
    </row>
    <row r="267" spans="3:6" ht="13.2">
      <c r="C267" s="97"/>
      <c r="D267" s="97"/>
      <c r="E267" s="97"/>
      <c r="F267" s="97"/>
    </row>
    <row r="268" spans="3:6" ht="13.2">
      <c r="C268" s="97"/>
      <c r="D268" s="97"/>
      <c r="E268" s="97"/>
      <c r="F268" s="97"/>
    </row>
    <row r="269" spans="3:6" ht="13.2">
      <c r="C269" s="97"/>
      <c r="D269" s="97"/>
      <c r="E269" s="97"/>
      <c r="F269" s="97"/>
    </row>
    <row r="270" spans="3:6" ht="13.2">
      <c r="C270" s="97"/>
      <c r="D270" s="97"/>
      <c r="E270" s="97"/>
      <c r="F270" s="97"/>
    </row>
    <row r="271" spans="3:6" ht="13.2">
      <c r="C271" s="97"/>
      <c r="D271" s="97"/>
      <c r="E271" s="97"/>
      <c r="F271" s="97"/>
    </row>
    <row r="272" spans="3:6" ht="13.2">
      <c r="C272" s="97"/>
      <c r="D272" s="97"/>
      <c r="E272" s="97"/>
      <c r="F272" s="97"/>
    </row>
    <row r="273" spans="3:6" ht="13.2">
      <c r="C273" s="97"/>
      <c r="D273" s="97"/>
      <c r="E273" s="97"/>
      <c r="F273" s="97"/>
    </row>
    <row r="274" spans="3:6" ht="13.2">
      <c r="C274" s="97"/>
      <c r="D274" s="97"/>
      <c r="E274" s="97"/>
      <c r="F274" s="97"/>
    </row>
    <row r="275" spans="3:6" ht="13.2">
      <c r="C275" s="97"/>
      <c r="D275" s="97"/>
      <c r="E275" s="97"/>
      <c r="F275" s="97"/>
    </row>
    <row r="276" spans="3:6" ht="13.2">
      <c r="C276" s="97"/>
      <c r="D276" s="97"/>
      <c r="E276" s="97"/>
      <c r="F276" s="97"/>
    </row>
    <row r="277" spans="3:6" ht="13.2">
      <c r="C277" s="97"/>
      <c r="D277" s="97"/>
      <c r="E277" s="97"/>
      <c r="F277" s="97"/>
    </row>
    <row r="278" spans="3:6" ht="13.2">
      <c r="C278" s="97"/>
      <c r="D278" s="97"/>
      <c r="E278" s="97"/>
      <c r="F278" s="97"/>
    </row>
    <row r="279" spans="3:6" ht="13.2">
      <c r="C279" s="97"/>
      <c r="D279" s="97"/>
      <c r="E279" s="97"/>
      <c r="F279" s="97"/>
    </row>
    <row r="280" spans="3:6" ht="13.2">
      <c r="C280" s="97"/>
      <c r="D280" s="97"/>
      <c r="E280" s="97"/>
      <c r="F280" s="97"/>
    </row>
    <row r="281" spans="3:6" ht="13.2">
      <c r="C281" s="97"/>
      <c r="D281" s="97"/>
      <c r="E281" s="97"/>
      <c r="F281" s="97"/>
    </row>
    <row r="282" spans="3:6" ht="13.2">
      <c r="C282" s="97"/>
      <c r="D282" s="97"/>
      <c r="E282" s="97"/>
      <c r="F282" s="97"/>
    </row>
    <row r="283" spans="3:6" ht="13.2">
      <c r="C283" s="97"/>
      <c r="D283" s="97"/>
      <c r="E283" s="97"/>
      <c r="F283" s="97"/>
    </row>
    <row r="284" spans="3:6" ht="13.2">
      <c r="C284" s="97"/>
      <c r="D284" s="97"/>
      <c r="E284" s="97"/>
      <c r="F284" s="97"/>
    </row>
    <row r="285" spans="3:6" ht="13.2">
      <c r="C285" s="97"/>
      <c r="D285" s="97"/>
      <c r="E285" s="97"/>
      <c r="F285" s="97"/>
    </row>
    <row r="286" spans="3:6" ht="13.2">
      <c r="C286" s="97"/>
      <c r="D286" s="97"/>
      <c r="E286" s="97"/>
      <c r="F286" s="97"/>
    </row>
    <row r="287" spans="3:6" ht="13.2">
      <c r="C287" s="97"/>
      <c r="D287" s="97"/>
      <c r="E287" s="97"/>
      <c r="F287" s="97"/>
    </row>
    <row r="288" spans="3:6" ht="13.2">
      <c r="C288" s="97"/>
      <c r="D288" s="97"/>
      <c r="E288" s="97"/>
      <c r="F288" s="97"/>
    </row>
    <row r="289" spans="3:6" ht="13.2">
      <c r="C289" s="97"/>
      <c r="D289" s="97"/>
      <c r="E289" s="97"/>
      <c r="F289" s="97"/>
    </row>
    <row r="290" spans="3:6" ht="13.2">
      <c r="C290" s="97"/>
      <c r="D290" s="97"/>
      <c r="E290" s="97"/>
      <c r="F290" s="97"/>
    </row>
    <row r="291" spans="3:6" ht="13.2">
      <c r="C291" s="97"/>
      <c r="D291" s="97"/>
      <c r="E291" s="97"/>
      <c r="F291" s="97"/>
    </row>
    <row r="292" spans="3:6" ht="13.2">
      <c r="C292" s="97"/>
      <c r="D292" s="97"/>
      <c r="E292" s="97"/>
      <c r="F292" s="97"/>
    </row>
    <row r="293" spans="3:6" ht="13.2">
      <c r="C293" s="97"/>
      <c r="D293" s="97"/>
      <c r="E293" s="97"/>
      <c r="F293" s="97"/>
    </row>
    <row r="294" spans="3:6" ht="13.2">
      <c r="C294" s="97"/>
      <c r="D294" s="97"/>
      <c r="E294" s="97"/>
      <c r="F294" s="97"/>
    </row>
    <row r="295" spans="3:6" ht="13.2">
      <c r="C295" s="97"/>
      <c r="D295" s="97"/>
      <c r="E295" s="97"/>
      <c r="F295" s="97"/>
    </row>
    <row r="296" spans="3:6" ht="13.2">
      <c r="C296" s="97"/>
      <c r="D296" s="97"/>
      <c r="E296" s="97"/>
      <c r="F296" s="97"/>
    </row>
    <row r="297" spans="3:6" ht="13.2">
      <c r="C297" s="97"/>
      <c r="D297" s="97"/>
      <c r="E297" s="97"/>
      <c r="F297" s="97"/>
    </row>
    <row r="298" spans="3:6" ht="13.2">
      <c r="C298" s="97"/>
      <c r="D298" s="97"/>
      <c r="E298" s="97"/>
      <c r="F298" s="97"/>
    </row>
    <row r="299" spans="3:6" ht="13.2">
      <c r="C299" s="97"/>
      <c r="D299" s="97"/>
      <c r="E299" s="97"/>
      <c r="F299" s="97"/>
    </row>
    <row r="300" spans="3:6" ht="13.2">
      <c r="C300" s="97"/>
      <c r="D300" s="97"/>
      <c r="E300" s="97"/>
      <c r="F300" s="97"/>
    </row>
    <row r="301" spans="3:6" ht="13.2">
      <c r="C301" s="97"/>
      <c r="D301" s="97"/>
      <c r="E301" s="97"/>
      <c r="F301" s="97"/>
    </row>
    <row r="302" spans="3:6" ht="13.2">
      <c r="C302" s="97"/>
      <c r="D302" s="97"/>
      <c r="E302" s="97"/>
      <c r="F302" s="97"/>
    </row>
    <row r="303" spans="3:6" ht="13.2">
      <c r="C303" s="97"/>
      <c r="D303" s="97"/>
      <c r="E303" s="97"/>
      <c r="F303" s="97"/>
    </row>
    <row r="304" spans="3:6" ht="13.2">
      <c r="C304" s="97"/>
      <c r="D304" s="97"/>
      <c r="E304" s="97"/>
      <c r="F304" s="97"/>
    </row>
    <row r="305" spans="3:6" ht="13.2">
      <c r="C305" s="97"/>
      <c r="D305" s="97"/>
      <c r="E305" s="97"/>
      <c r="F305" s="97"/>
    </row>
    <row r="306" spans="3:6" ht="13.2">
      <c r="C306" s="97"/>
      <c r="D306" s="97"/>
      <c r="E306" s="97"/>
      <c r="F306" s="97"/>
    </row>
    <row r="307" spans="3:6" ht="13.2">
      <c r="C307" s="97"/>
      <c r="D307" s="97"/>
      <c r="E307" s="97"/>
      <c r="F307" s="97"/>
    </row>
    <row r="308" spans="3:6" ht="13.2">
      <c r="C308" s="97"/>
      <c r="D308" s="97"/>
      <c r="E308" s="97"/>
      <c r="F308" s="97"/>
    </row>
    <row r="309" spans="3:6" ht="13.2">
      <c r="C309" s="97"/>
      <c r="D309" s="97"/>
      <c r="E309" s="97"/>
      <c r="F309" s="97"/>
    </row>
    <row r="310" spans="3:6" ht="13.2">
      <c r="C310" s="97"/>
      <c r="D310" s="97"/>
      <c r="E310" s="97"/>
      <c r="F310" s="97"/>
    </row>
    <row r="311" spans="3:6" ht="13.2">
      <c r="C311" s="97"/>
      <c r="D311" s="97"/>
      <c r="E311" s="97"/>
      <c r="F311" s="97"/>
    </row>
    <row r="312" spans="3:6" ht="13.2">
      <c r="C312" s="97"/>
      <c r="D312" s="97"/>
      <c r="E312" s="97"/>
      <c r="F312" s="97"/>
    </row>
    <row r="313" spans="3:6" ht="13.2">
      <c r="C313" s="97"/>
      <c r="D313" s="97"/>
      <c r="E313" s="97"/>
      <c r="F313" s="97"/>
    </row>
    <row r="314" spans="3:6" ht="13.2">
      <c r="C314" s="97"/>
      <c r="D314" s="97"/>
      <c r="E314" s="97"/>
      <c r="F314" s="97"/>
    </row>
    <row r="315" spans="3:6" ht="13.2">
      <c r="C315" s="97"/>
      <c r="D315" s="97"/>
      <c r="E315" s="97"/>
      <c r="F315" s="97"/>
    </row>
    <row r="316" spans="3:6" ht="13.2">
      <c r="C316" s="97"/>
      <c r="D316" s="97"/>
      <c r="E316" s="97"/>
      <c r="F316" s="97"/>
    </row>
    <row r="317" spans="3:6" ht="13.2">
      <c r="C317" s="97"/>
      <c r="D317" s="97"/>
      <c r="E317" s="97"/>
      <c r="F317" s="97"/>
    </row>
    <row r="318" spans="3:6" ht="13.2">
      <c r="C318" s="97"/>
      <c r="D318" s="97"/>
      <c r="E318" s="97"/>
      <c r="F318" s="97"/>
    </row>
    <row r="319" spans="3:6" ht="13.2">
      <c r="C319" s="97"/>
      <c r="D319" s="97"/>
      <c r="E319" s="97"/>
      <c r="F319" s="97"/>
    </row>
    <row r="320" spans="3:6" ht="13.2">
      <c r="C320" s="97"/>
      <c r="D320" s="97"/>
      <c r="E320" s="97"/>
      <c r="F320" s="97"/>
    </row>
    <row r="321" spans="3:6" ht="13.2">
      <c r="C321" s="97"/>
      <c r="D321" s="97"/>
      <c r="E321" s="97"/>
      <c r="F321" s="97"/>
    </row>
    <row r="322" spans="3:6" ht="13.2">
      <c r="C322" s="97"/>
      <c r="D322" s="97"/>
      <c r="E322" s="97"/>
      <c r="F322" s="97"/>
    </row>
    <row r="323" spans="3:6" ht="13.2">
      <c r="C323" s="97"/>
      <c r="D323" s="97"/>
      <c r="E323" s="97"/>
      <c r="F323" s="97"/>
    </row>
    <row r="324" spans="3:6" ht="13.2">
      <c r="C324" s="97"/>
      <c r="D324" s="97"/>
      <c r="E324" s="97"/>
      <c r="F324" s="97"/>
    </row>
    <row r="325" spans="3:6" ht="13.2">
      <c r="C325" s="97"/>
      <c r="D325" s="97"/>
      <c r="E325" s="97"/>
      <c r="F325" s="97"/>
    </row>
    <row r="326" spans="3:6" ht="13.2">
      <c r="C326" s="97"/>
      <c r="D326" s="97"/>
      <c r="E326" s="97"/>
      <c r="F326" s="97"/>
    </row>
    <row r="327" spans="3:6" ht="13.2">
      <c r="C327" s="97"/>
      <c r="D327" s="97"/>
      <c r="E327" s="97"/>
      <c r="F327" s="97"/>
    </row>
    <row r="328" spans="3:6" ht="13.2">
      <c r="C328" s="97"/>
      <c r="D328" s="97"/>
      <c r="E328" s="97"/>
      <c r="F328" s="97"/>
    </row>
    <row r="329" spans="3:6" ht="13.2">
      <c r="C329" s="97"/>
      <c r="D329" s="97"/>
      <c r="E329" s="97"/>
      <c r="F329" s="97"/>
    </row>
    <row r="330" spans="3:6" ht="13.2">
      <c r="C330" s="97"/>
      <c r="D330" s="97"/>
      <c r="E330" s="97"/>
      <c r="F330" s="97"/>
    </row>
    <row r="331" spans="3:6" ht="13.2">
      <c r="C331" s="97"/>
      <c r="D331" s="97"/>
      <c r="E331" s="97"/>
      <c r="F331" s="97"/>
    </row>
    <row r="332" spans="3:6" ht="13.2">
      <c r="C332" s="97"/>
      <c r="D332" s="97"/>
      <c r="E332" s="97"/>
      <c r="F332" s="97"/>
    </row>
    <row r="333" spans="3:6" ht="13.2">
      <c r="C333" s="97"/>
      <c r="D333" s="97"/>
      <c r="E333" s="97"/>
      <c r="F333" s="97"/>
    </row>
    <row r="334" spans="3:6" ht="13.2">
      <c r="C334" s="97"/>
      <c r="D334" s="97"/>
      <c r="E334" s="97"/>
      <c r="F334" s="97"/>
    </row>
    <row r="335" spans="3:6" ht="13.2">
      <c r="C335" s="97"/>
      <c r="D335" s="97"/>
      <c r="E335" s="97"/>
      <c r="F335" s="97"/>
    </row>
    <row r="336" spans="3:6" ht="13.2">
      <c r="C336" s="97"/>
      <c r="D336" s="97"/>
      <c r="E336" s="97"/>
      <c r="F336" s="97"/>
    </row>
    <row r="337" spans="3:6" ht="13.2">
      <c r="C337" s="97"/>
      <c r="D337" s="97"/>
      <c r="E337" s="97"/>
      <c r="F337" s="97"/>
    </row>
    <row r="338" spans="3:6" ht="13.2">
      <c r="C338" s="97"/>
      <c r="D338" s="97"/>
      <c r="E338" s="97"/>
      <c r="F338" s="97"/>
    </row>
    <row r="339" spans="3:6" ht="13.2">
      <c r="C339" s="97"/>
      <c r="D339" s="97"/>
      <c r="E339" s="97"/>
      <c r="F339" s="97"/>
    </row>
    <row r="340" spans="3:6" ht="13.2">
      <c r="C340" s="97"/>
      <c r="D340" s="97"/>
      <c r="E340" s="97"/>
      <c r="F340" s="97"/>
    </row>
    <row r="341" spans="3:6" ht="13.2">
      <c r="C341" s="97"/>
      <c r="D341" s="97"/>
      <c r="E341" s="97"/>
      <c r="F341" s="97"/>
    </row>
    <row r="342" spans="3:6" ht="13.2">
      <c r="C342" s="97"/>
      <c r="D342" s="97"/>
      <c r="E342" s="97"/>
      <c r="F342" s="97"/>
    </row>
    <row r="343" spans="3:6" ht="13.2">
      <c r="C343" s="97"/>
      <c r="D343" s="97"/>
      <c r="E343" s="97"/>
      <c r="F343" s="97"/>
    </row>
    <row r="344" spans="3:6" ht="13.2">
      <c r="C344" s="97"/>
      <c r="D344" s="97"/>
      <c r="E344" s="97"/>
      <c r="F344" s="97"/>
    </row>
    <row r="345" spans="3:6" ht="13.2">
      <c r="C345" s="97"/>
      <c r="D345" s="97"/>
      <c r="E345" s="97"/>
      <c r="F345" s="97"/>
    </row>
    <row r="346" spans="3:6" ht="13.2">
      <c r="C346" s="97"/>
      <c r="D346" s="97"/>
      <c r="E346" s="97"/>
      <c r="F346" s="97"/>
    </row>
    <row r="347" spans="3:6" ht="13.2">
      <c r="C347" s="97"/>
      <c r="D347" s="97"/>
      <c r="E347" s="97"/>
      <c r="F347" s="97"/>
    </row>
    <row r="348" spans="3:6" ht="13.2">
      <c r="C348" s="97"/>
      <c r="D348" s="97"/>
      <c r="E348" s="97"/>
      <c r="F348" s="97"/>
    </row>
    <row r="349" spans="3:6" ht="13.2">
      <c r="C349" s="97"/>
      <c r="D349" s="97"/>
      <c r="E349" s="97"/>
      <c r="F349" s="97"/>
    </row>
    <row r="350" spans="3:6" ht="13.2">
      <c r="C350" s="97"/>
      <c r="D350" s="97"/>
      <c r="E350" s="97"/>
      <c r="F350" s="97"/>
    </row>
    <row r="351" spans="3:6" ht="13.2">
      <c r="C351" s="97"/>
      <c r="D351" s="97"/>
      <c r="E351" s="97"/>
      <c r="F351" s="97"/>
    </row>
    <row r="352" spans="3:6" ht="13.2">
      <c r="C352" s="97"/>
      <c r="D352" s="97"/>
      <c r="E352" s="97"/>
      <c r="F352" s="97"/>
    </row>
    <row r="353" spans="3:6" ht="13.2">
      <c r="C353" s="97"/>
      <c r="D353" s="97"/>
      <c r="E353" s="97"/>
      <c r="F353" s="97"/>
    </row>
    <row r="354" spans="3:6" ht="13.2">
      <c r="C354" s="97"/>
      <c r="D354" s="97"/>
      <c r="E354" s="97"/>
      <c r="F354" s="97"/>
    </row>
    <row r="355" spans="3:6" ht="13.2">
      <c r="C355" s="97"/>
      <c r="D355" s="97"/>
      <c r="E355" s="97"/>
      <c r="F355" s="97"/>
    </row>
    <row r="356" spans="3:6" ht="13.2">
      <c r="C356" s="97"/>
      <c r="D356" s="97"/>
      <c r="E356" s="97"/>
      <c r="F356" s="97"/>
    </row>
    <row r="357" spans="3:6" ht="13.2">
      <c r="C357" s="97"/>
      <c r="D357" s="97"/>
      <c r="E357" s="97"/>
      <c r="F357" s="97"/>
    </row>
    <row r="358" spans="3:6" ht="13.2">
      <c r="C358" s="97"/>
      <c r="D358" s="97"/>
      <c r="E358" s="97"/>
      <c r="F358" s="97"/>
    </row>
    <row r="359" spans="3:6" ht="13.2">
      <c r="C359" s="97"/>
      <c r="D359" s="97"/>
      <c r="E359" s="97"/>
      <c r="F359" s="97"/>
    </row>
    <row r="360" spans="3:6" ht="13.2">
      <c r="C360" s="97"/>
      <c r="D360" s="97"/>
      <c r="E360" s="97"/>
      <c r="F360" s="97"/>
    </row>
    <row r="361" spans="3:6" ht="13.2">
      <c r="C361" s="97"/>
      <c r="D361" s="97"/>
      <c r="E361" s="97"/>
      <c r="F361" s="97"/>
    </row>
    <row r="362" spans="3:6" ht="13.2">
      <c r="C362" s="97"/>
      <c r="D362" s="97"/>
      <c r="E362" s="97"/>
      <c r="F362" s="97"/>
    </row>
    <row r="363" spans="3:6" ht="13.2">
      <c r="C363" s="97"/>
      <c r="D363" s="97"/>
      <c r="E363" s="97"/>
      <c r="F363" s="97"/>
    </row>
    <row r="364" spans="3:6" ht="13.2">
      <c r="C364" s="97"/>
      <c r="D364" s="97"/>
      <c r="E364" s="97"/>
      <c r="F364" s="97"/>
    </row>
    <row r="365" spans="3:6" ht="13.2">
      <c r="C365" s="97"/>
      <c r="D365" s="97"/>
      <c r="E365" s="97"/>
      <c r="F365" s="97"/>
    </row>
    <row r="366" spans="3:6" ht="13.2">
      <c r="C366" s="97"/>
      <c r="D366" s="97"/>
      <c r="E366" s="97"/>
      <c r="F366" s="97"/>
    </row>
    <row r="367" spans="3:6" ht="13.2">
      <c r="C367" s="97"/>
      <c r="D367" s="97"/>
      <c r="E367" s="97"/>
      <c r="F367" s="97"/>
    </row>
    <row r="368" spans="3:6" ht="13.2">
      <c r="C368" s="97"/>
      <c r="D368" s="97"/>
      <c r="E368" s="97"/>
      <c r="F368" s="97"/>
    </row>
    <row r="369" spans="3:6" ht="13.2">
      <c r="C369" s="97"/>
      <c r="D369" s="97"/>
      <c r="E369" s="97"/>
      <c r="F369" s="97"/>
    </row>
    <row r="370" spans="3:6" ht="13.2">
      <c r="C370" s="97"/>
      <c r="D370" s="97"/>
      <c r="E370" s="97"/>
      <c r="F370" s="97"/>
    </row>
    <row r="371" spans="3:6" ht="13.2">
      <c r="C371" s="97"/>
      <c r="D371" s="97"/>
      <c r="E371" s="97"/>
      <c r="F371" s="97"/>
    </row>
    <row r="372" spans="3:6" ht="13.2">
      <c r="C372" s="97"/>
      <c r="D372" s="97"/>
      <c r="E372" s="97"/>
      <c r="F372" s="97"/>
    </row>
    <row r="373" spans="3:6" ht="13.2">
      <c r="C373" s="97"/>
      <c r="D373" s="97"/>
      <c r="E373" s="97"/>
      <c r="F373" s="97"/>
    </row>
    <row r="374" spans="3:6" ht="13.2">
      <c r="C374" s="97"/>
      <c r="D374" s="97"/>
      <c r="E374" s="97"/>
      <c r="F374" s="97"/>
    </row>
    <row r="375" spans="3:6" ht="13.2">
      <c r="C375" s="97"/>
      <c r="D375" s="97"/>
      <c r="E375" s="97"/>
      <c r="F375" s="97"/>
    </row>
    <row r="376" spans="3:6" ht="13.2">
      <c r="C376" s="97"/>
      <c r="D376" s="97"/>
      <c r="E376" s="97"/>
      <c r="F376" s="97"/>
    </row>
    <row r="377" spans="3:6" ht="13.2">
      <c r="C377" s="97"/>
      <c r="D377" s="97"/>
      <c r="E377" s="97"/>
      <c r="F377" s="97"/>
    </row>
    <row r="378" spans="3:6" ht="13.2">
      <c r="C378" s="97"/>
      <c r="D378" s="97"/>
      <c r="E378" s="97"/>
      <c r="F378" s="97"/>
    </row>
    <row r="379" spans="3:6" ht="13.2">
      <c r="C379" s="97"/>
      <c r="D379" s="97"/>
      <c r="E379" s="97"/>
      <c r="F379" s="97"/>
    </row>
    <row r="380" spans="3:6" ht="13.2">
      <c r="C380" s="97"/>
      <c r="D380" s="97"/>
      <c r="E380" s="97"/>
      <c r="F380" s="97"/>
    </row>
    <row r="381" spans="3:6" ht="13.2">
      <c r="C381" s="97"/>
      <c r="D381" s="97"/>
      <c r="E381" s="97"/>
      <c r="F381" s="97"/>
    </row>
    <row r="382" spans="3:6" ht="13.2">
      <c r="C382" s="97"/>
      <c r="D382" s="97"/>
      <c r="E382" s="97"/>
      <c r="F382" s="97"/>
    </row>
    <row r="383" spans="3:6" ht="13.2">
      <c r="C383" s="97"/>
      <c r="D383" s="97"/>
      <c r="E383" s="97"/>
      <c r="F383" s="97"/>
    </row>
    <row r="384" spans="3:6" ht="13.2">
      <c r="C384" s="97"/>
      <c r="D384" s="97"/>
      <c r="E384" s="97"/>
      <c r="F384" s="97"/>
    </row>
    <row r="385" spans="3:6" ht="13.2">
      <c r="C385" s="97"/>
      <c r="D385" s="97"/>
      <c r="E385" s="97"/>
      <c r="F385" s="97"/>
    </row>
    <row r="386" spans="3:6" ht="13.2">
      <c r="C386" s="97"/>
      <c r="D386" s="97"/>
      <c r="E386" s="97"/>
      <c r="F386" s="97"/>
    </row>
    <row r="387" spans="3:6" ht="13.2">
      <c r="C387" s="97"/>
      <c r="D387" s="97"/>
      <c r="E387" s="97"/>
      <c r="F387" s="97"/>
    </row>
    <row r="388" spans="3:6" ht="13.2">
      <c r="C388" s="97"/>
      <c r="D388" s="97"/>
      <c r="E388" s="97"/>
      <c r="F388" s="97"/>
    </row>
    <row r="389" spans="3:6" ht="13.2">
      <c r="C389" s="97"/>
      <c r="D389" s="97"/>
      <c r="E389" s="97"/>
      <c r="F389" s="97"/>
    </row>
    <row r="390" spans="3:6" ht="13.2">
      <c r="C390" s="97"/>
      <c r="D390" s="97"/>
      <c r="E390" s="97"/>
      <c r="F390" s="97"/>
    </row>
    <row r="391" spans="3:6" ht="13.2">
      <c r="C391" s="97"/>
      <c r="D391" s="97"/>
      <c r="E391" s="97"/>
      <c r="F391" s="97"/>
    </row>
    <row r="392" spans="3:6" ht="13.2">
      <c r="C392" s="97"/>
      <c r="D392" s="97"/>
      <c r="E392" s="97"/>
      <c r="F392" s="97"/>
    </row>
    <row r="393" spans="3:6" ht="13.2">
      <c r="C393" s="97"/>
      <c r="D393" s="97"/>
      <c r="E393" s="97"/>
      <c r="F393" s="97"/>
    </row>
    <row r="394" spans="3:6" ht="13.2">
      <c r="C394" s="97"/>
      <c r="D394" s="97"/>
      <c r="E394" s="97"/>
      <c r="F394" s="97"/>
    </row>
    <row r="395" spans="3:6" ht="13.2">
      <c r="C395" s="97"/>
      <c r="D395" s="97"/>
      <c r="E395" s="97"/>
      <c r="F395" s="97"/>
    </row>
    <row r="396" spans="3:6" ht="13.2">
      <c r="C396" s="97"/>
      <c r="D396" s="97"/>
      <c r="E396" s="97"/>
      <c r="F396" s="97"/>
    </row>
    <row r="397" spans="3:6" ht="13.2">
      <c r="C397" s="97"/>
      <c r="D397" s="97"/>
      <c r="E397" s="97"/>
      <c r="F397" s="97"/>
    </row>
    <row r="398" spans="3:6" ht="13.2">
      <c r="C398" s="97"/>
      <c r="D398" s="97"/>
      <c r="E398" s="97"/>
      <c r="F398" s="97"/>
    </row>
    <row r="399" spans="3:6" ht="13.2">
      <c r="C399" s="97"/>
      <c r="D399" s="97"/>
      <c r="E399" s="97"/>
      <c r="F399" s="97"/>
    </row>
    <row r="400" spans="3:6" ht="13.2">
      <c r="C400" s="97"/>
      <c r="D400" s="97"/>
      <c r="E400" s="97"/>
      <c r="F400" s="97"/>
    </row>
    <row r="401" spans="3:6" ht="13.2">
      <c r="C401" s="97"/>
      <c r="D401" s="97"/>
      <c r="E401" s="97"/>
      <c r="F401" s="97"/>
    </row>
    <row r="402" spans="3:6" ht="13.2">
      <c r="C402" s="97"/>
      <c r="D402" s="97"/>
      <c r="E402" s="97"/>
      <c r="F402" s="97"/>
    </row>
    <row r="403" spans="3:6" ht="13.2">
      <c r="C403" s="97"/>
      <c r="D403" s="97"/>
      <c r="E403" s="97"/>
      <c r="F403" s="97"/>
    </row>
    <row r="404" spans="3:6" ht="13.2">
      <c r="C404" s="97"/>
      <c r="D404" s="97"/>
      <c r="E404" s="97"/>
      <c r="F404" s="97"/>
    </row>
    <row r="405" spans="3:6" ht="13.2">
      <c r="C405" s="97"/>
      <c r="D405" s="97"/>
      <c r="E405" s="97"/>
      <c r="F405" s="97"/>
    </row>
    <row r="406" spans="3:6" ht="13.2">
      <c r="C406" s="97"/>
      <c r="D406" s="97"/>
      <c r="E406" s="97"/>
      <c r="F406" s="97"/>
    </row>
    <row r="407" spans="3:6" ht="13.2">
      <c r="C407" s="97"/>
      <c r="D407" s="97"/>
      <c r="E407" s="97"/>
      <c r="F407" s="97"/>
    </row>
    <row r="408" spans="3:6" ht="13.2">
      <c r="C408" s="97"/>
      <c r="D408" s="97"/>
      <c r="E408" s="97"/>
      <c r="F408" s="97"/>
    </row>
    <row r="409" spans="3:6" ht="13.2">
      <c r="C409" s="97"/>
      <c r="D409" s="97"/>
      <c r="E409" s="97"/>
      <c r="F409" s="97"/>
    </row>
    <row r="410" spans="3:6" ht="13.2">
      <c r="C410" s="97"/>
      <c r="D410" s="97"/>
      <c r="E410" s="97"/>
      <c r="F410" s="97"/>
    </row>
    <row r="411" spans="3:6" ht="13.2">
      <c r="C411" s="97"/>
      <c r="D411" s="97"/>
      <c r="E411" s="97"/>
      <c r="F411" s="97"/>
    </row>
    <row r="412" spans="3:6" ht="13.2">
      <c r="C412" s="97"/>
      <c r="D412" s="97"/>
      <c r="E412" s="97"/>
      <c r="F412" s="97"/>
    </row>
    <row r="413" spans="3:6" ht="13.2">
      <c r="C413" s="97"/>
      <c r="D413" s="97"/>
      <c r="E413" s="97"/>
      <c r="F413" s="97"/>
    </row>
    <row r="414" spans="3:6" ht="13.2">
      <c r="C414" s="97"/>
      <c r="D414" s="97"/>
      <c r="E414" s="97"/>
      <c r="F414" s="97"/>
    </row>
    <row r="415" spans="3:6" ht="13.2">
      <c r="C415" s="97"/>
      <c r="D415" s="97"/>
      <c r="E415" s="97"/>
      <c r="F415" s="97"/>
    </row>
    <row r="416" spans="3:6" ht="13.2">
      <c r="C416" s="97"/>
      <c r="D416" s="97"/>
      <c r="E416" s="97"/>
      <c r="F416" s="97"/>
    </row>
    <row r="417" spans="3:6" ht="13.2">
      <c r="C417" s="97"/>
      <c r="D417" s="97"/>
      <c r="E417" s="97"/>
      <c r="F417" s="97"/>
    </row>
    <row r="418" spans="3:6" ht="13.2">
      <c r="C418" s="97"/>
      <c r="D418" s="97"/>
      <c r="E418" s="97"/>
      <c r="F418" s="97"/>
    </row>
    <row r="419" spans="3:6" ht="13.2">
      <c r="C419" s="97"/>
      <c r="D419" s="97"/>
      <c r="E419" s="97"/>
      <c r="F419" s="97"/>
    </row>
    <row r="420" spans="3:6" ht="13.2">
      <c r="C420" s="97"/>
      <c r="D420" s="97"/>
      <c r="E420" s="97"/>
      <c r="F420" s="97"/>
    </row>
    <row r="421" spans="3:6" ht="13.2">
      <c r="C421" s="97"/>
      <c r="D421" s="97"/>
      <c r="E421" s="97"/>
      <c r="F421" s="97"/>
    </row>
    <row r="422" spans="3:6" ht="13.2">
      <c r="C422" s="97"/>
      <c r="D422" s="97"/>
      <c r="E422" s="97"/>
      <c r="F422" s="97"/>
    </row>
    <row r="423" spans="3:6" ht="13.2">
      <c r="C423" s="97"/>
      <c r="D423" s="97"/>
      <c r="E423" s="97"/>
      <c r="F423" s="97"/>
    </row>
    <row r="424" spans="3:6" ht="13.2">
      <c r="C424" s="97"/>
      <c r="D424" s="97"/>
      <c r="E424" s="97"/>
      <c r="F424" s="97"/>
    </row>
    <row r="425" spans="3:6" ht="13.2">
      <c r="C425" s="97"/>
      <c r="D425" s="97"/>
      <c r="E425" s="97"/>
      <c r="F425" s="97"/>
    </row>
    <row r="426" spans="3:6" ht="13.2">
      <c r="C426" s="97"/>
      <c r="D426" s="97"/>
      <c r="E426" s="97"/>
      <c r="F426" s="97"/>
    </row>
    <row r="427" spans="3:6" ht="13.2">
      <c r="C427" s="97"/>
      <c r="D427" s="97"/>
      <c r="E427" s="97"/>
      <c r="F427" s="97"/>
    </row>
    <row r="428" spans="3:6" ht="13.2">
      <c r="C428" s="97"/>
      <c r="D428" s="97"/>
      <c r="E428" s="97"/>
      <c r="F428" s="97"/>
    </row>
    <row r="429" spans="3:6" ht="13.2">
      <c r="C429" s="97"/>
      <c r="D429" s="97"/>
      <c r="E429" s="97"/>
      <c r="F429" s="97"/>
    </row>
    <row r="430" spans="3:6" ht="13.2">
      <c r="C430" s="97"/>
      <c r="D430" s="97"/>
      <c r="E430" s="97"/>
      <c r="F430" s="97"/>
    </row>
    <row r="431" spans="3:6" ht="13.2">
      <c r="C431" s="97"/>
      <c r="D431" s="97"/>
      <c r="E431" s="97"/>
      <c r="F431" s="97"/>
    </row>
    <row r="432" spans="3:6" ht="13.2">
      <c r="C432" s="97"/>
      <c r="D432" s="97"/>
      <c r="E432" s="97"/>
      <c r="F432" s="97"/>
    </row>
    <row r="433" spans="3:6" ht="13.2">
      <c r="C433" s="97"/>
      <c r="D433" s="97"/>
      <c r="E433" s="97"/>
      <c r="F433" s="97"/>
    </row>
    <row r="434" spans="3:6" ht="13.2">
      <c r="C434" s="97"/>
      <c r="D434" s="97"/>
      <c r="E434" s="97"/>
      <c r="F434" s="97"/>
    </row>
    <row r="435" spans="3:6" ht="13.2">
      <c r="C435" s="97"/>
      <c r="D435" s="97"/>
      <c r="E435" s="97"/>
      <c r="F435" s="97"/>
    </row>
    <row r="436" spans="3:6" ht="13.2">
      <c r="C436" s="97"/>
      <c r="D436" s="97"/>
      <c r="E436" s="97"/>
      <c r="F436" s="97"/>
    </row>
    <row r="437" spans="3:6" ht="13.2">
      <c r="C437" s="97"/>
      <c r="D437" s="97"/>
      <c r="E437" s="97"/>
      <c r="F437" s="97"/>
    </row>
    <row r="438" spans="3:6" ht="13.2">
      <c r="C438" s="97"/>
      <c r="D438" s="97"/>
      <c r="E438" s="97"/>
      <c r="F438" s="97"/>
    </row>
    <row r="439" spans="3:6" ht="13.2">
      <c r="C439" s="97"/>
      <c r="D439" s="97"/>
      <c r="E439" s="97"/>
      <c r="F439" s="97"/>
    </row>
    <row r="440" spans="3:6" ht="13.2">
      <c r="C440" s="97"/>
      <c r="D440" s="97"/>
      <c r="E440" s="97"/>
      <c r="F440" s="97"/>
    </row>
    <row r="441" spans="3:6" ht="13.2">
      <c r="C441" s="97"/>
      <c r="D441" s="97"/>
      <c r="E441" s="97"/>
      <c r="F441" s="97"/>
    </row>
    <row r="442" spans="3:6" ht="13.2">
      <c r="C442" s="97"/>
      <c r="D442" s="97"/>
      <c r="E442" s="97"/>
      <c r="F442" s="97"/>
    </row>
    <row r="443" spans="3:6" ht="13.2">
      <c r="C443" s="97"/>
      <c r="D443" s="97"/>
      <c r="E443" s="97"/>
      <c r="F443" s="97"/>
    </row>
    <row r="444" spans="3:6" ht="13.2">
      <c r="C444" s="97"/>
      <c r="D444" s="97"/>
      <c r="E444" s="97"/>
      <c r="F444" s="97"/>
    </row>
    <row r="445" spans="3:6" ht="13.2">
      <c r="C445" s="97"/>
      <c r="D445" s="97"/>
      <c r="E445" s="97"/>
      <c r="F445" s="97"/>
    </row>
    <row r="446" spans="3:6" ht="13.2">
      <c r="C446" s="97"/>
      <c r="D446" s="97"/>
      <c r="E446" s="97"/>
      <c r="F446" s="97"/>
    </row>
    <row r="447" spans="3:6" ht="13.2">
      <c r="C447" s="97"/>
      <c r="D447" s="97"/>
      <c r="E447" s="97"/>
      <c r="F447" s="97"/>
    </row>
    <row r="448" spans="3:6" ht="13.2">
      <c r="C448" s="97"/>
      <c r="D448" s="97"/>
      <c r="E448" s="97"/>
      <c r="F448" s="97"/>
    </row>
    <row r="449" spans="3:6" ht="13.2">
      <c r="C449" s="97"/>
      <c r="D449" s="97"/>
      <c r="E449" s="97"/>
      <c r="F449" s="97"/>
    </row>
    <row r="450" spans="3:6" ht="13.2">
      <c r="C450" s="97"/>
      <c r="D450" s="97"/>
      <c r="E450" s="97"/>
      <c r="F450" s="97"/>
    </row>
    <row r="451" spans="3:6" ht="13.2">
      <c r="C451" s="97"/>
      <c r="D451" s="97"/>
      <c r="E451" s="97"/>
      <c r="F451" s="97"/>
    </row>
    <row r="452" spans="3:6" ht="13.2">
      <c r="C452" s="97"/>
      <c r="D452" s="97"/>
      <c r="E452" s="97"/>
      <c r="F452" s="97"/>
    </row>
    <row r="453" spans="3:6" ht="13.2">
      <c r="C453" s="97"/>
      <c r="D453" s="97"/>
      <c r="E453" s="97"/>
      <c r="F453" s="97"/>
    </row>
    <row r="454" spans="3:6" ht="13.2">
      <c r="C454" s="97"/>
      <c r="D454" s="97"/>
      <c r="E454" s="97"/>
      <c r="F454" s="97"/>
    </row>
    <row r="455" spans="3:6" ht="13.2">
      <c r="C455" s="97"/>
      <c r="D455" s="97"/>
      <c r="E455" s="97"/>
      <c r="F455" s="97"/>
    </row>
    <row r="456" spans="3:6" ht="13.2">
      <c r="C456" s="97"/>
      <c r="D456" s="97"/>
      <c r="E456" s="97"/>
      <c r="F456" s="97"/>
    </row>
    <row r="457" spans="3:6" ht="13.2">
      <c r="C457" s="97"/>
      <c r="D457" s="97"/>
      <c r="E457" s="97"/>
      <c r="F457" s="97"/>
    </row>
    <row r="458" spans="3:6" ht="13.2">
      <c r="C458" s="97"/>
      <c r="D458" s="97"/>
      <c r="E458" s="97"/>
      <c r="F458" s="97"/>
    </row>
    <row r="459" spans="3:6" ht="13.2">
      <c r="C459" s="97"/>
      <c r="D459" s="97"/>
      <c r="E459" s="97"/>
      <c r="F459" s="97"/>
    </row>
    <row r="460" spans="3:6" ht="13.2">
      <c r="C460" s="97"/>
      <c r="D460" s="97"/>
      <c r="E460" s="97"/>
      <c r="F460" s="97"/>
    </row>
    <row r="461" spans="3:6" ht="13.2">
      <c r="C461" s="97"/>
      <c r="D461" s="97"/>
      <c r="E461" s="97"/>
      <c r="F461" s="97"/>
    </row>
    <row r="462" spans="3:6" ht="13.2">
      <c r="C462" s="97"/>
      <c r="D462" s="97"/>
      <c r="E462" s="97"/>
      <c r="F462" s="97"/>
    </row>
    <row r="463" spans="3:6" ht="13.2">
      <c r="C463" s="97"/>
      <c r="D463" s="97"/>
      <c r="E463" s="97"/>
      <c r="F463" s="97"/>
    </row>
    <row r="464" spans="3:6" ht="13.2">
      <c r="C464" s="97"/>
      <c r="D464" s="97"/>
      <c r="E464" s="97"/>
      <c r="F464" s="97"/>
    </row>
    <row r="465" spans="3:6" ht="13.2">
      <c r="C465" s="97"/>
      <c r="D465" s="97"/>
      <c r="E465" s="97"/>
      <c r="F465" s="97"/>
    </row>
    <row r="466" spans="3:6" ht="13.2">
      <c r="C466" s="97"/>
      <c r="D466" s="97"/>
      <c r="E466" s="97"/>
      <c r="F466" s="97"/>
    </row>
    <row r="467" spans="3:6" ht="13.2">
      <c r="C467" s="97"/>
      <c r="D467" s="97"/>
      <c r="E467" s="97"/>
      <c r="F467" s="97"/>
    </row>
    <row r="468" spans="3:6" ht="13.2">
      <c r="C468" s="97"/>
      <c r="D468" s="97"/>
      <c r="E468" s="97"/>
      <c r="F468" s="97"/>
    </row>
    <row r="469" spans="3:6" ht="13.2">
      <c r="C469" s="97"/>
      <c r="D469" s="97"/>
      <c r="E469" s="97"/>
      <c r="F469" s="97"/>
    </row>
    <row r="470" spans="3:6" ht="13.2">
      <c r="C470" s="97"/>
      <c r="D470" s="97"/>
      <c r="E470" s="97"/>
      <c r="F470" s="97"/>
    </row>
    <row r="471" spans="3:6" ht="13.2">
      <c r="C471" s="97"/>
      <c r="D471" s="97"/>
      <c r="E471" s="97"/>
      <c r="F471" s="97"/>
    </row>
    <row r="472" spans="3:6" ht="13.2">
      <c r="C472" s="97"/>
      <c r="D472" s="97"/>
      <c r="E472" s="97"/>
      <c r="F472" s="97"/>
    </row>
    <row r="473" spans="3:6" ht="13.2">
      <c r="C473" s="97"/>
      <c r="D473" s="97"/>
      <c r="E473" s="97"/>
      <c r="F473" s="97"/>
    </row>
    <row r="474" spans="3:6" ht="13.2">
      <c r="C474" s="97"/>
      <c r="D474" s="97"/>
      <c r="E474" s="97"/>
      <c r="F474" s="97"/>
    </row>
    <row r="475" spans="3:6" ht="13.2">
      <c r="C475" s="97"/>
      <c r="D475" s="97"/>
      <c r="E475" s="97"/>
      <c r="F475" s="97"/>
    </row>
    <row r="476" spans="3:6" ht="13.2">
      <c r="C476" s="97"/>
      <c r="D476" s="97"/>
      <c r="E476" s="97"/>
      <c r="F476" s="97"/>
    </row>
    <row r="477" spans="3:6" ht="13.2">
      <c r="C477" s="97"/>
      <c r="D477" s="97"/>
      <c r="E477" s="97"/>
      <c r="F477" s="97"/>
    </row>
    <row r="478" spans="3:6" ht="13.2">
      <c r="C478" s="97"/>
      <c r="D478" s="97"/>
      <c r="E478" s="97"/>
      <c r="F478" s="97"/>
    </row>
    <row r="479" spans="3:6" ht="13.2">
      <c r="C479" s="97"/>
      <c r="D479" s="97"/>
      <c r="E479" s="97"/>
      <c r="F479" s="97"/>
    </row>
    <row r="480" spans="3:6" ht="13.2">
      <c r="C480" s="97"/>
      <c r="D480" s="97"/>
      <c r="E480" s="97"/>
      <c r="F480" s="97"/>
    </row>
    <row r="481" spans="3:6" ht="13.2">
      <c r="C481" s="97"/>
      <c r="D481" s="97"/>
      <c r="E481" s="97"/>
      <c r="F481" s="97"/>
    </row>
    <row r="482" spans="3:6" ht="13.2">
      <c r="C482" s="97"/>
      <c r="D482" s="97"/>
      <c r="E482" s="97"/>
      <c r="F482" s="97"/>
    </row>
    <row r="483" spans="3:6" ht="13.2">
      <c r="C483" s="97"/>
      <c r="D483" s="97"/>
      <c r="E483" s="97"/>
      <c r="F483" s="97"/>
    </row>
    <row r="484" spans="3:6" ht="13.2">
      <c r="C484" s="97"/>
      <c r="D484" s="97"/>
      <c r="E484" s="97"/>
      <c r="F484" s="97"/>
    </row>
    <row r="485" spans="3:6" ht="13.2">
      <c r="C485" s="97"/>
      <c r="D485" s="97"/>
      <c r="E485" s="97"/>
      <c r="F485" s="97"/>
    </row>
    <row r="486" spans="3:6" ht="13.2">
      <c r="C486" s="97"/>
      <c r="D486" s="97"/>
      <c r="E486" s="97"/>
      <c r="F486" s="97"/>
    </row>
    <row r="487" spans="3:6" ht="13.2">
      <c r="C487" s="97"/>
      <c r="D487" s="97"/>
      <c r="E487" s="97"/>
      <c r="F487" s="97"/>
    </row>
    <row r="488" spans="3:6" ht="13.2">
      <c r="C488" s="97"/>
      <c r="D488" s="97"/>
      <c r="E488" s="97"/>
      <c r="F488" s="97"/>
    </row>
    <row r="489" spans="3:6" ht="13.2">
      <c r="C489" s="97"/>
      <c r="D489" s="97"/>
      <c r="E489" s="97"/>
      <c r="F489" s="97"/>
    </row>
    <row r="490" spans="3:6" ht="13.2">
      <c r="C490" s="97"/>
      <c r="D490" s="97"/>
      <c r="E490" s="97"/>
      <c r="F490" s="97"/>
    </row>
    <row r="491" spans="3:6" ht="13.2">
      <c r="C491" s="97"/>
      <c r="D491" s="97"/>
      <c r="E491" s="97"/>
      <c r="F491" s="97"/>
    </row>
    <row r="492" spans="3:6" ht="13.2">
      <c r="C492" s="97"/>
      <c r="D492" s="97"/>
      <c r="E492" s="97"/>
      <c r="F492" s="97"/>
    </row>
    <row r="493" spans="3:6" ht="13.2">
      <c r="C493" s="97"/>
      <c r="D493" s="97"/>
      <c r="E493" s="97"/>
      <c r="F493" s="97"/>
    </row>
    <row r="494" spans="3:6" ht="13.2">
      <c r="C494" s="97"/>
      <c r="D494" s="97"/>
      <c r="E494" s="97"/>
      <c r="F494" s="97"/>
    </row>
    <row r="495" spans="3:6" ht="13.2">
      <c r="C495" s="97"/>
      <c r="D495" s="97"/>
      <c r="E495" s="97"/>
      <c r="F495" s="97"/>
    </row>
    <row r="496" spans="3:6" ht="13.2">
      <c r="C496" s="97"/>
      <c r="D496" s="97"/>
      <c r="E496" s="97"/>
      <c r="F496" s="97"/>
    </row>
    <row r="497" spans="3:6" ht="13.2">
      <c r="C497" s="97"/>
      <c r="D497" s="97"/>
      <c r="E497" s="97"/>
      <c r="F497" s="97"/>
    </row>
    <row r="498" spans="3:6" ht="13.2">
      <c r="C498" s="97"/>
      <c r="D498" s="97"/>
      <c r="E498" s="97"/>
      <c r="F498" s="97"/>
    </row>
    <row r="499" spans="3:6" ht="13.2">
      <c r="C499" s="97"/>
      <c r="D499" s="97"/>
      <c r="E499" s="97"/>
      <c r="F499" s="97"/>
    </row>
    <row r="500" spans="3:6" ht="13.2">
      <c r="C500" s="97"/>
      <c r="D500" s="97"/>
      <c r="E500" s="97"/>
      <c r="F500" s="97"/>
    </row>
    <row r="501" spans="3:6" ht="13.2">
      <c r="C501" s="97"/>
      <c r="D501" s="97"/>
      <c r="E501" s="97"/>
      <c r="F501" s="97"/>
    </row>
    <row r="502" spans="3:6" ht="13.2">
      <c r="C502" s="97"/>
      <c r="D502" s="97"/>
      <c r="E502" s="97"/>
      <c r="F502" s="97"/>
    </row>
    <row r="503" spans="3:6" ht="13.2">
      <c r="C503" s="97"/>
      <c r="D503" s="97"/>
      <c r="E503" s="97"/>
      <c r="F503" s="97"/>
    </row>
    <row r="504" spans="3:6" ht="13.2">
      <c r="C504" s="97"/>
      <c r="D504" s="97"/>
      <c r="E504" s="97"/>
      <c r="F504" s="97"/>
    </row>
    <row r="505" spans="3:6" ht="13.2">
      <c r="C505" s="97"/>
      <c r="D505" s="97"/>
      <c r="E505" s="97"/>
      <c r="F505" s="97"/>
    </row>
    <row r="506" spans="3:6" ht="13.2">
      <c r="C506" s="97"/>
      <c r="D506" s="97"/>
      <c r="E506" s="97"/>
      <c r="F506" s="97"/>
    </row>
    <row r="507" spans="3:6" ht="13.2">
      <c r="C507" s="97"/>
      <c r="D507" s="97"/>
      <c r="E507" s="97"/>
      <c r="F507" s="97"/>
    </row>
    <row r="508" spans="3:6" ht="13.2">
      <c r="C508" s="97"/>
      <c r="D508" s="97"/>
      <c r="E508" s="97"/>
      <c r="F508" s="97"/>
    </row>
    <row r="509" spans="3:6" ht="13.2">
      <c r="C509" s="97"/>
      <c r="D509" s="97"/>
      <c r="E509" s="97"/>
      <c r="F509" s="97"/>
    </row>
    <row r="510" spans="3:6" ht="13.2">
      <c r="C510" s="97"/>
      <c r="D510" s="97"/>
      <c r="E510" s="97"/>
      <c r="F510" s="97"/>
    </row>
    <row r="511" spans="3:6" ht="13.2">
      <c r="C511" s="97"/>
      <c r="D511" s="97"/>
      <c r="E511" s="97"/>
      <c r="F511" s="97"/>
    </row>
    <row r="512" spans="3:6" ht="13.2">
      <c r="C512" s="97"/>
      <c r="D512" s="97"/>
      <c r="E512" s="97"/>
      <c r="F512" s="97"/>
    </row>
    <row r="513" spans="3:6" ht="13.2">
      <c r="C513" s="97"/>
      <c r="D513" s="97"/>
      <c r="E513" s="97"/>
      <c r="F513" s="97"/>
    </row>
    <row r="514" spans="3:6" ht="13.2">
      <c r="C514" s="97"/>
      <c r="D514" s="97"/>
      <c r="E514" s="97"/>
      <c r="F514" s="97"/>
    </row>
    <row r="515" spans="3:6" ht="13.2">
      <c r="C515" s="97"/>
      <c r="D515" s="97"/>
      <c r="E515" s="97"/>
      <c r="F515" s="97"/>
    </row>
    <row r="516" spans="3:6" ht="13.2">
      <c r="C516" s="97"/>
      <c r="D516" s="97"/>
      <c r="E516" s="97"/>
      <c r="F516" s="97"/>
    </row>
    <row r="517" spans="3:6" ht="13.2">
      <c r="C517" s="97"/>
      <c r="D517" s="97"/>
      <c r="E517" s="97"/>
      <c r="F517" s="97"/>
    </row>
    <row r="518" spans="3:6" ht="13.2">
      <c r="C518" s="97"/>
      <c r="D518" s="97"/>
      <c r="E518" s="97"/>
      <c r="F518" s="97"/>
    </row>
    <row r="519" spans="3:6" ht="13.2">
      <c r="C519" s="97"/>
      <c r="D519" s="97"/>
      <c r="E519" s="97"/>
      <c r="F519" s="97"/>
    </row>
    <row r="520" spans="3:6" ht="13.2">
      <c r="C520" s="97"/>
      <c r="D520" s="97"/>
      <c r="E520" s="97"/>
      <c r="F520" s="97"/>
    </row>
    <row r="521" spans="3:6" ht="13.2">
      <c r="C521" s="97"/>
      <c r="D521" s="97"/>
      <c r="E521" s="97"/>
      <c r="F521" s="97"/>
    </row>
    <row r="522" spans="3:6" ht="13.2">
      <c r="C522" s="97"/>
      <c r="D522" s="97"/>
      <c r="E522" s="97"/>
      <c r="F522" s="97"/>
    </row>
    <row r="523" spans="3:6" ht="13.2">
      <c r="C523" s="97"/>
      <c r="D523" s="97"/>
      <c r="E523" s="97"/>
      <c r="F523" s="97"/>
    </row>
    <row r="524" spans="3:6" ht="13.2">
      <c r="C524" s="97"/>
      <c r="D524" s="97"/>
      <c r="E524" s="97"/>
      <c r="F524" s="97"/>
    </row>
    <row r="525" spans="3:6" ht="13.2">
      <c r="C525" s="97"/>
      <c r="D525" s="97"/>
      <c r="E525" s="97"/>
      <c r="F525" s="97"/>
    </row>
    <row r="526" spans="3:6" ht="13.2">
      <c r="C526" s="97"/>
      <c r="D526" s="97"/>
      <c r="E526" s="97"/>
      <c r="F526" s="97"/>
    </row>
    <row r="527" spans="3:6" ht="13.2">
      <c r="C527" s="97"/>
      <c r="D527" s="97"/>
      <c r="E527" s="97"/>
      <c r="F527" s="97"/>
    </row>
    <row r="528" spans="3:6" ht="13.2">
      <c r="C528" s="97"/>
      <c r="D528" s="97"/>
      <c r="E528" s="97"/>
      <c r="F528" s="97"/>
    </row>
    <row r="529" spans="3:6" ht="13.2">
      <c r="C529" s="97"/>
      <c r="D529" s="97"/>
      <c r="E529" s="97"/>
      <c r="F529" s="97"/>
    </row>
    <row r="530" spans="3:6" ht="13.2">
      <c r="C530" s="97"/>
      <c r="D530" s="97"/>
      <c r="E530" s="97"/>
      <c r="F530" s="97"/>
    </row>
    <row r="531" spans="3:6" ht="13.2">
      <c r="C531" s="97"/>
      <c r="D531" s="97"/>
      <c r="E531" s="97"/>
      <c r="F531" s="97"/>
    </row>
    <row r="532" spans="3:6" ht="13.2">
      <c r="C532" s="97"/>
      <c r="D532" s="97"/>
      <c r="E532" s="97"/>
      <c r="F532" s="97"/>
    </row>
    <row r="533" spans="3:6" ht="13.2">
      <c r="C533" s="97"/>
      <c r="D533" s="97"/>
      <c r="E533" s="97"/>
      <c r="F533" s="97"/>
    </row>
    <row r="534" spans="3:6" ht="13.2">
      <c r="C534" s="97"/>
      <c r="D534" s="97"/>
      <c r="E534" s="97"/>
      <c r="F534" s="97"/>
    </row>
    <row r="535" spans="3:6" ht="13.2">
      <c r="C535" s="97"/>
      <c r="D535" s="97"/>
      <c r="E535" s="97"/>
      <c r="F535" s="97"/>
    </row>
    <row r="536" spans="3:6" ht="13.2">
      <c r="C536" s="97"/>
      <c r="D536" s="97"/>
      <c r="E536" s="97"/>
      <c r="F536" s="97"/>
    </row>
    <row r="537" spans="3:6" ht="13.2">
      <c r="C537" s="97"/>
      <c r="D537" s="97"/>
      <c r="E537" s="97"/>
      <c r="F537" s="97"/>
    </row>
    <row r="538" spans="3:6" ht="13.2">
      <c r="C538" s="97"/>
      <c r="D538" s="97"/>
      <c r="E538" s="97"/>
      <c r="F538" s="97"/>
    </row>
    <row r="539" spans="3:6" ht="13.2">
      <c r="C539" s="97"/>
      <c r="D539" s="97"/>
      <c r="E539" s="97"/>
      <c r="F539" s="97"/>
    </row>
    <row r="540" spans="3:6" ht="13.2">
      <c r="C540" s="97"/>
      <c r="D540" s="97"/>
      <c r="E540" s="97"/>
      <c r="F540" s="97"/>
    </row>
    <row r="541" spans="3:6" ht="13.2">
      <c r="C541" s="97"/>
      <c r="D541" s="97"/>
      <c r="E541" s="97"/>
      <c r="F541" s="97"/>
    </row>
    <row r="542" spans="3:6" ht="13.2">
      <c r="C542" s="97"/>
      <c r="D542" s="97"/>
      <c r="E542" s="97"/>
      <c r="F542" s="97"/>
    </row>
    <row r="543" spans="3:6" ht="13.2">
      <c r="C543" s="97"/>
      <c r="D543" s="97"/>
      <c r="E543" s="97"/>
      <c r="F543" s="97"/>
    </row>
    <row r="544" spans="3:6" ht="13.2">
      <c r="C544" s="97"/>
      <c r="D544" s="97"/>
      <c r="E544" s="97"/>
      <c r="F544" s="97"/>
    </row>
    <row r="545" spans="3:6" ht="13.2">
      <c r="C545" s="97"/>
      <c r="D545" s="97"/>
      <c r="E545" s="97"/>
      <c r="F545" s="97"/>
    </row>
    <row r="546" spans="3:6" ht="13.2">
      <c r="C546" s="97"/>
      <c r="D546" s="97"/>
      <c r="E546" s="97"/>
      <c r="F546" s="97"/>
    </row>
    <row r="547" spans="3:6" ht="13.2">
      <c r="C547" s="97"/>
      <c r="D547" s="97"/>
      <c r="E547" s="97"/>
      <c r="F547" s="97"/>
    </row>
    <row r="548" spans="3:6" ht="13.2">
      <c r="C548" s="97"/>
      <c r="D548" s="97"/>
      <c r="E548" s="97"/>
      <c r="F548" s="97"/>
    </row>
    <row r="549" spans="3:6" ht="13.2">
      <c r="C549" s="97"/>
      <c r="D549" s="97"/>
      <c r="E549" s="97"/>
      <c r="F549" s="97"/>
    </row>
    <row r="550" spans="3:6" ht="13.2">
      <c r="C550" s="97"/>
      <c r="D550" s="97"/>
      <c r="E550" s="97"/>
      <c r="F550" s="97"/>
    </row>
    <row r="551" spans="3:6" ht="13.2">
      <c r="C551" s="97"/>
      <c r="D551" s="97"/>
      <c r="E551" s="97"/>
      <c r="F551" s="97"/>
    </row>
    <row r="552" spans="3:6" ht="13.2">
      <c r="C552" s="97"/>
      <c r="D552" s="97"/>
      <c r="E552" s="97"/>
      <c r="F552" s="97"/>
    </row>
    <row r="553" spans="3:6" ht="13.2">
      <c r="C553" s="97"/>
      <c r="D553" s="97"/>
      <c r="E553" s="97"/>
      <c r="F553" s="97"/>
    </row>
    <row r="554" spans="3:6" ht="13.2">
      <c r="C554" s="97"/>
      <c r="D554" s="97"/>
      <c r="E554" s="97"/>
      <c r="F554" s="97"/>
    </row>
    <row r="555" spans="3:6" ht="13.2">
      <c r="C555" s="97"/>
      <c r="D555" s="97"/>
      <c r="E555" s="97"/>
      <c r="F555" s="97"/>
    </row>
    <row r="556" spans="3:6" ht="13.2">
      <c r="C556" s="97"/>
      <c r="D556" s="97"/>
      <c r="E556" s="97"/>
      <c r="F556" s="97"/>
    </row>
    <row r="557" spans="3:6" ht="13.2">
      <c r="C557" s="97"/>
      <c r="D557" s="97"/>
      <c r="E557" s="97"/>
      <c r="F557" s="97"/>
    </row>
    <row r="558" spans="3:6" ht="13.2">
      <c r="C558" s="97"/>
      <c r="D558" s="97"/>
      <c r="E558" s="97"/>
      <c r="F558" s="97"/>
    </row>
    <row r="559" spans="3:6" ht="13.2">
      <c r="C559" s="97"/>
      <c r="D559" s="97"/>
      <c r="E559" s="97"/>
      <c r="F559" s="97"/>
    </row>
    <row r="560" spans="3:6" ht="13.2">
      <c r="C560" s="97"/>
      <c r="D560" s="97"/>
      <c r="E560" s="97"/>
      <c r="F560" s="97"/>
    </row>
    <row r="561" spans="3:6" ht="13.2">
      <c r="C561" s="97"/>
      <c r="D561" s="97"/>
      <c r="E561" s="97"/>
      <c r="F561" s="97"/>
    </row>
    <row r="562" spans="3:6" ht="13.2">
      <c r="C562" s="97"/>
      <c r="D562" s="97"/>
      <c r="E562" s="97"/>
      <c r="F562" s="97"/>
    </row>
    <row r="563" spans="3:6" ht="13.2">
      <c r="C563" s="97"/>
      <c r="D563" s="97"/>
      <c r="E563" s="97"/>
      <c r="F563" s="97"/>
    </row>
    <row r="564" spans="3:6" ht="13.2">
      <c r="C564" s="97"/>
      <c r="D564" s="97"/>
      <c r="E564" s="97"/>
      <c r="F564" s="97"/>
    </row>
    <row r="565" spans="3:6" ht="13.2">
      <c r="C565" s="97"/>
      <c r="D565" s="97"/>
      <c r="E565" s="97"/>
      <c r="F565" s="97"/>
    </row>
    <row r="566" spans="3:6" ht="13.2">
      <c r="C566" s="97"/>
      <c r="D566" s="97"/>
      <c r="E566" s="97"/>
      <c r="F566" s="97"/>
    </row>
    <row r="567" spans="3:6" ht="13.2">
      <c r="C567" s="97"/>
      <c r="D567" s="97"/>
      <c r="E567" s="97"/>
      <c r="F567" s="97"/>
    </row>
    <row r="568" spans="3:6" ht="13.2">
      <c r="C568" s="97"/>
      <c r="D568" s="97"/>
      <c r="E568" s="97"/>
      <c r="F568" s="97"/>
    </row>
    <row r="569" spans="3:6" ht="13.2">
      <c r="C569" s="97"/>
      <c r="D569" s="97"/>
      <c r="E569" s="97"/>
      <c r="F569" s="97"/>
    </row>
    <row r="570" spans="3:6" ht="13.2">
      <c r="C570" s="97"/>
      <c r="D570" s="97"/>
      <c r="E570" s="97"/>
      <c r="F570" s="97"/>
    </row>
    <row r="571" spans="3:6" ht="13.2">
      <c r="C571" s="97"/>
      <c r="D571" s="97"/>
      <c r="E571" s="97"/>
      <c r="F571" s="97"/>
    </row>
    <row r="572" spans="3:6" ht="13.2">
      <c r="C572" s="97"/>
      <c r="D572" s="97"/>
      <c r="E572" s="97"/>
      <c r="F572" s="97"/>
    </row>
    <row r="573" spans="3:6" ht="13.2">
      <c r="C573" s="97"/>
      <c r="D573" s="97"/>
      <c r="E573" s="97"/>
      <c r="F573" s="97"/>
    </row>
    <row r="574" spans="3:6" ht="13.2">
      <c r="C574" s="97"/>
      <c r="D574" s="97"/>
      <c r="E574" s="97"/>
      <c r="F574" s="97"/>
    </row>
    <row r="575" spans="3:6" ht="13.2">
      <c r="C575" s="97"/>
      <c r="D575" s="97"/>
      <c r="E575" s="97"/>
      <c r="F575" s="97"/>
    </row>
    <row r="576" spans="3:6" ht="13.2">
      <c r="C576" s="97"/>
      <c r="D576" s="97"/>
      <c r="E576" s="97"/>
      <c r="F576" s="97"/>
    </row>
    <row r="577" spans="3:6" ht="13.2">
      <c r="C577" s="97"/>
      <c r="D577" s="97"/>
      <c r="E577" s="97"/>
      <c r="F577" s="97"/>
    </row>
    <row r="578" spans="3:6" ht="13.2">
      <c r="C578" s="97"/>
      <c r="D578" s="97"/>
      <c r="E578" s="97"/>
      <c r="F578" s="97"/>
    </row>
    <row r="579" spans="3:6" ht="13.2">
      <c r="C579" s="97"/>
      <c r="D579" s="97"/>
      <c r="E579" s="97"/>
      <c r="F579" s="97"/>
    </row>
    <row r="580" spans="3:6" ht="13.2">
      <c r="C580" s="97"/>
      <c r="D580" s="97"/>
      <c r="E580" s="97"/>
      <c r="F580" s="97"/>
    </row>
    <row r="581" spans="3:6" ht="13.2">
      <c r="C581" s="97"/>
      <c r="D581" s="97"/>
      <c r="E581" s="97"/>
      <c r="F581" s="97"/>
    </row>
    <row r="582" spans="3:6" ht="13.2">
      <c r="C582" s="97"/>
      <c r="D582" s="97"/>
      <c r="E582" s="97"/>
      <c r="F582" s="97"/>
    </row>
    <row r="583" spans="3:6" ht="13.2">
      <c r="C583" s="97"/>
      <c r="D583" s="97"/>
      <c r="E583" s="97"/>
      <c r="F583" s="97"/>
    </row>
    <row r="584" spans="3:6" ht="13.2">
      <c r="C584" s="97"/>
      <c r="D584" s="97"/>
      <c r="E584" s="97"/>
      <c r="F584" s="97"/>
    </row>
    <row r="585" spans="3:6" ht="13.2">
      <c r="C585" s="97"/>
      <c r="D585" s="97"/>
      <c r="E585" s="97"/>
      <c r="F585" s="97"/>
    </row>
    <row r="586" spans="3:6" ht="13.2">
      <c r="C586" s="97"/>
      <c r="D586" s="97"/>
      <c r="E586" s="97"/>
      <c r="F586" s="97"/>
    </row>
    <row r="587" spans="3:6" ht="13.2">
      <c r="C587" s="97"/>
      <c r="D587" s="97"/>
      <c r="E587" s="97"/>
      <c r="F587" s="97"/>
    </row>
    <row r="588" spans="3:6" ht="13.2">
      <c r="C588" s="97"/>
      <c r="D588" s="97"/>
      <c r="E588" s="97"/>
      <c r="F588" s="97"/>
    </row>
    <row r="589" spans="3:6" ht="13.2">
      <c r="C589" s="97"/>
      <c r="D589" s="97"/>
      <c r="E589" s="97"/>
      <c r="F589" s="97"/>
    </row>
    <row r="590" spans="3:6" ht="13.2">
      <c r="C590" s="97"/>
      <c r="D590" s="97"/>
      <c r="E590" s="97"/>
      <c r="F590" s="97"/>
    </row>
    <row r="591" spans="3:6" ht="13.2">
      <c r="C591" s="97"/>
      <c r="D591" s="97"/>
      <c r="E591" s="97"/>
      <c r="F591" s="97"/>
    </row>
    <row r="592" spans="3:6" ht="13.2">
      <c r="C592" s="97"/>
      <c r="D592" s="97"/>
      <c r="E592" s="97"/>
      <c r="F592" s="97"/>
    </row>
    <row r="593" spans="3:6" ht="13.2">
      <c r="C593" s="97"/>
      <c r="D593" s="97"/>
      <c r="E593" s="97"/>
      <c r="F593" s="97"/>
    </row>
    <row r="594" spans="3:6" ht="13.2">
      <c r="C594" s="97"/>
      <c r="D594" s="97"/>
      <c r="E594" s="97"/>
      <c r="F594" s="97"/>
    </row>
    <row r="595" spans="3:6" ht="13.2">
      <c r="C595" s="97"/>
      <c r="D595" s="97"/>
      <c r="E595" s="97"/>
      <c r="F595" s="97"/>
    </row>
    <row r="596" spans="3:6" ht="13.2">
      <c r="C596" s="97"/>
      <c r="D596" s="97"/>
      <c r="E596" s="97"/>
      <c r="F596" s="97"/>
    </row>
    <row r="597" spans="3:6" ht="13.2">
      <c r="C597" s="97"/>
      <c r="D597" s="97"/>
      <c r="E597" s="97"/>
      <c r="F597" s="97"/>
    </row>
    <row r="598" spans="3:6" ht="13.2">
      <c r="C598" s="97"/>
      <c r="D598" s="97"/>
      <c r="E598" s="97"/>
      <c r="F598" s="97"/>
    </row>
    <row r="599" spans="3:6" ht="13.2">
      <c r="C599" s="97"/>
      <c r="D599" s="97"/>
      <c r="E599" s="97"/>
      <c r="F599" s="97"/>
    </row>
    <row r="600" spans="3:6" ht="13.2">
      <c r="C600" s="97"/>
      <c r="D600" s="97"/>
      <c r="E600" s="97"/>
      <c r="F600" s="97"/>
    </row>
    <row r="601" spans="3:6" ht="13.2">
      <c r="C601" s="97"/>
      <c r="D601" s="97"/>
      <c r="E601" s="97"/>
      <c r="F601" s="97"/>
    </row>
    <row r="602" spans="3:6" ht="13.2">
      <c r="C602" s="97"/>
      <c r="D602" s="97"/>
      <c r="E602" s="97"/>
      <c r="F602" s="97"/>
    </row>
    <row r="603" spans="3:6" ht="13.2">
      <c r="C603" s="97"/>
      <c r="D603" s="97"/>
      <c r="E603" s="97"/>
      <c r="F603" s="97"/>
    </row>
    <row r="604" spans="3:6" ht="13.2">
      <c r="C604" s="97"/>
      <c r="D604" s="97"/>
      <c r="E604" s="97"/>
      <c r="F604" s="97"/>
    </row>
    <row r="605" spans="3:6" ht="13.2">
      <c r="C605" s="97"/>
      <c r="D605" s="97"/>
      <c r="E605" s="97"/>
      <c r="F605" s="97"/>
    </row>
    <row r="606" spans="3:6" ht="13.2">
      <c r="C606" s="97"/>
      <c r="D606" s="97"/>
      <c r="E606" s="97"/>
      <c r="F606" s="97"/>
    </row>
    <row r="607" spans="3:6" ht="13.2">
      <c r="C607" s="97"/>
      <c r="D607" s="97"/>
      <c r="E607" s="97"/>
      <c r="F607" s="97"/>
    </row>
    <row r="608" spans="3:6" ht="13.2">
      <c r="C608" s="97"/>
      <c r="D608" s="97"/>
      <c r="E608" s="97"/>
      <c r="F608" s="97"/>
    </row>
    <row r="609" spans="3:6" ht="13.2">
      <c r="C609" s="97"/>
      <c r="D609" s="97"/>
      <c r="E609" s="97"/>
      <c r="F609" s="97"/>
    </row>
    <row r="610" spans="3:6" ht="13.2">
      <c r="C610" s="97"/>
      <c r="D610" s="97"/>
      <c r="E610" s="97"/>
      <c r="F610" s="97"/>
    </row>
    <row r="611" spans="3:6" ht="13.2">
      <c r="C611" s="97"/>
      <c r="D611" s="97"/>
      <c r="E611" s="97"/>
      <c r="F611" s="97"/>
    </row>
    <row r="612" spans="3:6" ht="13.2">
      <c r="C612" s="97"/>
      <c r="D612" s="97"/>
      <c r="E612" s="97"/>
      <c r="F612" s="97"/>
    </row>
    <row r="613" spans="3:6" ht="13.2">
      <c r="C613" s="97"/>
      <c r="D613" s="97"/>
      <c r="E613" s="97"/>
      <c r="F613" s="97"/>
    </row>
    <row r="614" spans="3:6" ht="13.2">
      <c r="C614" s="97"/>
      <c r="D614" s="97"/>
      <c r="E614" s="97"/>
      <c r="F614" s="97"/>
    </row>
    <row r="615" spans="3:6" ht="13.2">
      <c r="C615" s="97"/>
      <c r="D615" s="97"/>
      <c r="E615" s="97"/>
      <c r="F615" s="97"/>
    </row>
    <row r="616" spans="3:6" ht="13.2">
      <c r="C616" s="97"/>
      <c r="D616" s="97"/>
      <c r="E616" s="97"/>
      <c r="F616" s="97"/>
    </row>
    <row r="617" spans="3:6" ht="13.2">
      <c r="C617" s="97"/>
      <c r="D617" s="97"/>
      <c r="E617" s="97"/>
      <c r="F617" s="97"/>
    </row>
    <row r="618" spans="3:6" ht="13.2">
      <c r="C618" s="97"/>
      <c r="D618" s="97"/>
      <c r="E618" s="97"/>
      <c r="F618" s="97"/>
    </row>
    <row r="619" spans="3:6" ht="13.2">
      <c r="C619" s="97"/>
      <c r="D619" s="97"/>
      <c r="E619" s="97"/>
      <c r="F619" s="97"/>
    </row>
    <row r="620" spans="3:6" ht="13.2">
      <c r="C620" s="97"/>
      <c r="D620" s="97"/>
      <c r="E620" s="97"/>
      <c r="F620" s="97"/>
    </row>
    <row r="621" spans="3:6" ht="13.2">
      <c r="C621" s="97"/>
      <c r="D621" s="97"/>
      <c r="E621" s="97"/>
      <c r="F621" s="97"/>
    </row>
    <row r="622" spans="3:6" ht="13.2">
      <c r="C622" s="97"/>
      <c r="D622" s="97"/>
      <c r="E622" s="97"/>
      <c r="F622" s="97"/>
    </row>
    <row r="623" spans="3:6" ht="13.2">
      <c r="C623" s="97"/>
      <c r="D623" s="97"/>
      <c r="E623" s="97"/>
      <c r="F623" s="97"/>
    </row>
    <row r="624" spans="3:6" ht="13.2">
      <c r="C624" s="97"/>
      <c r="D624" s="97"/>
      <c r="E624" s="97"/>
      <c r="F624" s="97"/>
    </row>
    <row r="625" spans="3:6" ht="13.2">
      <c r="C625" s="97"/>
      <c r="D625" s="97"/>
      <c r="E625" s="97"/>
      <c r="F625" s="97"/>
    </row>
    <row r="626" spans="3:6" ht="13.2">
      <c r="C626" s="97"/>
      <c r="D626" s="97"/>
      <c r="E626" s="97"/>
      <c r="F626" s="97"/>
    </row>
    <row r="627" spans="3:6" ht="13.2">
      <c r="C627" s="97"/>
      <c r="D627" s="97"/>
      <c r="E627" s="97"/>
      <c r="F627" s="97"/>
    </row>
    <row r="628" spans="3:6" ht="13.2">
      <c r="C628" s="97"/>
      <c r="D628" s="97"/>
      <c r="E628" s="97"/>
      <c r="F628" s="97"/>
    </row>
    <row r="629" spans="3:6" ht="13.2">
      <c r="C629" s="97"/>
      <c r="D629" s="97"/>
      <c r="E629" s="97"/>
      <c r="F629" s="97"/>
    </row>
    <row r="630" spans="3:6" ht="13.2">
      <c r="C630" s="97"/>
      <c r="D630" s="97"/>
      <c r="E630" s="97"/>
      <c r="F630" s="97"/>
    </row>
    <row r="631" spans="3:6" ht="13.2">
      <c r="C631" s="97"/>
      <c r="D631" s="97"/>
      <c r="E631" s="97"/>
      <c r="F631" s="97"/>
    </row>
    <row r="632" spans="3:6" ht="13.2">
      <c r="C632" s="97"/>
      <c r="D632" s="97"/>
      <c r="E632" s="97"/>
      <c r="F632" s="97"/>
    </row>
    <row r="633" spans="3:6" ht="13.2">
      <c r="C633" s="97"/>
      <c r="D633" s="97"/>
      <c r="E633" s="97"/>
      <c r="F633" s="97"/>
    </row>
    <row r="634" spans="3:6" ht="13.2">
      <c r="C634" s="97"/>
      <c r="D634" s="97"/>
      <c r="E634" s="97"/>
      <c r="F634" s="97"/>
    </row>
    <row r="635" spans="3:6" ht="13.2">
      <c r="C635" s="97"/>
      <c r="D635" s="97"/>
      <c r="E635" s="97"/>
      <c r="F635" s="97"/>
    </row>
    <row r="636" spans="3:6" ht="13.2">
      <c r="C636" s="97"/>
      <c r="D636" s="97"/>
      <c r="E636" s="97"/>
      <c r="F636" s="97"/>
    </row>
    <row r="637" spans="3:6" ht="13.2">
      <c r="C637" s="97"/>
      <c r="D637" s="97"/>
      <c r="E637" s="97"/>
      <c r="F637" s="97"/>
    </row>
    <row r="638" spans="3:6" ht="13.2">
      <c r="C638" s="97"/>
      <c r="D638" s="97"/>
      <c r="E638" s="97"/>
      <c r="F638" s="97"/>
    </row>
    <row r="639" spans="3:6" ht="13.2">
      <c r="C639" s="97"/>
      <c r="D639" s="97"/>
      <c r="E639" s="97"/>
      <c r="F639" s="97"/>
    </row>
    <row r="640" spans="3:6" ht="13.2">
      <c r="C640" s="97"/>
      <c r="D640" s="97"/>
      <c r="E640" s="97"/>
      <c r="F640" s="97"/>
    </row>
    <row r="641" spans="3:6" ht="13.2">
      <c r="C641" s="97"/>
      <c r="D641" s="97"/>
      <c r="E641" s="97"/>
      <c r="F641" s="97"/>
    </row>
    <row r="642" spans="3:6" ht="13.2">
      <c r="C642" s="97"/>
      <c r="D642" s="97"/>
      <c r="E642" s="97"/>
      <c r="F642" s="97"/>
    </row>
    <row r="643" spans="3:6" ht="13.2">
      <c r="C643" s="97"/>
      <c r="D643" s="97"/>
      <c r="E643" s="97"/>
      <c r="F643" s="97"/>
    </row>
    <row r="644" spans="3:6" ht="13.2">
      <c r="C644" s="97"/>
      <c r="D644" s="97"/>
      <c r="E644" s="97"/>
      <c r="F644" s="97"/>
    </row>
    <row r="645" spans="3:6" ht="13.2">
      <c r="C645" s="97"/>
      <c r="D645" s="97"/>
      <c r="E645" s="97"/>
      <c r="F645" s="97"/>
    </row>
    <row r="646" spans="3:6" ht="13.2">
      <c r="C646" s="97"/>
      <c r="D646" s="97"/>
      <c r="E646" s="97"/>
      <c r="F646" s="97"/>
    </row>
    <row r="647" spans="3:6" ht="13.2">
      <c r="C647" s="97"/>
      <c r="D647" s="97"/>
      <c r="E647" s="97"/>
      <c r="F647" s="97"/>
    </row>
    <row r="648" spans="3:6" ht="13.2">
      <c r="C648" s="97"/>
      <c r="D648" s="97"/>
      <c r="E648" s="97"/>
      <c r="F648" s="97"/>
    </row>
    <row r="649" spans="3:6" ht="13.2">
      <c r="C649" s="97"/>
      <c r="D649" s="97"/>
      <c r="E649" s="97"/>
      <c r="F649" s="97"/>
    </row>
    <row r="650" spans="3:6" ht="13.2">
      <c r="C650" s="97"/>
      <c r="D650" s="97"/>
      <c r="E650" s="97"/>
      <c r="F650" s="97"/>
    </row>
    <row r="651" spans="3:6" ht="13.2">
      <c r="C651" s="97"/>
      <c r="D651" s="97"/>
      <c r="E651" s="97"/>
      <c r="F651" s="97"/>
    </row>
    <row r="652" spans="3:6" ht="13.2">
      <c r="C652" s="97"/>
      <c r="D652" s="97"/>
      <c r="E652" s="97"/>
      <c r="F652" s="97"/>
    </row>
    <row r="653" spans="3:6" ht="13.2">
      <c r="C653" s="97"/>
      <c r="D653" s="97"/>
      <c r="E653" s="97"/>
      <c r="F653" s="97"/>
    </row>
    <row r="654" spans="3:6" ht="13.2">
      <c r="C654" s="97"/>
      <c r="D654" s="97"/>
      <c r="E654" s="97"/>
      <c r="F654" s="97"/>
    </row>
    <row r="655" spans="3:6" ht="13.2">
      <c r="C655" s="97"/>
      <c r="D655" s="97"/>
      <c r="E655" s="97"/>
      <c r="F655" s="97"/>
    </row>
    <row r="656" spans="3:6" ht="13.2">
      <c r="C656" s="97"/>
      <c r="D656" s="97"/>
      <c r="E656" s="97"/>
      <c r="F656" s="97"/>
    </row>
    <row r="657" spans="3:6" ht="13.2">
      <c r="C657" s="97"/>
      <c r="D657" s="97"/>
      <c r="E657" s="97"/>
      <c r="F657" s="97"/>
    </row>
    <row r="658" spans="3:6" ht="13.2">
      <c r="C658" s="97"/>
      <c r="D658" s="97"/>
      <c r="E658" s="97"/>
      <c r="F658" s="97"/>
    </row>
    <row r="659" spans="3:6" ht="13.2">
      <c r="C659" s="97"/>
      <c r="D659" s="97"/>
      <c r="E659" s="97"/>
      <c r="F659" s="97"/>
    </row>
    <row r="660" spans="3:6" ht="13.2">
      <c r="C660" s="97"/>
      <c r="D660" s="97"/>
      <c r="E660" s="97"/>
      <c r="F660" s="97"/>
    </row>
    <row r="661" spans="3:6" ht="13.2">
      <c r="C661" s="97"/>
      <c r="D661" s="97"/>
      <c r="E661" s="97"/>
      <c r="F661" s="97"/>
    </row>
    <row r="662" spans="3:6" ht="13.2">
      <c r="C662" s="97"/>
      <c r="D662" s="97"/>
      <c r="E662" s="97"/>
      <c r="F662" s="97"/>
    </row>
    <row r="663" spans="3:6" ht="13.2">
      <c r="C663" s="97"/>
      <c r="D663" s="97"/>
      <c r="E663" s="97"/>
      <c r="F663" s="97"/>
    </row>
    <row r="664" spans="3:6" ht="13.2">
      <c r="C664" s="97"/>
      <c r="D664" s="97"/>
      <c r="E664" s="97"/>
      <c r="F664" s="97"/>
    </row>
    <row r="665" spans="3:6" ht="13.2">
      <c r="C665" s="97"/>
      <c r="D665" s="97"/>
      <c r="E665" s="97"/>
      <c r="F665" s="97"/>
    </row>
    <row r="666" spans="3:6" ht="13.2">
      <c r="C666" s="97"/>
      <c r="D666" s="97"/>
      <c r="E666" s="97"/>
      <c r="F666" s="97"/>
    </row>
    <row r="667" spans="3:6" ht="13.2">
      <c r="C667" s="97"/>
      <c r="D667" s="97"/>
      <c r="E667" s="97"/>
      <c r="F667" s="97"/>
    </row>
    <row r="668" spans="3:6" ht="13.2">
      <c r="C668" s="97"/>
      <c r="D668" s="97"/>
      <c r="E668" s="97"/>
      <c r="F668" s="97"/>
    </row>
    <row r="669" spans="3:6" ht="13.2">
      <c r="C669" s="97"/>
      <c r="D669" s="97"/>
      <c r="E669" s="97"/>
      <c r="F669" s="97"/>
    </row>
    <row r="670" spans="3:6" ht="13.2">
      <c r="C670" s="97"/>
      <c r="D670" s="97"/>
      <c r="E670" s="97"/>
      <c r="F670" s="97"/>
    </row>
    <row r="671" spans="3:6" ht="13.2">
      <c r="C671" s="97"/>
      <c r="D671" s="97"/>
      <c r="E671" s="97"/>
      <c r="F671" s="97"/>
    </row>
    <row r="672" spans="3:6" ht="13.2">
      <c r="C672" s="97"/>
      <c r="D672" s="97"/>
      <c r="E672" s="97"/>
      <c r="F672" s="97"/>
    </row>
    <row r="673" spans="3:6" ht="13.2">
      <c r="C673" s="97"/>
      <c r="D673" s="97"/>
      <c r="E673" s="97"/>
      <c r="F673" s="97"/>
    </row>
    <row r="674" spans="3:6" ht="13.2">
      <c r="C674" s="97"/>
      <c r="D674" s="97"/>
      <c r="E674" s="97"/>
      <c r="F674" s="97"/>
    </row>
    <row r="675" spans="3:6" ht="13.2">
      <c r="C675" s="97"/>
      <c r="D675" s="97"/>
      <c r="E675" s="97"/>
      <c r="F675" s="97"/>
    </row>
    <row r="676" spans="3:6" ht="13.2">
      <c r="C676" s="97"/>
      <c r="D676" s="97"/>
      <c r="E676" s="97"/>
      <c r="F676" s="97"/>
    </row>
    <row r="677" spans="3:6" ht="13.2">
      <c r="C677" s="97"/>
      <c r="D677" s="97"/>
      <c r="E677" s="97"/>
      <c r="F677" s="97"/>
    </row>
    <row r="678" spans="3:6" ht="13.2">
      <c r="C678" s="97"/>
      <c r="D678" s="97"/>
      <c r="E678" s="97"/>
      <c r="F678" s="97"/>
    </row>
    <row r="679" spans="3:6" ht="13.2">
      <c r="C679" s="97"/>
      <c r="D679" s="97"/>
      <c r="E679" s="97"/>
      <c r="F679" s="97"/>
    </row>
    <row r="680" spans="3:6" ht="13.2">
      <c r="C680" s="97"/>
      <c r="D680" s="97"/>
      <c r="E680" s="97"/>
      <c r="F680" s="97"/>
    </row>
    <row r="681" spans="3:6" ht="13.2">
      <c r="C681" s="97"/>
      <c r="D681" s="97"/>
      <c r="E681" s="97"/>
      <c r="F681" s="97"/>
    </row>
    <row r="682" spans="3:6" ht="13.2">
      <c r="C682" s="97"/>
      <c r="D682" s="97"/>
      <c r="E682" s="97"/>
      <c r="F682" s="97"/>
    </row>
    <row r="683" spans="3:6" ht="13.2">
      <c r="C683" s="97"/>
      <c r="D683" s="97"/>
      <c r="E683" s="97"/>
      <c r="F683" s="97"/>
    </row>
    <row r="684" spans="3:6" ht="13.2">
      <c r="C684" s="97"/>
      <c r="D684" s="97"/>
      <c r="E684" s="97"/>
      <c r="F684" s="97"/>
    </row>
    <row r="685" spans="3:6" ht="13.2">
      <c r="C685" s="97"/>
      <c r="D685" s="97"/>
      <c r="E685" s="97"/>
      <c r="F685" s="97"/>
    </row>
    <row r="686" spans="3:6" ht="13.2">
      <c r="C686" s="97"/>
      <c r="D686" s="97"/>
      <c r="E686" s="97"/>
      <c r="F686" s="97"/>
    </row>
    <row r="687" spans="3:6" ht="13.2">
      <c r="C687" s="97"/>
      <c r="D687" s="97"/>
      <c r="E687" s="97"/>
      <c r="F687" s="97"/>
    </row>
    <row r="688" spans="3:6" ht="13.2">
      <c r="C688" s="97"/>
      <c r="D688" s="97"/>
      <c r="E688" s="97"/>
      <c r="F688" s="97"/>
    </row>
    <row r="689" spans="3:6" ht="13.2">
      <c r="C689" s="97"/>
      <c r="D689" s="97"/>
      <c r="E689" s="97"/>
      <c r="F689" s="97"/>
    </row>
    <row r="690" spans="3:6" ht="13.2">
      <c r="C690" s="97"/>
      <c r="D690" s="97"/>
      <c r="E690" s="97"/>
      <c r="F690" s="97"/>
    </row>
    <row r="691" spans="3:6" ht="13.2">
      <c r="C691" s="97"/>
      <c r="D691" s="97"/>
      <c r="E691" s="97"/>
      <c r="F691" s="97"/>
    </row>
    <row r="692" spans="3:6" ht="13.2">
      <c r="C692" s="97"/>
      <c r="D692" s="97"/>
      <c r="E692" s="97"/>
      <c r="F692" s="97"/>
    </row>
    <row r="693" spans="3:6" ht="13.2">
      <c r="C693" s="97"/>
      <c r="D693" s="97"/>
      <c r="E693" s="97"/>
      <c r="F693" s="97"/>
    </row>
    <row r="694" spans="3:6" ht="13.2">
      <c r="C694" s="97"/>
      <c r="D694" s="97"/>
      <c r="E694" s="97"/>
      <c r="F694" s="97"/>
    </row>
    <row r="695" spans="3:6" ht="13.2">
      <c r="C695" s="97"/>
      <c r="D695" s="97"/>
      <c r="E695" s="97"/>
      <c r="F695" s="97"/>
    </row>
    <row r="696" spans="3:6" ht="13.2">
      <c r="C696" s="97"/>
      <c r="D696" s="97"/>
      <c r="E696" s="97"/>
      <c r="F696" s="97"/>
    </row>
    <row r="697" spans="3:6" ht="13.2">
      <c r="C697" s="97"/>
      <c r="D697" s="97"/>
      <c r="E697" s="97"/>
      <c r="F697" s="97"/>
    </row>
    <row r="698" spans="3:6" ht="13.2">
      <c r="C698" s="97"/>
      <c r="D698" s="97"/>
      <c r="E698" s="97"/>
      <c r="F698" s="97"/>
    </row>
    <row r="699" spans="3:6" ht="13.2">
      <c r="C699" s="97"/>
      <c r="D699" s="97"/>
      <c r="E699" s="97"/>
      <c r="F699" s="97"/>
    </row>
    <row r="700" spans="3:6" ht="13.2">
      <c r="C700" s="97"/>
      <c r="D700" s="97"/>
      <c r="E700" s="97"/>
      <c r="F700" s="97"/>
    </row>
    <row r="701" spans="3:6" ht="13.2">
      <c r="C701" s="97"/>
      <c r="D701" s="97"/>
      <c r="E701" s="97"/>
      <c r="F701" s="97"/>
    </row>
    <row r="702" spans="3:6" ht="13.2">
      <c r="C702" s="97"/>
      <c r="D702" s="97"/>
      <c r="E702" s="97"/>
      <c r="F702" s="97"/>
    </row>
    <row r="703" spans="3:6" ht="13.2">
      <c r="C703" s="97"/>
      <c r="D703" s="97"/>
      <c r="E703" s="97"/>
      <c r="F703" s="97"/>
    </row>
    <row r="704" spans="3:6" ht="13.2">
      <c r="C704" s="97"/>
      <c r="D704" s="97"/>
      <c r="E704" s="97"/>
      <c r="F704" s="97"/>
    </row>
    <row r="705" spans="3:6" ht="13.2">
      <c r="C705" s="97"/>
      <c r="D705" s="97"/>
      <c r="E705" s="97"/>
      <c r="F705" s="97"/>
    </row>
    <row r="706" spans="3:6" ht="13.2">
      <c r="C706" s="97"/>
      <c r="D706" s="97"/>
      <c r="E706" s="97"/>
      <c r="F706" s="97"/>
    </row>
    <row r="707" spans="3:6" ht="13.2">
      <c r="C707" s="97"/>
      <c r="D707" s="97"/>
      <c r="E707" s="97"/>
      <c r="F707" s="97"/>
    </row>
    <row r="708" spans="3:6" ht="13.2">
      <c r="C708" s="97"/>
      <c r="D708" s="97"/>
      <c r="E708" s="97"/>
      <c r="F708" s="97"/>
    </row>
    <row r="709" spans="3:6" ht="13.2">
      <c r="C709" s="97"/>
      <c r="D709" s="97"/>
      <c r="E709" s="97"/>
      <c r="F709" s="97"/>
    </row>
    <row r="710" spans="3:6" ht="13.2">
      <c r="C710" s="97"/>
      <c r="D710" s="97"/>
      <c r="E710" s="97"/>
      <c r="F710" s="97"/>
    </row>
    <row r="711" spans="3:6" ht="13.2">
      <c r="C711" s="97"/>
      <c r="D711" s="97"/>
      <c r="E711" s="97"/>
      <c r="F711" s="97"/>
    </row>
    <row r="712" spans="3:6" ht="13.2">
      <c r="C712" s="97"/>
      <c r="D712" s="97"/>
      <c r="E712" s="97"/>
      <c r="F712" s="97"/>
    </row>
    <row r="713" spans="3:6" ht="13.2">
      <c r="C713" s="97"/>
      <c r="D713" s="97"/>
      <c r="E713" s="97"/>
      <c r="F713" s="97"/>
    </row>
    <row r="714" spans="3:6" ht="13.2">
      <c r="C714" s="97"/>
      <c r="D714" s="97"/>
      <c r="E714" s="97"/>
      <c r="F714" s="97"/>
    </row>
    <row r="715" spans="3:6" ht="13.2">
      <c r="C715" s="97"/>
      <c r="D715" s="97"/>
      <c r="E715" s="97"/>
      <c r="F715" s="97"/>
    </row>
    <row r="716" spans="3:6" ht="13.2">
      <c r="C716" s="97"/>
      <c r="D716" s="97"/>
      <c r="E716" s="97"/>
      <c r="F716" s="97"/>
    </row>
    <row r="717" spans="3:6" ht="13.2">
      <c r="C717" s="97"/>
      <c r="D717" s="97"/>
      <c r="E717" s="97"/>
      <c r="F717" s="97"/>
    </row>
    <row r="718" spans="3:6" ht="13.2">
      <c r="C718" s="97"/>
      <c r="D718" s="97"/>
      <c r="E718" s="97"/>
      <c r="F718" s="97"/>
    </row>
    <row r="719" spans="3:6" ht="13.2">
      <c r="C719" s="97"/>
      <c r="D719" s="97"/>
      <c r="E719" s="97"/>
      <c r="F719" s="97"/>
    </row>
    <row r="720" spans="3:6" ht="13.2">
      <c r="C720" s="97"/>
      <c r="D720" s="97"/>
      <c r="E720" s="97"/>
      <c r="F720" s="97"/>
    </row>
    <row r="721" spans="3:6" ht="13.2">
      <c r="C721" s="97"/>
      <c r="D721" s="97"/>
      <c r="E721" s="97"/>
      <c r="F721" s="97"/>
    </row>
    <row r="722" spans="3:6" ht="13.2">
      <c r="C722" s="97"/>
      <c r="D722" s="97"/>
      <c r="E722" s="97"/>
      <c r="F722" s="97"/>
    </row>
    <row r="723" spans="3:6" ht="13.2">
      <c r="C723" s="97"/>
      <c r="D723" s="97"/>
      <c r="E723" s="97"/>
      <c r="F723" s="97"/>
    </row>
    <row r="724" spans="3:6" ht="13.2">
      <c r="C724" s="97"/>
      <c r="D724" s="97"/>
      <c r="E724" s="97"/>
      <c r="F724" s="97"/>
    </row>
    <row r="725" spans="3:6" ht="13.2">
      <c r="C725" s="97"/>
      <c r="D725" s="97"/>
      <c r="E725" s="97"/>
      <c r="F725" s="97"/>
    </row>
    <row r="726" spans="3:6" ht="13.2">
      <c r="C726" s="97"/>
      <c r="D726" s="97"/>
      <c r="E726" s="97"/>
      <c r="F726" s="97"/>
    </row>
    <row r="727" spans="3:6" ht="13.2">
      <c r="C727" s="97"/>
      <c r="D727" s="97"/>
      <c r="E727" s="97"/>
      <c r="F727" s="97"/>
    </row>
    <row r="728" spans="3:6" ht="13.2">
      <c r="C728" s="97"/>
      <c r="D728" s="97"/>
      <c r="E728" s="97"/>
      <c r="F728" s="97"/>
    </row>
    <row r="729" spans="3:6" ht="13.2">
      <c r="C729" s="97"/>
      <c r="D729" s="97"/>
      <c r="E729" s="97"/>
      <c r="F729" s="97"/>
    </row>
    <row r="730" spans="3:6" ht="13.2">
      <c r="C730" s="97"/>
      <c r="D730" s="97"/>
      <c r="E730" s="97"/>
      <c r="F730" s="97"/>
    </row>
    <row r="731" spans="3:6" ht="13.2">
      <c r="C731" s="97"/>
      <c r="D731" s="97"/>
      <c r="E731" s="97"/>
      <c r="F731" s="97"/>
    </row>
    <row r="732" spans="3:6" ht="13.2">
      <c r="C732" s="97"/>
      <c r="D732" s="97"/>
      <c r="E732" s="97"/>
      <c r="F732" s="97"/>
    </row>
    <row r="733" spans="3:6" ht="13.2">
      <c r="C733" s="97"/>
      <c r="D733" s="97"/>
      <c r="E733" s="97"/>
      <c r="F733" s="97"/>
    </row>
    <row r="734" spans="3:6" ht="13.2">
      <c r="C734" s="97"/>
      <c r="D734" s="97"/>
      <c r="E734" s="97"/>
      <c r="F734" s="97"/>
    </row>
    <row r="735" spans="3:6" ht="13.2">
      <c r="C735" s="97"/>
      <c r="D735" s="97"/>
      <c r="E735" s="97"/>
      <c r="F735" s="97"/>
    </row>
    <row r="736" spans="3:6" ht="13.2">
      <c r="C736" s="97"/>
      <c r="D736" s="97"/>
      <c r="E736" s="97"/>
      <c r="F736" s="97"/>
    </row>
    <row r="737" spans="3:6" ht="13.2">
      <c r="C737" s="97"/>
      <c r="D737" s="97"/>
      <c r="E737" s="97"/>
      <c r="F737" s="97"/>
    </row>
    <row r="738" spans="3:6" ht="13.2">
      <c r="C738" s="97"/>
      <c r="D738" s="97"/>
      <c r="E738" s="97"/>
      <c r="F738" s="97"/>
    </row>
    <row r="739" spans="3:6" ht="13.2">
      <c r="C739" s="97"/>
      <c r="D739" s="97"/>
      <c r="E739" s="97"/>
      <c r="F739" s="97"/>
    </row>
    <row r="740" spans="3:6" ht="13.2">
      <c r="C740" s="97"/>
      <c r="D740" s="97"/>
      <c r="E740" s="97"/>
      <c r="F740" s="97"/>
    </row>
    <row r="741" spans="3:6" ht="13.2">
      <c r="C741" s="97"/>
      <c r="D741" s="97"/>
      <c r="E741" s="97"/>
      <c r="F741" s="97"/>
    </row>
    <row r="742" spans="3:6" ht="13.2">
      <c r="C742" s="97"/>
      <c r="D742" s="97"/>
      <c r="E742" s="97"/>
      <c r="F742" s="97"/>
    </row>
    <row r="743" spans="3:6" ht="13.2">
      <c r="C743" s="97"/>
      <c r="D743" s="97"/>
      <c r="E743" s="97"/>
      <c r="F743" s="97"/>
    </row>
    <row r="744" spans="3:6" ht="13.2">
      <c r="C744" s="97"/>
      <c r="D744" s="97"/>
      <c r="E744" s="97"/>
      <c r="F744" s="97"/>
    </row>
    <row r="745" spans="3:6" ht="13.2">
      <c r="C745" s="97"/>
      <c r="D745" s="97"/>
      <c r="E745" s="97"/>
      <c r="F745" s="97"/>
    </row>
    <row r="746" spans="3:6" ht="13.2">
      <c r="C746" s="97"/>
      <c r="D746" s="97"/>
      <c r="E746" s="97"/>
      <c r="F746" s="97"/>
    </row>
    <row r="747" spans="3:6" ht="13.2">
      <c r="C747" s="97"/>
      <c r="D747" s="97"/>
      <c r="E747" s="97"/>
      <c r="F747" s="97"/>
    </row>
    <row r="748" spans="3:6" ht="13.2">
      <c r="C748" s="97"/>
      <c r="D748" s="97"/>
      <c r="E748" s="97"/>
      <c r="F748" s="97"/>
    </row>
    <row r="749" spans="3:6" ht="13.2">
      <c r="C749" s="97"/>
      <c r="D749" s="97"/>
      <c r="E749" s="97"/>
      <c r="F749" s="97"/>
    </row>
    <row r="750" spans="3:6" ht="13.2">
      <c r="C750" s="97"/>
      <c r="D750" s="97"/>
      <c r="E750" s="97"/>
      <c r="F750" s="97"/>
    </row>
    <row r="751" spans="3:6" ht="13.2">
      <c r="C751" s="97"/>
      <c r="D751" s="97"/>
      <c r="E751" s="97"/>
      <c r="F751" s="97"/>
    </row>
    <row r="752" spans="3:6" ht="13.2">
      <c r="C752" s="97"/>
      <c r="D752" s="97"/>
      <c r="E752" s="97"/>
      <c r="F752" s="97"/>
    </row>
    <row r="753" spans="3:6" ht="13.2">
      <c r="C753" s="97"/>
      <c r="D753" s="97"/>
      <c r="E753" s="97"/>
      <c r="F753" s="97"/>
    </row>
    <row r="754" spans="3:6" ht="13.2">
      <c r="C754" s="97"/>
      <c r="D754" s="97"/>
      <c r="E754" s="97"/>
      <c r="F754" s="97"/>
    </row>
    <row r="755" spans="3:6" ht="13.2">
      <c r="C755" s="97"/>
      <c r="D755" s="97"/>
      <c r="E755" s="97"/>
      <c r="F755" s="97"/>
    </row>
    <row r="756" spans="3:6" ht="13.2">
      <c r="C756" s="97"/>
      <c r="D756" s="97"/>
      <c r="E756" s="97"/>
      <c r="F756" s="97"/>
    </row>
    <row r="757" spans="3:6" ht="13.2">
      <c r="C757" s="97"/>
      <c r="D757" s="97"/>
      <c r="E757" s="97"/>
      <c r="F757" s="97"/>
    </row>
    <row r="758" spans="3:6" ht="13.2">
      <c r="C758" s="97"/>
      <c r="D758" s="97"/>
      <c r="E758" s="97"/>
      <c r="F758" s="97"/>
    </row>
    <row r="759" spans="3:6" ht="13.2">
      <c r="C759" s="97"/>
      <c r="D759" s="97"/>
      <c r="E759" s="97"/>
      <c r="F759" s="97"/>
    </row>
    <row r="760" spans="3:6" ht="13.2">
      <c r="C760" s="97"/>
      <c r="D760" s="97"/>
      <c r="E760" s="97"/>
      <c r="F760" s="97"/>
    </row>
    <row r="761" spans="3:6" ht="13.2">
      <c r="C761" s="97"/>
      <c r="D761" s="97"/>
      <c r="E761" s="97"/>
      <c r="F761" s="97"/>
    </row>
    <row r="762" spans="3:6" ht="13.2">
      <c r="C762" s="97"/>
      <c r="D762" s="97"/>
      <c r="E762" s="97"/>
      <c r="F762" s="97"/>
    </row>
    <row r="763" spans="3:6" ht="13.2">
      <c r="C763" s="97"/>
      <c r="D763" s="97"/>
      <c r="E763" s="97"/>
      <c r="F763" s="97"/>
    </row>
    <row r="764" spans="3:6" ht="13.2">
      <c r="C764" s="97"/>
      <c r="D764" s="97"/>
      <c r="E764" s="97"/>
      <c r="F764" s="97"/>
    </row>
    <row r="765" spans="3:6" ht="13.2">
      <c r="C765" s="97"/>
      <c r="D765" s="97"/>
      <c r="E765" s="97"/>
      <c r="F765" s="97"/>
    </row>
    <row r="766" spans="3:6" ht="13.2">
      <c r="C766" s="97"/>
      <c r="D766" s="97"/>
      <c r="E766" s="97"/>
      <c r="F766" s="97"/>
    </row>
    <row r="767" spans="3:6" ht="13.2">
      <c r="C767" s="97"/>
      <c r="D767" s="97"/>
      <c r="E767" s="97"/>
      <c r="F767" s="97"/>
    </row>
    <row r="768" spans="3:6" ht="13.2">
      <c r="C768" s="97"/>
      <c r="D768" s="97"/>
      <c r="E768" s="97"/>
      <c r="F768" s="97"/>
    </row>
    <row r="769" spans="3:6" ht="13.2">
      <c r="C769" s="97"/>
      <c r="D769" s="97"/>
      <c r="E769" s="97"/>
      <c r="F769" s="97"/>
    </row>
    <row r="770" spans="3:6" ht="13.2">
      <c r="C770" s="97"/>
      <c r="D770" s="97"/>
      <c r="E770" s="97"/>
      <c r="F770" s="97"/>
    </row>
    <row r="771" spans="3:6" ht="13.2">
      <c r="C771" s="97"/>
      <c r="D771" s="97"/>
      <c r="E771" s="97"/>
      <c r="F771" s="97"/>
    </row>
    <row r="772" spans="3:6" ht="13.2">
      <c r="C772" s="97"/>
      <c r="D772" s="97"/>
      <c r="E772" s="97"/>
      <c r="F772" s="97"/>
    </row>
    <row r="773" spans="3:6" ht="13.2">
      <c r="C773" s="97"/>
      <c r="D773" s="97"/>
      <c r="E773" s="97"/>
      <c r="F773" s="97"/>
    </row>
    <row r="774" spans="3:6" ht="13.2">
      <c r="C774" s="97"/>
      <c r="D774" s="97"/>
      <c r="E774" s="97"/>
      <c r="F774" s="97"/>
    </row>
    <row r="775" spans="3:6" ht="13.2">
      <c r="C775" s="97"/>
      <c r="D775" s="97"/>
      <c r="E775" s="97"/>
      <c r="F775" s="97"/>
    </row>
    <row r="776" spans="3:6" ht="13.2">
      <c r="C776" s="97"/>
      <c r="D776" s="97"/>
      <c r="E776" s="97"/>
      <c r="F776" s="97"/>
    </row>
    <row r="777" spans="3:6" ht="13.2">
      <c r="C777" s="97"/>
      <c r="D777" s="97"/>
      <c r="E777" s="97"/>
      <c r="F777" s="97"/>
    </row>
    <row r="778" spans="3:6" ht="13.2">
      <c r="C778" s="97"/>
      <c r="D778" s="97"/>
      <c r="E778" s="97"/>
      <c r="F778" s="97"/>
    </row>
    <row r="779" spans="3:6" ht="13.2">
      <c r="C779" s="97"/>
      <c r="D779" s="97"/>
      <c r="E779" s="97"/>
      <c r="F779" s="97"/>
    </row>
    <row r="780" spans="3:6" ht="13.2">
      <c r="C780" s="97"/>
      <c r="D780" s="97"/>
      <c r="E780" s="97"/>
      <c r="F780" s="97"/>
    </row>
    <row r="781" spans="3:6" ht="13.2">
      <c r="C781" s="97"/>
      <c r="D781" s="97"/>
      <c r="E781" s="97"/>
      <c r="F781" s="97"/>
    </row>
    <row r="782" spans="3:6" ht="13.2">
      <c r="C782" s="97"/>
      <c r="D782" s="97"/>
      <c r="E782" s="97"/>
      <c r="F782" s="97"/>
    </row>
    <row r="783" spans="3:6" ht="13.2">
      <c r="C783" s="97"/>
      <c r="D783" s="97"/>
      <c r="E783" s="97"/>
      <c r="F783" s="97"/>
    </row>
    <row r="784" spans="3:6" ht="13.2">
      <c r="C784" s="97"/>
      <c r="D784" s="97"/>
      <c r="E784" s="97"/>
      <c r="F784" s="97"/>
    </row>
    <row r="785" spans="3:6" ht="13.2">
      <c r="C785" s="97"/>
      <c r="D785" s="97"/>
      <c r="E785" s="97"/>
      <c r="F785" s="97"/>
    </row>
    <row r="786" spans="3:6" ht="13.2">
      <c r="C786" s="97"/>
      <c r="D786" s="97"/>
      <c r="E786" s="97"/>
      <c r="F786" s="97"/>
    </row>
    <row r="787" spans="3:6" ht="13.2">
      <c r="C787" s="97"/>
      <c r="D787" s="97"/>
      <c r="E787" s="97"/>
      <c r="F787" s="97"/>
    </row>
    <row r="788" spans="3:6" ht="13.2">
      <c r="C788" s="97"/>
      <c r="D788" s="97"/>
      <c r="E788" s="97"/>
      <c r="F788" s="97"/>
    </row>
    <row r="789" spans="3:6" ht="13.2">
      <c r="C789" s="97"/>
      <c r="D789" s="97"/>
      <c r="E789" s="97"/>
      <c r="F789" s="97"/>
    </row>
    <row r="790" spans="3:6" ht="13.2">
      <c r="C790" s="97"/>
      <c r="D790" s="97"/>
      <c r="E790" s="97"/>
      <c r="F790" s="97"/>
    </row>
    <row r="791" spans="3:6" ht="13.2">
      <c r="C791" s="97"/>
      <c r="D791" s="97"/>
      <c r="E791" s="97"/>
      <c r="F791" s="97"/>
    </row>
    <row r="792" spans="3:6" ht="13.2">
      <c r="C792" s="97"/>
      <c r="D792" s="97"/>
      <c r="E792" s="97"/>
      <c r="F792" s="97"/>
    </row>
    <row r="793" spans="3:6" ht="13.2">
      <c r="C793" s="97"/>
      <c r="D793" s="97"/>
      <c r="E793" s="97"/>
      <c r="F793" s="97"/>
    </row>
    <row r="794" spans="3:6" ht="13.2">
      <c r="C794" s="97"/>
      <c r="D794" s="97"/>
      <c r="E794" s="97"/>
      <c r="F794" s="97"/>
    </row>
    <row r="795" spans="3:6" ht="13.2">
      <c r="C795" s="97"/>
      <c r="D795" s="97"/>
      <c r="E795" s="97"/>
      <c r="F795" s="97"/>
    </row>
    <row r="796" spans="3:6" ht="13.2">
      <c r="C796" s="97"/>
      <c r="D796" s="97"/>
      <c r="E796" s="97"/>
      <c r="F796" s="97"/>
    </row>
    <row r="797" spans="3:6" ht="13.2">
      <c r="C797" s="97"/>
      <c r="D797" s="97"/>
      <c r="E797" s="97"/>
      <c r="F797" s="97"/>
    </row>
    <row r="798" spans="3:6" ht="13.2">
      <c r="C798" s="97"/>
      <c r="D798" s="97"/>
      <c r="E798" s="97"/>
      <c r="F798" s="97"/>
    </row>
    <row r="799" spans="3:6" ht="13.2">
      <c r="C799" s="97"/>
      <c r="D799" s="97"/>
      <c r="E799" s="97"/>
      <c r="F799" s="97"/>
    </row>
    <row r="800" spans="3:6" ht="13.2">
      <c r="C800" s="97"/>
      <c r="D800" s="97"/>
      <c r="E800" s="97"/>
      <c r="F800" s="97"/>
    </row>
    <row r="801" spans="3:6" ht="13.2">
      <c r="C801" s="97"/>
      <c r="D801" s="97"/>
      <c r="E801" s="97"/>
      <c r="F801" s="97"/>
    </row>
    <row r="802" spans="3:6" ht="13.2">
      <c r="C802" s="97"/>
      <c r="D802" s="97"/>
      <c r="E802" s="97"/>
      <c r="F802" s="97"/>
    </row>
    <row r="803" spans="3:6" ht="13.2">
      <c r="C803" s="97"/>
      <c r="D803" s="97"/>
      <c r="E803" s="97"/>
      <c r="F803" s="97"/>
    </row>
    <row r="804" spans="3:6" ht="13.2">
      <c r="C804" s="97"/>
      <c r="D804" s="97"/>
      <c r="E804" s="97"/>
      <c r="F804" s="97"/>
    </row>
    <row r="805" spans="3:6" ht="13.2">
      <c r="C805" s="97"/>
      <c r="D805" s="97"/>
      <c r="E805" s="97"/>
      <c r="F805" s="97"/>
    </row>
    <row r="806" spans="3:6" ht="13.2">
      <c r="C806" s="97"/>
      <c r="D806" s="97"/>
      <c r="E806" s="97"/>
      <c r="F806" s="97"/>
    </row>
    <row r="807" spans="3:6" ht="13.2">
      <c r="C807" s="97"/>
      <c r="D807" s="97"/>
      <c r="E807" s="97"/>
      <c r="F807" s="97"/>
    </row>
    <row r="808" spans="3:6" ht="13.2">
      <c r="C808" s="97"/>
      <c r="D808" s="97"/>
      <c r="E808" s="97"/>
      <c r="F808" s="97"/>
    </row>
    <row r="809" spans="3:6" ht="13.2">
      <c r="C809" s="97"/>
      <c r="D809" s="97"/>
      <c r="E809" s="97"/>
      <c r="F809" s="97"/>
    </row>
    <row r="810" spans="3:6" ht="13.2">
      <c r="C810" s="97"/>
      <c r="D810" s="97"/>
      <c r="E810" s="97"/>
      <c r="F810" s="97"/>
    </row>
    <row r="811" spans="3:6" ht="13.2">
      <c r="C811" s="97"/>
      <c r="D811" s="97"/>
      <c r="E811" s="97"/>
      <c r="F811" s="97"/>
    </row>
    <row r="812" spans="3:6" ht="13.2">
      <c r="C812" s="97"/>
      <c r="D812" s="97"/>
      <c r="E812" s="97"/>
      <c r="F812" s="97"/>
    </row>
    <row r="813" spans="3:6" ht="13.2">
      <c r="C813" s="97"/>
      <c r="D813" s="97"/>
      <c r="E813" s="97"/>
      <c r="F813" s="97"/>
    </row>
    <row r="814" spans="3:6" ht="13.2">
      <c r="C814" s="97"/>
      <c r="D814" s="97"/>
      <c r="E814" s="97"/>
      <c r="F814" s="97"/>
    </row>
    <row r="815" spans="3:6" ht="13.2">
      <c r="C815" s="97"/>
      <c r="D815" s="97"/>
      <c r="E815" s="97"/>
      <c r="F815" s="97"/>
    </row>
    <row r="816" spans="3:6" ht="13.2">
      <c r="C816" s="97"/>
      <c r="D816" s="97"/>
      <c r="E816" s="97"/>
      <c r="F816" s="97"/>
    </row>
    <row r="817" spans="3:6" ht="13.2">
      <c r="C817" s="97"/>
      <c r="D817" s="97"/>
      <c r="E817" s="97"/>
      <c r="F817" s="97"/>
    </row>
    <row r="818" spans="3:6" ht="13.2">
      <c r="C818" s="97"/>
      <c r="D818" s="97"/>
      <c r="E818" s="97"/>
      <c r="F818" s="97"/>
    </row>
    <row r="819" spans="3:6" ht="13.2">
      <c r="C819" s="97"/>
      <c r="D819" s="97"/>
      <c r="E819" s="97"/>
      <c r="F819" s="97"/>
    </row>
    <row r="820" spans="3:6" ht="13.2">
      <c r="C820" s="97"/>
      <c r="D820" s="97"/>
      <c r="E820" s="97"/>
      <c r="F820" s="97"/>
    </row>
    <row r="821" spans="3:6" ht="13.2">
      <c r="C821" s="97"/>
      <c r="D821" s="97"/>
      <c r="E821" s="97"/>
      <c r="F821" s="97"/>
    </row>
    <row r="822" spans="3:6" ht="13.2">
      <c r="C822" s="97"/>
      <c r="D822" s="97"/>
      <c r="E822" s="97"/>
      <c r="F822" s="97"/>
    </row>
    <row r="823" spans="3:6" ht="13.2">
      <c r="C823" s="97"/>
      <c r="D823" s="97"/>
      <c r="E823" s="97"/>
      <c r="F823" s="97"/>
    </row>
    <row r="824" spans="3:6" ht="13.2">
      <c r="C824" s="97"/>
      <c r="D824" s="97"/>
      <c r="E824" s="97"/>
      <c r="F824" s="97"/>
    </row>
    <row r="825" spans="3:6" ht="13.2">
      <c r="C825" s="97"/>
      <c r="D825" s="97"/>
      <c r="E825" s="97"/>
      <c r="F825" s="97"/>
    </row>
    <row r="826" spans="3:6" ht="13.2">
      <c r="C826" s="97"/>
      <c r="D826" s="97"/>
      <c r="E826" s="97"/>
      <c r="F826" s="97"/>
    </row>
    <row r="827" spans="3:6" ht="13.2">
      <c r="C827" s="97"/>
      <c r="D827" s="97"/>
      <c r="E827" s="97"/>
      <c r="F827" s="97"/>
    </row>
    <row r="828" spans="3:6" ht="13.2">
      <c r="C828" s="97"/>
      <c r="D828" s="97"/>
      <c r="E828" s="97"/>
      <c r="F828" s="97"/>
    </row>
    <row r="829" spans="3:6" ht="13.2">
      <c r="C829" s="97"/>
      <c r="D829" s="97"/>
      <c r="E829" s="97"/>
      <c r="F829" s="97"/>
    </row>
    <row r="830" spans="3:6" ht="13.2">
      <c r="C830" s="97"/>
      <c r="D830" s="97"/>
      <c r="E830" s="97"/>
      <c r="F830" s="97"/>
    </row>
    <row r="831" spans="3:6" ht="13.2">
      <c r="C831" s="97"/>
      <c r="D831" s="97"/>
      <c r="E831" s="97"/>
      <c r="F831" s="97"/>
    </row>
    <row r="832" spans="3:6" ht="13.2">
      <c r="C832" s="97"/>
      <c r="D832" s="97"/>
      <c r="E832" s="97"/>
      <c r="F832" s="97"/>
    </row>
    <row r="833" spans="3:6" ht="13.2">
      <c r="C833" s="97"/>
      <c r="D833" s="97"/>
      <c r="E833" s="97"/>
      <c r="F833" s="97"/>
    </row>
    <row r="834" spans="3:6" ht="13.2">
      <c r="C834" s="97"/>
      <c r="D834" s="97"/>
      <c r="E834" s="97"/>
      <c r="F834" s="97"/>
    </row>
    <row r="835" spans="3:6" ht="13.2">
      <c r="C835" s="97"/>
      <c r="D835" s="97"/>
      <c r="E835" s="97"/>
      <c r="F835" s="97"/>
    </row>
    <row r="836" spans="3:6" ht="13.2">
      <c r="C836" s="97"/>
      <c r="D836" s="97"/>
      <c r="E836" s="97"/>
      <c r="F836" s="97"/>
    </row>
    <row r="837" spans="3:6" ht="13.2">
      <c r="C837" s="97"/>
      <c r="D837" s="97"/>
      <c r="E837" s="97"/>
      <c r="F837" s="97"/>
    </row>
    <row r="838" spans="3:6" ht="13.2">
      <c r="C838" s="97"/>
      <c r="D838" s="97"/>
      <c r="E838" s="97"/>
      <c r="F838" s="97"/>
    </row>
    <row r="839" spans="3:6" ht="13.2">
      <c r="C839" s="97"/>
      <c r="D839" s="97"/>
      <c r="E839" s="97"/>
      <c r="F839" s="97"/>
    </row>
    <row r="840" spans="3:6" ht="13.2">
      <c r="C840" s="97"/>
      <c r="D840" s="97"/>
      <c r="E840" s="97"/>
      <c r="F840" s="97"/>
    </row>
    <row r="841" spans="3:6" ht="13.2">
      <c r="C841" s="97"/>
      <c r="D841" s="97"/>
      <c r="E841" s="97"/>
      <c r="F841" s="97"/>
    </row>
    <row r="842" spans="3:6" ht="13.2">
      <c r="C842" s="97"/>
      <c r="D842" s="97"/>
      <c r="E842" s="97"/>
      <c r="F842" s="97"/>
    </row>
    <row r="843" spans="3:6" ht="13.2">
      <c r="C843" s="97"/>
      <c r="D843" s="97"/>
      <c r="E843" s="97"/>
      <c r="F843" s="97"/>
    </row>
    <row r="844" spans="3:6" ht="13.2">
      <c r="C844" s="97"/>
      <c r="D844" s="97"/>
      <c r="E844" s="97"/>
      <c r="F844" s="97"/>
    </row>
    <row r="845" spans="3:6" ht="13.2">
      <c r="C845" s="97"/>
      <c r="D845" s="97"/>
      <c r="E845" s="97"/>
      <c r="F845" s="97"/>
    </row>
    <row r="846" spans="3:6" ht="13.2">
      <c r="C846" s="97"/>
      <c r="D846" s="97"/>
      <c r="E846" s="97"/>
      <c r="F846" s="97"/>
    </row>
    <row r="847" spans="3:6" ht="13.2">
      <c r="C847" s="97"/>
      <c r="D847" s="97"/>
      <c r="E847" s="97"/>
      <c r="F847" s="97"/>
    </row>
    <row r="848" spans="3:6" ht="13.2">
      <c r="C848" s="97"/>
      <c r="D848" s="97"/>
      <c r="E848" s="97"/>
      <c r="F848" s="97"/>
    </row>
    <row r="849" spans="3:6" ht="13.2">
      <c r="C849" s="97"/>
      <c r="D849" s="97"/>
      <c r="E849" s="97"/>
      <c r="F849" s="97"/>
    </row>
    <row r="850" spans="3:6" ht="13.2">
      <c r="C850" s="97"/>
      <c r="D850" s="97"/>
      <c r="E850" s="97"/>
      <c r="F850" s="97"/>
    </row>
    <row r="851" spans="3:6" ht="13.2">
      <c r="C851" s="97"/>
      <c r="D851" s="97"/>
      <c r="E851" s="97"/>
      <c r="F851" s="97"/>
    </row>
    <row r="852" spans="3:6" ht="13.2">
      <c r="C852" s="97"/>
      <c r="D852" s="97"/>
      <c r="E852" s="97"/>
      <c r="F852" s="97"/>
    </row>
    <row r="853" spans="3:6" ht="13.2">
      <c r="C853" s="97"/>
      <c r="D853" s="97"/>
      <c r="E853" s="97"/>
      <c r="F853" s="97"/>
    </row>
    <row r="854" spans="3:6" ht="13.2">
      <c r="C854" s="97"/>
      <c r="D854" s="97"/>
      <c r="E854" s="97"/>
      <c r="F854" s="97"/>
    </row>
    <row r="855" spans="3:6" ht="13.2">
      <c r="C855" s="97"/>
      <c r="D855" s="97"/>
      <c r="E855" s="97"/>
      <c r="F855" s="97"/>
    </row>
    <row r="856" spans="3:6" ht="13.2">
      <c r="C856" s="97"/>
      <c r="D856" s="97"/>
      <c r="E856" s="97"/>
      <c r="F856" s="97"/>
    </row>
    <row r="857" spans="3:6" ht="13.2">
      <c r="C857" s="97"/>
      <c r="D857" s="97"/>
      <c r="E857" s="97"/>
      <c r="F857" s="97"/>
    </row>
    <row r="858" spans="3:6" ht="13.2">
      <c r="C858" s="97"/>
      <c r="D858" s="97"/>
      <c r="E858" s="97"/>
      <c r="F858" s="97"/>
    </row>
    <row r="859" spans="3:6" ht="13.2">
      <c r="C859" s="97"/>
      <c r="D859" s="97"/>
      <c r="E859" s="97"/>
      <c r="F859" s="97"/>
    </row>
    <row r="860" spans="3:6" ht="13.2">
      <c r="C860" s="97"/>
      <c r="D860" s="97"/>
      <c r="E860" s="97"/>
      <c r="F860" s="97"/>
    </row>
    <row r="861" spans="3:6" ht="13.2">
      <c r="C861" s="97"/>
      <c r="D861" s="97"/>
      <c r="E861" s="97"/>
      <c r="F861" s="97"/>
    </row>
    <row r="862" spans="3:6" ht="13.2">
      <c r="C862" s="97"/>
      <c r="D862" s="97"/>
      <c r="E862" s="97"/>
      <c r="F862" s="97"/>
    </row>
    <row r="863" spans="3:6" ht="13.2">
      <c r="C863" s="97"/>
      <c r="D863" s="97"/>
      <c r="E863" s="97"/>
      <c r="F863" s="97"/>
    </row>
    <row r="864" spans="3:6" ht="13.2">
      <c r="C864" s="97"/>
      <c r="D864" s="97"/>
      <c r="E864" s="97"/>
      <c r="F864" s="97"/>
    </row>
    <row r="865" spans="3:6" ht="13.2">
      <c r="C865" s="97"/>
      <c r="D865" s="97"/>
      <c r="E865" s="97"/>
      <c r="F865" s="97"/>
    </row>
    <row r="866" spans="3:6" ht="13.2">
      <c r="C866" s="97"/>
      <c r="D866" s="97"/>
      <c r="E866" s="97"/>
      <c r="F866" s="97"/>
    </row>
    <row r="867" spans="3:6" ht="13.2">
      <c r="C867" s="97"/>
      <c r="D867" s="97"/>
      <c r="E867" s="97"/>
      <c r="F867" s="97"/>
    </row>
    <row r="868" spans="3:6" ht="13.2">
      <c r="C868" s="97"/>
      <c r="D868" s="97"/>
      <c r="E868" s="97"/>
      <c r="F868" s="97"/>
    </row>
    <row r="869" spans="3:6" ht="13.2">
      <c r="C869" s="97"/>
      <c r="D869" s="97"/>
      <c r="E869" s="97"/>
      <c r="F869" s="97"/>
    </row>
    <row r="870" spans="3:6" ht="13.2">
      <c r="C870" s="97"/>
      <c r="D870" s="97"/>
      <c r="E870" s="97"/>
      <c r="F870" s="97"/>
    </row>
    <row r="871" spans="3:6" ht="13.2">
      <c r="C871" s="97"/>
      <c r="D871" s="97"/>
      <c r="E871" s="97"/>
      <c r="F871" s="97"/>
    </row>
    <row r="872" spans="3:6" ht="13.2">
      <c r="C872" s="97"/>
      <c r="D872" s="97"/>
      <c r="E872" s="97"/>
      <c r="F872" s="97"/>
    </row>
    <row r="873" spans="3:6" ht="13.2">
      <c r="C873" s="97"/>
      <c r="D873" s="97"/>
      <c r="E873" s="97"/>
      <c r="F873" s="97"/>
    </row>
    <row r="874" spans="3:6" ht="13.2">
      <c r="C874" s="97"/>
      <c r="D874" s="97"/>
      <c r="E874" s="97"/>
      <c r="F874" s="97"/>
    </row>
    <row r="875" spans="3:6" ht="13.2">
      <c r="C875" s="97"/>
      <c r="D875" s="97"/>
      <c r="E875" s="97"/>
      <c r="F875" s="97"/>
    </row>
    <row r="876" spans="3:6" ht="13.2">
      <c r="C876" s="97"/>
      <c r="D876" s="97"/>
      <c r="E876" s="97"/>
      <c r="F876" s="97"/>
    </row>
    <row r="877" spans="3:6" ht="13.2">
      <c r="C877" s="97"/>
      <c r="D877" s="97"/>
      <c r="E877" s="97"/>
      <c r="F877" s="97"/>
    </row>
    <row r="878" spans="3:6" ht="13.2">
      <c r="C878" s="97"/>
      <c r="D878" s="97"/>
      <c r="E878" s="97"/>
      <c r="F878" s="97"/>
    </row>
    <row r="879" spans="3:6" ht="13.2">
      <c r="C879" s="97"/>
      <c r="D879" s="97"/>
      <c r="E879" s="97"/>
      <c r="F879" s="97"/>
    </row>
    <row r="880" spans="3:6" ht="13.2">
      <c r="C880" s="97"/>
      <c r="D880" s="97"/>
      <c r="E880" s="97"/>
      <c r="F880" s="97"/>
    </row>
    <row r="881" spans="3:6" ht="13.2">
      <c r="C881" s="97"/>
      <c r="D881" s="97"/>
      <c r="E881" s="97"/>
      <c r="F881" s="97"/>
    </row>
    <row r="882" spans="3:6" ht="13.2">
      <c r="C882" s="97"/>
      <c r="D882" s="97"/>
      <c r="E882" s="97"/>
      <c r="F882" s="97"/>
    </row>
    <row r="883" spans="3:6" ht="13.2">
      <c r="C883" s="97"/>
      <c r="D883" s="97"/>
      <c r="E883" s="97"/>
      <c r="F883" s="97"/>
    </row>
    <row r="884" spans="3:6" ht="13.2">
      <c r="C884" s="97"/>
      <c r="D884" s="97"/>
      <c r="E884" s="97"/>
      <c r="F884" s="97"/>
    </row>
    <row r="885" spans="3:6" ht="13.2">
      <c r="C885" s="97"/>
      <c r="D885" s="97"/>
      <c r="E885" s="97"/>
      <c r="F885" s="97"/>
    </row>
    <row r="886" spans="3:6" ht="13.2">
      <c r="C886" s="97"/>
      <c r="D886" s="97"/>
      <c r="E886" s="97"/>
      <c r="F886" s="97"/>
    </row>
    <row r="887" spans="3:6" ht="13.2">
      <c r="C887" s="97"/>
      <c r="D887" s="97"/>
      <c r="E887" s="97"/>
      <c r="F887" s="97"/>
    </row>
    <row r="888" spans="3:6" ht="13.2">
      <c r="C888" s="97"/>
      <c r="D888" s="97"/>
      <c r="E888" s="97"/>
      <c r="F888" s="97"/>
    </row>
    <row r="889" spans="3:6" ht="13.2">
      <c r="C889" s="97"/>
      <c r="D889" s="97"/>
      <c r="E889" s="97"/>
      <c r="F889" s="97"/>
    </row>
    <row r="890" spans="3:6" ht="13.2">
      <c r="C890" s="97"/>
      <c r="D890" s="97"/>
      <c r="E890" s="97"/>
      <c r="F890" s="97"/>
    </row>
    <row r="891" spans="3:6" ht="13.2">
      <c r="C891" s="97"/>
      <c r="D891" s="97"/>
      <c r="E891" s="97"/>
      <c r="F891" s="97"/>
    </row>
    <row r="892" spans="3:6" ht="13.2">
      <c r="C892" s="97"/>
      <c r="D892" s="97"/>
      <c r="E892" s="97"/>
      <c r="F892" s="97"/>
    </row>
    <row r="893" spans="3:6" ht="13.2">
      <c r="C893" s="97"/>
      <c r="D893" s="97"/>
      <c r="E893" s="97"/>
      <c r="F893" s="97"/>
    </row>
    <row r="894" spans="3:6" ht="13.2">
      <c r="C894" s="97"/>
      <c r="D894" s="97"/>
      <c r="E894" s="97"/>
      <c r="F894" s="97"/>
    </row>
    <row r="895" spans="3:6" ht="13.2">
      <c r="C895" s="97"/>
      <c r="D895" s="97"/>
      <c r="E895" s="97"/>
      <c r="F895" s="97"/>
    </row>
    <row r="896" spans="3:6" ht="13.2">
      <c r="C896" s="97"/>
      <c r="D896" s="97"/>
      <c r="E896" s="97"/>
      <c r="F896" s="97"/>
    </row>
    <row r="897" spans="3:6" ht="13.2">
      <c r="C897" s="97"/>
      <c r="D897" s="97"/>
      <c r="E897" s="97"/>
      <c r="F897" s="97"/>
    </row>
    <row r="898" spans="3:6" ht="13.2">
      <c r="C898" s="97"/>
      <c r="D898" s="97"/>
      <c r="E898" s="97"/>
      <c r="F898" s="97"/>
    </row>
    <row r="899" spans="3:6" ht="13.2">
      <c r="C899" s="97"/>
      <c r="D899" s="97"/>
      <c r="E899" s="97"/>
      <c r="F899" s="97"/>
    </row>
    <row r="900" spans="3:6" ht="13.2">
      <c r="C900" s="97"/>
      <c r="D900" s="97"/>
      <c r="E900" s="97"/>
      <c r="F900" s="97"/>
    </row>
    <row r="901" spans="3:6" ht="13.2">
      <c r="C901" s="97"/>
      <c r="D901" s="97"/>
      <c r="E901" s="97"/>
      <c r="F901" s="97"/>
    </row>
    <row r="902" spans="3:6" ht="13.2">
      <c r="C902" s="97"/>
      <c r="D902" s="97"/>
      <c r="E902" s="97"/>
      <c r="F902" s="97"/>
    </row>
    <row r="903" spans="3:6" ht="13.2">
      <c r="C903" s="97"/>
      <c r="D903" s="97"/>
      <c r="E903" s="97"/>
      <c r="F903" s="97"/>
    </row>
    <row r="904" spans="3:6" ht="13.2">
      <c r="C904" s="97"/>
      <c r="D904" s="97"/>
      <c r="E904" s="97"/>
      <c r="F904" s="97"/>
    </row>
    <row r="905" spans="3:6" ht="13.2">
      <c r="C905" s="97"/>
      <c r="D905" s="97"/>
      <c r="E905" s="97"/>
      <c r="F905" s="97"/>
    </row>
    <row r="906" spans="3:6" ht="13.2">
      <c r="C906" s="97"/>
      <c r="D906" s="97"/>
      <c r="E906" s="97"/>
      <c r="F906" s="97"/>
    </row>
    <row r="907" spans="3:6" ht="13.2">
      <c r="C907" s="97"/>
      <c r="D907" s="97"/>
      <c r="E907" s="97"/>
      <c r="F907" s="97"/>
    </row>
    <row r="908" spans="3:6" ht="13.2">
      <c r="C908" s="97"/>
      <c r="D908" s="97"/>
      <c r="E908" s="97"/>
      <c r="F908" s="97"/>
    </row>
    <row r="909" spans="3:6" ht="13.2">
      <c r="C909" s="97"/>
      <c r="D909" s="97"/>
      <c r="E909" s="97"/>
      <c r="F909" s="97"/>
    </row>
    <row r="910" spans="3:6" ht="13.2">
      <c r="C910" s="97"/>
      <c r="D910" s="97"/>
      <c r="E910" s="97"/>
      <c r="F910" s="97"/>
    </row>
    <row r="911" spans="3:6" ht="13.2">
      <c r="C911" s="97"/>
      <c r="D911" s="97"/>
      <c r="E911" s="97"/>
      <c r="F911" s="97"/>
    </row>
    <row r="912" spans="3:6" ht="13.2">
      <c r="C912" s="97"/>
      <c r="D912" s="97"/>
      <c r="E912" s="97"/>
      <c r="F912" s="97"/>
    </row>
    <row r="913" spans="3:6" ht="13.2">
      <c r="C913" s="97"/>
      <c r="D913" s="97"/>
      <c r="E913" s="97"/>
      <c r="F913" s="97"/>
    </row>
    <row r="914" spans="3:6" ht="13.2">
      <c r="C914" s="97"/>
      <c r="D914" s="97"/>
      <c r="E914" s="97"/>
      <c r="F914" s="97"/>
    </row>
    <row r="915" spans="3:6" ht="13.2">
      <c r="C915" s="97"/>
      <c r="D915" s="97"/>
      <c r="E915" s="97"/>
      <c r="F915" s="97"/>
    </row>
    <row r="916" spans="3:6" ht="13.2">
      <c r="C916" s="97"/>
      <c r="D916" s="97"/>
      <c r="E916" s="97"/>
      <c r="F916" s="97"/>
    </row>
    <row r="917" spans="3:6" ht="13.2">
      <c r="C917" s="97"/>
      <c r="D917" s="97"/>
      <c r="E917" s="97"/>
      <c r="F917" s="97"/>
    </row>
    <row r="918" spans="3:6" ht="13.2">
      <c r="C918" s="97"/>
      <c r="D918" s="97"/>
      <c r="E918" s="97"/>
      <c r="F918" s="97"/>
    </row>
    <row r="919" spans="3:6" ht="13.2">
      <c r="C919" s="97"/>
      <c r="D919" s="97"/>
      <c r="E919" s="97"/>
      <c r="F919" s="97"/>
    </row>
    <row r="920" spans="3:6" ht="13.2">
      <c r="C920" s="97"/>
      <c r="D920" s="97"/>
      <c r="E920" s="97"/>
      <c r="F920" s="97"/>
    </row>
    <row r="921" spans="3:6" ht="13.2">
      <c r="C921" s="97"/>
      <c r="D921" s="97"/>
      <c r="E921" s="97"/>
      <c r="F921" s="97"/>
    </row>
    <row r="922" spans="3:6" ht="13.2">
      <c r="C922" s="97"/>
      <c r="D922" s="97"/>
      <c r="E922" s="97"/>
      <c r="F922" s="97"/>
    </row>
    <row r="923" spans="3:6" ht="13.2">
      <c r="C923" s="97"/>
      <c r="D923" s="97"/>
      <c r="E923" s="97"/>
      <c r="F923" s="97"/>
    </row>
    <row r="924" spans="3:6" ht="13.2">
      <c r="C924" s="97"/>
      <c r="D924" s="97"/>
      <c r="E924" s="97"/>
      <c r="F924" s="97"/>
    </row>
    <row r="925" spans="3:6" ht="13.2">
      <c r="C925" s="97"/>
      <c r="D925" s="97"/>
      <c r="E925" s="97"/>
      <c r="F925" s="97"/>
    </row>
    <row r="926" spans="3:6" ht="13.2">
      <c r="C926" s="97"/>
      <c r="D926" s="97"/>
      <c r="E926" s="97"/>
      <c r="F926" s="97"/>
    </row>
    <row r="927" spans="3:6" ht="13.2">
      <c r="C927" s="97"/>
      <c r="D927" s="97"/>
      <c r="E927" s="97"/>
      <c r="F927" s="97"/>
    </row>
    <row r="928" spans="3:6" ht="13.2">
      <c r="C928" s="97"/>
      <c r="D928" s="97"/>
      <c r="E928" s="97"/>
      <c r="F928" s="97"/>
    </row>
    <row r="929" spans="3:6" ht="13.2">
      <c r="C929" s="97"/>
      <c r="D929" s="97"/>
      <c r="E929" s="97"/>
      <c r="F929" s="97"/>
    </row>
    <row r="930" spans="3:6" ht="13.2">
      <c r="C930" s="97"/>
      <c r="D930" s="97"/>
      <c r="E930" s="97"/>
      <c r="F930" s="97"/>
    </row>
    <row r="931" spans="3:6" ht="13.2">
      <c r="C931" s="97"/>
      <c r="D931" s="97"/>
      <c r="E931" s="97"/>
      <c r="F931" s="97"/>
    </row>
    <row r="932" spans="3:6" ht="13.2">
      <c r="C932" s="97"/>
      <c r="D932" s="97"/>
      <c r="E932" s="97"/>
      <c r="F932" s="97"/>
    </row>
    <row r="933" spans="3:6" ht="13.2">
      <c r="C933" s="97"/>
      <c r="D933" s="97"/>
      <c r="E933" s="97"/>
      <c r="F933" s="97"/>
    </row>
    <row r="934" spans="3:6" ht="13.2">
      <c r="C934" s="97"/>
      <c r="D934" s="97"/>
      <c r="E934" s="97"/>
      <c r="F934" s="97"/>
    </row>
    <row r="935" spans="3:6" ht="13.2">
      <c r="C935" s="97"/>
      <c r="D935" s="97"/>
      <c r="E935" s="97"/>
      <c r="F935" s="97"/>
    </row>
    <row r="936" spans="3:6" ht="13.2">
      <c r="C936" s="97"/>
      <c r="D936" s="97"/>
      <c r="E936" s="97"/>
      <c r="F936" s="97"/>
    </row>
    <row r="937" spans="3:6" ht="13.2">
      <c r="C937" s="97"/>
      <c r="D937" s="97"/>
      <c r="E937" s="97"/>
      <c r="F937" s="97"/>
    </row>
    <row r="938" spans="3:6" ht="13.2">
      <c r="C938" s="97"/>
      <c r="D938" s="97"/>
      <c r="E938" s="97"/>
      <c r="F938" s="97"/>
    </row>
    <row r="939" spans="3:6" ht="13.2">
      <c r="C939" s="97"/>
      <c r="D939" s="97"/>
      <c r="E939" s="97"/>
      <c r="F939" s="97"/>
    </row>
    <row r="940" spans="3:6" ht="13.2">
      <c r="C940" s="97"/>
      <c r="D940" s="97"/>
      <c r="E940" s="97"/>
      <c r="F940" s="97"/>
    </row>
    <row r="941" spans="3:6" ht="13.2">
      <c r="C941" s="97"/>
      <c r="D941" s="97"/>
      <c r="E941" s="97"/>
      <c r="F941" s="97"/>
    </row>
    <row r="942" spans="3:6" ht="13.2">
      <c r="C942" s="97"/>
      <c r="D942" s="97"/>
      <c r="E942" s="97"/>
      <c r="F942" s="97"/>
    </row>
    <row r="943" spans="3:6" ht="13.2">
      <c r="C943" s="97"/>
      <c r="D943" s="97"/>
      <c r="E943" s="97"/>
      <c r="F943" s="97"/>
    </row>
    <row r="944" spans="3:6" ht="13.2">
      <c r="C944" s="97"/>
      <c r="D944" s="97"/>
      <c r="E944" s="97"/>
      <c r="F944" s="97"/>
    </row>
    <row r="945" spans="3:6" ht="13.2">
      <c r="C945" s="97"/>
      <c r="D945" s="97"/>
      <c r="E945" s="97"/>
      <c r="F945" s="97"/>
    </row>
    <row r="946" spans="3:6" ht="13.2">
      <c r="C946" s="97"/>
      <c r="D946" s="97"/>
      <c r="E946" s="97"/>
      <c r="F946" s="97"/>
    </row>
    <row r="947" spans="3:6" ht="13.2">
      <c r="C947" s="97"/>
      <c r="D947" s="97"/>
      <c r="E947" s="97"/>
      <c r="F947" s="97"/>
    </row>
    <row r="948" spans="3:6" ht="13.2">
      <c r="C948" s="97"/>
      <c r="D948" s="97"/>
      <c r="E948" s="97"/>
      <c r="F948" s="97"/>
    </row>
    <row r="949" spans="3:6" ht="13.2">
      <c r="C949" s="97"/>
      <c r="D949" s="97"/>
      <c r="E949" s="97"/>
      <c r="F949" s="97"/>
    </row>
    <row r="950" spans="3:6" ht="13.2">
      <c r="C950" s="97"/>
      <c r="D950" s="97"/>
      <c r="E950" s="97"/>
      <c r="F950" s="97"/>
    </row>
    <row r="951" spans="3:6" ht="13.2">
      <c r="C951" s="97"/>
      <c r="D951" s="97"/>
      <c r="E951" s="97"/>
      <c r="F951" s="97"/>
    </row>
    <row r="952" spans="3:6" ht="13.2">
      <c r="C952" s="97"/>
      <c r="D952" s="97"/>
      <c r="E952" s="97"/>
      <c r="F952" s="97"/>
    </row>
    <row r="953" spans="3:6" ht="13.2">
      <c r="C953" s="97"/>
      <c r="D953" s="97"/>
      <c r="E953" s="97"/>
      <c r="F953" s="97"/>
    </row>
    <row r="954" spans="3:6" ht="13.2">
      <c r="C954" s="97"/>
      <c r="D954" s="97"/>
      <c r="E954" s="97"/>
      <c r="F954" s="97"/>
    </row>
    <row r="955" spans="3:6" ht="13.2">
      <c r="C955" s="97"/>
      <c r="D955" s="97"/>
      <c r="E955" s="97"/>
      <c r="F955" s="97"/>
    </row>
    <row r="956" spans="3:6" ht="13.2">
      <c r="C956" s="97"/>
      <c r="D956" s="97"/>
      <c r="E956" s="97"/>
      <c r="F956" s="97"/>
    </row>
    <row r="957" spans="3:6" ht="13.2">
      <c r="C957" s="97"/>
      <c r="D957" s="97"/>
      <c r="E957" s="97"/>
      <c r="F957" s="97"/>
    </row>
    <row r="958" spans="3:6" ht="13.2">
      <c r="C958" s="97"/>
      <c r="D958" s="97"/>
      <c r="E958" s="97"/>
      <c r="F958" s="97"/>
    </row>
    <row r="959" spans="3:6" ht="13.2">
      <c r="C959" s="97"/>
      <c r="D959" s="97"/>
      <c r="E959" s="97"/>
      <c r="F959" s="97"/>
    </row>
    <row r="960" spans="3:6" ht="13.2">
      <c r="C960" s="97"/>
      <c r="D960" s="97"/>
      <c r="E960" s="97"/>
      <c r="F960" s="97"/>
    </row>
    <row r="961" spans="3:6" ht="13.2">
      <c r="C961" s="97"/>
      <c r="D961" s="97"/>
      <c r="E961" s="97"/>
      <c r="F961" s="97"/>
    </row>
    <row r="962" spans="3:6" ht="13.2">
      <c r="C962" s="97"/>
      <c r="D962" s="97"/>
      <c r="E962" s="97"/>
      <c r="F962" s="97"/>
    </row>
    <row r="963" spans="3:6" ht="13.2">
      <c r="C963" s="97"/>
      <c r="D963" s="97"/>
      <c r="E963" s="97"/>
      <c r="F963" s="97"/>
    </row>
    <row r="964" spans="3:6" ht="13.2">
      <c r="C964" s="97"/>
      <c r="D964" s="97"/>
      <c r="E964" s="97"/>
      <c r="F964" s="97"/>
    </row>
    <row r="965" spans="3:6" ht="13.2">
      <c r="C965" s="97"/>
      <c r="D965" s="97"/>
      <c r="E965" s="97"/>
      <c r="F965" s="97"/>
    </row>
    <row r="966" spans="3:6" ht="13.2">
      <c r="C966" s="97"/>
      <c r="D966" s="97"/>
      <c r="E966" s="97"/>
      <c r="F966" s="97"/>
    </row>
    <row r="967" spans="3:6" ht="13.2">
      <c r="C967" s="97"/>
      <c r="D967" s="97"/>
      <c r="E967" s="97"/>
      <c r="F967" s="97"/>
    </row>
    <row r="968" spans="3:6" ht="13.2">
      <c r="C968" s="97"/>
      <c r="D968" s="97"/>
      <c r="E968" s="97"/>
      <c r="F968" s="97"/>
    </row>
    <row r="969" spans="3:6" ht="13.2">
      <c r="C969" s="97"/>
      <c r="D969" s="97"/>
      <c r="E969" s="97"/>
      <c r="F969" s="97"/>
    </row>
    <row r="970" spans="3:6" ht="13.2">
      <c r="C970" s="97"/>
      <c r="D970" s="97"/>
      <c r="E970" s="97"/>
      <c r="F970" s="97"/>
    </row>
    <row r="971" spans="3:6" ht="13.2">
      <c r="C971" s="97"/>
      <c r="D971" s="97"/>
      <c r="E971" s="97"/>
      <c r="F971" s="97"/>
    </row>
    <row r="972" spans="3:6" ht="13.2">
      <c r="C972" s="97"/>
      <c r="D972" s="97"/>
      <c r="E972" s="97"/>
      <c r="F972" s="97"/>
    </row>
    <row r="973" spans="3:6" ht="13.2">
      <c r="C973" s="97"/>
      <c r="D973" s="97"/>
      <c r="E973" s="97"/>
      <c r="F973" s="97"/>
    </row>
    <row r="974" spans="3:6" ht="13.2">
      <c r="C974" s="97"/>
      <c r="D974" s="97"/>
      <c r="E974" s="97"/>
      <c r="F974" s="97"/>
    </row>
    <row r="975" spans="3:6" ht="13.2">
      <c r="C975" s="97"/>
      <c r="D975" s="97"/>
      <c r="E975" s="97"/>
      <c r="F975" s="97"/>
    </row>
    <row r="976" spans="3:6" ht="13.2">
      <c r="C976" s="97"/>
      <c r="D976" s="97"/>
      <c r="E976" s="97"/>
      <c r="F976" s="97"/>
    </row>
    <row r="977" spans="3:6" ht="13.2">
      <c r="C977" s="97"/>
      <c r="D977" s="97"/>
      <c r="E977" s="97"/>
      <c r="F977" s="97"/>
    </row>
    <row r="978" spans="3:6" ht="13.2">
      <c r="C978" s="97"/>
      <c r="D978" s="97"/>
      <c r="E978" s="97"/>
      <c r="F978" s="97"/>
    </row>
    <row r="979" spans="3:6" ht="13.2">
      <c r="C979" s="97"/>
      <c r="D979" s="97"/>
      <c r="E979" s="97"/>
      <c r="F979" s="97"/>
    </row>
    <row r="980" spans="3:6" ht="13.2">
      <c r="C980" s="97"/>
      <c r="D980" s="97"/>
      <c r="E980" s="97"/>
      <c r="F980" s="97"/>
    </row>
    <row r="981" spans="3:6" ht="13.2">
      <c r="C981" s="97"/>
      <c r="D981" s="97"/>
      <c r="E981" s="97"/>
      <c r="F981" s="97"/>
    </row>
    <row r="982" spans="3:6" ht="13.2">
      <c r="C982" s="97"/>
      <c r="D982" s="97"/>
      <c r="E982" s="97"/>
      <c r="F982" s="97"/>
    </row>
    <row r="983" spans="3:6" ht="13.2">
      <c r="C983" s="97"/>
      <c r="D983" s="97"/>
      <c r="E983" s="97"/>
      <c r="F983" s="97"/>
    </row>
    <row r="984" spans="3:6" ht="13.2">
      <c r="C984" s="97"/>
      <c r="D984" s="97"/>
      <c r="E984" s="97"/>
      <c r="F984" s="97"/>
    </row>
    <row r="985" spans="3:6" ht="13.2">
      <c r="C985" s="97"/>
      <c r="D985" s="97"/>
      <c r="E985" s="97"/>
      <c r="F985" s="97"/>
    </row>
    <row r="986" spans="3:6" ht="13.2">
      <c r="C986" s="97"/>
      <c r="D986" s="97"/>
      <c r="E986" s="97"/>
      <c r="F986" s="97"/>
    </row>
    <row r="987" spans="3:6" ht="13.2">
      <c r="C987" s="97"/>
      <c r="D987" s="97"/>
      <c r="E987" s="97"/>
      <c r="F987" s="97"/>
    </row>
    <row r="988" spans="3:6" ht="13.2">
      <c r="C988" s="97"/>
      <c r="D988" s="97"/>
      <c r="E988" s="97"/>
      <c r="F988" s="97"/>
    </row>
    <row r="989" spans="3:6" ht="13.2">
      <c r="C989" s="97"/>
      <c r="D989" s="97"/>
      <c r="E989" s="97"/>
      <c r="F989" s="97"/>
    </row>
    <row r="990" spans="3:6" ht="13.2">
      <c r="C990" s="97"/>
      <c r="D990" s="97"/>
      <c r="E990" s="97"/>
      <c r="F990" s="97"/>
    </row>
    <row r="991" spans="3:6" ht="13.2">
      <c r="C991" s="97"/>
      <c r="D991" s="97"/>
      <c r="E991" s="97"/>
      <c r="F991" s="97"/>
    </row>
    <row r="992" spans="3:6" ht="13.2">
      <c r="C992" s="97"/>
      <c r="D992" s="97"/>
      <c r="E992" s="97"/>
      <c r="F992" s="97"/>
    </row>
    <row r="993" spans="3:6" ht="13.2">
      <c r="C993" s="97"/>
      <c r="D993" s="97"/>
      <c r="E993" s="97"/>
      <c r="F993" s="97"/>
    </row>
    <row r="994" spans="3:6" ht="13.2">
      <c r="C994" s="97"/>
      <c r="D994" s="97"/>
      <c r="E994" s="97"/>
      <c r="F994" s="97"/>
    </row>
    <row r="995" spans="3:6" ht="13.2">
      <c r="C995" s="97"/>
      <c r="D995" s="97"/>
      <c r="E995" s="97"/>
      <c r="F995" s="97"/>
    </row>
    <row r="996" spans="3:6" ht="13.2">
      <c r="C996" s="97"/>
      <c r="D996" s="97"/>
      <c r="E996" s="97"/>
      <c r="F996" s="97"/>
    </row>
    <row r="997" spans="3:6" ht="13.2">
      <c r="C997" s="97"/>
      <c r="D997" s="97"/>
      <c r="E997" s="97"/>
      <c r="F997" s="97"/>
    </row>
    <row r="998" spans="3:6" ht="13.2">
      <c r="C998" s="97"/>
      <c r="D998" s="97"/>
      <c r="E998" s="97"/>
      <c r="F998" s="97"/>
    </row>
    <row r="999" spans="3:6" ht="13.2">
      <c r="C999" s="97"/>
      <c r="D999" s="97"/>
      <c r="E999" s="97"/>
      <c r="F999" s="97"/>
    </row>
    <row r="1000" spans="3:6" ht="13.2">
      <c r="C1000" s="97"/>
      <c r="D1000" s="97"/>
      <c r="E1000" s="97"/>
      <c r="F1000" s="97"/>
    </row>
    <row r="1001" spans="3:6" ht="13.2">
      <c r="C1001" s="97"/>
      <c r="D1001" s="97"/>
      <c r="E1001" s="97"/>
      <c r="F1001" s="97"/>
    </row>
    <row r="1002" spans="3:6" ht="13.2">
      <c r="C1002" s="97"/>
      <c r="D1002" s="97"/>
      <c r="E1002" s="97"/>
      <c r="F1002" s="97"/>
    </row>
    <row r="1003" spans="3:6" ht="13.2">
      <c r="C1003" s="97"/>
      <c r="D1003" s="97"/>
      <c r="E1003" s="97"/>
      <c r="F1003" s="97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H1004"/>
  <sheetViews>
    <sheetView workbookViewId="0">
      <selection activeCell="E6" sqref="E6"/>
    </sheetView>
  </sheetViews>
  <sheetFormatPr defaultColWidth="14.44140625" defaultRowHeight="15.75" customHeight="1"/>
  <cols>
    <col min="1" max="1" width="46.5546875" style="7" customWidth="1"/>
    <col min="2" max="16384" width="14.44140625" style="7"/>
  </cols>
  <sheetData>
    <row r="1" spans="1:8" ht="13.2">
      <c r="A1" s="106"/>
      <c r="B1" s="128" t="s">
        <v>220</v>
      </c>
      <c r="C1" s="128" t="s">
        <v>219</v>
      </c>
      <c r="D1" s="128" t="s">
        <v>218</v>
      </c>
      <c r="E1" s="128" t="s">
        <v>217</v>
      </c>
    </row>
    <row r="2" spans="1:8" ht="13.2">
      <c r="A2" s="101" t="s">
        <v>441</v>
      </c>
      <c r="B2" s="96"/>
      <c r="C2" s="96"/>
      <c r="D2" s="96"/>
      <c r="E2" s="96"/>
    </row>
    <row r="3" spans="1:8" ht="13.2">
      <c r="A3" s="100" t="s">
        <v>354</v>
      </c>
      <c r="B3" s="97">
        <v>7340</v>
      </c>
      <c r="C3" s="97">
        <v>-3023</v>
      </c>
      <c r="D3" s="97">
        <v>-26647</v>
      </c>
      <c r="E3" s="97">
        <v>2931</v>
      </c>
    </row>
    <row r="4" spans="1:8" ht="13.2">
      <c r="A4" s="100" t="s">
        <v>440</v>
      </c>
      <c r="B4" s="97"/>
      <c r="C4" s="97"/>
      <c r="D4" s="97"/>
      <c r="E4" s="97"/>
    </row>
    <row r="5" spans="1:8" ht="13.2">
      <c r="A5" s="100" t="s">
        <v>360</v>
      </c>
      <c r="B5" s="97">
        <v>6880</v>
      </c>
      <c r="C5" s="97">
        <v>8398</v>
      </c>
      <c r="D5" s="97">
        <v>8377</v>
      </c>
      <c r="E5" s="97">
        <v>7494</v>
      </c>
    </row>
    <row r="6" spans="1:8" ht="13.2">
      <c r="A6" s="100" t="s">
        <v>439</v>
      </c>
      <c r="B6" s="97" t="s">
        <v>184</v>
      </c>
      <c r="C6" s="97" t="s">
        <v>184</v>
      </c>
      <c r="D6" s="97" t="s">
        <v>184</v>
      </c>
      <c r="E6" s="97">
        <v>70</v>
      </c>
    </row>
    <row r="7" spans="1:8" ht="26.4">
      <c r="A7" s="127" t="s">
        <v>438</v>
      </c>
      <c r="B7" s="97">
        <v>3</v>
      </c>
      <c r="C7" s="97">
        <v>119</v>
      </c>
      <c r="D7" s="97">
        <v>457</v>
      </c>
      <c r="E7" s="97">
        <v>68</v>
      </c>
    </row>
    <row r="8" spans="1:8" ht="26.4">
      <c r="A8" s="127" t="s">
        <v>437</v>
      </c>
      <c r="B8" s="97">
        <v>-17</v>
      </c>
      <c r="C8" s="97">
        <v>40</v>
      </c>
      <c r="D8" s="97">
        <v>114</v>
      </c>
      <c r="E8" s="97">
        <v>22</v>
      </c>
    </row>
    <row r="9" spans="1:8" ht="13.2">
      <c r="A9" s="100" t="s">
        <v>436</v>
      </c>
      <c r="B9" s="97" t="s">
        <v>184</v>
      </c>
      <c r="C9" s="97">
        <v>-20</v>
      </c>
      <c r="D9" s="97" t="s">
        <v>184</v>
      </c>
      <c r="E9" s="97" t="s">
        <v>184</v>
      </c>
    </row>
    <row r="10" spans="1:8" ht="13.2">
      <c r="A10" s="100" t="s">
        <v>435</v>
      </c>
      <c r="B10" s="97" t="s">
        <v>184</v>
      </c>
      <c r="C10" s="97" t="s">
        <v>184</v>
      </c>
      <c r="D10" s="97">
        <v>78</v>
      </c>
      <c r="E10" s="97">
        <v>-186</v>
      </c>
      <c r="H10" s="126"/>
    </row>
    <row r="11" spans="1:8" ht="13.2">
      <c r="A11" s="100" t="s">
        <v>434</v>
      </c>
      <c r="B11" s="97" t="s">
        <v>184</v>
      </c>
      <c r="C11" s="97" t="s">
        <v>184</v>
      </c>
      <c r="D11" s="97" t="s">
        <v>184</v>
      </c>
      <c r="E11" s="97">
        <v>11</v>
      </c>
    </row>
    <row r="12" spans="1:8" ht="13.2">
      <c r="A12" s="100" t="s">
        <v>433</v>
      </c>
      <c r="B12" s="97">
        <v>-9</v>
      </c>
      <c r="C12" s="97" t="s">
        <v>184</v>
      </c>
      <c r="D12" s="97" t="s">
        <v>184</v>
      </c>
      <c r="E12" s="97">
        <v>-81</v>
      </c>
    </row>
    <row r="13" spans="1:8" ht="13.2">
      <c r="A13" s="100" t="s">
        <v>432</v>
      </c>
      <c r="B13" s="97" t="s">
        <v>184</v>
      </c>
      <c r="C13" s="97" t="s">
        <v>184</v>
      </c>
      <c r="D13" s="97" t="s">
        <v>184</v>
      </c>
      <c r="E13" s="97">
        <v>-7319</v>
      </c>
    </row>
    <row r="14" spans="1:8" ht="13.2">
      <c r="A14" s="100" t="s">
        <v>431</v>
      </c>
      <c r="B14" s="97" t="s">
        <v>184</v>
      </c>
      <c r="C14" s="97" t="s">
        <v>184</v>
      </c>
      <c r="D14" s="97">
        <v>9153</v>
      </c>
      <c r="E14" s="97" t="s">
        <v>184</v>
      </c>
    </row>
    <row r="15" spans="1:8" ht="13.2">
      <c r="A15" s="100" t="s">
        <v>430</v>
      </c>
      <c r="B15" s="97" t="s">
        <v>184</v>
      </c>
      <c r="C15" s="97" t="s">
        <v>184</v>
      </c>
      <c r="D15" s="97" t="s">
        <v>184</v>
      </c>
      <c r="E15" s="97">
        <v>-46</v>
      </c>
    </row>
    <row r="16" spans="1:8" ht="13.2">
      <c r="A16" s="100" t="s">
        <v>429</v>
      </c>
      <c r="B16" s="97">
        <v>-2222</v>
      </c>
      <c r="C16" s="97">
        <v>-2249</v>
      </c>
      <c r="D16" s="97">
        <v>-2296</v>
      </c>
      <c r="E16" s="97">
        <v>-2590</v>
      </c>
    </row>
    <row r="17" spans="1:5" ht="13.2">
      <c r="A17" s="100" t="s">
        <v>428</v>
      </c>
      <c r="B17" s="97">
        <v>175</v>
      </c>
      <c r="C17" s="97">
        <v>15</v>
      </c>
      <c r="D17" s="97">
        <v>317</v>
      </c>
      <c r="E17" s="97">
        <v>72</v>
      </c>
    </row>
    <row r="18" spans="1:5" ht="13.2">
      <c r="A18" s="100" t="s">
        <v>427</v>
      </c>
      <c r="B18" s="124">
        <v>-161</v>
      </c>
      <c r="C18" s="97">
        <v>-201</v>
      </c>
      <c r="D18" s="97">
        <v>-185</v>
      </c>
      <c r="E18" s="97">
        <v>-175</v>
      </c>
    </row>
    <row r="19" spans="1:5" ht="13.2">
      <c r="A19" s="100" t="s">
        <v>355</v>
      </c>
      <c r="B19" s="97" t="s">
        <v>184</v>
      </c>
      <c r="C19" s="97" t="s">
        <v>184</v>
      </c>
      <c r="D19" s="97">
        <v>-20</v>
      </c>
      <c r="E19" s="97">
        <v>-79</v>
      </c>
    </row>
    <row r="20" spans="1:5" ht="13.2">
      <c r="A20" s="99"/>
      <c r="B20" s="125">
        <v>11989</v>
      </c>
      <c r="C20" s="125">
        <v>3079</v>
      </c>
      <c r="D20" s="37">
        <v>-10652</v>
      </c>
      <c r="E20" s="37">
        <v>192</v>
      </c>
    </row>
    <row r="21" spans="1:5" ht="13.2">
      <c r="A21" s="99"/>
      <c r="B21" s="96"/>
      <c r="C21" s="96"/>
      <c r="D21" s="97"/>
      <c r="E21" s="97"/>
    </row>
    <row r="22" spans="1:5" ht="13.2">
      <c r="A22" s="100" t="s">
        <v>312</v>
      </c>
      <c r="B22" s="96"/>
      <c r="C22" s="96"/>
      <c r="D22" s="97"/>
      <c r="E22" s="97"/>
    </row>
    <row r="23" spans="1:5" ht="13.2">
      <c r="A23" s="100" t="s">
        <v>398</v>
      </c>
      <c r="B23" s="124">
        <v>-436</v>
      </c>
      <c r="C23" s="124">
        <v>1963</v>
      </c>
      <c r="D23" s="97">
        <v>865</v>
      </c>
      <c r="E23" s="97">
        <v>-1423</v>
      </c>
    </row>
    <row r="24" spans="1:5" ht="13.2">
      <c r="A24" s="100" t="s">
        <v>253</v>
      </c>
      <c r="B24" s="124">
        <v>-1652</v>
      </c>
      <c r="C24" s="124">
        <v>1325</v>
      </c>
      <c r="D24" s="97">
        <v>1424</v>
      </c>
      <c r="E24" s="97">
        <v>1037</v>
      </c>
    </row>
    <row r="25" spans="1:5" ht="13.2">
      <c r="A25" s="100" t="s">
        <v>426</v>
      </c>
      <c r="B25" s="124">
        <v>241</v>
      </c>
      <c r="C25" s="124">
        <v>-590</v>
      </c>
      <c r="D25" s="97">
        <v>-1003</v>
      </c>
      <c r="E25" s="97">
        <v>288</v>
      </c>
    </row>
    <row r="26" spans="1:5" ht="13.2">
      <c r="A26" s="100" t="s">
        <v>380</v>
      </c>
      <c r="B26" s="124">
        <v>3954</v>
      </c>
      <c r="C26" s="124">
        <v>-7260</v>
      </c>
      <c r="D26" s="97">
        <v>-228</v>
      </c>
      <c r="E26" s="97">
        <v>-5805</v>
      </c>
    </row>
    <row r="27" spans="1:5" ht="13.2">
      <c r="A27" s="100" t="s">
        <v>307</v>
      </c>
      <c r="B27" s="125">
        <v>14096</v>
      </c>
      <c r="C27" s="125">
        <v>-1483</v>
      </c>
      <c r="D27" s="37">
        <v>-9594</v>
      </c>
      <c r="E27" s="37">
        <v>-5711</v>
      </c>
    </row>
    <row r="28" spans="1:5" ht="13.2">
      <c r="A28" s="99"/>
      <c r="B28" s="96"/>
      <c r="C28" s="96"/>
      <c r="D28" s="97"/>
      <c r="E28" s="97"/>
    </row>
    <row r="29" spans="1:5" ht="13.2">
      <c r="A29" s="100" t="s">
        <v>425</v>
      </c>
      <c r="B29" s="124">
        <v>-2564</v>
      </c>
      <c r="C29" s="124">
        <v>-1306</v>
      </c>
      <c r="D29" s="97">
        <v>139</v>
      </c>
      <c r="E29" s="97">
        <v>-46</v>
      </c>
    </row>
    <row r="30" spans="1:5" ht="13.2">
      <c r="A30" s="100" t="s">
        <v>424</v>
      </c>
      <c r="B30" s="124">
        <v>16</v>
      </c>
      <c r="C30" s="124">
        <v>21</v>
      </c>
      <c r="D30" s="97" t="s">
        <v>184</v>
      </c>
      <c r="E30" s="97" t="s">
        <v>184</v>
      </c>
    </row>
    <row r="31" spans="1:5" ht="13.8" thickBot="1">
      <c r="A31" s="101" t="s">
        <v>423</v>
      </c>
      <c r="B31" s="123">
        <v>11548</v>
      </c>
      <c r="C31" s="123">
        <v>-2768</v>
      </c>
      <c r="D31" s="98">
        <v>-9455</v>
      </c>
      <c r="E31" s="98">
        <v>-5757</v>
      </c>
    </row>
    <row r="32" spans="1:5" ht="13.8" thickTop="1">
      <c r="A32" s="99"/>
      <c r="B32" s="96"/>
      <c r="C32" s="96"/>
      <c r="D32" s="97"/>
      <c r="E32" s="97"/>
    </row>
    <row r="33" spans="1:5" ht="13.2">
      <c r="A33" s="101" t="s">
        <v>422</v>
      </c>
      <c r="B33" s="96"/>
      <c r="C33" s="96"/>
      <c r="D33" s="97"/>
      <c r="E33" s="97"/>
    </row>
    <row r="34" spans="1:5" ht="13.2">
      <c r="A34" s="100" t="s">
        <v>421</v>
      </c>
      <c r="B34" s="97" t="s">
        <v>184</v>
      </c>
      <c r="C34" s="97" t="s">
        <v>184</v>
      </c>
      <c r="D34" s="97">
        <v>162</v>
      </c>
      <c r="E34" s="97">
        <v>249</v>
      </c>
    </row>
    <row r="35" spans="1:5" ht="13.2">
      <c r="A35" s="100" t="s">
        <v>420</v>
      </c>
      <c r="B35" s="97" t="s">
        <v>184</v>
      </c>
      <c r="C35" s="97" t="s">
        <v>184</v>
      </c>
      <c r="D35" s="97" t="s">
        <v>184</v>
      </c>
      <c r="E35" s="97">
        <v>-127</v>
      </c>
    </row>
    <row r="36" spans="1:5" ht="13.2">
      <c r="A36" s="100" t="s">
        <v>419</v>
      </c>
      <c r="B36" s="97">
        <v>120</v>
      </c>
      <c r="C36" s="97" t="s">
        <v>184</v>
      </c>
      <c r="D36" s="97" t="s">
        <v>184</v>
      </c>
      <c r="E36" s="97">
        <v>81</v>
      </c>
    </row>
    <row r="37" spans="1:5" ht="13.2">
      <c r="A37" s="100" t="s">
        <v>418</v>
      </c>
      <c r="B37" s="97" t="s">
        <v>184</v>
      </c>
      <c r="C37" s="97" t="s">
        <v>184</v>
      </c>
      <c r="D37" s="97" t="s">
        <v>184</v>
      </c>
      <c r="E37" s="97">
        <v>9918</v>
      </c>
    </row>
    <row r="38" spans="1:5" ht="13.2">
      <c r="A38" s="100" t="s">
        <v>417</v>
      </c>
      <c r="B38" s="97" t="s">
        <v>184</v>
      </c>
      <c r="C38" s="97" t="s">
        <v>184</v>
      </c>
      <c r="D38" s="97" t="s">
        <v>184</v>
      </c>
      <c r="E38" s="97">
        <v>-213</v>
      </c>
    </row>
    <row r="39" spans="1:5" ht="13.2">
      <c r="A39" s="100" t="s">
        <v>416</v>
      </c>
      <c r="B39" s="97">
        <v>-14633</v>
      </c>
      <c r="C39" s="97">
        <v>-7191</v>
      </c>
      <c r="D39" s="97">
        <v>-11626</v>
      </c>
      <c r="E39" s="97">
        <v>-8823</v>
      </c>
    </row>
    <row r="40" spans="1:5" ht="13.2">
      <c r="A40" s="100" t="s">
        <v>415</v>
      </c>
      <c r="B40" s="97" t="s">
        <v>184</v>
      </c>
      <c r="C40" s="97" t="s">
        <v>184</v>
      </c>
      <c r="D40" s="97">
        <v>16500</v>
      </c>
      <c r="E40" s="97">
        <v>3265</v>
      </c>
    </row>
    <row r="41" spans="1:5" ht="13.2">
      <c r="A41" s="100" t="s">
        <v>414</v>
      </c>
      <c r="B41" s="97" t="s">
        <v>184</v>
      </c>
      <c r="C41" s="97">
        <v>-5996</v>
      </c>
      <c r="D41" s="97">
        <v>-19629</v>
      </c>
      <c r="E41" s="97">
        <v>-7893</v>
      </c>
    </row>
    <row r="42" spans="1:5" ht="13.2">
      <c r="A42" s="100" t="s">
        <v>413</v>
      </c>
      <c r="B42" s="97">
        <v>2250</v>
      </c>
      <c r="C42" s="97">
        <v>7000</v>
      </c>
      <c r="D42" s="97" t="s">
        <v>184</v>
      </c>
      <c r="E42" s="97" t="s">
        <v>184</v>
      </c>
    </row>
    <row r="43" spans="1:5" ht="13.2">
      <c r="A43" s="100" t="s">
        <v>412</v>
      </c>
      <c r="B43" s="97" t="s">
        <v>184</v>
      </c>
      <c r="C43" s="97" t="s">
        <v>184</v>
      </c>
      <c r="D43" s="97" t="s">
        <v>184</v>
      </c>
      <c r="E43" s="97">
        <v>-60</v>
      </c>
    </row>
    <row r="44" spans="1:5" ht="13.2">
      <c r="A44" s="100" t="s">
        <v>411</v>
      </c>
      <c r="B44" s="97">
        <v>-1</v>
      </c>
      <c r="C44" s="97" t="s">
        <v>184</v>
      </c>
      <c r="D44" s="97"/>
      <c r="E44" s="97"/>
    </row>
    <row r="45" spans="1:5" ht="13.2">
      <c r="A45" s="100" t="s">
        <v>410</v>
      </c>
      <c r="B45" s="97">
        <v>2256</v>
      </c>
      <c r="C45" s="97">
        <v>2194</v>
      </c>
      <c r="D45" s="97">
        <v>2212</v>
      </c>
      <c r="E45" s="97">
        <v>2613</v>
      </c>
    </row>
    <row r="46" spans="1:5" ht="13.2">
      <c r="A46" s="100" t="s">
        <v>409</v>
      </c>
      <c r="B46" s="97">
        <v>161</v>
      </c>
      <c r="C46" s="97">
        <v>201</v>
      </c>
      <c r="D46" s="97">
        <v>185</v>
      </c>
      <c r="E46" s="97">
        <v>175</v>
      </c>
    </row>
    <row r="47" spans="1:5" ht="13.2">
      <c r="A47" s="100" t="s">
        <v>408</v>
      </c>
      <c r="B47" s="97" t="s">
        <v>184</v>
      </c>
      <c r="C47" s="97" t="s">
        <v>184</v>
      </c>
      <c r="D47" s="97">
        <v>97</v>
      </c>
      <c r="E47" s="97">
        <v>-5</v>
      </c>
    </row>
    <row r="48" spans="1:5" ht="13.8" thickBot="1">
      <c r="A48" s="101" t="s">
        <v>407</v>
      </c>
      <c r="B48" s="123">
        <v>-9847</v>
      </c>
      <c r="C48" s="123">
        <v>-3792</v>
      </c>
      <c r="D48" s="98">
        <v>-12099</v>
      </c>
      <c r="E48" s="98">
        <v>-820</v>
      </c>
    </row>
    <row r="49" spans="1:5" ht="13.8" thickTop="1">
      <c r="A49" s="99"/>
      <c r="B49" s="96"/>
      <c r="C49" s="97"/>
      <c r="D49" s="97"/>
      <c r="E49" s="97"/>
    </row>
    <row r="50" spans="1:5" ht="13.2">
      <c r="A50" s="101" t="s">
        <v>406</v>
      </c>
      <c r="B50" s="96"/>
      <c r="C50" s="96"/>
      <c r="D50" s="97"/>
      <c r="E50" s="97"/>
    </row>
    <row r="51" spans="1:5" ht="13.2">
      <c r="A51" s="100" t="s">
        <v>405</v>
      </c>
      <c r="B51" s="124">
        <v>-3094</v>
      </c>
      <c r="C51" s="124">
        <v>-3094</v>
      </c>
      <c r="D51" s="97">
        <v>-3094</v>
      </c>
      <c r="E51" s="97">
        <v>-2063</v>
      </c>
    </row>
    <row r="52" spans="1:5" ht="13.8" thickBot="1">
      <c r="A52" s="101" t="s">
        <v>404</v>
      </c>
      <c r="B52" s="123">
        <v>-3094</v>
      </c>
      <c r="C52" s="123">
        <v>-3094</v>
      </c>
      <c r="D52" s="98">
        <v>-3094</v>
      </c>
      <c r="E52" s="98">
        <v>-2063</v>
      </c>
    </row>
    <row r="53" spans="1:5" ht="13.8" thickTop="1">
      <c r="A53" s="99"/>
      <c r="B53" s="96"/>
      <c r="C53" s="96"/>
      <c r="D53" s="97"/>
      <c r="E53" s="97"/>
    </row>
    <row r="54" spans="1:5" ht="13.2">
      <c r="A54" s="101" t="s">
        <v>403</v>
      </c>
      <c r="B54" s="124">
        <v>-1393</v>
      </c>
      <c r="C54" s="124">
        <v>-9654</v>
      </c>
      <c r="D54" s="97">
        <v>-24648</v>
      </c>
      <c r="E54" s="97">
        <v>-8640</v>
      </c>
    </row>
    <row r="55" spans="1:5" ht="13.2">
      <c r="A55" s="100" t="s">
        <v>402</v>
      </c>
      <c r="B55" s="124">
        <v>99023</v>
      </c>
      <c r="C55" s="124">
        <v>97630</v>
      </c>
      <c r="D55" s="97">
        <v>87976</v>
      </c>
      <c r="E55" s="97">
        <v>63328</v>
      </c>
    </row>
    <row r="56" spans="1:5" ht="13.8" thickBot="1">
      <c r="A56" s="101" t="s">
        <v>268</v>
      </c>
      <c r="B56" s="123">
        <v>97630</v>
      </c>
      <c r="C56" s="123">
        <v>87976</v>
      </c>
      <c r="D56" s="98">
        <v>63328</v>
      </c>
      <c r="E56" s="98">
        <v>54688</v>
      </c>
    </row>
    <row r="57" spans="1:5" ht="13.8" thickTop="1">
      <c r="B57" s="96"/>
      <c r="C57" s="96"/>
      <c r="D57" s="96"/>
      <c r="E57" s="96"/>
    </row>
    <row r="58" spans="1:5" ht="13.2">
      <c r="B58" s="96"/>
      <c r="C58" s="96"/>
      <c r="D58" s="96"/>
      <c r="E58" s="96"/>
    </row>
    <row r="59" spans="1:5" ht="13.2">
      <c r="B59" s="96"/>
      <c r="C59" s="96"/>
      <c r="D59" s="96"/>
      <c r="E59" s="96"/>
    </row>
    <row r="60" spans="1:5" ht="13.2">
      <c r="B60" s="96"/>
      <c r="C60" s="96"/>
      <c r="D60" s="96"/>
      <c r="E60" s="96"/>
    </row>
    <row r="61" spans="1:5" ht="13.2">
      <c r="B61" s="96"/>
      <c r="C61" s="96"/>
      <c r="D61" s="96"/>
      <c r="E61" s="96"/>
    </row>
    <row r="62" spans="1:5" ht="13.2">
      <c r="B62" s="96"/>
      <c r="C62" s="96"/>
      <c r="D62" s="96"/>
      <c r="E62" s="96"/>
    </row>
    <row r="63" spans="1:5" ht="13.2">
      <c r="B63" s="96"/>
      <c r="C63" s="96"/>
      <c r="D63" s="96"/>
      <c r="E63" s="96"/>
    </row>
    <row r="64" spans="1:5" ht="13.2">
      <c r="B64" s="96"/>
      <c r="C64" s="96"/>
      <c r="D64" s="96"/>
      <c r="E64" s="96"/>
    </row>
    <row r="65" spans="2:5" ht="13.2">
      <c r="B65" s="96"/>
      <c r="C65" s="96"/>
      <c r="D65" s="96"/>
      <c r="E65" s="96"/>
    </row>
    <row r="66" spans="2:5" ht="13.2">
      <c r="B66" s="96"/>
      <c r="C66" s="96"/>
      <c r="D66" s="96"/>
      <c r="E66" s="96"/>
    </row>
    <row r="67" spans="2:5" ht="13.2">
      <c r="B67" s="96"/>
      <c r="C67" s="96"/>
      <c r="D67" s="96"/>
      <c r="E67" s="96"/>
    </row>
    <row r="68" spans="2:5" ht="13.2">
      <c r="B68" s="96"/>
      <c r="C68" s="96"/>
      <c r="D68" s="96"/>
      <c r="E68" s="96"/>
    </row>
    <row r="69" spans="2:5" ht="13.2">
      <c r="B69" s="96"/>
      <c r="C69" s="96"/>
      <c r="D69" s="96"/>
      <c r="E69" s="96"/>
    </row>
    <row r="70" spans="2:5" ht="13.2">
      <c r="B70" s="96"/>
      <c r="C70" s="96"/>
      <c r="D70" s="96"/>
      <c r="E70" s="96"/>
    </row>
    <row r="71" spans="2:5" ht="13.2">
      <c r="B71" s="96"/>
      <c r="C71" s="96"/>
      <c r="D71" s="96"/>
      <c r="E71" s="96"/>
    </row>
    <row r="72" spans="2:5" ht="13.2">
      <c r="B72" s="96"/>
      <c r="C72" s="96"/>
      <c r="D72" s="96"/>
      <c r="E72" s="96"/>
    </row>
    <row r="73" spans="2:5" ht="13.2">
      <c r="B73" s="96"/>
      <c r="C73" s="96"/>
      <c r="D73" s="96"/>
      <c r="E73" s="96"/>
    </row>
    <row r="74" spans="2:5" ht="13.2">
      <c r="B74" s="96"/>
      <c r="C74" s="96"/>
      <c r="D74" s="96"/>
      <c r="E74" s="96"/>
    </row>
    <row r="75" spans="2:5" ht="13.2">
      <c r="B75" s="96"/>
      <c r="C75" s="96"/>
      <c r="D75" s="96"/>
      <c r="E75" s="96"/>
    </row>
    <row r="76" spans="2:5" ht="13.2">
      <c r="B76" s="96"/>
      <c r="C76" s="96"/>
      <c r="D76" s="96"/>
      <c r="E76" s="96"/>
    </row>
    <row r="77" spans="2:5" ht="13.2">
      <c r="B77" s="96"/>
      <c r="C77" s="96"/>
      <c r="D77" s="96"/>
      <c r="E77" s="96"/>
    </row>
    <row r="78" spans="2:5" ht="13.2">
      <c r="B78" s="96"/>
      <c r="C78" s="96"/>
      <c r="D78" s="96"/>
      <c r="E78" s="96"/>
    </row>
    <row r="79" spans="2:5" ht="13.2">
      <c r="B79" s="96"/>
      <c r="C79" s="96"/>
      <c r="D79" s="96"/>
      <c r="E79" s="96"/>
    </row>
    <row r="80" spans="2:5" ht="13.2">
      <c r="B80" s="96"/>
      <c r="C80" s="96"/>
      <c r="D80" s="96"/>
      <c r="E80" s="96"/>
    </row>
    <row r="81" spans="2:5" ht="13.2">
      <c r="B81" s="96"/>
      <c r="C81" s="96"/>
      <c r="D81" s="96"/>
      <c r="E81" s="96"/>
    </row>
    <row r="82" spans="2:5" ht="13.2">
      <c r="B82" s="96"/>
      <c r="C82" s="96"/>
      <c r="D82" s="96"/>
      <c r="E82" s="96"/>
    </row>
    <row r="83" spans="2:5" ht="13.2">
      <c r="B83" s="96"/>
      <c r="C83" s="96"/>
      <c r="D83" s="96"/>
      <c r="E83" s="96"/>
    </row>
    <row r="84" spans="2:5" ht="13.2">
      <c r="B84" s="96"/>
      <c r="C84" s="96"/>
      <c r="D84" s="96"/>
      <c r="E84" s="96"/>
    </row>
    <row r="85" spans="2:5" ht="13.2">
      <c r="B85" s="96"/>
      <c r="C85" s="96"/>
      <c r="D85" s="96"/>
      <c r="E85" s="96"/>
    </row>
    <row r="86" spans="2:5" ht="13.2">
      <c r="B86" s="96"/>
      <c r="C86" s="96"/>
      <c r="D86" s="96"/>
      <c r="E86" s="96"/>
    </row>
    <row r="87" spans="2:5" ht="13.2">
      <c r="B87" s="96"/>
      <c r="C87" s="96"/>
      <c r="D87" s="96"/>
      <c r="E87" s="96"/>
    </row>
    <row r="88" spans="2:5" ht="13.2">
      <c r="B88" s="96"/>
      <c r="C88" s="96"/>
      <c r="D88" s="96"/>
      <c r="E88" s="96"/>
    </row>
    <row r="89" spans="2:5" ht="13.2">
      <c r="B89" s="96"/>
      <c r="C89" s="96"/>
      <c r="D89" s="96"/>
      <c r="E89" s="96"/>
    </row>
    <row r="90" spans="2:5" ht="13.2">
      <c r="B90" s="96"/>
      <c r="C90" s="96"/>
      <c r="D90" s="96"/>
      <c r="E90" s="96"/>
    </row>
    <row r="91" spans="2:5" ht="13.2">
      <c r="B91" s="96"/>
      <c r="C91" s="96"/>
      <c r="D91" s="96"/>
      <c r="E91" s="96"/>
    </row>
    <row r="92" spans="2:5" ht="13.2">
      <c r="B92" s="96"/>
      <c r="C92" s="96"/>
      <c r="D92" s="96"/>
      <c r="E92" s="96"/>
    </row>
    <row r="93" spans="2:5" ht="13.2">
      <c r="B93" s="96"/>
      <c r="C93" s="96"/>
      <c r="D93" s="96"/>
      <c r="E93" s="96"/>
    </row>
    <row r="94" spans="2:5" ht="13.2">
      <c r="B94" s="96"/>
      <c r="C94" s="96"/>
      <c r="D94" s="96"/>
      <c r="E94" s="96"/>
    </row>
    <row r="95" spans="2:5" ht="13.2">
      <c r="B95" s="96"/>
      <c r="C95" s="96"/>
      <c r="D95" s="96"/>
      <c r="E95" s="96"/>
    </row>
    <row r="96" spans="2:5" ht="13.2">
      <c r="B96" s="96"/>
      <c r="C96" s="96"/>
      <c r="D96" s="96"/>
      <c r="E96" s="96"/>
    </row>
    <row r="97" spans="2:5" ht="13.2">
      <c r="B97" s="96"/>
      <c r="C97" s="96"/>
      <c r="D97" s="96"/>
      <c r="E97" s="96"/>
    </row>
    <row r="98" spans="2:5" ht="13.2">
      <c r="B98" s="96"/>
      <c r="C98" s="96"/>
      <c r="D98" s="96"/>
      <c r="E98" s="96"/>
    </row>
    <row r="99" spans="2:5" ht="13.2">
      <c r="B99" s="96"/>
      <c r="C99" s="96"/>
      <c r="D99" s="96"/>
      <c r="E99" s="96"/>
    </row>
    <row r="100" spans="2:5" ht="13.2">
      <c r="B100" s="96"/>
      <c r="C100" s="96"/>
      <c r="D100" s="96"/>
      <c r="E100" s="96"/>
    </row>
    <row r="101" spans="2:5" ht="13.2">
      <c r="B101" s="96"/>
      <c r="C101" s="96"/>
      <c r="D101" s="96"/>
      <c r="E101" s="96"/>
    </row>
    <row r="102" spans="2:5" ht="13.2">
      <c r="B102" s="96"/>
      <c r="C102" s="96"/>
      <c r="D102" s="96"/>
      <c r="E102" s="96"/>
    </row>
    <row r="103" spans="2:5" ht="13.2">
      <c r="B103" s="96"/>
      <c r="C103" s="96"/>
      <c r="D103" s="96"/>
      <c r="E103" s="96"/>
    </row>
    <row r="104" spans="2:5" ht="13.2">
      <c r="B104" s="96"/>
      <c r="C104" s="96"/>
      <c r="D104" s="96"/>
      <c r="E104" s="96"/>
    </row>
    <row r="105" spans="2:5" ht="13.2">
      <c r="B105" s="96"/>
      <c r="C105" s="96"/>
      <c r="D105" s="96"/>
      <c r="E105" s="96"/>
    </row>
    <row r="106" spans="2:5" ht="13.2">
      <c r="B106" s="96"/>
      <c r="C106" s="96"/>
      <c r="D106" s="96"/>
      <c r="E106" s="96"/>
    </row>
    <row r="107" spans="2:5" ht="13.2">
      <c r="B107" s="96"/>
      <c r="C107" s="96"/>
      <c r="D107" s="96"/>
      <c r="E107" s="96"/>
    </row>
    <row r="108" spans="2:5" ht="13.2">
      <c r="B108" s="96"/>
      <c r="C108" s="96"/>
      <c r="D108" s="96"/>
      <c r="E108" s="96"/>
    </row>
    <row r="109" spans="2:5" ht="13.2">
      <c r="B109" s="96"/>
      <c r="C109" s="96"/>
      <c r="D109" s="96"/>
      <c r="E109" s="96"/>
    </row>
    <row r="110" spans="2:5" ht="13.2">
      <c r="B110" s="96"/>
      <c r="C110" s="96"/>
      <c r="D110" s="96"/>
      <c r="E110" s="96"/>
    </row>
    <row r="111" spans="2:5" ht="13.2">
      <c r="B111" s="96"/>
      <c r="C111" s="96"/>
      <c r="D111" s="96"/>
      <c r="E111" s="96"/>
    </row>
    <row r="112" spans="2:5" ht="13.2">
      <c r="B112" s="96"/>
      <c r="C112" s="96"/>
      <c r="D112" s="96"/>
      <c r="E112" s="96"/>
    </row>
    <row r="113" spans="2:5" ht="13.2">
      <c r="B113" s="96"/>
      <c r="C113" s="96"/>
      <c r="D113" s="96"/>
      <c r="E113" s="96"/>
    </row>
    <row r="114" spans="2:5" ht="13.2">
      <c r="B114" s="96"/>
      <c r="C114" s="96"/>
      <c r="D114" s="96"/>
      <c r="E114" s="96"/>
    </row>
    <row r="115" spans="2:5" ht="13.2">
      <c r="B115" s="96"/>
      <c r="C115" s="96"/>
      <c r="D115" s="96"/>
      <c r="E115" s="96"/>
    </row>
    <row r="116" spans="2:5" ht="13.2">
      <c r="B116" s="96"/>
      <c r="C116" s="96"/>
      <c r="D116" s="96"/>
      <c r="E116" s="96"/>
    </row>
    <row r="117" spans="2:5" ht="13.2">
      <c r="B117" s="96"/>
      <c r="C117" s="96"/>
      <c r="D117" s="96"/>
      <c r="E117" s="96"/>
    </row>
    <row r="118" spans="2:5" ht="13.2">
      <c r="B118" s="96"/>
      <c r="C118" s="96"/>
      <c r="D118" s="96"/>
      <c r="E118" s="96"/>
    </row>
    <row r="119" spans="2:5" ht="13.2">
      <c r="B119" s="96"/>
      <c r="C119" s="96"/>
      <c r="D119" s="96"/>
      <c r="E119" s="96"/>
    </row>
    <row r="120" spans="2:5" ht="13.2">
      <c r="B120" s="96"/>
      <c r="C120" s="96"/>
      <c r="D120" s="96"/>
      <c r="E120" s="96"/>
    </row>
    <row r="121" spans="2:5" ht="13.2">
      <c r="B121" s="96"/>
      <c r="C121" s="96"/>
      <c r="D121" s="96"/>
      <c r="E121" s="96"/>
    </row>
    <row r="122" spans="2:5" ht="13.2">
      <c r="B122" s="96"/>
      <c r="C122" s="96"/>
      <c r="D122" s="96"/>
      <c r="E122" s="96"/>
    </row>
    <row r="123" spans="2:5" ht="13.2">
      <c r="B123" s="96"/>
      <c r="C123" s="96"/>
      <c r="D123" s="96"/>
      <c r="E123" s="96"/>
    </row>
    <row r="124" spans="2:5" ht="13.2">
      <c r="B124" s="96"/>
      <c r="C124" s="96"/>
      <c r="D124" s="96"/>
      <c r="E124" s="96"/>
    </row>
    <row r="125" spans="2:5" ht="13.2">
      <c r="B125" s="96"/>
      <c r="C125" s="96"/>
      <c r="D125" s="96"/>
      <c r="E125" s="96"/>
    </row>
    <row r="126" spans="2:5" ht="13.2">
      <c r="B126" s="96"/>
      <c r="C126" s="96"/>
      <c r="D126" s="96"/>
      <c r="E126" s="96"/>
    </row>
    <row r="127" spans="2:5" ht="13.2">
      <c r="B127" s="96"/>
      <c r="C127" s="96"/>
      <c r="D127" s="96"/>
      <c r="E127" s="96"/>
    </row>
    <row r="128" spans="2:5" ht="13.2">
      <c r="B128" s="96"/>
      <c r="C128" s="96"/>
      <c r="D128" s="96"/>
      <c r="E128" s="96"/>
    </row>
    <row r="129" spans="2:5" ht="13.2">
      <c r="B129" s="96"/>
      <c r="C129" s="96"/>
      <c r="D129" s="96"/>
      <c r="E129" s="96"/>
    </row>
    <row r="130" spans="2:5" ht="13.2">
      <c r="B130" s="96"/>
      <c r="C130" s="96"/>
      <c r="D130" s="96"/>
      <c r="E130" s="96"/>
    </row>
    <row r="131" spans="2:5" ht="13.2">
      <c r="B131" s="96"/>
      <c r="C131" s="96"/>
      <c r="D131" s="96"/>
      <c r="E131" s="96"/>
    </row>
    <row r="132" spans="2:5" ht="13.2">
      <c r="B132" s="96"/>
      <c r="C132" s="96"/>
      <c r="D132" s="96"/>
      <c r="E132" s="96"/>
    </row>
    <row r="133" spans="2:5" ht="13.2">
      <c r="B133" s="96"/>
      <c r="C133" s="96"/>
      <c r="D133" s="96"/>
      <c r="E133" s="96"/>
    </row>
    <row r="134" spans="2:5" ht="13.2">
      <c r="B134" s="96"/>
      <c r="C134" s="96"/>
      <c r="D134" s="96"/>
      <c r="E134" s="96"/>
    </row>
    <row r="135" spans="2:5" ht="13.2">
      <c r="B135" s="96"/>
      <c r="C135" s="96"/>
      <c r="D135" s="96"/>
      <c r="E135" s="96"/>
    </row>
    <row r="136" spans="2:5" ht="13.2">
      <c r="B136" s="96"/>
      <c r="C136" s="96"/>
      <c r="D136" s="96"/>
      <c r="E136" s="96"/>
    </row>
    <row r="137" spans="2:5" ht="13.2">
      <c r="B137" s="96"/>
      <c r="C137" s="96"/>
      <c r="D137" s="96"/>
      <c r="E137" s="96"/>
    </row>
    <row r="138" spans="2:5" ht="13.2">
      <c r="B138" s="96"/>
      <c r="C138" s="96"/>
      <c r="D138" s="96"/>
      <c r="E138" s="96"/>
    </row>
    <row r="139" spans="2:5" ht="13.2">
      <c r="B139" s="96"/>
      <c r="C139" s="96"/>
      <c r="D139" s="96"/>
      <c r="E139" s="96"/>
    </row>
    <row r="140" spans="2:5" ht="13.2">
      <c r="B140" s="96"/>
      <c r="C140" s="96"/>
      <c r="D140" s="96"/>
      <c r="E140" s="96"/>
    </row>
    <row r="141" spans="2:5" ht="13.2">
      <c r="B141" s="96"/>
      <c r="C141" s="96"/>
      <c r="D141" s="96"/>
      <c r="E141" s="96"/>
    </row>
    <row r="142" spans="2:5" ht="13.2">
      <c r="B142" s="96"/>
      <c r="C142" s="96"/>
      <c r="D142" s="96"/>
      <c r="E142" s="96"/>
    </row>
    <row r="143" spans="2:5" ht="13.2">
      <c r="B143" s="96"/>
      <c r="C143" s="96"/>
      <c r="D143" s="96"/>
      <c r="E143" s="96"/>
    </row>
    <row r="144" spans="2:5" ht="13.2">
      <c r="B144" s="96"/>
      <c r="C144" s="96"/>
      <c r="D144" s="96"/>
      <c r="E144" s="96"/>
    </row>
    <row r="145" spans="2:5" ht="13.2">
      <c r="B145" s="96"/>
      <c r="C145" s="96"/>
      <c r="D145" s="96"/>
      <c r="E145" s="96"/>
    </row>
    <row r="146" spans="2:5" ht="13.2">
      <c r="B146" s="96"/>
      <c r="C146" s="96"/>
      <c r="D146" s="96"/>
      <c r="E146" s="96"/>
    </row>
    <row r="147" spans="2:5" ht="13.2">
      <c r="B147" s="96"/>
      <c r="C147" s="96"/>
      <c r="D147" s="96"/>
      <c r="E147" s="96"/>
    </row>
    <row r="148" spans="2:5" ht="13.2">
      <c r="B148" s="96"/>
      <c r="C148" s="96"/>
      <c r="D148" s="96"/>
      <c r="E148" s="96"/>
    </row>
    <row r="149" spans="2:5" ht="13.2">
      <c r="B149" s="96"/>
      <c r="C149" s="96"/>
      <c r="D149" s="96"/>
      <c r="E149" s="96"/>
    </row>
    <row r="150" spans="2:5" ht="13.2">
      <c r="B150" s="96"/>
      <c r="C150" s="96"/>
      <c r="D150" s="96"/>
      <c r="E150" s="96"/>
    </row>
    <row r="151" spans="2:5" ht="13.2">
      <c r="B151" s="96"/>
      <c r="C151" s="96"/>
      <c r="D151" s="96"/>
      <c r="E151" s="96"/>
    </row>
    <row r="152" spans="2:5" ht="13.2">
      <c r="B152" s="96"/>
      <c r="C152" s="96"/>
      <c r="D152" s="96"/>
      <c r="E152" s="96"/>
    </row>
    <row r="153" spans="2:5" ht="13.2">
      <c r="B153" s="96"/>
      <c r="C153" s="96"/>
      <c r="D153" s="96"/>
      <c r="E153" s="96"/>
    </row>
    <row r="154" spans="2:5" ht="13.2">
      <c r="B154" s="96"/>
      <c r="C154" s="96"/>
      <c r="D154" s="96"/>
      <c r="E154" s="96"/>
    </row>
    <row r="155" spans="2:5" ht="13.2">
      <c r="B155" s="96"/>
      <c r="C155" s="96"/>
      <c r="D155" s="96"/>
      <c r="E155" s="96"/>
    </row>
    <row r="156" spans="2:5" ht="13.2">
      <c r="B156" s="96"/>
      <c r="C156" s="96"/>
      <c r="D156" s="96"/>
      <c r="E156" s="96"/>
    </row>
    <row r="157" spans="2:5" ht="13.2">
      <c r="B157" s="96"/>
      <c r="C157" s="96"/>
      <c r="D157" s="96"/>
      <c r="E157" s="96"/>
    </row>
    <row r="158" spans="2:5" ht="13.2">
      <c r="B158" s="96"/>
      <c r="C158" s="96"/>
      <c r="D158" s="96"/>
      <c r="E158" s="96"/>
    </row>
    <row r="159" spans="2:5" ht="13.2">
      <c r="B159" s="96"/>
      <c r="C159" s="96"/>
      <c r="D159" s="96"/>
      <c r="E159" s="96"/>
    </row>
    <row r="160" spans="2:5" ht="13.2">
      <c r="B160" s="96"/>
      <c r="C160" s="96"/>
      <c r="D160" s="96"/>
      <c r="E160" s="96"/>
    </row>
    <row r="161" spans="2:5" ht="13.2">
      <c r="B161" s="96"/>
      <c r="C161" s="96"/>
      <c r="D161" s="96"/>
      <c r="E161" s="96"/>
    </row>
    <row r="162" spans="2:5" ht="13.2">
      <c r="B162" s="96"/>
      <c r="C162" s="96"/>
      <c r="D162" s="96"/>
      <c r="E162" s="96"/>
    </row>
    <row r="163" spans="2:5" ht="13.2">
      <c r="B163" s="96"/>
      <c r="C163" s="96"/>
      <c r="D163" s="96"/>
      <c r="E163" s="96"/>
    </row>
    <row r="164" spans="2:5" ht="13.2">
      <c r="B164" s="96"/>
      <c r="C164" s="96"/>
      <c r="D164" s="96"/>
      <c r="E164" s="96"/>
    </row>
    <row r="165" spans="2:5" ht="13.2">
      <c r="B165" s="96"/>
      <c r="C165" s="96"/>
      <c r="D165" s="96"/>
      <c r="E165" s="96"/>
    </row>
    <row r="166" spans="2:5" ht="13.2">
      <c r="B166" s="96"/>
      <c r="C166" s="96"/>
      <c r="D166" s="96"/>
      <c r="E166" s="96"/>
    </row>
    <row r="167" spans="2:5" ht="13.2">
      <c r="B167" s="96"/>
      <c r="C167" s="96"/>
      <c r="D167" s="96"/>
      <c r="E167" s="96"/>
    </row>
    <row r="168" spans="2:5" ht="13.2">
      <c r="B168" s="96"/>
      <c r="C168" s="96"/>
      <c r="D168" s="96"/>
      <c r="E168" s="96"/>
    </row>
    <row r="169" spans="2:5" ht="13.2">
      <c r="B169" s="96"/>
      <c r="C169" s="96"/>
      <c r="D169" s="96"/>
      <c r="E169" s="96"/>
    </row>
    <row r="170" spans="2:5" ht="13.2">
      <c r="B170" s="96"/>
      <c r="C170" s="96"/>
      <c r="D170" s="96"/>
      <c r="E170" s="96"/>
    </row>
    <row r="171" spans="2:5" ht="13.2">
      <c r="B171" s="96"/>
      <c r="C171" s="96"/>
      <c r="D171" s="96"/>
      <c r="E171" s="96"/>
    </row>
    <row r="172" spans="2:5" ht="13.2">
      <c r="B172" s="96"/>
      <c r="C172" s="96"/>
      <c r="D172" s="96"/>
      <c r="E172" s="96"/>
    </row>
    <row r="173" spans="2:5" ht="13.2">
      <c r="B173" s="96"/>
      <c r="C173" s="96"/>
      <c r="D173" s="96"/>
      <c r="E173" s="96"/>
    </row>
    <row r="174" spans="2:5" ht="13.2">
      <c r="B174" s="96"/>
      <c r="C174" s="96"/>
      <c r="D174" s="96"/>
      <c r="E174" s="96"/>
    </row>
    <row r="175" spans="2:5" ht="13.2">
      <c r="B175" s="96"/>
      <c r="C175" s="96"/>
      <c r="D175" s="96"/>
      <c r="E175" s="96"/>
    </row>
    <row r="176" spans="2:5" ht="13.2">
      <c r="B176" s="96"/>
      <c r="C176" s="96"/>
      <c r="D176" s="96"/>
      <c r="E176" s="96"/>
    </row>
    <row r="177" spans="2:5" ht="13.2">
      <c r="B177" s="96"/>
      <c r="C177" s="96"/>
      <c r="D177" s="96"/>
      <c r="E177" s="96"/>
    </row>
    <row r="178" spans="2:5" ht="13.2">
      <c r="B178" s="96"/>
      <c r="C178" s="96"/>
      <c r="D178" s="96"/>
      <c r="E178" s="96"/>
    </row>
    <row r="179" spans="2:5" ht="13.2">
      <c r="B179" s="96"/>
      <c r="C179" s="96"/>
      <c r="D179" s="96"/>
      <c r="E179" s="96"/>
    </row>
    <row r="180" spans="2:5" ht="13.2">
      <c r="B180" s="96"/>
      <c r="C180" s="96"/>
      <c r="D180" s="96"/>
      <c r="E180" s="96"/>
    </row>
    <row r="181" spans="2:5" ht="13.2">
      <c r="B181" s="96"/>
      <c r="C181" s="96"/>
      <c r="D181" s="96"/>
      <c r="E181" s="96"/>
    </row>
    <row r="182" spans="2:5" ht="13.2">
      <c r="B182" s="96"/>
      <c r="C182" s="96"/>
      <c r="D182" s="96"/>
      <c r="E182" s="96"/>
    </row>
    <row r="183" spans="2:5" ht="13.2">
      <c r="B183" s="96"/>
      <c r="C183" s="96"/>
      <c r="D183" s="96"/>
      <c r="E183" s="96"/>
    </row>
    <row r="184" spans="2:5" ht="13.2">
      <c r="B184" s="96"/>
      <c r="C184" s="96"/>
      <c r="D184" s="96"/>
      <c r="E184" s="96"/>
    </row>
    <row r="185" spans="2:5" ht="13.2">
      <c r="B185" s="96"/>
      <c r="C185" s="96"/>
      <c r="D185" s="96"/>
      <c r="E185" s="96"/>
    </row>
    <row r="186" spans="2:5" ht="13.2">
      <c r="B186" s="96"/>
      <c r="C186" s="96"/>
      <c r="D186" s="96"/>
      <c r="E186" s="96"/>
    </row>
    <row r="187" spans="2:5" ht="13.2">
      <c r="B187" s="96"/>
      <c r="C187" s="96"/>
      <c r="D187" s="96"/>
      <c r="E187" s="96"/>
    </row>
    <row r="188" spans="2:5" ht="13.2">
      <c r="B188" s="96"/>
      <c r="C188" s="96"/>
      <c r="D188" s="96"/>
      <c r="E188" s="96"/>
    </row>
    <row r="189" spans="2:5" ht="13.2">
      <c r="B189" s="96"/>
      <c r="C189" s="96"/>
      <c r="D189" s="96"/>
      <c r="E189" s="96"/>
    </row>
    <row r="190" spans="2:5" ht="13.2">
      <c r="B190" s="96"/>
      <c r="C190" s="96"/>
      <c r="D190" s="96"/>
      <c r="E190" s="96"/>
    </row>
    <row r="191" spans="2:5" ht="13.2">
      <c r="B191" s="96"/>
      <c r="C191" s="96"/>
      <c r="D191" s="96"/>
      <c r="E191" s="96"/>
    </row>
    <row r="192" spans="2:5" ht="13.2">
      <c r="B192" s="96"/>
      <c r="C192" s="96"/>
      <c r="D192" s="96"/>
      <c r="E192" s="96"/>
    </row>
    <row r="193" spans="2:5" ht="13.2">
      <c r="B193" s="96"/>
      <c r="C193" s="96"/>
      <c r="D193" s="96"/>
      <c r="E193" s="96"/>
    </row>
    <row r="194" spans="2:5" ht="13.2">
      <c r="B194" s="96"/>
      <c r="C194" s="96"/>
      <c r="D194" s="96"/>
      <c r="E194" s="96"/>
    </row>
    <row r="195" spans="2:5" ht="13.2">
      <c r="B195" s="96"/>
      <c r="C195" s="96"/>
      <c r="D195" s="96"/>
      <c r="E195" s="96"/>
    </row>
    <row r="196" spans="2:5" ht="13.2">
      <c r="B196" s="96"/>
      <c r="C196" s="96"/>
      <c r="D196" s="96"/>
      <c r="E196" s="96"/>
    </row>
    <row r="197" spans="2:5" ht="13.2">
      <c r="B197" s="96"/>
      <c r="C197" s="96"/>
      <c r="D197" s="96"/>
      <c r="E197" s="96"/>
    </row>
    <row r="198" spans="2:5" ht="13.2">
      <c r="B198" s="96"/>
      <c r="C198" s="96"/>
      <c r="D198" s="96"/>
      <c r="E198" s="96"/>
    </row>
    <row r="199" spans="2:5" ht="13.2">
      <c r="B199" s="96"/>
      <c r="C199" s="96"/>
      <c r="D199" s="96"/>
      <c r="E199" s="96"/>
    </row>
    <row r="200" spans="2:5" ht="13.2">
      <c r="B200" s="96"/>
      <c r="C200" s="96"/>
      <c r="D200" s="96"/>
      <c r="E200" s="96"/>
    </row>
    <row r="201" spans="2:5" ht="13.2">
      <c r="B201" s="96"/>
      <c r="C201" s="96"/>
      <c r="D201" s="96"/>
      <c r="E201" s="96"/>
    </row>
    <row r="202" spans="2:5" ht="13.2">
      <c r="B202" s="96"/>
      <c r="C202" s="96"/>
      <c r="D202" s="96"/>
      <c r="E202" s="96"/>
    </row>
    <row r="203" spans="2:5" ht="13.2">
      <c r="B203" s="96"/>
      <c r="C203" s="96"/>
      <c r="D203" s="96"/>
      <c r="E203" s="96"/>
    </row>
    <row r="204" spans="2:5" ht="13.2">
      <c r="B204" s="96"/>
      <c r="C204" s="96"/>
      <c r="D204" s="96"/>
      <c r="E204" s="96"/>
    </row>
    <row r="205" spans="2:5" ht="13.2">
      <c r="B205" s="96"/>
      <c r="C205" s="96"/>
      <c r="D205" s="96"/>
      <c r="E205" s="96"/>
    </row>
    <row r="206" spans="2:5" ht="13.2">
      <c r="B206" s="96"/>
      <c r="C206" s="96"/>
      <c r="D206" s="96"/>
      <c r="E206" s="96"/>
    </row>
    <row r="207" spans="2:5" ht="13.2">
      <c r="B207" s="96"/>
      <c r="C207" s="96"/>
      <c r="D207" s="96"/>
      <c r="E207" s="96"/>
    </row>
    <row r="208" spans="2:5" ht="13.2">
      <c r="B208" s="96"/>
      <c r="C208" s="96"/>
      <c r="D208" s="96"/>
      <c r="E208" s="96"/>
    </row>
    <row r="209" spans="2:5" ht="13.2">
      <c r="B209" s="96"/>
      <c r="C209" s="96"/>
      <c r="D209" s="96"/>
      <c r="E209" s="96"/>
    </row>
    <row r="210" spans="2:5" ht="13.2">
      <c r="B210" s="96"/>
      <c r="C210" s="96"/>
      <c r="D210" s="96"/>
      <c r="E210" s="96"/>
    </row>
    <row r="211" spans="2:5" ht="13.2">
      <c r="B211" s="96"/>
      <c r="C211" s="96"/>
      <c r="D211" s="96"/>
      <c r="E211" s="96"/>
    </row>
    <row r="212" spans="2:5" ht="13.2">
      <c r="B212" s="96"/>
      <c r="C212" s="96"/>
      <c r="D212" s="96"/>
      <c r="E212" s="96"/>
    </row>
    <row r="213" spans="2:5" ht="13.2">
      <c r="B213" s="96"/>
      <c r="C213" s="96"/>
      <c r="D213" s="96"/>
      <c r="E213" s="96"/>
    </row>
    <row r="214" spans="2:5" ht="13.2">
      <c r="B214" s="96"/>
      <c r="C214" s="96"/>
      <c r="D214" s="96"/>
      <c r="E214" s="96"/>
    </row>
    <row r="215" spans="2:5" ht="13.2">
      <c r="B215" s="96"/>
      <c r="C215" s="96"/>
      <c r="D215" s="96"/>
      <c r="E215" s="96"/>
    </row>
    <row r="216" spans="2:5" ht="13.2">
      <c r="B216" s="96"/>
      <c r="C216" s="96"/>
      <c r="D216" s="96"/>
      <c r="E216" s="96"/>
    </row>
    <row r="217" spans="2:5" ht="13.2">
      <c r="B217" s="96"/>
      <c r="C217" s="96"/>
      <c r="D217" s="96"/>
      <c r="E217" s="96"/>
    </row>
    <row r="218" spans="2:5" ht="13.2">
      <c r="B218" s="96"/>
      <c r="C218" s="96"/>
      <c r="D218" s="96"/>
      <c r="E218" s="96"/>
    </row>
    <row r="219" spans="2:5" ht="13.2">
      <c r="B219" s="96"/>
      <c r="C219" s="96"/>
      <c r="D219" s="96"/>
      <c r="E219" s="96"/>
    </row>
    <row r="220" spans="2:5" ht="13.2">
      <c r="B220" s="96"/>
      <c r="C220" s="96"/>
      <c r="D220" s="96"/>
      <c r="E220" s="96"/>
    </row>
    <row r="221" spans="2:5" ht="13.2">
      <c r="B221" s="96"/>
      <c r="C221" s="96"/>
      <c r="D221" s="96"/>
      <c r="E221" s="96"/>
    </row>
    <row r="222" spans="2:5" ht="13.2">
      <c r="B222" s="96"/>
      <c r="C222" s="96"/>
      <c r="D222" s="96"/>
      <c r="E222" s="96"/>
    </row>
    <row r="223" spans="2:5" ht="13.2">
      <c r="B223" s="96"/>
      <c r="C223" s="96"/>
      <c r="D223" s="96"/>
      <c r="E223" s="96"/>
    </row>
    <row r="224" spans="2:5" ht="13.2">
      <c r="B224" s="96"/>
      <c r="C224" s="96"/>
      <c r="D224" s="96"/>
      <c r="E224" s="96"/>
    </row>
    <row r="225" spans="2:5" ht="13.2">
      <c r="B225" s="96"/>
      <c r="C225" s="96"/>
      <c r="D225" s="96"/>
      <c r="E225" s="96"/>
    </row>
    <row r="226" spans="2:5" ht="13.2">
      <c r="B226" s="96"/>
      <c r="C226" s="96"/>
      <c r="D226" s="96"/>
      <c r="E226" s="96"/>
    </row>
    <row r="227" spans="2:5" ht="13.2">
      <c r="B227" s="96"/>
      <c r="C227" s="96"/>
      <c r="D227" s="96"/>
      <c r="E227" s="96"/>
    </row>
    <row r="228" spans="2:5" ht="13.2">
      <c r="B228" s="96"/>
      <c r="C228" s="96"/>
      <c r="D228" s="96"/>
      <c r="E228" s="96"/>
    </row>
    <row r="229" spans="2:5" ht="13.2">
      <c r="B229" s="96"/>
      <c r="C229" s="96"/>
      <c r="D229" s="96"/>
      <c r="E229" s="96"/>
    </row>
    <row r="230" spans="2:5" ht="13.2">
      <c r="B230" s="96"/>
      <c r="C230" s="96"/>
      <c r="D230" s="96"/>
      <c r="E230" s="96"/>
    </row>
    <row r="231" spans="2:5" ht="13.2">
      <c r="B231" s="96"/>
      <c r="C231" s="96"/>
      <c r="D231" s="96"/>
      <c r="E231" s="96"/>
    </row>
    <row r="232" spans="2:5" ht="13.2">
      <c r="B232" s="96"/>
      <c r="C232" s="96"/>
      <c r="D232" s="96"/>
      <c r="E232" s="96"/>
    </row>
    <row r="233" spans="2:5" ht="13.2">
      <c r="B233" s="96"/>
      <c r="C233" s="96"/>
      <c r="D233" s="96"/>
      <c r="E233" s="96"/>
    </row>
    <row r="234" spans="2:5" ht="13.2">
      <c r="B234" s="96"/>
      <c r="C234" s="96"/>
      <c r="D234" s="96"/>
      <c r="E234" s="96"/>
    </row>
    <row r="235" spans="2:5" ht="13.2">
      <c r="B235" s="96"/>
      <c r="C235" s="96"/>
      <c r="D235" s="96"/>
      <c r="E235" s="96"/>
    </row>
    <row r="236" spans="2:5" ht="13.2">
      <c r="B236" s="96"/>
      <c r="C236" s="96"/>
      <c r="D236" s="96"/>
      <c r="E236" s="96"/>
    </row>
    <row r="237" spans="2:5" ht="13.2">
      <c r="B237" s="96"/>
      <c r="C237" s="96"/>
      <c r="D237" s="96"/>
      <c r="E237" s="96"/>
    </row>
    <row r="238" spans="2:5" ht="13.2">
      <c r="B238" s="96"/>
      <c r="C238" s="96"/>
      <c r="D238" s="96"/>
      <c r="E238" s="96"/>
    </row>
    <row r="239" spans="2:5" ht="13.2">
      <c r="B239" s="96"/>
      <c r="C239" s="96"/>
      <c r="D239" s="96"/>
      <c r="E239" s="96"/>
    </row>
    <row r="240" spans="2:5" ht="13.2">
      <c r="B240" s="96"/>
      <c r="C240" s="96"/>
      <c r="D240" s="96"/>
      <c r="E240" s="96"/>
    </row>
    <row r="241" spans="2:5" ht="13.2">
      <c r="B241" s="96"/>
      <c r="C241" s="96"/>
      <c r="D241" s="96"/>
      <c r="E241" s="96"/>
    </row>
    <row r="242" spans="2:5" ht="13.2">
      <c r="B242" s="96"/>
      <c r="C242" s="96"/>
      <c r="D242" s="96"/>
      <c r="E242" s="96"/>
    </row>
    <row r="243" spans="2:5" ht="13.2">
      <c r="B243" s="96"/>
      <c r="C243" s="96"/>
      <c r="D243" s="96"/>
      <c r="E243" s="96"/>
    </row>
    <row r="244" spans="2:5" ht="13.2">
      <c r="B244" s="96"/>
      <c r="C244" s="96"/>
      <c r="D244" s="96"/>
      <c r="E244" s="96"/>
    </row>
    <row r="245" spans="2:5" ht="13.2">
      <c r="B245" s="96"/>
      <c r="C245" s="96"/>
      <c r="D245" s="96"/>
      <c r="E245" s="96"/>
    </row>
    <row r="246" spans="2:5" ht="13.2">
      <c r="B246" s="96"/>
      <c r="C246" s="96"/>
      <c r="D246" s="96"/>
      <c r="E246" s="96"/>
    </row>
    <row r="247" spans="2:5" ht="13.2">
      <c r="B247" s="96"/>
      <c r="C247" s="96"/>
      <c r="D247" s="96"/>
      <c r="E247" s="96"/>
    </row>
    <row r="248" spans="2:5" ht="13.2">
      <c r="B248" s="96"/>
      <c r="C248" s="96"/>
      <c r="D248" s="96"/>
      <c r="E248" s="96"/>
    </row>
    <row r="249" spans="2:5" ht="13.2">
      <c r="B249" s="96"/>
      <c r="C249" s="96"/>
      <c r="D249" s="96"/>
      <c r="E249" s="96"/>
    </row>
    <row r="250" spans="2:5" ht="13.2">
      <c r="B250" s="96"/>
      <c r="C250" s="96"/>
      <c r="D250" s="96"/>
      <c r="E250" s="96"/>
    </row>
    <row r="251" spans="2:5" ht="13.2">
      <c r="B251" s="96"/>
      <c r="C251" s="96"/>
      <c r="D251" s="96"/>
      <c r="E251" s="96"/>
    </row>
    <row r="252" spans="2:5" ht="13.2">
      <c r="B252" s="96"/>
      <c r="C252" s="96"/>
      <c r="D252" s="96"/>
      <c r="E252" s="96"/>
    </row>
    <row r="253" spans="2:5" ht="13.2">
      <c r="B253" s="96"/>
      <c r="C253" s="96"/>
      <c r="D253" s="96"/>
      <c r="E253" s="96"/>
    </row>
    <row r="254" spans="2:5" ht="13.2">
      <c r="B254" s="96"/>
      <c r="C254" s="96"/>
      <c r="D254" s="96"/>
      <c r="E254" s="96"/>
    </row>
    <row r="255" spans="2:5" ht="13.2">
      <c r="B255" s="96"/>
      <c r="C255" s="96"/>
      <c r="D255" s="96"/>
      <c r="E255" s="96"/>
    </row>
    <row r="256" spans="2:5" ht="13.2">
      <c r="B256" s="96"/>
      <c r="C256" s="96"/>
      <c r="D256" s="96"/>
      <c r="E256" s="96"/>
    </row>
    <row r="257" spans="2:5" ht="13.2">
      <c r="B257" s="96"/>
      <c r="C257" s="96"/>
      <c r="D257" s="96"/>
      <c r="E257" s="96"/>
    </row>
    <row r="258" spans="2:5" ht="13.2">
      <c r="B258" s="96"/>
      <c r="C258" s="96"/>
      <c r="D258" s="96"/>
      <c r="E258" s="96"/>
    </row>
    <row r="259" spans="2:5" ht="13.2">
      <c r="B259" s="96"/>
      <c r="C259" s="96"/>
      <c r="D259" s="96"/>
      <c r="E259" s="96"/>
    </row>
    <row r="260" spans="2:5" ht="13.2">
      <c r="B260" s="96"/>
      <c r="C260" s="96"/>
      <c r="D260" s="96"/>
      <c r="E260" s="96"/>
    </row>
    <row r="261" spans="2:5" ht="13.2">
      <c r="B261" s="96"/>
      <c r="C261" s="96"/>
      <c r="D261" s="96"/>
      <c r="E261" s="96"/>
    </row>
    <row r="262" spans="2:5" ht="13.2">
      <c r="B262" s="96"/>
      <c r="C262" s="96"/>
      <c r="D262" s="96"/>
      <c r="E262" s="96"/>
    </row>
    <row r="263" spans="2:5" ht="13.2">
      <c r="B263" s="96"/>
      <c r="C263" s="96"/>
      <c r="D263" s="96"/>
      <c r="E263" s="96"/>
    </row>
    <row r="264" spans="2:5" ht="13.2">
      <c r="B264" s="96"/>
      <c r="C264" s="96"/>
      <c r="D264" s="96"/>
      <c r="E264" s="96"/>
    </row>
    <row r="265" spans="2:5" ht="13.2">
      <c r="B265" s="96"/>
      <c r="C265" s="96"/>
      <c r="D265" s="96"/>
      <c r="E265" s="96"/>
    </row>
    <row r="266" spans="2:5" ht="13.2">
      <c r="B266" s="96"/>
      <c r="C266" s="96"/>
      <c r="D266" s="96"/>
      <c r="E266" s="96"/>
    </row>
    <row r="267" spans="2:5" ht="13.2">
      <c r="B267" s="96"/>
      <c r="C267" s="96"/>
      <c r="D267" s="96"/>
      <c r="E267" s="96"/>
    </row>
    <row r="268" spans="2:5" ht="13.2">
      <c r="B268" s="96"/>
      <c r="C268" s="96"/>
      <c r="D268" s="96"/>
      <c r="E268" s="96"/>
    </row>
    <row r="269" spans="2:5" ht="13.2">
      <c r="B269" s="96"/>
      <c r="C269" s="96"/>
      <c r="D269" s="96"/>
      <c r="E269" s="96"/>
    </row>
    <row r="270" spans="2:5" ht="13.2">
      <c r="B270" s="96"/>
      <c r="C270" s="96"/>
      <c r="D270" s="96"/>
      <c r="E270" s="96"/>
    </row>
    <row r="271" spans="2:5" ht="13.2">
      <c r="B271" s="96"/>
      <c r="C271" s="96"/>
      <c r="D271" s="96"/>
      <c r="E271" s="96"/>
    </row>
    <row r="272" spans="2:5" ht="13.2">
      <c r="B272" s="96"/>
      <c r="C272" s="96"/>
      <c r="D272" s="96"/>
      <c r="E272" s="96"/>
    </row>
    <row r="273" spans="2:5" ht="13.2">
      <c r="B273" s="96"/>
      <c r="C273" s="96"/>
      <c r="D273" s="96"/>
      <c r="E273" s="96"/>
    </row>
    <row r="274" spans="2:5" ht="13.2">
      <c r="B274" s="96"/>
      <c r="C274" s="96"/>
      <c r="D274" s="96"/>
      <c r="E274" s="96"/>
    </row>
    <row r="275" spans="2:5" ht="13.2">
      <c r="B275" s="96"/>
      <c r="C275" s="96"/>
      <c r="D275" s="96"/>
      <c r="E275" s="96"/>
    </row>
    <row r="276" spans="2:5" ht="13.2">
      <c r="B276" s="96"/>
      <c r="C276" s="96"/>
      <c r="D276" s="96"/>
      <c r="E276" s="96"/>
    </row>
    <row r="277" spans="2:5" ht="13.2">
      <c r="B277" s="96"/>
      <c r="C277" s="96"/>
      <c r="D277" s="96"/>
      <c r="E277" s="96"/>
    </row>
    <row r="278" spans="2:5" ht="13.2">
      <c r="B278" s="96"/>
      <c r="C278" s="96"/>
      <c r="D278" s="96"/>
      <c r="E278" s="96"/>
    </row>
    <row r="279" spans="2:5" ht="13.2">
      <c r="B279" s="96"/>
      <c r="C279" s="96"/>
      <c r="D279" s="96"/>
      <c r="E279" s="96"/>
    </row>
    <row r="280" spans="2:5" ht="13.2">
      <c r="B280" s="96"/>
      <c r="C280" s="96"/>
      <c r="D280" s="96"/>
      <c r="E280" s="96"/>
    </row>
    <row r="281" spans="2:5" ht="13.2">
      <c r="B281" s="96"/>
      <c r="C281" s="96"/>
      <c r="D281" s="96"/>
      <c r="E281" s="96"/>
    </row>
    <row r="282" spans="2:5" ht="13.2">
      <c r="B282" s="96"/>
      <c r="C282" s="96"/>
      <c r="D282" s="96"/>
      <c r="E282" s="96"/>
    </row>
    <row r="283" spans="2:5" ht="13.2">
      <c r="B283" s="96"/>
      <c r="C283" s="96"/>
      <c r="D283" s="96"/>
      <c r="E283" s="96"/>
    </row>
    <row r="284" spans="2:5" ht="13.2">
      <c r="B284" s="96"/>
      <c r="C284" s="96"/>
      <c r="D284" s="96"/>
      <c r="E284" s="96"/>
    </row>
    <row r="285" spans="2:5" ht="13.2">
      <c r="B285" s="96"/>
      <c r="C285" s="96"/>
      <c r="D285" s="96"/>
      <c r="E285" s="96"/>
    </row>
    <row r="286" spans="2:5" ht="13.2">
      <c r="B286" s="96"/>
      <c r="C286" s="96"/>
      <c r="D286" s="96"/>
      <c r="E286" s="96"/>
    </row>
    <row r="287" spans="2:5" ht="13.2">
      <c r="B287" s="96"/>
      <c r="C287" s="96"/>
      <c r="D287" s="96"/>
      <c r="E287" s="96"/>
    </row>
    <row r="288" spans="2:5" ht="13.2">
      <c r="B288" s="96"/>
      <c r="C288" s="96"/>
      <c r="D288" s="96"/>
      <c r="E288" s="96"/>
    </row>
    <row r="289" spans="2:5" ht="13.2">
      <c r="B289" s="96"/>
      <c r="C289" s="96"/>
      <c r="D289" s="96"/>
      <c r="E289" s="96"/>
    </row>
    <row r="290" spans="2:5" ht="13.2">
      <c r="B290" s="96"/>
      <c r="C290" s="96"/>
      <c r="D290" s="96"/>
      <c r="E290" s="96"/>
    </row>
    <row r="291" spans="2:5" ht="13.2">
      <c r="B291" s="96"/>
      <c r="C291" s="96"/>
      <c r="D291" s="96"/>
      <c r="E291" s="96"/>
    </row>
    <row r="292" spans="2:5" ht="13.2">
      <c r="B292" s="96"/>
      <c r="C292" s="96"/>
      <c r="D292" s="96"/>
      <c r="E292" s="96"/>
    </row>
    <row r="293" spans="2:5" ht="13.2">
      <c r="B293" s="96"/>
      <c r="C293" s="96"/>
      <c r="D293" s="96"/>
      <c r="E293" s="96"/>
    </row>
    <row r="294" spans="2:5" ht="13.2">
      <c r="B294" s="96"/>
      <c r="C294" s="96"/>
      <c r="D294" s="96"/>
      <c r="E294" s="96"/>
    </row>
    <row r="295" spans="2:5" ht="13.2">
      <c r="B295" s="96"/>
      <c r="C295" s="96"/>
      <c r="D295" s="96"/>
      <c r="E295" s="96"/>
    </row>
    <row r="296" spans="2:5" ht="13.2">
      <c r="B296" s="96"/>
      <c r="C296" s="96"/>
      <c r="D296" s="96"/>
      <c r="E296" s="96"/>
    </row>
    <row r="297" spans="2:5" ht="13.2">
      <c r="B297" s="96"/>
      <c r="C297" s="96"/>
      <c r="D297" s="96"/>
      <c r="E297" s="96"/>
    </row>
    <row r="298" spans="2:5" ht="13.2">
      <c r="B298" s="96"/>
      <c r="C298" s="96"/>
      <c r="D298" s="96"/>
      <c r="E298" s="96"/>
    </row>
    <row r="299" spans="2:5" ht="13.2">
      <c r="B299" s="96"/>
      <c r="C299" s="96"/>
      <c r="D299" s="96"/>
      <c r="E299" s="96"/>
    </row>
    <row r="300" spans="2:5" ht="13.2">
      <c r="B300" s="96"/>
      <c r="C300" s="96"/>
      <c r="D300" s="96"/>
      <c r="E300" s="96"/>
    </row>
    <row r="301" spans="2:5" ht="13.2">
      <c r="B301" s="96"/>
      <c r="C301" s="96"/>
      <c r="D301" s="96"/>
      <c r="E301" s="96"/>
    </row>
    <row r="302" spans="2:5" ht="13.2">
      <c r="B302" s="96"/>
      <c r="C302" s="96"/>
      <c r="D302" s="96"/>
      <c r="E302" s="96"/>
    </row>
    <row r="303" spans="2:5" ht="13.2">
      <c r="B303" s="96"/>
      <c r="C303" s="96"/>
      <c r="D303" s="96"/>
      <c r="E303" s="96"/>
    </row>
    <row r="304" spans="2:5" ht="13.2">
      <c r="B304" s="96"/>
      <c r="C304" s="96"/>
      <c r="D304" s="96"/>
      <c r="E304" s="96"/>
    </row>
    <row r="305" spans="2:5" ht="13.2">
      <c r="B305" s="96"/>
      <c r="C305" s="96"/>
      <c r="D305" s="96"/>
      <c r="E305" s="96"/>
    </row>
    <row r="306" spans="2:5" ht="13.2">
      <c r="B306" s="96"/>
      <c r="C306" s="96"/>
      <c r="D306" s="96"/>
      <c r="E306" s="96"/>
    </row>
    <row r="307" spans="2:5" ht="13.2">
      <c r="B307" s="96"/>
      <c r="C307" s="96"/>
      <c r="D307" s="96"/>
      <c r="E307" s="96"/>
    </row>
    <row r="308" spans="2:5" ht="13.2">
      <c r="B308" s="96"/>
      <c r="C308" s="96"/>
      <c r="D308" s="96"/>
      <c r="E308" s="96"/>
    </row>
    <row r="309" spans="2:5" ht="13.2">
      <c r="B309" s="96"/>
      <c r="C309" s="96"/>
      <c r="D309" s="96"/>
      <c r="E309" s="96"/>
    </row>
    <row r="310" spans="2:5" ht="13.2">
      <c r="B310" s="96"/>
      <c r="C310" s="96"/>
      <c r="D310" s="96"/>
      <c r="E310" s="96"/>
    </row>
    <row r="311" spans="2:5" ht="13.2">
      <c r="B311" s="96"/>
      <c r="C311" s="96"/>
      <c r="D311" s="96"/>
      <c r="E311" s="96"/>
    </row>
    <row r="312" spans="2:5" ht="13.2">
      <c r="B312" s="96"/>
      <c r="C312" s="96"/>
      <c r="D312" s="96"/>
      <c r="E312" s="96"/>
    </row>
    <row r="313" spans="2:5" ht="13.2">
      <c r="B313" s="96"/>
      <c r="C313" s="96"/>
      <c r="D313" s="96"/>
      <c r="E313" s="96"/>
    </row>
    <row r="314" spans="2:5" ht="13.2">
      <c r="B314" s="96"/>
      <c r="C314" s="96"/>
      <c r="D314" s="96"/>
      <c r="E314" s="96"/>
    </row>
    <row r="315" spans="2:5" ht="13.2">
      <c r="B315" s="96"/>
      <c r="C315" s="96"/>
      <c r="D315" s="96"/>
      <c r="E315" s="96"/>
    </row>
    <row r="316" spans="2:5" ht="13.2">
      <c r="B316" s="96"/>
      <c r="C316" s="96"/>
      <c r="D316" s="96"/>
      <c r="E316" s="96"/>
    </row>
    <row r="317" spans="2:5" ht="13.2">
      <c r="B317" s="96"/>
      <c r="C317" s="96"/>
      <c r="D317" s="96"/>
      <c r="E317" s="96"/>
    </row>
    <row r="318" spans="2:5" ht="13.2">
      <c r="B318" s="96"/>
      <c r="C318" s="96"/>
      <c r="D318" s="96"/>
      <c r="E318" s="96"/>
    </row>
    <row r="319" spans="2:5" ht="13.2">
      <c r="B319" s="96"/>
      <c r="C319" s="96"/>
      <c r="D319" s="96"/>
      <c r="E319" s="96"/>
    </row>
    <row r="320" spans="2:5" ht="13.2">
      <c r="B320" s="96"/>
      <c r="C320" s="96"/>
      <c r="D320" s="96"/>
      <c r="E320" s="96"/>
    </row>
    <row r="321" spans="2:5" ht="13.2">
      <c r="B321" s="96"/>
      <c r="C321" s="96"/>
      <c r="D321" s="96"/>
      <c r="E321" s="96"/>
    </row>
    <row r="322" spans="2:5" ht="13.2">
      <c r="B322" s="96"/>
      <c r="C322" s="96"/>
      <c r="D322" s="96"/>
      <c r="E322" s="96"/>
    </row>
    <row r="323" spans="2:5" ht="13.2">
      <c r="B323" s="96"/>
      <c r="C323" s="96"/>
      <c r="D323" s="96"/>
      <c r="E323" s="96"/>
    </row>
    <row r="324" spans="2:5" ht="13.2">
      <c r="B324" s="96"/>
      <c r="C324" s="96"/>
      <c r="D324" s="96"/>
      <c r="E324" s="96"/>
    </row>
    <row r="325" spans="2:5" ht="13.2">
      <c r="B325" s="96"/>
      <c r="C325" s="96"/>
      <c r="D325" s="96"/>
      <c r="E325" s="96"/>
    </row>
    <row r="326" spans="2:5" ht="13.2">
      <c r="B326" s="96"/>
      <c r="C326" s="96"/>
      <c r="D326" s="96"/>
      <c r="E326" s="96"/>
    </row>
    <row r="327" spans="2:5" ht="13.2">
      <c r="B327" s="96"/>
      <c r="C327" s="96"/>
      <c r="D327" s="96"/>
      <c r="E327" s="96"/>
    </row>
    <row r="328" spans="2:5" ht="13.2">
      <c r="B328" s="96"/>
      <c r="C328" s="96"/>
      <c r="D328" s="96"/>
      <c r="E328" s="96"/>
    </row>
    <row r="329" spans="2:5" ht="13.2">
      <c r="B329" s="96"/>
      <c r="C329" s="96"/>
      <c r="D329" s="96"/>
      <c r="E329" s="96"/>
    </row>
    <row r="330" spans="2:5" ht="13.2">
      <c r="B330" s="96"/>
      <c r="C330" s="96"/>
      <c r="D330" s="96"/>
      <c r="E330" s="96"/>
    </row>
    <row r="331" spans="2:5" ht="13.2">
      <c r="B331" s="96"/>
      <c r="C331" s="96"/>
      <c r="D331" s="96"/>
      <c r="E331" s="96"/>
    </row>
    <row r="332" spans="2:5" ht="13.2">
      <c r="B332" s="96"/>
      <c r="C332" s="96"/>
      <c r="D332" s="96"/>
      <c r="E332" s="96"/>
    </row>
    <row r="333" spans="2:5" ht="13.2">
      <c r="B333" s="96"/>
      <c r="C333" s="96"/>
      <c r="D333" s="96"/>
      <c r="E333" s="96"/>
    </row>
    <row r="334" spans="2:5" ht="13.2">
      <c r="B334" s="96"/>
      <c r="C334" s="96"/>
      <c r="D334" s="96"/>
      <c r="E334" s="96"/>
    </row>
    <row r="335" spans="2:5" ht="13.2">
      <c r="B335" s="96"/>
      <c r="C335" s="96"/>
      <c r="D335" s="96"/>
      <c r="E335" s="96"/>
    </row>
    <row r="336" spans="2:5" ht="13.2">
      <c r="B336" s="96"/>
      <c r="C336" s="96"/>
      <c r="D336" s="96"/>
      <c r="E336" s="96"/>
    </row>
    <row r="337" spans="2:5" ht="13.2">
      <c r="B337" s="96"/>
      <c r="C337" s="96"/>
      <c r="D337" s="96"/>
      <c r="E337" s="96"/>
    </row>
    <row r="338" spans="2:5" ht="13.2">
      <c r="B338" s="96"/>
      <c r="C338" s="96"/>
      <c r="D338" s="96"/>
      <c r="E338" s="96"/>
    </row>
    <row r="339" spans="2:5" ht="13.2">
      <c r="B339" s="96"/>
      <c r="C339" s="96"/>
      <c r="D339" s="96"/>
      <c r="E339" s="96"/>
    </row>
    <row r="340" spans="2:5" ht="13.2">
      <c r="B340" s="96"/>
      <c r="C340" s="96"/>
      <c r="D340" s="96"/>
      <c r="E340" s="96"/>
    </row>
    <row r="341" spans="2:5" ht="13.2">
      <c r="B341" s="96"/>
      <c r="C341" s="96"/>
      <c r="D341" s="96"/>
      <c r="E341" s="96"/>
    </row>
    <row r="342" spans="2:5" ht="13.2">
      <c r="B342" s="96"/>
      <c r="C342" s="96"/>
      <c r="D342" s="96"/>
      <c r="E342" s="96"/>
    </row>
    <row r="343" spans="2:5" ht="13.2">
      <c r="B343" s="96"/>
      <c r="C343" s="96"/>
      <c r="D343" s="96"/>
      <c r="E343" s="96"/>
    </row>
    <row r="344" spans="2:5" ht="13.2">
      <c r="B344" s="96"/>
      <c r="C344" s="96"/>
      <c r="D344" s="96"/>
      <c r="E344" s="96"/>
    </row>
    <row r="345" spans="2:5" ht="13.2">
      <c r="B345" s="96"/>
      <c r="C345" s="96"/>
      <c r="D345" s="96"/>
      <c r="E345" s="96"/>
    </row>
    <row r="346" spans="2:5" ht="13.2">
      <c r="B346" s="96"/>
      <c r="C346" s="96"/>
      <c r="D346" s="96"/>
      <c r="E346" s="96"/>
    </row>
    <row r="347" spans="2:5" ht="13.2">
      <c r="B347" s="96"/>
      <c r="C347" s="96"/>
      <c r="D347" s="96"/>
      <c r="E347" s="96"/>
    </row>
    <row r="348" spans="2:5" ht="13.2">
      <c r="B348" s="96"/>
      <c r="C348" s="96"/>
      <c r="D348" s="96"/>
      <c r="E348" s="96"/>
    </row>
    <row r="349" spans="2:5" ht="13.2">
      <c r="B349" s="96"/>
      <c r="C349" s="96"/>
      <c r="D349" s="96"/>
      <c r="E349" s="96"/>
    </row>
    <row r="350" spans="2:5" ht="13.2">
      <c r="B350" s="96"/>
      <c r="C350" s="96"/>
      <c r="D350" s="96"/>
      <c r="E350" s="96"/>
    </row>
    <row r="351" spans="2:5" ht="13.2">
      <c r="B351" s="96"/>
      <c r="C351" s="96"/>
      <c r="D351" s="96"/>
      <c r="E351" s="96"/>
    </row>
    <row r="352" spans="2:5" ht="13.2">
      <c r="B352" s="96"/>
      <c r="C352" s="96"/>
      <c r="D352" s="96"/>
      <c r="E352" s="96"/>
    </row>
    <row r="353" spans="2:5" ht="13.2">
      <c r="B353" s="96"/>
      <c r="C353" s="96"/>
      <c r="D353" s="96"/>
      <c r="E353" s="96"/>
    </row>
    <row r="354" spans="2:5" ht="13.2">
      <c r="B354" s="96"/>
      <c r="C354" s="96"/>
      <c r="D354" s="96"/>
      <c r="E354" s="96"/>
    </row>
    <row r="355" spans="2:5" ht="13.2">
      <c r="B355" s="96"/>
      <c r="C355" s="96"/>
      <c r="D355" s="96"/>
      <c r="E355" s="96"/>
    </row>
    <row r="356" spans="2:5" ht="13.2">
      <c r="B356" s="96"/>
      <c r="C356" s="96"/>
      <c r="D356" s="96"/>
      <c r="E356" s="96"/>
    </row>
    <row r="357" spans="2:5" ht="13.2">
      <c r="B357" s="96"/>
      <c r="C357" s="96"/>
      <c r="D357" s="96"/>
      <c r="E357" s="96"/>
    </row>
    <row r="358" spans="2:5" ht="13.2">
      <c r="B358" s="96"/>
      <c r="C358" s="96"/>
      <c r="D358" s="96"/>
      <c r="E358" s="96"/>
    </row>
    <row r="359" spans="2:5" ht="13.2">
      <c r="B359" s="96"/>
      <c r="C359" s="96"/>
      <c r="D359" s="96"/>
      <c r="E359" s="96"/>
    </row>
    <row r="360" spans="2:5" ht="13.2">
      <c r="B360" s="96"/>
      <c r="C360" s="96"/>
      <c r="D360" s="96"/>
      <c r="E360" s="96"/>
    </row>
    <row r="361" spans="2:5" ht="13.2">
      <c r="B361" s="96"/>
      <c r="C361" s="96"/>
      <c r="D361" s="96"/>
      <c r="E361" s="96"/>
    </row>
    <row r="362" spans="2:5" ht="13.2">
      <c r="B362" s="96"/>
      <c r="C362" s="96"/>
      <c r="D362" s="96"/>
      <c r="E362" s="96"/>
    </row>
    <row r="363" spans="2:5" ht="13.2">
      <c r="B363" s="96"/>
      <c r="C363" s="96"/>
      <c r="D363" s="96"/>
      <c r="E363" s="96"/>
    </row>
    <row r="364" spans="2:5" ht="13.2">
      <c r="B364" s="96"/>
      <c r="C364" s="96"/>
      <c r="D364" s="96"/>
      <c r="E364" s="96"/>
    </row>
    <row r="365" spans="2:5" ht="13.2">
      <c r="B365" s="96"/>
      <c r="C365" s="96"/>
      <c r="D365" s="96"/>
      <c r="E365" s="96"/>
    </row>
    <row r="366" spans="2:5" ht="13.2">
      <c r="B366" s="96"/>
      <c r="C366" s="96"/>
      <c r="D366" s="96"/>
      <c r="E366" s="96"/>
    </row>
    <row r="367" spans="2:5" ht="13.2">
      <c r="B367" s="96"/>
      <c r="C367" s="96"/>
      <c r="D367" s="96"/>
      <c r="E367" s="96"/>
    </row>
    <row r="368" spans="2:5" ht="13.2">
      <c r="B368" s="96"/>
      <c r="C368" s="96"/>
      <c r="D368" s="96"/>
      <c r="E368" s="96"/>
    </row>
    <row r="369" spans="2:5" ht="13.2">
      <c r="B369" s="96"/>
      <c r="C369" s="96"/>
      <c r="D369" s="96"/>
      <c r="E369" s="96"/>
    </row>
    <row r="370" spans="2:5" ht="13.2">
      <c r="B370" s="96"/>
      <c r="C370" s="96"/>
      <c r="D370" s="96"/>
      <c r="E370" s="96"/>
    </row>
    <row r="371" spans="2:5" ht="13.2">
      <c r="B371" s="96"/>
      <c r="C371" s="96"/>
      <c r="D371" s="96"/>
      <c r="E371" s="96"/>
    </row>
    <row r="372" spans="2:5" ht="13.2">
      <c r="B372" s="96"/>
      <c r="C372" s="96"/>
      <c r="D372" s="96"/>
      <c r="E372" s="96"/>
    </row>
    <row r="373" spans="2:5" ht="13.2">
      <c r="B373" s="96"/>
      <c r="C373" s="96"/>
      <c r="D373" s="96"/>
      <c r="E373" s="96"/>
    </row>
    <row r="374" spans="2:5" ht="13.2">
      <c r="B374" s="96"/>
      <c r="C374" s="96"/>
      <c r="D374" s="96"/>
      <c r="E374" s="96"/>
    </row>
    <row r="375" spans="2:5" ht="13.2">
      <c r="B375" s="96"/>
      <c r="C375" s="96"/>
      <c r="D375" s="96"/>
      <c r="E375" s="96"/>
    </row>
    <row r="376" spans="2:5" ht="13.2">
      <c r="B376" s="96"/>
      <c r="C376" s="96"/>
      <c r="D376" s="96"/>
      <c r="E376" s="96"/>
    </row>
    <row r="377" spans="2:5" ht="13.2">
      <c r="B377" s="96"/>
      <c r="C377" s="96"/>
      <c r="D377" s="96"/>
      <c r="E377" s="96"/>
    </row>
    <row r="378" spans="2:5" ht="13.2">
      <c r="B378" s="96"/>
      <c r="C378" s="96"/>
      <c r="D378" s="96"/>
      <c r="E378" s="96"/>
    </row>
    <row r="379" spans="2:5" ht="13.2">
      <c r="B379" s="96"/>
      <c r="C379" s="96"/>
      <c r="D379" s="96"/>
      <c r="E379" s="96"/>
    </row>
    <row r="380" spans="2:5" ht="13.2">
      <c r="B380" s="96"/>
      <c r="C380" s="96"/>
      <c r="D380" s="96"/>
      <c r="E380" s="96"/>
    </row>
    <row r="381" spans="2:5" ht="13.2">
      <c r="B381" s="96"/>
      <c r="C381" s="96"/>
      <c r="D381" s="96"/>
      <c r="E381" s="96"/>
    </row>
    <row r="382" spans="2:5" ht="13.2">
      <c r="B382" s="96"/>
      <c r="C382" s="96"/>
      <c r="D382" s="96"/>
      <c r="E382" s="96"/>
    </row>
    <row r="383" spans="2:5" ht="13.2">
      <c r="B383" s="96"/>
      <c r="C383" s="96"/>
      <c r="D383" s="96"/>
      <c r="E383" s="96"/>
    </row>
    <row r="384" spans="2:5" ht="13.2">
      <c r="B384" s="96"/>
      <c r="C384" s="96"/>
      <c r="D384" s="96"/>
      <c r="E384" s="96"/>
    </row>
    <row r="385" spans="2:5" ht="13.2">
      <c r="B385" s="96"/>
      <c r="C385" s="96"/>
      <c r="D385" s="96"/>
      <c r="E385" s="96"/>
    </row>
    <row r="386" spans="2:5" ht="13.2">
      <c r="B386" s="96"/>
      <c r="C386" s="96"/>
      <c r="D386" s="96"/>
      <c r="E386" s="96"/>
    </row>
    <row r="387" spans="2:5" ht="13.2">
      <c r="B387" s="96"/>
      <c r="C387" s="96"/>
      <c r="D387" s="96"/>
      <c r="E387" s="96"/>
    </row>
    <row r="388" spans="2:5" ht="13.2">
      <c r="B388" s="96"/>
      <c r="C388" s="96"/>
      <c r="D388" s="96"/>
      <c r="E388" s="96"/>
    </row>
    <row r="389" spans="2:5" ht="13.2">
      <c r="B389" s="96"/>
      <c r="C389" s="96"/>
      <c r="D389" s="96"/>
      <c r="E389" s="96"/>
    </row>
    <row r="390" spans="2:5" ht="13.2">
      <c r="B390" s="96"/>
      <c r="C390" s="96"/>
      <c r="D390" s="96"/>
      <c r="E390" s="96"/>
    </row>
    <row r="391" spans="2:5" ht="13.2">
      <c r="B391" s="96"/>
      <c r="C391" s="96"/>
      <c r="D391" s="96"/>
      <c r="E391" s="96"/>
    </row>
    <row r="392" spans="2:5" ht="13.2">
      <c r="B392" s="96"/>
      <c r="C392" s="96"/>
      <c r="D392" s="96"/>
      <c r="E392" s="96"/>
    </row>
    <row r="393" spans="2:5" ht="13.2">
      <c r="B393" s="96"/>
      <c r="C393" s="96"/>
      <c r="D393" s="96"/>
      <c r="E393" s="96"/>
    </row>
    <row r="394" spans="2:5" ht="13.2">
      <c r="B394" s="96"/>
      <c r="C394" s="96"/>
      <c r="D394" s="96"/>
      <c r="E394" s="96"/>
    </row>
    <row r="395" spans="2:5" ht="13.2">
      <c r="B395" s="96"/>
      <c r="C395" s="96"/>
      <c r="D395" s="96"/>
      <c r="E395" s="96"/>
    </row>
    <row r="396" spans="2:5" ht="13.2">
      <c r="B396" s="96"/>
      <c r="C396" s="96"/>
      <c r="D396" s="96"/>
      <c r="E396" s="96"/>
    </row>
    <row r="397" spans="2:5" ht="13.2">
      <c r="B397" s="96"/>
      <c r="C397" s="96"/>
      <c r="D397" s="96"/>
      <c r="E397" s="96"/>
    </row>
    <row r="398" spans="2:5" ht="13.2">
      <c r="B398" s="96"/>
      <c r="C398" s="96"/>
      <c r="D398" s="96"/>
      <c r="E398" s="96"/>
    </row>
    <row r="399" spans="2:5" ht="13.2">
      <c r="B399" s="96"/>
      <c r="C399" s="96"/>
      <c r="D399" s="96"/>
      <c r="E399" s="96"/>
    </row>
    <row r="400" spans="2:5" ht="13.2">
      <c r="B400" s="96"/>
      <c r="C400" s="96"/>
      <c r="D400" s="96"/>
      <c r="E400" s="96"/>
    </row>
    <row r="401" spans="2:5" ht="13.2">
      <c r="B401" s="96"/>
      <c r="C401" s="96"/>
      <c r="D401" s="96"/>
      <c r="E401" s="96"/>
    </row>
    <row r="402" spans="2:5" ht="13.2">
      <c r="B402" s="96"/>
      <c r="C402" s="96"/>
      <c r="D402" s="96"/>
      <c r="E402" s="96"/>
    </row>
    <row r="403" spans="2:5" ht="13.2">
      <c r="B403" s="96"/>
      <c r="C403" s="96"/>
      <c r="D403" s="96"/>
      <c r="E403" s="96"/>
    </row>
    <row r="404" spans="2:5" ht="13.2">
      <c r="B404" s="96"/>
      <c r="C404" s="96"/>
      <c r="D404" s="96"/>
      <c r="E404" s="96"/>
    </row>
    <row r="405" spans="2:5" ht="13.2">
      <c r="B405" s="96"/>
      <c r="C405" s="96"/>
      <c r="D405" s="96"/>
      <c r="E405" s="96"/>
    </row>
    <row r="406" spans="2:5" ht="13.2">
      <c r="B406" s="96"/>
      <c r="C406" s="96"/>
      <c r="D406" s="96"/>
      <c r="E406" s="96"/>
    </row>
    <row r="407" spans="2:5" ht="13.2">
      <c r="B407" s="96"/>
      <c r="C407" s="96"/>
      <c r="D407" s="96"/>
      <c r="E407" s="96"/>
    </row>
    <row r="408" spans="2:5" ht="13.2">
      <c r="B408" s="96"/>
      <c r="C408" s="96"/>
      <c r="D408" s="96"/>
      <c r="E408" s="96"/>
    </row>
    <row r="409" spans="2:5" ht="13.2">
      <c r="B409" s="96"/>
      <c r="C409" s="96"/>
      <c r="D409" s="96"/>
      <c r="E409" s="96"/>
    </row>
    <row r="410" spans="2:5" ht="13.2">
      <c r="B410" s="96"/>
      <c r="C410" s="96"/>
      <c r="D410" s="96"/>
      <c r="E410" s="96"/>
    </row>
    <row r="411" spans="2:5" ht="13.2">
      <c r="B411" s="96"/>
      <c r="C411" s="96"/>
      <c r="D411" s="96"/>
      <c r="E411" s="96"/>
    </row>
    <row r="412" spans="2:5" ht="13.2">
      <c r="B412" s="96"/>
      <c r="C412" s="96"/>
      <c r="D412" s="96"/>
      <c r="E412" s="96"/>
    </row>
    <row r="413" spans="2:5" ht="13.2">
      <c r="B413" s="96"/>
      <c r="C413" s="96"/>
      <c r="D413" s="96"/>
      <c r="E413" s="96"/>
    </row>
    <row r="414" spans="2:5" ht="13.2">
      <c r="B414" s="96"/>
      <c r="C414" s="96"/>
      <c r="D414" s="96"/>
      <c r="E414" s="96"/>
    </row>
    <row r="415" spans="2:5" ht="13.2">
      <c r="B415" s="96"/>
      <c r="C415" s="96"/>
      <c r="D415" s="96"/>
      <c r="E415" s="96"/>
    </row>
    <row r="416" spans="2:5" ht="13.2">
      <c r="B416" s="96"/>
      <c r="C416" s="96"/>
      <c r="D416" s="96"/>
      <c r="E416" s="96"/>
    </row>
    <row r="417" spans="2:5" ht="13.2">
      <c r="B417" s="96"/>
      <c r="C417" s="96"/>
      <c r="D417" s="96"/>
      <c r="E417" s="96"/>
    </row>
    <row r="418" spans="2:5" ht="13.2">
      <c r="B418" s="96"/>
      <c r="C418" s="96"/>
      <c r="D418" s="96"/>
      <c r="E418" s="96"/>
    </row>
    <row r="419" spans="2:5" ht="13.2">
      <c r="B419" s="96"/>
      <c r="C419" s="96"/>
      <c r="D419" s="96"/>
      <c r="E419" s="96"/>
    </row>
    <row r="420" spans="2:5" ht="13.2">
      <c r="B420" s="96"/>
      <c r="C420" s="96"/>
      <c r="D420" s="96"/>
      <c r="E420" s="96"/>
    </row>
    <row r="421" spans="2:5" ht="13.2">
      <c r="B421" s="96"/>
      <c r="C421" s="96"/>
      <c r="D421" s="96"/>
      <c r="E421" s="96"/>
    </row>
    <row r="422" spans="2:5" ht="13.2">
      <c r="B422" s="96"/>
      <c r="C422" s="96"/>
      <c r="D422" s="96"/>
      <c r="E422" s="96"/>
    </row>
    <row r="423" spans="2:5" ht="13.2">
      <c r="B423" s="96"/>
      <c r="C423" s="96"/>
      <c r="D423" s="96"/>
      <c r="E423" s="96"/>
    </row>
    <row r="424" spans="2:5" ht="13.2">
      <c r="B424" s="96"/>
      <c r="C424" s="96"/>
      <c r="D424" s="96"/>
      <c r="E424" s="96"/>
    </row>
    <row r="425" spans="2:5" ht="13.2">
      <c r="B425" s="96"/>
      <c r="C425" s="96"/>
      <c r="D425" s="96"/>
      <c r="E425" s="96"/>
    </row>
    <row r="426" spans="2:5" ht="13.2">
      <c r="B426" s="96"/>
      <c r="C426" s="96"/>
      <c r="D426" s="96"/>
      <c r="E426" s="96"/>
    </row>
    <row r="427" spans="2:5" ht="13.2">
      <c r="B427" s="96"/>
      <c r="C427" s="96"/>
      <c r="D427" s="96"/>
      <c r="E427" s="96"/>
    </row>
    <row r="428" spans="2:5" ht="13.2">
      <c r="B428" s="96"/>
      <c r="C428" s="96"/>
      <c r="D428" s="96"/>
      <c r="E428" s="96"/>
    </row>
    <row r="429" spans="2:5" ht="13.2">
      <c r="B429" s="96"/>
      <c r="C429" s="96"/>
      <c r="D429" s="96"/>
      <c r="E429" s="96"/>
    </row>
    <row r="430" spans="2:5" ht="13.2">
      <c r="B430" s="96"/>
      <c r="C430" s="96"/>
      <c r="D430" s="96"/>
      <c r="E430" s="96"/>
    </row>
    <row r="431" spans="2:5" ht="13.2">
      <c r="B431" s="96"/>
      <c r="C431" s="96"/>
      <c r="D431" s="96"/>
      <c r="E431" s="96"/>
    </row>
    <row r="432" spans="2:5" ht="13.2">
      <c r="B432" s="96"/>
      <c r="C432" s="96"/>
      <c r="D432" s="96"/>
      <c r="E432" s="96"/>
    </row>
    <row r="433" spans="2:5" ht="13.2">
      <c r="B433" s="96"/>
      <c r="C433" s="96"/>
      <c r="D433" s="96"/>
      <c r="E433" s="96"/>
    </row>
    <row r="434" spans="2:5" ht="13.2">
      <c r="B434" s="96"/>
      <c r="C434" s="96"/>
      <c r="D434" s="96"/>
      <c r="E434" s="96"/>
    </row>
    <row r="435" spans="2:5" ht="13.2">
      <c r="B435" s="96"/>
      <c r="C435" s="96"/>
      <c r="D435" s="96"/>
      <c r="E435" s="96"/>
    </row>
    <row r="436" spans="2:5" ht="13.2">
      <c r="B436" s="96"/>
      <c r="C436" s="96"/>
      <c r="D436" s="96"/>
      <c r="E436" s="96"/>
    </row>
    <row r="437" spans="2:5" ht="13.2">
      <c r="B437" s="96"/>
      <c r="C437" s="96"/>
      <c r="D437" s="96"/>
      <c r="E437" s="96"/>
    </row>
    <row r="438" spans="2:5" ht="13.2">
      <c r="B438" s="96"/>
      <c r="C438" s="96"/>
      <c r="D438" s="96"/>
      <c r="E438" s="96"/>
    </row>
    <row r="439" spans="2:5" ht="13.2">
      <c r="B439" s="96"/>
      <c r="C439" s="96"/>
      <c r="D439" s="96"/>
      <c r="E439" s="96"/>
    </row>
    <row r="440" spans="2:5" ht="13.2">
      <c r="B440" s="96"/>
      <c r="C440" s="96"/>
      <c r="D440" s="96"/>
      <c r="E440" s="96"/>
    </row>
    <row r="441" spans="2:5" ht="13.2">
      <c r="B441" s="96"/>
      <c r="C441" s="96"/>
      <c r="D441" s="96"/>
      <c r="E441" s="96"/>
    </row>
    <row r="442" spans="2:5" ht="13.2">
      <c r="B442" s="96"/>
      <c r="C442" s="96"/>
      <c r="D442" s="96"/>
      <c r="E442" s="96"/>
    </row>
    <row r="443" spans="2:5" ht="13.2">
      <c r="B443" s="96"/>
      <c r="C443" s="96"/>
      <c r="D443" s="96"/>
      <c r="E443" s="96"/>
    </row>
    <row r="444" spans="2:5" ht="13.2">
      <c r="B444" s="96"/>
      <c r="C444" s="96"/>
      <c r="D444" s="96"/>
      <c r="E444" s="96"/>
    </row>
    <row r="445" spans="2:5" ht="13.2">
      <c r="B445" s="96"/>
      <c r="C445" s="96"/>
      <c r="D445" s="96"/>
      <c r="E445" s="96"/>
    </row>
    <row r="446" spans="2:5" ht="13.2">
      <c r="B446" s="96"/>
      <c r="C446" s="96"/>
      <c r="D446" s="96"/>
      <c r="E446" s="96"/>
    </row>
    <row r="447" spans="2:5" ht="13.2">
      <c r="B447" s="96"/>
      <c r="C447" s="96"/>
      <c r="D447" s="96"/>
      <c r="E447" s="96"/>
    </row>
    <row r="448" spans="2:5" ht="13.2">
      <c r="B448" s="96"/>
      <c r="C448" s="96"/>
      <c r="D448" s="96"/>
      <c r="E448" s="96"/>
    </row>
    <row r="449" spans="2:5" ht="13.2">
      <c r="B449" s="96"/>
      <c r="C449" s="96"/>
      <c r="D449" s="96"/>
      <c r="E449" s="96"/>
    </row>
    <row r="450" spans="2:5" ht="13.2">
      <c r="B450" s="96"/>
      <c r="C450" s="96"/>
      <c r="D450" s="96"/>
      <c r="E450" s="96"/>
    </row>
    <row r="451" spans="2:5" ht="13.2">
      <c r="B451" s="96"/>
      <c r="C451" s="96"/>
      <c r="D451" s="96"/>
      <c r="E451" s="96"/>
    </row>
    <row r="452" spans="2:5" ht="13.2">
      <c r="B452" s="96"/>
      <c r="C452" s="96"/>
      <c r="D452" s="96"/>
      <c r="E452" s="96"/>
    </row>
    <row r="453" spans="2:5" ht="13.2">
      <c r="B453" s="96"/>
      <c r="C453" s="96"/>
      <c r="D453" s="96"/>
      <c r="E453" s="96"/>
    </row>
    <row r="454" spans="2:5" ht="13.2">
      <c r="B454" s="96"/>
      <c r="C454" s="96"/>
      <c r="D454" s="96"/>
      <c r="E454" s="96"/>
    </row>
    <row r="455" spans="2:5" ht="13.2">
      <c r="B455" s="96"/>
      <c r="C455" s="96"/>
      <c r="D455" s="96"/>
      <c r="E455" s="96"/>
    </row>
    <row r="456" spans="2:5" ht="13.2">
      <c r="B456" s="96"/>
      <c r="C456" s="96"/>
      <c r="D456" s="96"/>
      <c r="E456" s="96"/>
    </row>
    <row r="457" spans="2:5" ht="13.2">
      <c r="B457" s="96"/>
      <c r="C457" s="96"/>
      <c r="D457" s="96"/>
      <c r="E457" s="96"/>
    </row>
    <row r="458" spans="2:5" ht="13.2">
      <c r="B458" s="96"/>
      <c r="C458" s="96"/>
      <c r="D458" s="96"/>
      <c r="E458" s="96"/>
    </row>
    <row r="459" spans="2:5" ht="13.2">
      <c r="B459" s="96"/>
      <c r="C459" s="96"/>
      <c r="D459" s="96"/>
      <c r="E459" s="96"/>
    </row>
    <row r="460" spans="2:5" ht="13.2">
      <c r="B460" s="96"/>
      <c r="C460" s="96"/>
      <c r="D460" s="96"/>
      <c r="E460" s="96"/>
    </row>
    <row r="461" spans="2:5" ht="13.2">
      <c r="B461" s="96"/>
      <c r="C461" s="96"/>
      <c r="D461" s="96"/>
      <c r="E461" s="96"/>
    </row>
    <row r="462" spans="2:5" ht="13.2">
      <c r="B462" s="96"/>
      <c r="C462" s="96"/>
      <c r="D462" s="96"/>
      <c r="E462" s="96"/>
    </row>
    <row r="463" spans="2:5" ht="13.2">
      <c r="B463" s="96"/>
      <c r="C463" s="96"/>
      <c r="D463" s="96"/>
      <c r="E463" s="96"/>
    </row>
    <row r="464" spans="2:5" ht="13.2">
      <c r="B464" s="96"/>
      <c r="C464" s="96"/>
      <c r="D464" s="96"/>
      <c r="E464" s="96"/>
    </row>
    <row r="465" spans="2:5" ht="13.2">
      <c r="B465" s="96"/>
      <c r="C465" s="96"/>
      <c r="D465" s="96"/>
      <c r="E465" s="96"/>
    </row>
    <row r="466" spans="2:5" ht="13.2">
      <c r="B466" s="96"/>
      <c r="C466" s="96"/>
      <c r="D466" s="96"/>
      <c r="E466" s="96"/>
    </row>
    <row r="467" spans="2:5" ht="13.2">
      <c r="B467" s="96"/>
      <c r="C467" s="96"/>
      <c r="D467" s="96"/>
      <c r="E467" s="96"/>
    </row>
    <row r="468" spans="2:5" ht="13.2">
      <c r="B468" s="96"/>
      <c r="C468" s="96"/>
      <c r="D468" s="96"/>
      <c r="E468" s="96"/>
    </row>
    <row r="469" spans="2:5" ht="13.2">
      <c r="B469" s="96"/>
      <c r="C469" s="96"/>
      <c r="D469" s="96"/>
      <c r="E469" s="96"/>
    </row>
    <row r="470" spans="2:5" ht="13.2">
      <c r="B470" s="96"/>
      <c r="C470" s="96"/>
      <c r="D470" s="96"/>
      <c r="E470" s="96"/>
    </row>
    <row r="471" spans="2:5" ht="13.2">
      <c r="B471" s="96"/>
      <c r="C471" s="96"/>
      <c r="D471" s="96"/>
      <c r="E471" s="96"/>
    </row>
    <row r="472" spans="2:5" ht="13.2">
      <c r="B472" s="96"/>
      <c r="C472" s="96"/>
      <c r="D472" s="96"/>
      <c r="E472" s="96"/>
    </row>
    <row r="473" spans="2:5" ht="13.2">
      <c r="B473" s="96"/>
      <c r="C473" s="96"/>
      <c r="D473" s="96"/>
      <c r="E473" s="96"/>
    </row>
    <row r="474" spans="2:5" ht="13.2">
      <c r="B474" s="96"/>
      <c r="C474" s="96"/>
      <c r="D474" s="96"/>
      <c r="E474" s="96"/>
    </row>
    <row r="475" spans="2:5" ht="13.2">
      <c r="B475" s="96"/>
      <c r="C475" s="96"/>
      <c r="D475" s="96"/>
      <c r="E475" s="96"/>
    </row>
    <row r="476" spans="2:5" ht="13.2">
      <c r="B476" s="96"/>
      <c r="C476" s="96"/>
      <c r="D476" s="96"/>
      <c r="E476" s="96"/>
    </row>
    <row r="477" spans="2:5" ht="13.2">
      <c r="B477" s="96"/>
      <c r="C477" s="96"/>
      <c r="D477" s="96"/>
      <c r="E477" s="96"/>
    </row>
    <row r="478" spans="2:5" ht="13.2">
      <c r="B478" s="96"/>
      <c r="C478" s="96"/>
      <c r="D478" s="96"/>
      <c r="E478" s="96"/>
    </row>
    <row r="479" spans="2:5" ht="13.2">
      <c r="B479" s="96"/>
      <c r="C479" s="96"/>
      <c r="D479" s="96"/>
      <c r="E479" s="96"/>
    </row>
    <row r="480" spans="2:5" ht="13.2">
      <c r="B480" s="96"/>
      <c r="C480" s="96"/>
      <c r="D480" s="96"/>
      <c r="E480" s="96"/>
    </row>
    <row r="481" spans="2:5" ht="13.2">
      <c r="B481" s="96"/>
      <c r="C481" s="96"/>
      <c r="D481" s="96"/>
      <c r="E481" s="96"/>
    </row>
    <row r="482" spans="2:5" ht="13.2">
      <c r="B482" s="96"/>
      <c r="C482" s="96"/>
      <c r="D482" s="96"/>
      <c r="E482" s="96"/>
    </row>
    <row r="483" spans="2:5" ht="13.2">
      <c r="B483" s="96"/>
      <c r="C483" s="96"/>
      <c r="D483" s="96"/>
      <c r="E483" s="96"/>
    </row>
    <row r="484" spans="2:5" ht="13.2">
      <c r="B484" s="96"/>
      <c r="C484" s="96"/>
      <c r="D484" s="96"/>
      <c r="E484" s="96"/>
    </row>
    <row r="485" spans="2:5" ht="13.2">
      <c r="B485" s="96"/>
      <c r="C485" s="96"/>
      <c r="D485" s="96"/>
      <c r="E485" s="96"/>
    </row>
    <row r="486" spans="2:5" ht="13.2">
      <c r="B486" s="96"/>
      <c r="C486" s="96"/>
      <c r="D486" s="96"/>
      <c r="E486" s="96"/>
    </row>
    <row r="487" spans="2:5" ht="13.2">
      <c r="B487" s="96"/>
      <c r="C487" s="96"/>
      <c r="D487" s="96"/>
      <c r="E487" s="96"/>
    </row>
    <row r="488" spans="2:5" ht="13.2">
      <c r="B488" s="96"/>
      <c r="C488" s="96"/>
      <c r="D488" s="96"/>
      <c r="E488" s="96"/>
    </row>
    <row r="489" spans="2:5" ht="13.2">
      <c r="B489" s="96"/>
      <c r="C489" s="96"/>
      <c r="D489" s="96"/>
      <c r="E489" s="96"/>
    </row>
    <row r="490" spans="2:5" ht="13.2">
      <c r="B490" s="96"/>
      <c r="C490" s="96"/>
      <c r="D490" s="96"/>
      <c r="E490" s="96"/>
    </row>
    <row r="491" spans="2:5" ht="13.2">
      <c r="B491" s="96"/>
      <c r="C491" s="96"/>
      <c r="D491" s="96"/>
      <c r="E491" s="96"/>
    </row>
    <row r="492" spans="2:5" ht="13.2">
      <c r="B492" s="96"/>
      <c r="C492" s="96"/>
      <c r="D492" s="96"/>
      <c r="E492" s="96"/>
    </row>
    <row r="493" spans="2:5" ht="13.2">
      <c r="B493" s="96"/>
      <c r="C493" s="96"/>
      <c r="D493" s="96"/>
      <c r="E493" s="96"/>
    </row>
    <row r="494" spans="2:5" ht="13.2">
      <c r="B494" s="96"/>
      <c r="C494" s="96"/>
      <c r="D494" s="96"/>
      <c r="E494" s="96"/>
    </row>
    <row r="495" spans="2:5" ht="13.2">
      <c r="B495" s="96"/>
      <c r="C495" s="96"/>
      <c r="D495" s="96"/>
      <c r="E495" s="96"/>
    </row>
    <row r="496" spans="2:5" ht="13.2">
      <c r="B496" s="96"/>
      <c r="C496" s="96"/>
      <c r="D496" s="96"/>
      <c r="E496" s="96"/>
    </row>
    <row r="497" spans="2:5" ht="13.2">
      <c r="B497" s="96"/>
      <c r="C497" s="96"/>
      <c r="D497" s="96"/>
      <c r="E497" s="96"/>
    </row>
    <row r="498" spans="2:5" ht="13.2">
      <c r="B498" s="96"/>
      <c r="C498" s="96"/>
      <c r="D498" s="96"/>
      <c r="E498" s="96"/>
    </row>
    <row r="499" spans="2:5" ht="13.2">
      <c r="B499" s="96"/>
      <c r="C499" s="96"/>
      <c r="D499" s="96"/>
      <c r="E499" s="96"/>
    </row>
    <row r="500" spans="2:5" ht="13.2">
      <c r="B500" s="96"/>
      <c r="C500" s="96"/>
      <c r="D500" s="96"/>
      <c r="E500" s="96"/>
    </row>
    <row r="501" spans="2:5" ht="13.2">
      <c r="B501" s="96"/>
      <c r="C501" s="96"/>
      <c r="D501" s="96"/>
      <c r="E501" s="96"/>
    </row>
    <row r="502" spans="2:5" ht="13.2">
      <c r="B502" s="96"/>
      <c r="C502" s="96"/>
      <c r="D502" s="96"/>
      <c r="E502" s="96"/>
    </row>
    <row r="503" spans="2:5" ht="13.2">
      <c r="B503" s="96"/>
      <c r="C503" s="96"/>
      <c r="D503" s="96"/>
      <c r="E503" s="96"/>
    </row>
    <row r="504" spans="2:5" ht="13.2">
      <c r="B504" s="96"/>
      <c r="C504" s="96"/>
      <c r="D504" s="96"/>
      <c r="E504" s="96"/>
    </row>
    <row r="505" spans="2:5" ht="13.2">
      <c r="B505" s="96"/>
      <c r="C505" s="96"/>
      <c r="D505" s="96"/>
      <c r="E505" s="96"/>
    </row>
    <row r="506" spans="2:5" ht="13.2">
      <c r="B506" s="96"/>
      <c r="C506" s="96"/>
      <c r="D506" s="96"/>
      <c r="E506" s="96"/>
    </row>
    <row r="507" spans="2:5" ht="13.2">
      <c r="B507" s="96"/>
      <c r="C507" s="96"/>
      <c r="D507" s="96"/>
      <c r="E507" s="96"/>
    </row>
    <row r="508" spans="2:5" ht="13.2">
      <c r="B508" s="96"/>
      <c r="C508" s="96"/>
      <c r="D508" s="96"/>
      <c r="E508" s="96"/>
    </row>
    <row r="509" spans="2:5" ht="13.2">
      <c r="B509" s="96"/>
      <c r="C509" s="96"/>
      <c r="D509" s="96"/>
      <c r="E509" s="96"/>
    </row>
    <row r="510" spans="2:5" ht="13.2">
      <c r="B510" s="96"/>
      <c r="C510" s="96"/>
      <c r="D510" s="96"/>
      <c r="E510" s="96"/>
    </row>
    <row r="511" spans="2:5" ht="13.2">
      <c r="B511" s="96"/>
      <c r="C511" s="96"/>
      <c r="D511" s="96"/>
      <c r="E511" s="96"/>
    </row>
    <row r="512" spans="2:5" ht="13.2">
      <c r="B512" s="96"/>
      <c r="C512" s="96"/>
      <c r="D512" s="96"/>
      <c r="E512" s="96"/>
    </row>
    <row r="513" spans="2:5" ht="13.2">
      <c r="B513" s="96"/>
      <c r="C513" s="96"/>
      <c r="D513" s="96"/>
      <c r="E513" s="96"/>
    </row>
    <row r="514" spans="2:5" ht="13.2">
      <c r="B514" s="96"/>
      <c r="C514" s="96"/>
      <c r="D514" s="96"/>
      <c r="E514" s="96"/>
    </row>
    <row r="515" spans="2:5" ht="13.2">
      <c r="B515" s="96"/>
      <c r="C515" s="96"/>
      <c r="D515" s="96"/>
      <c r="E515" s="96"/>
    </row>
    <row r="516" spans="2:5" ht="13.2">
      <c r="B516" s="96"/>
      <c r="C516" s="96"/>
      <c r="D516" s="96"/>
      <c r="E516" s="96"/>
    </row>
    <row r="517" spans="2:5" ht="13.2">
      <c r="B517" s="96"/>
      <c r="C517" s="96"/>
      <c r="D517" s="96"/>
      <c r="E517" s="96"/>
    </row>
    <row r="518" spans="2:5" ht="13.2">
      <c r="B518" s="96"/>
      <c r="C518" s="96"/>
      <c r="D518" s="96"/>
      <c r="E518" s="96"/>
    </row>
    <row r="519" spans="2:5" ht="13.2">
      <c r="B519" s="96"/>
      <c r="C519" s="96"/>
      <c r="D519" s="96"/>
      <c r="E519" s="96"/>
    </row>
    <row r="520" spans="2:5" ht="13.2">
      <c r="B520" s="96"/>
      <c r="C520" s="96"/>
      <c r="D520" s="96"/>
      <c r="E520" s="96"/>
    </row>
    <row r="521" spans="2:5" ht="13.2">
      <c r="B521" s="96"/>
      <c r="C521" s="96"/>
      <c r="D521" s="96"/>
      <c r="E521" s="96"/>
    </row>
    <row r="522" spans="2:5" ht="13.2">
      <c r="B522" s="96"/>
      <c r="C522" s="96"/>
      <c r="D522" s="96"/>
      <c r="E522" s="96"/>
    </row>
    <row r="523" spans="2:5" ht="13.2">
      <c r="B523" s="96"/>
      <c r="C523" s="96"/>
      <c r="D523" s="96"/>
      <c r="E523" s="96"/>
    </row>
    <row r="524" spans="2:5" ht="13.2">
      <c r="B524" s="96"/>
      <c r="C524" s="96"/>
      <c r="D524" s="96"/>
      <c r="E524" s="96"/>
    </row>
    <row r="525" spans="2:5" ht="13.2">
      <c r="B525" s="96"/>
      <c r="C525" s="96"/>
      <c r="D525" s="96"/>
      <c r="E525" s="96"/>
    </row>
    <row r="526" spans="2:5" ht="13.2">
      <c r="B526" s="96"/>
      <c r="C526" s="96"/>
      <c r="D526" s="96"/>
      <c r="E526" s="96"/>
    </row>
    <row r="527" spans="2:5" ht="13.2">
      <c r="B527" s="96"/>
      <c r="C527" s="96"/>
      <c r="D527" s="96"/>
      <c r="E527" s="96"/>
    </row>
    <row r="528" spans="2:5" ht="13.2">
      <c r="B528" s="96"/>
      <c r="C528" s="96"/>
      <c r="D528" s="96"/>
      <c r="E528" s="96"/>
    </row>
    <row r="529" spans="2:5" ht="13.2">
      <c r="B529" s="96"/>
      <c r="C529" s="96"/>
      <c r="D529" s="96"/>
      <c r="E529" s="96"/>
    </row>
    <row r="530" spans="2:5" ht="13.2">
      <c r="B530" s="96"/>
      <c r="C530" s="96"/>
      <c r="D530" s="96"/>
      <c r="E530" s="96"/>
    </row>
    <row r="531" spans="2:5" ht="13.2">
      <c r="B531" s="96"/>
      <c r="C531" s="96"/>
      <c r="D531" s="96"/>
      <c r="E531" s="96"/>
    </row>
    <row r="532" spans="2:5" ht="13.2">
      <c r="B532" s="96"/>
      <c r="C532" s="96"/>
      <c r="D532" s="96"/>
      <c r="E532" s="96"/>
    </row>
    <row r="533" spans="2:5" ht="13.2">
      <c r="B533" s="96"/>
      <c r="C533" s="96"/>
      <c r="D533" s="96"/>
      <c r="E533" s="96"/>
    </row>
    <row r="534" spans="2:5" ht="13.2">
      <c r="B534" s="96"/>
      <c r="C534" s="96"/>
      <c r="D534" s="96"/>
      <c r="E534" s="96"/>
    </row>
    <row r="535" spans="2:5" ht="13.2">
      <c r="B535" s="96"/>
      <c r="C535" s="96"/>
      <c r="D535" s="96"/>
      <c r="E535" s="96"/>
    </row>
    <row r="536" spans="2:5" ht="13.2">
      <c r="B536" s="96"/>
      <c r="C536" s="96"/>
      <c r="D536" s="96"/>
      <c r="E536" s="96"/>
    </row>
    <row r="537" spans="2:5" ht="13.2">
      <c r="B537" s="96"/>
      <c r="C537" s="96"/>
      <c r="D537" s="96"/>
      <c r="E537" s="96"/>
    </row>
    <row r="538" spans="2:5" ht="13.2">
      <c r="B538" s="96"/>
      <c r="C538" s="96"/>
      <c r="D538" s="96"/>
      <c r="E538" s="96"/>
    </row>
    <row r="539" spans="2:5" ht="13.2">
      <c r="B539" s="96"/>
      <c r="C539" s="96"/>
      <c r="D539" s="96"/>
      <c r="E539" s="96"/>
    </row>
    <row r="540" spans="2:5" ht="13.2">
      <c r="B540" s="96"/>
      <c r="C540" s="96"/>
      <c r="D540" s="96"/>
      <c r="E540" s="96"/>
    </row>
    <row r="541" spans="2:5" ht="13.2">
      <c r="B541" s="96"/>
      <c r="C541" s="96"/>
      <c r="D541" s="96"/>
      <c r="E541" s="96"/>
    </row>
    <row r="542" spans="2:5" ht="13.2">
      <c r="B542" s="96"/>
      <c r="C542" s="96"/>
      <c r="D542" s="96"/>
      <c r="E542" s="96"/>
    </row>
    <row r="543" spans="2:5" ht="13.2">
      <c r="B543" s="96"/>
      <c r="C543" s="96"/>
      <c r="D543" s="96"/>
      <c r="E543" s="96"/>
    </row>
    <row r="544" spans="2:5" ht="13.2">
      <c r="B544" s="96"/>
      <c r="C544" s="96"/>
      <c r="D544" s="96"/>
      <c r="E544" s="96"/>
    </row>
    <row r="545" spans="2:5" ht="13.2">
      <c r="B545" s="96"/>
      <c r="C545" s="96"/>
      <c r="D545" s="96"/>
      <c r="E545" s="96"/>
    </row>
    <row r="546" spans="2:5" ht="13.2">
      <c r="B546" s="96"/>
      <c r="C546" s="96"/>
      <c r="D546" s="96"/>
      <c r="E546" s="96"/>
    </row>
    <row r="547" spans="2:5" ht="13.2">
      <c r="B547" s="96"/>
      <c r="C547" s="96"/>
      <c r="D547" s="96"/>
      <c r="E547" s="96"/>
    </row>
    <row r="548" spans="2:5" ht="13.2">
      <c r="B548" s="96"/>
      <c r="C548" s="96"/>
      <c r="D548" s="96"/>
      <c r="E548" s="96"/>
    </row>
    <row r="549" spans="2:5" ht="13.2">
      <c r="B549" s="96"/>
      <c r="C549" s="96"/>
      <c r="D549" s="96"/>
      <c r="E549" s="96"/>
    </row>
    <row r="550" spans="2:5" ht="13.2">
      <c r="B550" s="96"/>
      <c r="C550" s="96"/>
      <c r="D550" s="96"/>
      <c r="E550" s="96"/>
    </row>
    <row r="551" spans="2:5" ht="13.2">
      <c r="B551" s="96"/>
      <c r="C551" s="96"/>
      <c r="D551" s="96"/>
      <c r="E551" s="96"/>
    </row>
    <row r="552" spans="2:5" ht="13.2">
      <c r="B552" s="96"/>
      <c r="C552" s="96"/>
      <c r="D552" s="96"/>
      <c r="E552" s="96"/>
    </row>
    <row r="553" spans="2:5" ht="13.2">
      <c r="B553" s="96"/>
      <c r="C553" s="96"/>
      <c r="D553" s="96"/>
      <c r="E553" s="96"/>
    </row>
    <row r="554" spans="2:5" ht="13.2">
      <c r="B554" s="96"/>
      <c r="C554" s="96"/>
      <c r="D554" s="96"/>
      <c r="E554" s="96"/>
    </row>
    <row r="555" spans="2:5" ht="13.2">
      <c r="B555" s="96"/>
      <c r="C555" s="96"/>
      <c r="D555" s="96"/>
      <c r="E555" s="96"/>
    </row>
    <row r="556" spans="2:5" ht="13.2">
      <c r="B556" s="96"/>
      <c r="C556" s="96"/>
      <c r="D556" s="96"/>
      <c r="E556" s="96"/>
    </row>
    <row r="557" spans="2:5" ht="13.2">
      <c r="B557" s="96"/>
      <c r="C557" s="96"/>
      <c r="D557" s="96"/>
      <c r="E557" s="96"/>
    </row>
    <row r="558" spans="2:5" ht="13.2">
      <c r="B558" s="96"/>
      <c r="C558" s="96"/>
      <c r="D558" s="96"/>
      <c r="E558" s="96"/>
    </row>
    <row r="559" spans="2:5" ht="13.2">
      <c r="B559" s="96"/>
      <c r="C559" s="96"/>
      <c r="D559" s="96"/>
      <c r="E559" s="96"/>
    </row>
    <row r="560" spans="2:5" ht="13.2">
      <c r="B560" s="96"/>
      <c r="C560" s="96"/>
      <c r="D560" s="96"/>
      <c r="E560" s="96"/>
    </row>
    <row r="561" spans="2:5" ht="13.2">
      <c r="B561" s="96"/>
      <c r="C561" s="96"/>
      <c r="D561" s="96"/>
      <c r="E561" s="96"/>
    </row>
    <row r="562" spans="2:5" ht="13.2">
      <c r="B562" s="96"/>
      <c r="C562" s="96"/>
      <c r="D562" s="96"/>
      <c r="E562" s="96"/>
    </row>
    <row r="563" spans="2:5" ht="13.2">
      <c r="B563" s="96"/>
      <c r="C563" s="96"/>
      <c r="D563" s="96"/>
      <c r="E563" s="96"/>
    </row>
    <row r="564" spans="2:5" ht="13.2">
      <c r="B564" s="96"/>
      <c r="C564" s="96"/>
      <c r="D564" s="96"/>
      <c r="E564" s="96"/>
    </row>
    <row r="565" spans="2:5" ht="13.2">
      <c r="B565" s="96"/>
      <c r="C565" s="96"/>
      <c r="D565" s="96"/>
      <c r="E565" s="96"/>
    </row>
    <row r="566" spans="2:5" ht="13.2">
      <c r="B566" s="96"/>
      <c r="C566" s="96"/>
      <c r="D566" s="96"/>
      <c r="E566" s="96"/>
    </row>
    <row r="567" spans="2:5" ht="13.2">
      <c r="B567" s="96"/>
      <c r="C567" s="96"/>
      <c r="D567" s="96"/>
      <c r="E567" s="96"/>
    </row>
    <row r="568" spans="2:5" ht="13.2">
      <c r="B568" s="96"/>
      <c r="C568" s="96"/>
      <c r="D568" s="96"/>
      <c r="E568" s="96"/>
    </row>
    <row r="569" spans="2:5" ht="13.2">
      <c r="B569" s="96"/>
      <c r="C569" s="96"/>
      <c r="D569" s="96"/>
      <c r="E569" s="96"/>
    </row>
    <row r="570" spans="2:5" ht="13.2">
      <c r="B570" s="96"/>
      <c r="C570" s="96"/>
      <c r="D570" s="96"/>
      <c r="E570" s="96"/>
    </row>
    <row r="571" spans="2:5" ht="13.2">
      <c r="B571" s="96"/>
      <c r="C571" s="96"/>
      <c r="D571" s="96"/>
      <c r="E571" s="96"/>
    </row>
    <row r="572" spans="2:5" ht="13.2">
      <c r="B572" s="96"/>
      <c r="C572" s="96"/>
      <c r="D572" s="96"/>
      <c r="E572" s="96"/>
    </row>
    <row r="573" spans="2:5" ht="13.2">
      <c r="B573" s="96"/>
      <c r="C573" s="96"/>
      <c r="D573" s="96"/>
      <c r="E573" s="96"/>
    </row>
    <row r="574" spans="2:5" ht="13.2">
      <c r="B574" s="96"/>
      <c r="C574" s="96"/>
      <c r="D574" s="96"/>
      <c r="E574" s="96"/>
    </row>
    <row r="575" spans="2:5" ht="13.2">
      <c r="B575" s="96"/>
      <c r="C575" s="96"/>
      <c r="D575" s="96"/>
      <c r="E575" s="96"/>
    </row>
    <row r="576" spans="2:5" ht="13.2">
      <c r="B576" s="96"/>
      <c r="C576" s="96"/>
      <c r="D576" s="96"/>
      <c r="E576" s="96"/>
    </row>
    <row r="577" spans="2:5" ht="13.2">
      <c r="B577" s="96"/>
      <c r="C577" s="96"/>
      <c r="D577" s="96"/>
      <c r="E577" s="96"/>
    </row>
    <row r="578" spans="2:5" ht="13.2">
      <c r="B578" s="96"/>
      <c r="C578" s="96"/>
      <c r="D578" s="96"/>
      <c r="E578" s="96"/>
    </row>
    <row r="579" spans="2:5" ht="13.2">
      <c r="B579" s="96"/>
      <c r="C579" s="96"/>
      <c r="D579" s="96"/>
      <c r="E579" s="96"/>
    </row>
    <row r="580" spans="2:5" ht="13.2">
      <c r="B580" s="96"/>
      <c r="C580" s="96"/>
      <c r="D580" s="96"/>
      <c r="E580" s="96"/>
    </row>
    <row r="581" spans="2:5" ht="13.2">
      <c r="B581" s="96"/>
      <c r="C581" s="96"/>
      <c r="D581" s="96"/>
      <c r="E581" s="96"/>
    </row>
    <row r="582" spans="2:5" ht="13.2">
      <c r="B582" s="96"/>
      <c r="C582" s="96"/>
      <c r="D582" s="96"/>
      <c r="E582" s="96"/>
    </row>
    <row r="583" spans="2:5" ht="13.2">
      <c r="B583" s="96"/>
      <c r="C583" s="96"/>
      <c r="D583" s="96"/>
      <c r="E583" s="96"/>
    </row>
    <row r="584" spans="2:5" ht="13.2">
      <c r="B584" s="96"/>
      <c r="C584" s="96"/>
      <c r="D584" s="96"/>
      <c r="E584" s="96"/>
    </row>
    <row r="585" spans="2:5" ht="13.2">
      <c r="B585" s="96"/>
      <c r="C585" s="96"/>
      <c r="D585" s="96"/>
      <c r="E585" s="96"/>
    </row>
    <row r="586" spans="2:5" ht="13.2">
      <c r="B586" s="96"/>
      <c r="C586" s="96"/>
      <c r="D586" s="96"/>
      <c r="E586" s="96"/>
    </row>
    <row r="587" spans="2:5" ht="13.2">
      <c r="B587" s="96"/>
      <c r="C587" s="96"/>
      <c r="D587" s="96"/>
      <c r="E587" s="96"/>
    </row>
    <row r="588" spans="2:5" ht="13.2">
      <c r="B588" s="96"/>
      <c r="C588" s="96"/>
      <c r="D588" s="96"/>
      <c r="E588" s="96"/>
    </row>
    <row r="589" spans="2:5" ht="13.2">
      <c r="B589" s="96"/>
      <c r="C589" s="96"/>
      <c r="D589" s="96"/>
      <c r="E589" s="96"/>
    </row>
    <row r="590" spans="2:5" ht="13.2">
      <c r="B590" s="96"/>
      <c r="C590" s="96"/>
      <c r="D590" s="96"/>
      <c r="E590" s="96"/>
    </row>
    <row r="591" spans="2:5" ht="13.2">
      <c r="B591" s="96"/>
      <c r="C591" s="96"/>
      <c r="D591" s="96"/>
      <c r="E591" s="96"/>
    </row>
    <row r="592" spans="2:5" ht="13.2">
      <c r="B592" s="96"/>
      <c r="C592" s="96"/>
      <c r="D592" s="96"/>
      <c r="E592" s="96"/>
    </row>
    <row r="593" spans="2:5" ht="13.2">
      <c r="B593" s="96"/>
      <c r="C593" s="96"/>
      <c r="D593" s="96"/>
      <c r="E593" s="96"/>
    </row>
    <row r="594" spans="2:5" ht="13.2">
      <c r="B594" s="96"/>
      <c r="C594" s="96"/>
      <c r="D594" s="96"/>
      <c r="E594" s="96"/>
    </row>
    <row r="595" spans="2:5" ht="13.2">
      <c r="B595" s="96"/>
      <c r="C595" s="96"/>
      <c r="D595" s="96"/>
      <c r="E595" s="96"/>
    </row>
    <row r="596" spans="2:5" ht="13.2">
      <c r="B596" s="96"/>
      <c r="C596" s="96"/>
      <c r="D596" s="96"/>
      <c r="E596" s="96"/>
    </row>
    <row r="597" spans="2:5" ht="13.2">
      <c r="B597" s="96"/>
      <c r="C597" s="96"/>
      <c r="D597" s="96"/>
      <c r="E597" s="96"/>
    </row>
    <row r="598" spans="2:5" ht="13.2">
      <c r="B598" s="96"/>
      <c r="C598" s="96"/>
      <c r="D598" s="96"/>
      <c r="E598" s="96"/>
    </row>
    <row r="599" spans="2:5" ht="13.2">
      <c r="B599" s="96"/>
      <c r="C599" s="96"/>
      <c r="D599" s="96"/>
      <c r="E599" s="96"/>
    </row>
    <row r="600" spans="2:5" ht="13.2">
      <c r="B600" s="96"/>
      <c r="C600" s="96"/>
      <c r="D600" s="96"/>
      <c r="E600" s="96"/>
    </row>
    <row r="601" spans="2:5" ht="13.2">
      <c r="B601" s="96"/>
      <c r="C601" s="96"/>
      <c r="D601" s="96"/>
      <c r="E601" s="96"/>
    </row>
    <row r="602" spans="2:5" ht="13.2">
      <c r="B602" s="96"/>
      <c r="C602" s="96"/>
      <c r="D602" s="96"/>
      <c r="E602" s="96"/>
    </row>
    <row r="603" spans="2:5" ht="13.2">
      <c r="B603" s="96"/>
      <c r="C603" s="96"/>
      <c r="D603" s="96"/>
      <c r="E603" s="96"/>
    </row>
    <row r="604" spans="2:5" ht="13.2">
      <c r="B604" s="96"/>
      <c r="C604" s="96"/>
      <c r="D604" s="96"/>
      <c r="E604" s="96"/>
    </row>
    <row r="605" spans="2:5" ht="13.2">
      <c r="B605" s="96"/>
      <c r="C605" s="96"/>
      <c r="D605" s="96"/>
      <c r="E605" s="96"/>
    </row>
    <row r="606" spans="2:5" ht="13.2">
      <c r="B606" s="96"/>
      <c r="C606" s="96"/>
      <c r="D606" s="96"/>
      <c r="E606" s="96"/>
    </row>
    <row r="607" spans="2:5" ht="13.2">
      <c r="B607" s="96"/>
      <c r="C607" s="96"/>
      <c r="D607" s="96"/>
      <c r="E607" s="96"/>
    </row>
    <row r="608" spans="2:5" ht="13.2">
      <c r="B608" s="96"/>
      <c r="C608" s="96"/>
      <c r="D608" s="96"/>
      <c r="E608" s="96"/>
    </row>
    <row r="609" spans="2:5" ht="13.2">
      <c r="B609" s="96"/>
      <c r="C609" s="96"/>
      <c r="D609" s="96"/>
      <c r="E609" s="96"/>
    </row>
    <row r="610" spans="2:5" ht="13.2">
      <c r="B610" s="96"/>
      <c r="C610" s="96"/>
      <c r="D610" s="96"/>
      <c r="E610" s="96"/>
    </row>
    <row r="611" spans="2:5" ht="13.2">
      <c r="B611" s="96"/>
      <c r="C611" s="96"/>
      <c r="D611" s="96"/>
      <c r="E611" s="96"/>
    </row>
    <row r="612" spans="2:5" ht="13.2">
      <c r="B612" s="96"/>
      <c r="C612" s="96"/>
      <c r="D612" s="96"/>
      <c r="E612" s="96"/>
    </row>
    <row r="613" spans="2:5" ht="13.2">
      <c r="B613" s="96"/>
      <c r="C613" s="96"/>
      <c r="D613" s="96"/>
      <c r="E613" s="96"/>
    </row>
    <row r="614" spans="2:5" ht="13.2">
      <c r="B614" s="96"/>
      <c r="C614" s="96"/>
      <c r="D614" s="96"/>
      <c r="E614" s="96"/>
    </row>
    <row r="615" spans="2:5" ht="13.2">
      <c r="B615" s="96"/>
      <c r="C615" s="96"/>
      <c r="D615" s="96"/>
      <c r="E615" s="96"/>
    </row>
    <row r="616" spans="2:5" ht="13.2">
      <c r="B616" s="96"/>
      <c r="C616" s="96"/>
      <c r="D616" s="96"/>
      <c r="E616" s="96"/>
    </row>
    <row r="617" spans="2:5" ht="13.2">
      <c r="B617" s="96"/>
      <c r="C617" s="96"/>
      <c r="D617" s="96"/>
      <c r="E617" s="96"/>
    </row>
    <row r="618" spans="2:5" ht="13.2">
      <c r="B618" s="96"/>
      <c r="C618" s="96"/>
      <c r="D618" s="96"/>
      <c r="E618" s="96"/>
    </row>
    <row r="619" spans="2:5" ht="13.2">
      <c r="B619" s="96"/>
      <c r="C619" s="96"/>
      <c r="D619" s="96"/>
      <c r="E619" s="96"/>
    </row>
    <row r="620" spans="2:5" ht="13.2">
      <c r="B620" s="96"/>
      <c r="C620" s="96"/>
      <c r="D620" s="96"/>
      <c r="E620" s="96"/>
    </row>
    <row r="621" spans="2:5" ht="13.2">
      <c r="B621" s="96"/>
      <c r="C621" s="96"/>
      <c r="D621" s="96"/>
      <c r="E621" s="96"/>
    </row>
    <row r="622" spans="2:5" ht="13.2">
      <c r="B622" s="96"/>
      <c r="C622" s="96"/>
      <c r="D622" s="96"/>
      <c r="E622" s="96"/>
    </row>
    <row r="623" spans="2:5" ht="13.2">
      <c r="B623" s="96"/>
      <c r="C623" s="96"/>
      <c r="D623" s="96"/>
      <c r="E623" s="96"/>
    </row>
    <row r="624" spans="2:5" ht="13.2">
      <c r="B624" s="96"/>
      <c r="C624" s="96"/>
      <c r="D624" s="96"/>
      <c r="E624" s="96"/>
    </row>
    <row r="625" spans="2:5" ht="13.2">
      <c r="B625" s="96"/>
      <c r="C625" s="96"/>
      <c r="D625" s="96"/>
      <c r="E625" s="96"/>
    </row>
    <row r="626" spans="2:5" ht="13.2">
      <c r="B626" s="96"/>
      <c r="C626" s="96"/>
      <c r="D626" s="96"/>
      <c r="E626" s="96"/>
    </row>
    <row r="627" spans="2:5" ht="13.2">
      <c r="B627" s="96"/>
      <c r="C627" s="96"/>
      <c r="D627" s="96"/>
      <c r="E627" s="96"/>
    </row>
    <row r="628" spans="2:5" ht="13.2">
      <c r="B628" s="96"/>
      <c r="C628" s="96"/>
      <c r="D628" s="96"/>
      <c r="E628" s="96"/>
    </row>
    <row r="629" spans="2:5" ht="13.2">
      <c r="B629" s="96"/>
      <c r="C629" s="96"/>
      <c r="D629" s="96"/>
      <c r="E629" s="96"/>
    </row>
    <row r="630" spans="2:5" ht="13.2">
      <c r="B630" s="96"/>
      <c r="C630" s="96"/>
      <c r="D630" s="96"/>
      <c r="E630" s="96"/>
    </row>
    <row r="631" spans="2:5" ht="13.2">
      <c r="B631" s="96"/>
      <c r="C631" s="96"/>
      <c r="D631" s="96"/>
      <c r="E631" s="96"/>
    </row>
    <row r="632" spans="2:5" ht="13.2">
      <c r="B632" s="96"/>
      <c r="C632" s="96"/>
      <c r="D632" s="96"/>
      <c r="E632" s="96"/>
    </row>
    <row r="633" spans="2:5" ht="13.2">
      <c r="B633" s="96"/>
      <c r="C633" s="96"/>
      <c r="D633" s="96"/>
      <c r="E633" s="96"/>
    </row>
    <row r="634" spans="2:5" ht="13.2">
      <c r="B634" s="96"/>
      <c r="C634" s="96"/>
      <c r="D634" s="96"/>
      <c r="E634" s="96"/>
    </row>
    <row r="635" spans="2:5" ht="13.2">
      <c r="B635" s="96"/>
      <c r="C635" s="96"/>
      <c r="D635" s="96"/>
      <c r="E635" s="96"/>
    </row>
    <row r="636" spans="2:5" ht="13.2">
      <c r="B636" s="96"/>
      <c r="C636" s="96"/>
      <c r="D636" s="96"/>
      <c r="E636" s="96"/>
    </row>
    <row r="637" spans="2:5" ht="13.2">
      <c r="B637" s="96"/>
      <c r="C637" s="96"/>
      <c r="D637" s="96"/>
      <c r="E637" s="96"/>
    </row>
    <row r="638" spans="2:5" ht="13.2">
      <c r="B638" s="96"/>
      <c r="C638" s="96"/>
      <c r="D638" s="96"/>
      <c r="E638" s="96"/>
    </row>
    <row r="639" spans="2:5" ht="13.2">
      <c r="B639" s="96"/>
      <c r="C639" s="96"/>
      <c r="D639" s="96"/>
      <c r="E639" s="96"/>
    </row>
    <row r="640" spans="2:5" ht="13.2">
      <c r="B640" s="96"/>
      <c r="C640" s="96"/>
      <c r="D640" s="96"/>
      <c r="E640" s="96"/>
    </row>
    <row r="641" spans="2:5" ht="13.2">
      <c r="B641" s="96"/>
      <c r="C641" s="96"/>
      <c r="D641" s="96"/>
      <c r="E641" s="96"/>
    </row>
    <row r="642" spans="2:5" ht="13.2">
      <c r="B642" s="96"/>
      <c r="C642" s="96"/>
      <c r="D642" s="96"/>
      <c r="E642" s="96"/>
    </row>
    <row r="643" spans="2:5" ht="13.2">
      <c r="B643" s="96"/>
      <c r="C643" s="96"/>
      <c r="D643" s="96"/>
      <c r="E643" s="96"/>
    </row>
    <row r="644" spans="2:5" ht="13.2">
      <c r="B644" s="96"/>
      <c r="C644" s="96"/>
      <c r="D644" s="96"/>
      <c r="E644" s="96"/>
    </row>
    <row r="645" spans="2:5" ht="13.2">
      <c r="B645" s="96"/>
      <c r="C645" s="96"/>
      <c r="D645" s="96"/>
      <c r="E645" s="96"/>
    </row>
    <row r="646" spans="2:5" ht="13.2">
      <c r="B646" s="96"/>
      <c r="C646" s="96"/>
      <c r="D646" s="96"/>
      <c r="E646" s="96"/>
    </row>
    <row r="647" spans="2:5" ht="13.2">
      <c r="B647" s="96"/>
      <c r="C647" s="96"/>
      <c r="D647" s="96"/>
      <c r="E647" s="96"/>
    </row>
    <row r="648" spans="2:5" ht="13.2">
      <c r="B648" s="96"/>
      <c r="C648" s="96"/>
      <c r="D648" s="96"/>
      <c r="E648" s="96"/>
    </row>
    <row r="649" spans="2:5" ht="13.2">
      <c r="B649" s="96"/>
      <c r="C649" s="96"/>
      <c r="D649" s="96"/>
      <c r="E649" s="96"/>
    </row>
    <row r="650" spans="2:5" ht="13.2">
      <c r="B650" s="96"/>
      <c r="C650" s="96"/>
      <c r="D650" s="96"/>
      <c r="E650" s="96"/>
    </row>
    <row r="651" spans="2:5" ht="13.2">
      <c r="B651" s="96"/>
      <c r="C651" s="96"/>
      <c r="D651" s="96"/>
      <c r="E651" s="96"/>
    </row>
    <row r="652" spans="2:5" ht="13.2">
      <c r="B652" s="96"/>
      <c r="C652" s="96"/>
      <c r="D652" s="96"/>
      <c r="E652" s="96"/>
    </row>
    <row r="653" spans="2:5" ht="13.2">
      <c r="B653" s="96"/>
      <c r="C653" s="96"/>
      <c r="D653" s="96"/>
      <c r="E653" s="96"/>
    </row>
    <row r="654" spans="2:5" ht="13.2">
      <c r="B654" s="96"/>
      <c r="C654" s="96"/>
      <c r="D654" s="96"/>
      <c r="E654" s="96"/>
    </row>
    <row r="655" spans="2:5" ht="13.2">
      <c r="B655" s="96"/>
      <c r="C655" s="96"/>
      <c r="D655" s="96"/>
      <c r="E655" s="96"/>
    </row>
    <row r="656" spans="2:5" ht="13.2">
      <c r="B656" s="96"/>
      <c r="C656" s="96"/>
      <c r="D656" s="96"/>
      <c r="E656" s="96"/>
    </row>
    <row r="657" spans="2:5" ht="13.2">
      <c r="B657" s="96"/>
      <c r="C657" s="96"/>
      <c r="D657" s="96"/>
      <c r="E657" s="96"/>
    </row>
    <row r="658" spans="2:5" ht="13.2">
      <c r="B658" s="96"/>
      <c r="C658" s="96"/>
      <c r="D658" s="96"/>
      <c r="E658" s="96"/>
    </row>
    <row r="659" spans="2:5" ht="13.2">
      <c r="B659" s="96"/>
      <c r="C659" s="96"/>
      <c r="D659" s="96"/>
      <c r="E659" s="96"/>
    </row>
    <row r="660" spans="2:5" ht="13.2">
      <c r="B660" s="96"/>
      <c r="C660" s="96"/>
      <c r="D660" s="96"/>
      <c r="E660" s="96"/>
    </row>
    <row r="661" spans="2:5" ht="13.2">
      <c r="B661" s="96"/>
      <c r="C661" s="96"/>
      <c r="D661" s="96"/>
      <c r="E661" s="96"/>
    </row>
    <row r="662" spans="2:5" ht="13.2">
      <c r="B662" s="96"/>
      <c r="C662" s="96"/>
      <c r="D662" s="96"/>
      <c r="E662" s="96"/>
    </row>
    <row r="663" spans="2:5" ht="13.2">
      <c r="B663" s="96"/>
      <c r="C663" s="96"/>
      <c r="D663" s="96"/>
      <c r="E663" s="96"/>
    </row>
    <row r="664" spans="2:5" ht="13.2">
      <c r="B664" s="96"/>
      <c r="C664" s="96"/>
      <c r="D664" s="96"/>
      <c r="E664" s="96"/>
    </row>
    <row r="665" spans="2:5" ht="13.2">
      <c r="B665" s="96"/>
      <c r="C665" s="96"/>
      <c r="D665" s="96"/>
      <c r="E665" s="96"/>
    </row>
    <row r="666" spans="2:5" ht="13.2">
      <c r="B666" s="96"/>
      <c r="C666" s="96"/>
      <c r="D666" s="96"/>
      <c r="E666" s="96"/>
    </row>
    <row r="667" spans="2:5" ht="13.2">
      <c r="B667" s="96"/>
      <c r="C667" s="96"/>
      <c r="D667" s="96"/>
      <c r="E667" s="96"/>
    </row>
    <row r="668" spans="2:5" ht="13.2">
      <c r="B668" s="96"/>
      <c r="C668" s="96"/>
      <c r="D668" s="96"/>
      <c r="E668" s="96"/>
    </row>
    <row r="669" spans="2:5" ht="13.2">
      <c r="B669" s="96"/>
      <c r="C669" s="96"/>
      <c r="D669" s="96"/>
      <c r="E669" s="96"/>
    </row>
    <row r="670" spans="2:5" ht="13.2">
      <c r="B670" s="96"/>
      <c r="C670" s="96"/>
      <c r="D670" s="96"/>
      <c r="E670" s="96"/>
    </row>
    <row r="671" spans="2:5" ht="13.2">
      <c r="B671" s="96"/>
      <c r="C671" s="96"/>
      <c r="D671" s="96"/>
      <c r="E671" s="96"/>
    </row>
    <row r="672" spans="2:5" ht="13.2">
      <c r="B672" s="96"/>
      <c r="C672" s="96"/>
      <c r="D672" s="96"/>
      <c r="E672" s="96"/>
    </row>
    <row r="673" spans="2:5" ht="13.2">
      <c r="B673" s="96"/>
      <c r="C673" s="96"/>
      <c r="D673" s="96"/>
      <c r="E673" s="96"/>
    </row>
    <row r="674" spans="2:5" ht="13.2">
      <c r="B674" s="96"/>
      <c r="C674" s="96"/>
      <c r="D674" s="96"/>
      <c r="E674" s="96"/>
    </row>
    <row r="675" spans="2:5" ht="13.2">
      <c r="B675" s="96"/>
      <c r="C675" s="96"/>
      <c r="D675" s="96"/>
      <c r="E675" s="96"/>
    </row>
    <row r="676" spans="2:5" ht="13.2">
      <c r="B676" s="96"/>
      <c r="C676" s="96"/>
      <c r="D676" s="96"/>
      <c r="E676" s="96"/>
    </row>
    <row r="677" spans="2:5" ht="13.2">
      <c r="B677" s="96"/>
      <c r="C677" s="96"/>
      <c r="D677" s="96"/>
      <c r="E677" s="96"/>
    </row>
    <row r="678" spans="2:5" ht="13.2">
      <c r="B678" s="96"/>
      <c r="C678" s="96"/>
      <c r="D678" s="96"/>
      <c r="E678" s="96"/>
    </row>
    <row r="679" spans="2:5" ht="13.2">
      <c r="B679" s="96"/>
      <c r="C679" s="96"/>
      <c r="D679" s="96"/>
      <c r="E679" s="96"/>
    </row>
    <row r="680" spans="2:5" ht="13.2">
      <c r="B680" s="96"/>
      <c r="C680" s="96"/>
      <c r="D680" s="96"/>
      <c r="E680" s="96"/>
    </row>
    <row r="681" spans="2:5" ht="13.2">
      <c r="B681" s="96"/>
      <c r="C681" s="96"/>
      <c r="D681" s="96"/>
      <c r="E681" s="96"/>
    </row>
    <row r="682" spans="2:5" ht="13.2">
      <c r="B682" s="96"/>
      <c r="C682" s="96"/>
      <c r="D682" s="96"/>
      <c r="E682" s="96"/>
    </row>
    <row r="683" spans="2:5" ht="13.2">
      <c r="B683" s="96"/>
      <c r="C683" s="96"/>
      <c r="D683" s="96"/>
      <c r="E683" s="96"/>
    </row>
    <row r="684" spans="2:5" ht="13.2">
      <c r="B684" s="96"/>
      <c r="C684" s="96"/>
      <c r="D684" s="96"/>
      <c r="E684" s="96"/>
    </row>
    <row r="685" spans="2:5" ht="13.2">
      <c r="B685" s="96"/>
      <c r="C685" s="96"/>
      <c r="D685" s="96"/>
      <c r="E685" s="96"/>
    </row>
    <row r="686" spans="2:5" ht="13.2">
      <c r="B686" s="96"/>
      <c r="C686" s="96"/>
      <c r="D686" s="96"/>
      <c r="E686" s="96"/>
    </row>
    <row r="687" spans="2:5" ht="13.2">
      <c r="B687" s="96"/>
      <c r="C687" s="96"/>
      <c r="D687" s="96"/>
      <c r="E687" s="96"/>
    </row>
    <row r="688" spans="2:5" ht="13.2">
      <c r="B688" s="96"/>
      <c r="C688" s="96"/>
      <c r="D688" s="96"/>
      <c r="E688" s="96"/>
    </row>
    <row r="689" spans="2:5" ht="13.2">
      <c r="B689" s="96"/>
      <c r="C689" s="96"/>
      <c r="D689" s="96"/>
      <c r="E689" s="96"/>
    </row>
    <row r="690" spans="2:5" ht="13.2">
      <c r="B690" s="96"/>
      <c r="C690" s="96"/>
      <c r="D690" s="96"/>
      <c r="E690" s="96"/>
    </row>
    <row r="691" spans="2:5" ht="13.2">
      <c r="B691" s="96"/>
      <c r="C691" s="96"/>
      <c r="D691" s="96"/>
      <c r="E691" s="96"/>
    </row>
    <row r="692" spans="2:5" ht="13.2">
      <c r="B692" s="96"/>
      <c r="C692" s="96"/>
      <c r="D692" s="96"/>
      <c r="E692" s="96"/>
    </row>
    <row r="693" spans="2:5" ht="13.2">
      <c r="B693" s="96"/>
      <c r="C693" s="96"/>
      <c r="D693" s="96"/>
      <c r="E693" s="96"/>
    </row>
    <row r="694" spans="2:5" ht="13.2">
      <c r="B694" s="96"/>
      <c r="C694" s="96"/>
      <c r="D694" s="96"/>
      <c r="E694" s="96"/>
    </row>
    <row r="695" spans="2:5" ht="13.2">
      <c r="B695" s="96"/>
      <c r="C695" s="96"/>
      <c r="D695" s="96"/>
      <c r="E695" s="96"/>
    </row>
    <row r="696" spans="2:5" ht="13.2">
      <c r="B696" s="96"/>
      <c r="C696" s="96"/>
      <c r="D696" s="96"/>
      <c r="E696" s="96"/>
    </row>
    <row r="697" spans="2:5" ht="13.2">
      <c r="B697" s="96"/>
      <c r="C697" s="96"/>
      <c r="D697" s="96"/>
      <c r="E697" s="96"/>
    </row>
    <row r="698" spans="2:5" ht="13.2">
      <c r="B698" s="96"/>
      <c r="C698" s="96"/>
      <c r="D698" s="96"/>
      <c r="E698" s="96"/>
    </row>
    <row r="699" spans="2:5" ht="13.2">
      <c r="B699" s="96"/>
      <c r="C699" s="96"/>
      <c r="D699" s="96"/>
      <c r="E699" s="96"/>
    </row>
    <row r="700" spans="2:5" ht="13.2">
      <c r="B700" s="96"/>
      <c r="C700" s="96"/>
      <c r="D700" s="96"/>
      <c r="E700" s="96"/>
    </row>
    <row r="701" spans="2:5" ht="13.2">
      <c r="B701" s="96"/>
      <c r="C701" s="96"/>
      <c r="D701" s="96"/>
      <c r="E701" s="96"/>
    </row>
    <row r="702" spans="2:5" ht="13.2">
      <c r="B702" s="96"/>
      <c r="C702" s="96"/>
      <c r="D702" s="96"/>
      <c r="E702" s="96"/>
    </row>
    <row r="703" spans="2:5" ht="13.2">
      <c r="B703" s="96"/>
      <c r="C703" s="96"/>
      <c r="D703" s="96"/>
      <c r="E703" s="96"/>
    </row>
    <row r="704" spans="2:5" ht="13.2">
      <c r="B704" s="96"/>
      <c r="C704" s="96"/>
      <c r="D704" s="96"/>
      <c r="E704" s="96"/>
    </row>
    <row r="705" spans="2:5" ht="13.2">
      <c r="B705" s="96"/>
      <c r="C705" s="96"/>
      <c r="D705" s="96"/>
      <c r="E705" s="96"/>
    </row>
    <row r="706" spans="2:5" ht="13.2">
      <c r="B706" s="96"/>
      <c r="C706" s="96"/>
      <c r="D706" s="96"/>
      <c r="E706" s="96"/>
    </row>
    <row r="707" spans="2:5" ht="13.2">
      <c r="B707" s="96"/>
      <c r="C707" s="96"/>
      <c r="D707" s="96"/>
      <c r="E707" s="96"/>
    </row>
    <row r="708" spans="2:5" ht="13.2">
      <c r="B708" s="96"/>
      <c r="C708" s="96"/>
      <c r="D708" s="96"/>
      <c r="E708" s="96"/>
    </row>
    <row r="709" spans="2:5" ht="13.2">
      <c r="B709" s="96"/>
      <c r="C709" s="96"/>
      <c r="D709" s="96"/>
      <c r="E709" s="96"/>
    </row>
    <row r="710" spans="2:5" ht="13.2">
      <c r="B710" s="96"/>
      <c r="C710" s="96"/>
      <c r="D710" s="96"/>
      <c r="E710" s="96"/>
    </row>
    <row r="711" spans="2:5" ht="13.2">
      <c r="B711" s="96"/>
      <c r="C711" s="96"/>
      <c r="D711" s="96"/>
      <c r="E711" s="96"/>
    </row>
    <row r="712" spans="2:5" ht="13.2">
      <c r="B712" s="96"/>
      <c r="C712" s="96"/>
      <c r="D712" s="96"/>
      <c r="E712" s="96"/>
    </row>
    <row r="713" spans="2:5" ht="13.2">
      <c r="B713" s="96"/>
      <c r="C713" s="96"/>
      <c r="D713" s="96"/>
      <c r="E713" s="96"/>
    </row>
    <row r="714" spans="2:5" ht="13.2">
      <c r="B714" s="96"/>
      <c r="C714" s="96"/>
      <c r="D714" s="96"/>
      <c r="E714" s="96"/>
    </row>
    <row r="715" spans="2:5" ht="13.2">
      <c r="B715" s="96"/>
      <c r="C715" s="96"/>
      <c r="D715" s="96"/>
      <c r="E715" s="96"/>
    </row>
    <row r="716" spans="2:5" ht="13.2">
      <c r="B716" s="96"/>
      <c r="C716" s="96"/>
      <c r="D716" s="96"/>
      <c r="E716" s="96"/>
    </row>
    <row r="717" spans="2:5" ht="13.2">
      <c r="B717" s="96"/>
      <c r="C717" s="96"/>
      <c r="D717" s="96"/>
      <c r="E717" s="96"/>
    </row>
    <row r="718" spans="2:5" ht="13.2">
      <c r="B718" s="96"/>
      <c r="C718" s="96"/>
      <c r="D718" s="96"/>
      <c r="E718" s="96"/>
    </row>
    <row r="719" spans="2:5" ht="13.2">
      <c r="B719" s="96"/>
      <c r="C719" s="96"/>
      <c r="D719" s="96"/>
      <c r="E719" s="96"/>
    </row>
    <row r="720" spans="2:5" ht="13.2">
      <c r="B720" s="96"/>
      <c r="C720" s="96"/>
      <c r="D720" s="96"/>
      <c r="E720" s="96"/>
    </row>
    <row r="721" spans="2:5" ht="13.2">
      <c r="B721" s="96"/>
      <c r="C721" s="96"/>
      <c r="D721" s="96"/>
      <c r="E721" s="96"/>
    </row>
    <row r="722" spans="2:5" ht="13.2">
      <c r="B722" s="96"/>
      <c r="C722" s="96"/>
      <c r="D722" s="96"/>
      <c r="E722" s="96"/>
    </row>
    <row r="723" spans="2:5" ht="13.2">
      <c r="B723" s="96"/>
      <c r="C723" s="96"/>
      <c r="D723" s="96"/>
      <c r="E723" s="96"/>
    </row>
    <row r="724" spans="2:5" ht="13.2">
      <c r="B724" s="96"/>
      <c r="C724" s="96"/>
      <c r="D724" s="96"/>
      <c r="E724" s="96"/>
    </row>
    <row r="725" spans="2:5" ht="13.2">
      <c r="B725" s="96"/>
      <c r="C725" s="96"/>
      <c r="D725" s="96"/>
      <c r="E725" s="96"/>
    </row>
    <row r="726" spans="2:5" ht="13.2">
      <c r="B726" s="96"/>
      <c r="C726" s="96"/>
      <c r="D726" s="96"/>
      <c r="E726" s="96"/>
    </row>
    <row r="727" spans="2:5" ht="13.2">
      <c r="B727" s="96"/>
      <c r="C727" s="96"/>
      <c r="D727" s="96"/>
      <c r="E727" s="96"/>
    </row>
    <row r="728" spans="2:5" ht="13.2">
      <c r="B728" s="96"/>
      <c r="C728" s="96"/>
      <c r="D728" s="96"/>
      <c r="E728" s="96"/>
    </row>
    <row r="729" spans="2:5" ht="13.2">
      <c r="B729" s="96"/>
      <c r="C729" s="96"/>
      <c r="D729" s="96"/>
      <c r="E729" s="96"/>
    </row>
    <row r="730" spans="2:5" ht="13.2">
      <c r="B730" s="96"/>
      <c r="C730" s="96"/>
      <c r="D730" s="96"/>
      <c r="E730" s="96"/>
    </row>
    <row r="731" spans="2:5" ht="13.2">
      <c r="B731" s="96"/>
      <c r="C731" s="96"/>
      <c r="D731" s="96"/>
      <c r="E731" s="96"/>
    </row>
    <row r="732" spans="2:5" ht="13.2">
      <c r="B732" s="96"/>
      <c r="C732" s="96"/>
      <c r="D732" s="96"/>
      <c r="E732" s="96"/>
    </row>
    <row r="733" spans="2:5" ht="13.2">
      <c r="B733" s="96"/>
      <c r="C733" s="96"/>
      <c r="D733" s="96"/>
      <c r="E733" s="96"/>
    </row>
    <row r="734" spans="2:5" ht="13.2">
      <c r="B734" s="96"/>
      <c r="C734" s="96"/>
      <c r="D734" s="96"/>
      <c r="E734" s="96"/>
    </row>
    <row r="735" spans="2:5" ht="13.2">
      <c r="B735" s="96"/>
      <c r="C735" s="96"/>
      <c r="D735" s="96"/>
      <c r="E735" s="96"/>
    </row>
    <row r="736" spans="2:5" ht="13.2">
      <c r="B736" s="96"/>
      <c r="C736" s="96"/>
      <c r="D736" s="96"/>
      <c r="E736" s="96"/>
    </row>
    <row r="737" spans="2:5" ht="13.2">
      <c r="B737" s="96"/>
      <c r="C737" s="96"/>
      <c r="D737" s="96"/>
      <c r="E737" s="96"/>
    </row>
    <row r="738" spans="2:5" ht="13.2">
      <c r="B738" s="96"/>
      <c r="C738" s="96"/>
      <c r="D738" s="96"/>
      <c r="E738" s="96"/>
    </row>
    <row r="739" spans="2:5" ht="13.2">
      <c r="B739" s="96"/>
      <c r="C739" s="96"/>
      <c r="D739" s="96"/>
      <c r="E739" s="96"/>
    </row>
    <row r="740" spans="2:5" ht="13.2">
      <c r="B740" s="96"/>
      <c r="C740" s="96"/>
      <c r="D740" s="96"/>
      <c r="E740" s="96"/>
    </row>
    <row r="741" spans="2:5" ht="13.2">
      <c r="B741" s="96"/>
      <c r="C741" s="96"/>
      <c r="D741" s="96"/>
      <c r="E741" s="96"/>
    </row>
    <row r="742" spans="2:5" ht="13.2">
      <c r="B742" s="96"/>
      <c r="C742" s="96"/>
      <c r="D742" s="96"/>
      <c r="E742" s="96"/>
    </row>
    <row r="743" spans="2:5" ht="13.2">
      <c r="B743" s="96"/>
      <c r="C743" s="96"/>
      <c r="D743" s="96"/>
      <c r="E743" s="96"/>
    </row>
    <row r="744" spans="2:5" ht="13.2">
      <c r="B744" s="96"/>
      <c r="C744" s="96"/>
      <c r="D744" s="96"/>
      <c r="E744" s="96"/>
    </row>
    <row r="745" spans="2:5" ht="13.2">
      <c r="B745" s="96"/>
      <c r="C745" s="96"/>
      <c r="D745" s="96"/>
      <c r="E745" s="96"/>
    </row>
    <row r="746" spans="2:5" ht="13.2">
      <c r="B746" s="96"/>
      <c r="C746" s="96"/>
      <c r="D746" s="96"/>
      <c r="E746" s="96"/>
    </row>
    <row r="747" spans="2:5" ht="13.2">
      <c r="B747" s="96"/>
      <c r="C747" s="96"/>
      <c r="D747" s="96"/>
      <c r="E747" s="96"/>
    </row>
    <row r="748" spans="2:5" ht="13.2">
      <c r="B748" s="96"/>
      <c r="C748" s="96"/>
      <c r="D748" s="96"/>
      <c r="E748" s="96"/>
    </row>
    <row r="749" spans="2:5" ht="13.2">
      <c r="B749" s="96"/>
      <c r="C749" s="96"/>
      <c r="D749" s="96"/>
      <c r="E749" s="96"/>
    </row>
    <row r="750" spans="2:5" ht="13.2">
      <c r="B750" s="96"/>
      <c r="C750" s="96"/>
      <c r="D750" s="96"/>
      <c r="E750" s="96"/>
    </row>
    <row r="751" spans="2:5" ht="13.2">
      <c r="B751" s="96"/>
      <c r="C751" s="96"/>
      <c r="D751" s="96"/>
      <c r="E751" s="96"/>
    </row>
    <row r="752" spans="2:5" ht="13.2">
      <c r="B752" s="96"/>
      <c r="C752" s="96"/>
      <c r="D752" s="96"/>
      <c r="E752" s="96"/>
    </row>
    <row r="753" spans="2:5" ht="13.2">
      <c r="B753" s="96"/>
      <c r="C753" s="96"/>
      <c r="D753" s="96"/>
      <c r="E753" s="96"/>
    </row>
    <row r="754" spans="2:5" ht="13.2">
      <c r="B754" s="96"/>
      <c r="C754" s="96"/>
      <c r="D754" s="96"/>
      <c r="E754" s="96"/>
    </row>
    <row r="755" spans="2:5" ht="13.2">
      <c r="B755" s="96"/>
      <c r="C755" s="96"/>
      <c r="D755" s="96"/>
      <c r="E755" s="96"/>
    </row>
    <row r="756" spans="2:5" ht="13.2">
      <c r="B756" s="96"/>
      <c r="C756" s="96"/>
      <c r="D756" s="96"/>
      <c r="E756" s="96"/>
    </row>
    <row r="757" spans="2:5" ht="13.2">
      <c r="B757" s="96"/>
      <c r="C757" s="96"/>
      <c r="D757" s="96"/>
      <c r="E757" s="96"/>
    </row>
    <row r="758" spans="2:5" ht="13.2">
      <c r="B758" s="96"/>
      <c r="C758" s="96"/>
      <c r="D758" s="96"/>
      <c r="E758" s="96"/>
    </row>
    <row r="759" spans="2:5" ht="13.2">
      <c r="B759" s="96"/>
      <c r="C759" s="96"/>
      <c r="D759" s="96"/>
      <c r="E759" s="96"/>
    </row>
    <row r="760" spans="2:5" ht="13.2">
      <c r="B760" s="96"/>
      <c r="C760" s="96"/>
      <c r="D760" s="96"/>
      <c r="E760" s="96"/>
    </row>
    <row r="761" spans="2:5" ht="13.2">
      <c r="B761" s="96"/>
      <c r="C761" s="96"/>
      <c r="D761" s="96"/>
      <c r="E761" s="96"/>
    </row>
    <row r="762" spans="2:5" ht="13.2">
      <c r="B762" s="96"/>
      <c r="C762" s="96"/>
      <c r="D762" s="96"/>
      <c r="E762" s="96"/>
    </row>
    <row r="763" spans="2:5" ht="13.2">
      <c r="B763" s="96"/>
      <c r="C763" s="96"/>
      <c r="D763" s="96"/>
      <c r="E763" s="96"/>
    </row>
    <row r="764" spans="2:5" ht="13.2">
      <c r="B764" s="96"/>
      <c r="C764" s="96"/>
      <c r="D764" s="96"/>
      <c r="E764" s="96"/>
    </row>
    <row r="765" spans="2:5" ht="13.2">
      <c r="B765" s="96"/>
      <c r="C765" s="96"/>
      <c r="D765" s="96"/>
      <c r="E765" s="96"/>
    </row>
    <row r="766" spans="2:5" ht="13.2">
      <c r="B766" s="96"/>
      <c r="C766" s="96"/>
      <c r="D766" s="96"/>
      <c r="E766" s="96"/>
    </row>
    <row r="767" spans="2:5" ht="13.2">
      <c r="B767" s="96"/>
      <c r="C767" s="96"/>
      <c r="D767" s="96"/>
      <c r="E767" s="96"/>
    </row>
    <row r="768" spans="2:5" ht="13.2">
      <c r="B768" s="96"/>
      <c r="C768" s="96"/>
      <c r="D768" s="96"/>
      <c r="E768" s="96"/>
    </row>
    <row r="769" spans="2:5" ht="13.2">
      <c r="B769" s="96"/>
      <c r="C769" s="96"/>
      <c r="D769" s="96"/>
      <c r="E769" s="96"/>
    </row>
    <row r="770" spans="2:5" ht="13.2">
      <c r="B770" s="96"/>
      <c r="C770" s="96"/>
      <c r="D770" s="96"/>
      <c r="E770" s="96"/>
    </row>
    <row r="771" spans="2:5" ht="13.2">
      <c r="B771" s="96"/>
      <c r="C771" s="96"/>
      <c r="D771" s="96"/>
      <c r="E771" s="96"/>
    </row>
    <row r="772" spans="2:5" ht="13.2">
      <c r="B772" s="96"/>
      <c r="C772" s="96"/>
      <c r="D772" s="96"/>
      <c r="E772" s="96"/>
    </row>
    <row r="773" spans="2:5" ht="13.2">
      <c r="B773" s="96"/>
      <c r="C773" s="96"/>
      <c r="D773" s="96"/>
      <c r="E773" s="96"/>
    </row>
    <row r="774" spans="2:5" ht="13.2">
      <c r="B774" s="96"/>
      <c r="C774" s="96"/>
      <c r="D774" s="96"/>
      <c r="E774" s="96"/>
    </row>
    <row r="775" spans="2:5" ht="13.2">
      <c r="B775" s="96"/>
      <c r="C775" s="96"/>
      <c r="D775" s="96"/>
      <c r="E775" s="96"/>
    </row>
    <row r="776" spans="2:5" ht="13.2">
      <c r="B776" s="96"/>
      <c r="C776" s="96"/>
      <c r="D776" s="96"/>
      <c r="E776" s="96"/>
    </row>
    <row r="777" spans="2:5" ht="13.2">
      <c r="B777" s="96"/>
      <c r="C777" s="96"/>
      <c r="D777" s="96"/>
      <c r="E777" s="96"/>
    </row>
    <row r="778" spans="2:5" ht="13.2">
      <c r="B778" s="96"/>
      <c r="C778" s="96"/>
      <c r="D778" s="96"/>
      <c r="E778" s="96"/>
    </row>
    <row r="779" spans="2:5" ht="13.2">
      <c r="B779" s="96"/>
      <c r="C779" s="96"/>
      <c r="D779" s="96"/>
      <c r="E779" s="96"/>
    </row>
    <row r="780" spans="2:5" ht="13.2">
      <c r="B780" s="96"/>
      <c r="C780" s="96"/>
      <c r="D780" s="96"/>
      <c r="E780" s="96"/>
    </row>
    <row r="781" spans="2:5" ht="13.2">
      <c r="B781" s="96"/>
      <c r="C781" s="96"/>
      <c r="D781" s="96"/>
      <c r="E781" s="96"/>
    </row>
    <row r="782" spans="2:5" ht="13.2">
      <c r="B782" s="96"/>
      <c r="C782" s="96"/>
      <c r="D782" s="96"/>
      <c r="E782" s="96"/>
    </row>
    <row r="783" spans="2:5" ht="13.2">
      <c r="B783" s="96"/>
      <c r="C783" s="96"/>
      <c r="D783" s="96"/>
      <c r="E783" s="96"/>
    </row>
    <row r="784" spans="2:5" ht="13.2">
      <c r="B784" s="96"/>
      <c r="C784" s="96"/>
      <c r="D784" s="96"/>
      <c r="E784" s="96"/>
    </row>
    <row r="785" spans="2:5" ht="13.2">
      <c r="B785" s="96"/>
      <c r="C785" s="96"/>
      <c r="D785" s="96"/>
      <c r="E785" s="96"/>
    </row>
    <row r="786" spans="2:5" ht="13.2">
      <c r="B786" s="96"/>
      <c r="C786" s="96"/>
      <c r="D786" s="96"/>
      <c r="E786" s="96"/>
    </row>
    <row r="787" spans="2:5" ht="13.2">
      <c r="B787" s="96"/>
      <c r="C787" s="96"/>
      <c r="D787" s="96"/>
      <c r="E787" s="96"/>
    </row>
    <row r="788" spans="2:5" ht="13.2">
      <c r="B788" s="96"/>
      <c r="C788" s="96"/>
      <c r="D788" s="96"/>
      <c r="E788" s="96"/>
    </row>
    <row r="789" spans="2:5" ht="13.2">
      <c r="B789" s="96"/>
      <c r="C789" s="96"/>
      <c r="D789" s="96"/>
      <c r="E789" s="96"/>
    </row>
    <row r="790" spans="2:5" ht="13.2">
      <c r="B790" s="96"/>
      <c r="C790" s="96"/>
      <c r="D790" s="96"/>
      <c r="E790" s="96"/>
    </row>
    <row r="791" spans="2:5" ht="13.2">
      <c r="B791" s="96"/>
      <c r="C791" s="96"/>
      <c r="D791" s="96"/>
      <c r="E791" s="96"/>
    </row>
    <row r="792" spans="2:5" ht="13.2">
      <c r="B792" s="96"/>
      <c r="C792" s="96"/>
      <c r="D792" s="96"/>
      <c r="E792" s="96"/>
    </row>
    <row r="793" spans="2:5" ht="13.2">
      <c r="B793" s="96"/>
      <c r="C793" s="96"/>
      <c r="D793" s="96"/>
      <c r="E793" s="96"/>
    </row>
    <row r="794" spans="2:5" ht="13.2">
      <c r="B794" s="96"/>
      <c r="C794" s="96"/>
      <c r="D794" s="96"/>
      <c r="E794" s="96"/>
    </row>
    <row r="795" spans="2:5" ht="13.2">
      <c r="B795" s="96"/>
      <c r="C795" s="96"/>
      <c r="D795" s="96"/>
      <c r="E795" s="96"/>
    </row>
    <row r="796" spans="2:5" ht="13.2">
      <c r="B796" s="96"/>
      <c r="C796" s="96"/>
      <c r="D796" s="96"/>
      <c r="E796" s="96"/>
    </row>
    <row r="797" spans="2:5" ht="13.2">
      <c r="B797" s="96"/>
      <c r="C797" s="96"/>
      <c r="D797" s="96"/>
      <c r="E797" s="96"/>
    </row>
    <row r="798" spans="2:5" ht="13.2">
      <c r="B798" s="96"/>
      <c r="C798" s="96"/>
      <c r="D798" s="96"/>
      <c r="E798" s="96"/>
    </row>
    <row r="799" spans="2:5" ht="13.2">
      <c r="B799" s="96"/>
      <c r="C799" s="96"/>
      <c r="D799" s="96"/>
      <c r="E799" s="96"/>
    </row>
    <row r="800" spans="2:5" ht="13.2">
      <c r="B800" s="96"/>
      <c r="C800" s="96"/>
      <c r="D800" s="96"/>
      <c r="E800" s="96"/>
    </row>
    <row r="801" spans="2:5" ht="13.2">
      <c r="B801" s="96"/>
      <c r="C801" s="96"/>
      <c r="D801" s="96"/>
      <c r="E801" s="96"/>
    </row>
    <row r="802" spans="2:5" ht="13.2">
      <c r="B802" s="96"/>
      <c r="C802" s="96"/>
      <c r="D802" s="96"/>
      <c r="E802" s="96"/>
    </row>
    <row r="803" spans="2:5" ht="13.2">
      <c r="B803" s="96"/>
      <c r="C803" s="96"/>
      <c r="D803" s="96"/>
      <c r="E803" s="96"/>
    </row>
    <row r="804" spans="2:5" ht="13.2">
      <c r="B804" s="96"/>
      <c r="C804" s="96"/>
      <c r="D804" s="96"/>
      <c r="E804" s="96"/>
    </row>
    <row r="805" spans="2:5" ht="13.2">
      <c r="B805" s="96"/>
      <c r="C805" s="96"/>
      <c r="D805" s="96"/>
      <c r="E805" s="96"/>
    </row>
    <row r="806" spans="2:5" ht="13.2">
      <c r="B806" s="96"/>
      <c r="C806" s="96"/>
      <c r="D806" s="96"/>
      <c r="E806" s="96"/>
    </row>
    <row r="807" spans="2:5" ht="13.2">
      <c r="B807" s="96"/>
      <c r="C807" s="96"/>
      <c r="D807" s="96"/>
      <c r="E807" s="96"/>
    </row>
    <row r="808" spans="2:5" ht="13.2">
      <c r="B808" s="96"/>
      <c r="C808" s="96"/>
      <c r="D808" s="96"/>
      <c r="E808" s="96"/>
    </row>
    <row r="809" spans="2:5" ht="13.2">
      <c r="B809" s="96"/>
      <c r="C809" s="96"/>
      <c r="D809" s="96"/>
      <c r="E809" s="96"/>
    </row>
    <row r="810" spans="2:5" ht="13.2">
      <c r="B810" s="96"/>
      <c r="C810" s="96"/>
      <c r="D810" s="96"/>
      <c r="E810" s="96"/>
    </row>
    <row r="811" spans="2:5" ht="13.2">
      <c r="B811" s="96"/>
      <c r="C811" s="96"/>
      <c r="D811" s="96"/>
      <c r="E811" s="96"/>
    </row>
    <row r="812" spans="2:5" ht="13.2">
      <c r="B812" s="96"/>
      <c r="C812" s="96"/>
      <c r="D812" s="96"/>
      <c r="E812" s="96"/>
    </row>
    <row r="813" spans="2:5" ht="13.2">
      <c r="B813" s="96"/>
      <c r="C813" s="96"/>
      <c r="D813" s="96"/>
      <c r="E813" s="96"/>
    </row>
    <row r="814" spans="2:5" ht="13.2">
      <c r="B814" s="96"/>
      <c r="C814" s="96"/>
      <c r="D814" s="96"/>
      <c r="E814" s="96"/>
    </row>
    <row r="815" spans="2:5" ht="13.2">
      <c r="B815" s="96"/>
      <c r="C815" s="96"/>
      <c r="D815" s="96"/>
      <c r="E815" s="96"/>
    </row>
    <row r="816" spans="2:5" ht="13.2">
      <c r="B816" s="96"/>
      <c r="C816" s="96"/>
      <c r="D816" s="96"/>
      <c r="E816" s="96"/>
    </row>
    <row r="817" spans="2:5" ht="13.2">
      <c r="B817" s="96"/>
      <c r="C817" s="96"/>
      <c r="D817" s="96"/>
      <c r="E817" s="96"/>
    </row>
    <row r="818" spans="2:5" ht="13.2">
      <c r="B818" s="96"/>
      <c r="C818" s="96"/>
      <c r="D818" s="96"/>
      <c r="E818" s="96"/>
    </row>
    <row r="819" spans="2:5" ht="13.2">
      <c r="B819" s="96"/>
      <c r="C819" s="96"/>
      <c r="D819" s="96"/>
      <c r="E819" s="96"/>
    </row>
    <row r="820" spans="2:5" ht="13.2">
      <c r="B820" s="96"/>
      <c r="C820" s="96"/>
      <c r="D820" s="96"/>
      <c r="E820" s="96"/>
    </row>
    <row r="821" spans="2:5" ht="13.2">
      <c r="B821" s="96"/>
      <c r="C821" s="96"/>
      <c r="D821" s="96"/>
      <c r="E821" s="96"/>
    </row>
    <row r="822" spans="2:5" ht="13.2">
      <c r="B822" s="96"/>
      <c r="C822" s="96"/>
      <c r="D822" s="96"/>
      <c r="E822" s="96"/>
    </row>
    <row r="823" spans="2:5" ht="13.2">
      <c r="B823" s="96"/>
      <c r="C823" s="96"/>
      <c r="D823" s="96"/>
      <c r="E823" s="96"/>
    </row>
    <row r="824" spans="2:5" ht="13.2">
      <c r="B824" s="96"/>
      <c r="C824" s="96"/>
      <c r="D824" s="96"/>
      <c r="E824" s="96"/>
    </row>
    <row r="825" spans="2:5" ht="13.2">
      <c r="B825" s="96"/>
      <c r="C825" s="96"/>
      <c r="D825" s="96"/>
      <c r="E825" s="96"/>
    </row>
    <row r="826" spans="2:5" ht="13.2">
      <c r="B826" s="96"/>
      <c r="C826" s="96"/>
      <c r="D826" s="96"/>
      <c r="E826" s="96"/>
    </row>
    <row r="827" spans="2:5" ht="13.2">
      <c r="B827" s="96"/>
      <c r="C827" s="96"/>
      <c r="D827" s="96"/>
      <c r="E827" s="96"/>
    </row>
    <row r="828" spans="2:5" ht="13.2">
      <c r="B828" s="96"/>
      <c r="C828" s="96"/>
      <c r="D828" s="96"/>
      <c r="E828" s="96"/>
    </row>
    <row r="829" spans="2:5" ht="13.2">
      <c r="B829" s="96"/>
      <c r="C829" s="96"/>
      <c r="D829" s="96"/>
      <c r="E829" s="96"/>
    </row>
    <row r="830" spans="2:5" ht="13.2">
      <c r="B830" s="96"/>
      <c r="C830" s="96"/>
      <c r="D830" s="96"/>
      <c r="E830" s="96"/>
    </row>
    <row r="831" spans="2:5" ht="13.2">
      <c r="B831" s="96"/>
      <c r="C831" s="96"/>
      <c r="D831" s="96"/>
      <c r="E831" s="96"/>
    </row>
    <row r="832" spans="2:5" ht="13.2">
      <c r="B832" s="96"/>
      <c r="C832" s="96"/>
      <c r="D832" s="96"/>
      <c r="E832" s="96"/>
    </row>
    <row r="833" spans="2:5" ht="13.2">
      <c r="B833" s="96"/>
      <c r="C833" s="96"/>
      <c r="D833" s="96"/>
      <c r="E833" s="96"/>
    </row>
    <row r="834" spans="2:5" ht="13.2">
      <c r="B834" s="96"/>
      <c r="C834" s="96"/>
      <c r="D834" s="96"/>
      <c r="E834" s="96"/>
    </row>
    <row r="835" spans="2:5" ht="13.2">
      <c r="B835" s="96"/>
      <c r="C835" s="96"/>
      <c r="D835" s="96"/>
      <c r="E835" s="96"/>
    </row>
    <row r="836" spans="2:5" ht="13.2">
      <c r="B836" s="96"/>
      <c r="C836" s="96"/>
      <c r="D836" s="96"/>
      <c r="E836" s="96"/>
    </row>
    <row r="837" spans="2:5" ht="13.2">
      <c r="B837" s="96"/>
      <c r="C837" s="96"/>
      <c r="D837" s="96"/>
      <c r="E837" s="96"/>
    </row>
    <row r="838" spans="2:5" ht="13.2">
      <c r="B838" s="96"/>
      <c r="C838" s="96"/>
      <c r="D838" s="96"/>
      <c r="E838" s="96"/>
    </row>
    <row r="839" spans="2:5" ht="13.2">
      <c r="B839" s="96"/>
      <c r="C839" s="96"/>
      <c r="D839" s="96"/>
      <c r="E839" s="96"/>
    </row>
    <row r="840" spans="2:5" ht="13.2">
      <c r="B840" s="96"/>
      <c r="C840" s="96"/>
      <c r="D840" s="96"/>
      <c r="E840" s="96"/>
    </row>
    <row r="841" spans="2:5" ht="13.2">
      <c r="B841" s="96"/>
      <c r="C841" s="96"/>
      <c r="D841" s="96"/>
      <c r="E841" s="96"/>
    </row>
    <row r="842" spans="2:5" ht="13.2">
      <c r="B842" s="96"/>
      <c r="C842" s="96"/>
      <c r="D842" s="96"/>
      <c r="E842" s="96"/>
    </row>
    <row r="843" spans="2:5" ht="13.2">
      <c r="B843" s="96"/>
      <c r="C843" s="96"/>
      <c r="D843" s="96"/>
      <c r="E843" s="96"/>
    </row>
    <row r="844" spans="2:5" ht="13.2">
      <c r="B844" s="96"/>
      <c r="C844" s="96"/>
      <c r="D844" s="96"/>
      <c r="E844" s="96"/>
    </row>
    <row r="845" spans="2:5" ht="13.2">
      <c r="B845" s="96"/>
      <c r="C845" s="96"/>
      <c r="D845" s="96"/>
      <c r="E845" s="96"/>
    </row>
    <row r="846" spans="2:5" ht="13.2">
      <c r="B846" s="96"/>
      <c r="C846" s="96"/>
      <c r="D846" s="96"/>
      <c r="E846" s="96"/>
    </row>
    <row r="847" spans="2:5" ht="13.2">
      <c r="B847" s="96"/>
      <c r="C847" s="96"/>
      <c r="D847" s="96"/>
      <c r="E847" s="96"/>
    </row>
    <row r="848" spans="2:5" ht="13.2">
      <c r="B848" s="96"/>
      <c r="C848" s="96"/>
      <c r="D848" s="96"/>
      <c r="E848" s="96"/>
    </row>
    <row r="849" spans="2:5" ht="13.2">
      <c r="B849" s="96"/>
      <c r="C849" s="96"/>
      <c r="D849" s="96"/>
      <c r="E849" s="96"/>
    </row>
    <row r="850" spans="2:5" ht="13.2">
      <c r="B850" s="96"/>
      <c r="C850" s="96"/>
      <c r="D850" s="96"/>
      <c r="E850" s="96"/>
    </row>
    <row r="851" spans="2:5" ht="13.2">
      <c r="B851" s="96"/>
      <c r="C851" s="96"/>
      <c r="D851" s="96"/>
      <c r="E851" s="96"/>
    </row>
    <row r="852" spans="2:5" ht="13.2">
      <c r="B852" s="96"/>
      <c r="C852" s="96"/>
      <c r="D852" s="96"/>
      <c r="E852" s="96"/>
    </row>
    <row r="853" spans="2:5" ht="13.2">
      <c r="B853" s="96"/>
      <c r="C853" s="96"/>
      <c r="D853" s="96"/>
      <c r="E853" s="96"/>
    </row>
    <row r="854" spans="2:5" ht="13.2">
      <c r="B854" s="96"/>
      <c r="C854" s="96"/>
      <c r="D854" s="96"/>
      <c r="E854" s="96"/>
    </row>
    <row r="855" spans="2:5" ht="13.2">
      <c r="B855" s="96"/>
      <c r="C855" s="96"/>
      <c r="D855" s="96"/>
      <c r="E855" s="96"/>
    </row>
    <row r="856" spans="2:5" ht="13.2">
      <c r="B856" s="96"/>
      <c r="C856" s="96"/>
      <c r="D856" s="96"/>
      <c r="E856" s="96"/>
    </row>
    <row r="857" spans="2:5" ht="13.2">
      <c r="B857" s="96"/>
      <c r="C857" s="96"/>
      <c r="D857" s="96"/>
      <c r="E857" s="96"/>
    </row>
    <row r="858" spans="2:5" ht="13.2">
      <c r="B858" s="96"/>
      <c r="C858" s="96"/>
      <c r="D858" s="96"/>
      <c r="E858" s="96"/>
    </row>
    <row r="859" spans="2:5" ht="13.2">
      <c r="B859" s="96"/>
      <c r="C859" s="96"/>
      <c r="D859" s="96"/>
      <c r="E859" s="96"/>
    </row>
    <row r="860" spans="2:5" ht="13.2">
      <c r="B860" s="96"/>
      <c r="C860" s="96"/>
      <c r="D860" s="96"/>
      <c r="E860" s="96"/>
    </row>
    <row r="861" spans="2:5" ht="13.2">
      <c r="B861" s="96"/>
      <c r="C861" s="96"/>
      <c r="D861" s="96"/>
      <c r="E861" s="96"/>
    </row>
    <row r="862" spans="2:5" ht="13.2">
      <c r="B862" s="96"/>
      <c r="C862" s="96"/>
      <c r="D862" s="96"/>
      <c r="E862" s="96"/>
    </row>
    <row r="863" spans="2:5" ht="13.2">
      <c r="B863" s="96"/>
      <c r="C863" s="96"/>
      <c r="D863" s="96"/>
      <c r="E863" s="96"/>
    </row>
    <row r="864" spans="2:5" ht="13.2">
      <c r="B864" s="96"/>
      <c r="C864" s="96"/>
      <c r="D864" s="96"/>
      <c r="E864" s="96"/>
    </row>
    <row r="865" spans="2:5" ht="13.2">
      <c r="B865" s="96"/>
      <c r="C865" s="96"/>
      <c r="D865" s="96"/>
      <c r="E865" s="96"/>
    </row>
    <row r="866" spans="2:5" ht="13.2">
      <c r="B866" s="96"/>
      <c r="C866" s="96"/>
      <c r="D866" s="96"/>
      <c r="E866" s="96"/>
    </row>
    <row r="867" spans="2:5" ht="13.2">
      <c r="B867" s="96"/>
      <c r="C867" s="96"/>
      <c r="D867" s="96"/>
      <c r="E867" s="96"/>
    </row>
    <row r="868" spans="2:5" ht="13.2">
      <c r="B868" s="96"/>
      <c r="C868" s="96"/>
      <c r="D868" s="96"/>
      <c r="E868" s="96"/>
    </row>
    <row r="869" spans="2:5" ht="13.2">
      <c r="B869" s="96"/>
      <c r="C869" s="96"/>
      <c r="D869" s="96"/>
      <c r="E869" s="96"/>
    </row>
    <row r="870" spans="2:5" ht="13.2">
      <c r="B870" s="96"/>
      <c r="C870" s="96"/>
      <c r="D870" s="96"/>
      <c r="E870" s="96"/>
    </row>
    <row r="871" spans="2:5" ht="13.2">
      <c r="B871" s="96"/>
      <c r="C871" s="96"/>
      <c r="D871" s="96"/>
      <c r="E871" s="96"/>
    </row>
    <row r="872" spans="2:5" ht="13.2">
      <c r="B872" s="96"/>
      <c r="C872" s="96"/>
      <c r="D872" s="96"/>
      <c r="E872" s="96"/>
    </row>
    <row r="873" spans="2:5" ht="13.2">
      <c r="B873" s="96"/>
      <c r="C873" s="96"/>
      <c r="D873" s="96"/>
      <c r="E873" s="96"/>
    </row>
    <row r="874" spans="2:5" ht="13.2">
      <c r="B874" s="96"/>
      <c r="C874" s="96"/>
      <c r="D874" s="96"/>
      <c r="E874" s="96"/>
    </row>
    <row r="875" spans="2:5" ht="13.2">
      <c r="B875" s="96"/>
      <c r="C875" s="96"/>
      <c r="D875" s="96"/>
      <c r="E875" s="96"/>
    </row>
    <row r="876" spans="2:5" ht="13.2">
      <c r="B876" s="96"/>
      <c r="C876" s="96"/>
      <c r="D876" s="96"/>
      <c r="E876" s="96"/>
    </row>
    <row r="877" spans="2:5" ht="13.2">
      <c r="B877" s="96"/>
      <c r="C877" s="96"/>
      <c r="D877" s="96"/>
      <c r="E877" s="96"/>
    </row>
    <row r="878" spans="2:5" ht="13.2">
      <c r="B878" s="96"/>
      <c r="C878" s="96"/>
      <c r="D878" s="96"/>
      <c r="E878" s="96"/>
    </row>
    <row r="879" spans="2:5" ht="13.2">
      <c r="B879" s="96"/>
      <c r="C879" s="96"/>
      <c r="D879" s="96"/>
      <c r="E879" s="96"/>
    </row>
    <row r="880" spans="2:5" ht="13.2">
      <c r="B880" s="96"/>
      <c r="C880" s="96"/>
      <c r="D880" s="96"/>
      <c r="E880" s="96"/>
    </row>
    <row r="881" spans="2:5" ht="13.2">
      <c r="B881" s="96"/>
      <c r="C881" s="96"/>
      <c r="D881" s="96"/>
      <c r="E881" s="96"/>
    </row>
    <row r="882" spans="2:5" ht="13.2">
      <c r="B882" s="96"/>
      <c r="C882" s="96"/>
      <c r="D882" s="96"/>
      <c r="E882" s="96"/>
    </row>
    <row r="883" spans="2:5" ht="13.2">
      <c r="B883" s="96"/>
      <c r="C883" s="96"/>
      <c r="D883" s="96"/>
      <c r="E883" s="96"/>
    </row>
    <row r="884" spans="2:5" ht="13.2">
      <c r="B884" s="96"/>
      <c r="C884" s="96"/>
      <c r="D884" s="96"/>
      <c r="E884" s="96"/>
    </row>
    <row r="885" spans="2:5" ht="13.2">
      <c r="B885" s="96"/>
      <c r="C885" s="96"/>
      <c r="D885" s="96"/>
      <c r="E885" s="96"/>
    </row>
    <row r="886" spans="2:5" ht="13.2">
      <c r="B886" s="96"/>
      <c r="C886" s="96"/>
      <c r="D886" s="96"/>
      <c r="E886" s="96"/>
    </row>
    <row r="887" spans="2:5" ht="13.2">
      <c r="B887" s="96"/>
      <c r="C887" s="96"/>
      <c r="D887" s="96"/>
      <c r="E887" s="96"/>
    </row>
    <row r="888" spans="2:5" ht="13.2">
      <c r="B888" s="96"/>
      <c r="C888" s="96"/>
      <c r="D888" s="96"/>
      <c r="E888" s="96"/>
    </row>
    <row r="889" spans="2:5" ht="13.2">
      <c r="B889" s="96"/>
      <c r="C889" s="96"/>
      <c r="D889" s="96"/>
      <c r="E889" s="96"/>
    </row>
    <row r="890" spans="2:5" ht="13.2">
      <c r="B890" s="96"/>
      <c r="C890" s="96"/>
      <c r="D890" s="96"/>
      <c r="E890" s="96"/>
    </row>
    <row r="891" spans="2:5" ht="13.2">
      <c r="B891" s="96"/>
      <c r="C891" s="96"/>
      <c r="D891" s="96"/>
      <c r="E891" s="96"/>
    </row>
    <row r="892" spans="2:5" ht="13.2">
      <c r="B892" s="96"/>
      <c r="C892" s="96"/>
      <c r="D892" s="96"/>
      <c r="E892" s="96"/>
    </row>
    <row r="893" spans="2:5" ht="13.2">
      <c r="B893" s="96"/>
      <c r="C893" s="96"/>
      <c r="D893" s="96"/>
      <c r="E893" s="96"/>
    </row>
    <row r="894" spans="2:5" ht="13.2">
      <c r="B894" s="96"/>
      <c r="C894" s="96"/>
      <c r="D894" s="96"/>
      <c r="E894" s="96"/>
    </row>
    <row r="895" spans="2:5" ht="13.2">
      <c r="B895" s="96"/>
      <c r="C895" s="96"/>
      <c r="D895" s="96"/>
      <c r="E895" s="96"/>
    </row>
    <row r="896" spans="2:5" ht="13.2">
      <c r="B896" s="96"/>
      <c r="C896" s="96"/>
      <c r="D896" s="96"/>
      <c r="E896" s="96"/>
    </row>
    <row r="897" spans="2:5" ht="13.2">
      <c r="B897" s="96"/>
      <c r="C897" s="96"/>
      <c r="D897" s="96"/>
      <c r="E897" s="96"/>
    </row>
    <row r="898" spans="2:5" ht="13.2">
      <c r="B898" s="96"/>
      <c r="C898" s="96"/>
      <c r="D898" s="96"/>
      <c r="E898" s="96"/>
    </row>
    <row r="899" spans="2:5" ht="13.2">
      <c r="B899" s="96"/>
      <c r="C899" s="96"/>
      <c r="D899" s="96"/>
      <c r="E899" s="96"/>
    </row>
    <row r="900" spans="2:5" ht="13.2">
      <c r="B900" s="96"/>
      <c r="C900" s="96"/>
      <c r="D900" s="96"/>
      <c r="E900" s="96"/>
    </row>
    <row r="901" spans="2:5" ht="13.2">
      <c r="B901" s="96"/>
      <c r="C901" s="96"/>
      <c r="D901" s="96"/>
      <c r="E901" s="96"/>
    </row>
    <row r="902" spans="2:5" ht="13.2">
      <c r="B902" s="96"/>
      <c r="C902" s="96"/>
      <c r="D902" s="96"/>
      <c r="E902" s="96"/>
    </row>
    <row r="903" spans="2:5" ht="13.2">
      <c r="B903" s="96"/>
      <c r="C903" s="96"/>
      <c r="D903" s="96"/>
      <c r="E903" s="96"/>
    </row>
    <row r="904" spans="2:5" ht="13.2">
      <c r="B904" s="96"/>
      <c r="C904" s="96"/>
      <c r="D904" s="96"/>
      <c r="E904" s="96"/>
    </row>
    <row r="905" spans="2:5" ht="13.2">
      <c r="B905" s="96"/>
      <c r="C905" s="96"/>
      <c r="D905" s="96"/>
      <c r="E905" s="96"/>
    </row>
    <row r="906" spans="2:5" ht="13.2">
      <c r="B906" s="96"/>
      <c r="C906" s="96"/>
      <c r="D906" s="96"/>
      <c r="E906" s="96"/>
    </row>
    <row r="907" spans="2:5" ht="13.2">
      <c r="B907" s="96"/>
      <c r="C907" s="96"/>
      <c r="D907" s="96"/>
      <c r="E907" s="96"/>
    </row>
    <row r="908" spans="2:5" ht="13.2">
      <c r="B908" s="96"/>
      <c r="C908" s="96"/>
      <c r="D908" s="96"/>
      <c r="E908" s="96"/>
    </row>
    <row r="909" spans="2:5" ht="13.2">
      <c r="B909" s="96"/>
      <c r="C909" s="96"/>
      <c r="D909" s="96"/>
      <c r="E909" s="96"/>
    </row>
    <row r="910" spans="2:5" ht="13.2">
      <c r="B910" s="96"/>
      <c r="C910" s="96"/>
      <c r="D910" s="96"/>
      <c r="E910" s="96"/>
    </row>
    <row r="911" spans="2:5" ht="13.2">
      <c r="B911" s="96"/>
      <c r="C911" s="96"/>
      <c r="D911" s="96"/>
      <c r="E911" s="96"/>
    </row>
    <row r="912" spans="2:5" ht="13.2">
      <c r="B912" s="96"/>
      <c r="C912" s="96"/>
      <c r="D912" s="96"/>
      <c r="E912" s="96"/>
    </row>
    <row r="913" spans="2:5" ht="13.2">
      <c r="B913" s="96"/>
      <c r="C913" s="96"/>
      <c r="D913" s="96"/>
      <c r="E913" s="96"/>
    </row>
    <row r="914" spans="2:5" ht="13.2">
      <c r="B914" s="96"/>
      <c r="C914" s="96"/>
      <c r="D914" s="96"/>
      <c r="E914" s="96"/>
    </row>
    <row r="915" spans="2:5" ht="13.2">
      <c r="B915" s="96"/>
      <c r="C915" s="96"/>
      <c r="D915" s="96"/>
      <c r="E915" s="96"/>
    </row>
    <row r="916" spans="2:5" ht="13.2">
      <c r="B916" s="96"/>
      <c r="C916" s="96"/>
      <c r="D916" s="96"/>
      <c r="E916" s="96"/>
    </row>
    <row r="917" spans="2:5" ht="13.2">
      <c r="B917" s="96"/>
      <c r="C917" s="96"/>
      <c r="D917" s="96"/>
      <c r="E917" s="96"/>
    </row>
    <row r="918" spans="2:5" ht="13.2">
      <c r="B918" s="96"/>
      <c r="C918" s="96"/>
      <c r="D918" s="96"/>
      <c r="E918" s="96"/>
    </row>
    <row r="919" spans="2:5" ht="13.2">
      <c r="B919" s="96"/>
      <c r="C919" s="96"/>
      <c r="D919" s="96"/>
      <c r="E919" s="96"/>
    </row>
    <row r="920" spans="2:5" ht="13.2">
      <c r="B920" s="96"/>
      <c r="C920" s="96"/>
      <c r="D920" s="96"/>
      <c r="E920" s="96"/>
    </row>
    <row r="921" spans="2:5" ht="13.2">
      <c r="B921" s="96"/>
      <c r="C921" s="96"/>
      <c r="D921" s="96"/>
      <c r="E921" s="96"/>
    </row>
    <row r="922" spans="2:5" ht="13.2">
      <c r="B922" s="96"/>
      <c r="C922" s="96"/>
      <c r="D922" s="96"/>
      <c r="E922" s="96"/>
    </row>
    <row r="923" spans="2:5" ht="13.2">
      <c r="B923" s="96"/>
      <c r="C923" s="96"/>
      <c r="D923" s="96"/>
      <c r="E923" s="96"/>
    </row>
    <row r="924" spans="2:5" ht="13.2">
      <c r="B924" s="96"/>
      <c r="C924" s="96"/>
      <c r="D924" s="96"/>
      <c r="E924" s="96"/>
    </row>
    <row r="925" spans="2:5" ht="13.2">
      <c r="B925" s="96"/>
      <c r="C925" s="96"/>
      <c r="D925" s="96"/>
      <c r="E925" s="96"/>
    </row>
    <row r="926" spans="2:5" ht="13.2">
      <c r="B926" s="96"/>
      <c r="C926" s="96"/>
      <c r="D926" s="96"/>
      <c r="E926" s="96"/>
    </row>
    <row r="927" spans="2:5" ht="13.2">
      <c r="B927" s="96"/>
      <c r="C927" s="96"/>
      <c r="D927" s="96"/>
      <c r="E927" s="96"/>
    </row>
    <row r="928" spans="2:5" ht="13.2">
      <c r="B928" s="96"/>
      <c r="C928" s="96"/>
      <c r="D928" s="96"/>
      <c r="E928" s="96"/>
    </row>
    <row r="929" spans="2:5" ht="13.2">
      <c r="B929" s="96"/>
      <c r="C929" s="96"/>
      <c r="D929" s="96"/>
      <c r="E929" s="96"/>
    </row>
    <row r="930" spans="2:5" ht="13.2">
      <c r="B930" s="96"/>
      <c r="C930" s="96"/>
      <c r="D930" s="96"/>
      <c r="E930" s="96"/>
    </row>
    <row r="931" spans="2:5" ht="13.2">
      <c r="B931" s="96"/>
      <c r="C931" s="96"/>
      <c r="D931" s="96"/>
      <c r="E931" s="96"/>
    </row>
    <row r="932" spans="2:5" ht="13.2">
      <c r="B932" s="96"/>
      <c r="C932" s="96"/>
      <c r="D932" s="96"/>
      <c r="E932" s="96"/>
    </row>
    <row r="933" spans="2:5" ht="13.2">
      <c r="B933" s="96"/>
      <c r="C933" s="96"/>
      <c r="D933" s="96"/>
      <c r="E933" s="96"/>
    </row>
    <row r="934" spans="2:5" ht="13.2">
      <c r="B934" s="96"/>
      <c r="C934" s="96"/>
      <c r="D934" s="96"/>
      <c r="E934" s="96"/>
    </row>
    <row r="935" spans="2:5" ht="13.2">
      <c r="B935" s="96"/>
      <c r="C935" s="96"/>
      <c r="D935" s="96"/>
      <c r="E935" s="96"/>
    </row>
    <row r="936" spans="2:5" ht="13.2">
      <c r="B936" s="96"/>
      <c r="C936" s="96"/>
      <c r="D936" s="96"/>
      <c r="E936" s="96"/>
    </row>
    <row r="937" spans="2:5" ht="13.2">
      <c r="B937" s="96"/>
      <c r="C937" s="96"/>
      <c r="D937" s="96"/>
      <c r="E937" s="96"/>
    </row>
    <row r="938" spans="2:5" ht="13.2">
      <c r="B938" s="96"/>
      <c r="C938" s="96"/>
      <c r="D938" s="96"/>
      <c r="E938" s="96"/>
    </row>
    <row r="939" spans="2:5" ht="13.2">
      <c r="B939" s="96"/>
      <c r="C939" s="96"/>
      <c r="D939" s="96"/>
      <c r="E939" s="96"/>
    </row>
    <row r="940" spans="2:5" ht="13.2">
      <c r="B940" s="96"/>
      <c r="C940" s="96"/>
      <c r="D940" s="96"/>
      <c r="E940" s="96"/>
    </row>
    <row r="941" spans="2:5" ht="13.2">
      <c r="B941" s="96"/>
      <c r="C941" s="96"/>
      <c r="D941" s="96"/>
      <c r="E941" s="96"/>
    </row>
    <row r="942" spans="2:5" ht="13.2">
      <c r="B942" s="96"/>
      <c r="C942" s="96"/>
      <c r="D942" s="96"/>
      <c r="E942" s="96"/>
    </row>
    <row r="943" spans="2:5" ht="13.2">
      <c r="B943" s="96"/>
      <c r="C943" s="96"/>
      <c r="D943" s="96"/>
      <c r="E943" s="96"/>
    </row>
    <row r="944" spans="2:5" ht="13.2">
      <c r="B944" s="96"/>
      <c r="C944" s="96"/>
      <c r="D944" s="96"/>
      <c r="E944" s="96"/>
    </row>
    <row r="945" spans="2:5" ht="13.2">
      <c r="B945" s="96"/>
      <c r="C945" s="96"/>
      <c r="D945" s="96"/>
      <c r="E945" s="96"/>
    </row>
    <row r="946" spans="2:5" ht="13.2">
      <c r="B946" s="96"/>
      <c r="C946" s="96"/>
      <c r="D946" s="96"/>
      <c r="E946" s="96"/>
    </row>
    <row r="947" spans="2:5" ht="13.2">
      <c r="B947" s="96"/>
      <c r="C947" s="96"/>
      <c r="D947" s="96"/>
      <c r="E947" s="96"/>
    </row>
    <row r="948" spans="2:5" ht="13.2">
      <c r="B948" s="96"/>
      <c r="C948" s="96"/>
      <c r="D948" s="96"/>
      <c r="E948" s="96"/>
    </row>
    <row r="949" spans="2:5" ht="13.2">
      <c r="B949" s="96"/>
      <c r="C949" s="96"/>
      <c r="D949" s="96"/>
      <c r="E949" s="96"/>
    </row>
    <row r="950" spans="2:5" ht="13.2">
      <c r="B950" s="96"/>
      <c r="C950" s="96"/>
      <c r="D950" s="96"/>
      <c r="E950" s="96"/>
    </row>
    <row r="951" spans="2:5" ht="13.2">
      <c r="B951" s="96"/>
      <c r="C951" s="96"/>
      <c r="D951" s="96"/>
      <c r="E951" s="96"/>
    </row>
    <row r="952" spans="2:5" ht="13.2">
      <c r="B952" s="96"/>
      <c r="C952" s="96"/>
      <c r="D952" s="96"/>
      <c r="E952" s="96"/>
    </row>
    <row r="953" spans="2:5" ht="13.2">
      <c r="B953" s="96"/>
      <c r="C953" s="96"/>
      <c r="D953" s="96"/>
      <c r="E953" s="96"/>
    </row>
    <row r="954" spans="2:5" ht="13.2">
      <c r="B954" s="96"/>
      <c r="C954" s="96"/>
      <c r="D954" s="96"/>
      <c r="E954" s="96"/>
    </row>
    <row r="955" spans="2:5" ht="13.2">
      <c r="B955" s="96"/>
      <c r="C955" s="96"/>
      <c r="D955" s="96"/>
      <c r="E955" s="96"/>
    </row>
    <row r="956" spans="2:5" ht="13.2">
      <c r="B956" s="96"/>
      <c r="C956" s="96"/>
      <c r="D956" s="96"/>
      <c r="E956" s="96"/>
    </row>
    <row r="957" spans="2:5" ht="13.2">
      <c r="B957" s="96"/>
      <c r="C957" s="96"/>
      <c r="D957" s="96"/>
      <c r="E957" s="96"/>
    </row>
    <row r="958" spans="2:5" ht="13.2">
      <c r="B958" s="96"/>
      <c r="C958" s="96"/>
      <c r="D958" s="96"/>
      <c r="E958" s="96"/>
    </row>
    <row r="959" spans="2:5" ht="13.2">
      <c r="B959" s="96"/>
      <c r="C959" s="96"/>
      <c r="D959" s="96"/>
      <c r="E959" s="96"/>
    </row>
    <row r="960" spans="2:5" ht="13.2">
      <c r="B960" s="96"/>
      <c r="C960" s="96"/>
      <c r="D960" s="96"/>
      <c r="E960" s="96"/>
    </row>
    <row r="961" spans="2:5" ht="13.2">
      <c r="B961" s="96"/>
      <c r="C961" s="96"/>
      <c r="D961" s="96"/>
      <c r="E961" s="96"/>
    </row>
    <row r="962" spans="2:5" ht="13.2">
      <c r="B962" s="96"/>
      <c r="C962" s="96"/>
      <c r="D962" s="96"/>
      <c r="E962" s="96"/>
    </row>
    <row r="963" spans="2:5" ht="13.2">
      <c r="B963" s="96"/>
      <c r="C963" s="96"/>
      <c r="D963" s="96"/>
      <c r="E963" s="96"/>
    </row>
    <row r="964" spans="2:5" ht="13.2">
      <c r="B964" s="96"/>
      <c r="C964" s="96"/>
      <c r="D964" s="96"/>
      <c r="E964" s="96"/>
    </row>
    <row r="965" spans="2:5" ht="13.2">
      <c r="B965" s="96"/>
      <c r="C965" s="96"/>
      <c r="D965" s="96"/>
      <c r="E965" s="96"/>
    </row>
    <row r="966" spans="2:5" ht="13.2">
      <c r="B966" s="96"/>
      <c r="C966" s="96"/>
      <c r="D966" s="96"/>
      <c r="E966" s="96"/>
    </row>
    <row r="967" spans="2:5" ht="13.2">
      <c r="B967" s="96"/>
      <c r="C967" s="96"/>
      <c r="D967" s="96"/>
      <c r="E967" s="96"/>
    </row>
    <row r="968" spans="2:5" ht="13.2">
      <c r="B968" s="96"/>
      <c r="C968" s="96"/>
      <c r="D968" s="96"/>
      <c r="E968" s="96"/>
    </row>
    <row r="969" spans="2:5" ht="13.2">
      <c r="B969" s="96"/>
      <c r="C969" s="96"/>
      <c r="D969" s="96"/>
      <c r="E969" s="96"/>
    </row>
    <row r="970" spans="2:5" ht="13.2">
      <c r="B970" s="96"/>
      <c r="C970" s="96"/>
      <c r="D970" s="96"/>
      <c r="E970" s="96"/>
    </row>
    <row r="971" spans="2:5" ht="13.2">
      <c r="B971" s="96"/>
      <c r="C971" s="96"/>
      <c r="D971" s="96"/>
      <c r="E971" s="96"/>
    </row>
    <row r="972" spans="2:5" ht="13.2">
      <c r="B972" s="96"/>
      <c r="C972" s="96"/>
      <c r="D972" s="96"/>
      <c r="E972" s="96"/>
    </row>
    <row r="973" spans="2:5" ht="13.2">
      <c r="B973" s="96"/>
      <c r="C973" s="96"/>
      <c r="D973" s="96"/>
      <c r="E973" s="96"/>
    </row>
    <row r="974" spans="2:5" ht="13.2">
      <c r="B974" s="96"/>
      <c r="C974" s="96"/>
      <c r="D974" s="96"/>
      <c r="E974" s="96"/>
    </row>
    <row r="975" spans="2:5" ht="13.2">
      <c r="B975" s="96"/>
      <c r="C975" s="96"/>
      <c r="D975" s="96"/>
      <c r="E975" s="96"/>
    </row>
    <row r="976" spans="2:5" ht="13.2">
      <c r="B976" s="96"/>
      <c r="C976" s="96"/>
      <c r="D976" s="96"/>
      <c r="E976" s="96"/>
    </row>
    <row r="977" spans="2:5" ht="13.2">
      <c r="B977" s="96"/>
      <c r="C977" s="96"/>
      <c r="D977" s="96"/>
      <c r="E977" s="96"/>
    </row>
    <row r="978" spans="2:5" ht="13.2">
      <c r="B978" s="96"/>
      <c r="C978" s="96"/>
      <c r="D978" s="96"/>
      <c r="E978" s="96"/>
    </row>
    <row r="979" spans="2:5" ht="13.2">
      <c r="B979" s="96"/>
      <c r="C979" s="96"/>
      <c r="D979" s="96"/>
      <c r="E979" s="96"/>
    </row>
    <row r="980" spans="2:5" ht="13.2">
      <c r="B980" s="96"/>
      <c r="C980" s="96"/>
      <c r="D980" s="96"/>
      <c r="E980" s="96"/>
    </row>
    <row r="981" spans="2:5" ht="13.2">
      <c r="B981" s="96"/>
      <c r="C981" s="96"/>
      <c r="D981" s="96"/>
      <c r="E981" s="96"/>
    </row>
    <row r="982" spans="2:5" ht="13.2">
      <c r="B982" s="96"/>
      <c r="C982" s="96"/>
      <c r="D982" s="96"/>
      <c r="E982" s="96"/>
    </row>
    <row r="983" spans="2:5" ht="13.2">
      <c r="B983" s="96"/>
      <c r="C983" s="96"/>
      <c r="D983" s="96"/>
      <c r="E983" s="96"/>
    </row>
    <row r="984" spans="2:5" ht="13.2">
      <c r="B984" s="96"/>
      <c r="C984" s="96"/>
      <c r="D984" s="96"/>
      <c r="E984" s="96"/>
    </row>
    <row r="985" spans="2:5" ht="13.2">
      <c r="B985" s="96"/>
      <c r="C985" s="96"/>
      <c r="D985" s="96"/>
      <c r="E985" s="96"/>
    </row>
    <row r="986" spans="2:5" ht="13.2">
      <c r="B986" s="96"/>
      <c r="C986" s="96"/>
      <c r="D986" s="96"/>
      <c r="E986" s="96"/>
    </row>
    <row r="987" spans="2:5" ht="13.2">
      <c r="B987" s="96"/>
      <c r="C987" s="96"/>
      <c r="D987" s="96"/>
      <c r="E987" s="96"/>
    </row>
    <row r="988" spans="2:5" ht="13.2">
      <c r="B988" s="96"/>
      <c r="C988" s="96"/>
      <c r="D988" s="96"/>
      <c r="E988" s="96"/>
    </row>
    <row r="989" spans="2:5" ht="13.2">
      <c r="B989" s="96"/>
      <c r="C989" s="96"/>
      <c r="D989" s="96"/>
      <c r="E989" s="96"/>
    </row>
    <row r="990" spans="2:5" ht="13.2">
      <c r="B990" s="96"/>
      <c r="C990" s="96"/>
      <c r="D990" s="96"/>
      <c r="E990" s="96"/>
    </row>
    <row r="991" spans="2:5" ht="13.2">
      <c r="B991" s="96"/>
      <c r="C991" s="96"/>
      <c r="D991" s="96"/>
      <c r="E991" s="96"/>
    </row>
    <row r="992" spans="2:5" ht="13.2">
      <c r="B992" s="96"/>
      <c r="C992" s="96"/>
      <c r="D992" s="96"/>
      <c r="E992" s="96"/>
    </row>
    <row r="993" spans="2:5" ht="13.2">
      <c r="B993" s="96"/>
      <c r="C993" s="96"/>
      <c r="D993" s="96"/>
      <c r="E993" s="96"/>
    </row>
    <row r="994" spans="2:5" ht="13.2">
      <c r="B994" s="96"/>
      <c r="C994" s="96"/>
      <c r="D994" s="96"/>
      <c r="E994" s="96"/>
    </row>
    <row r="995" spans="2:5" ht="13.2">
      <c r="B995" s="96"/>
      <c r="C995" s="96"/>
      <c r="D995" s="96"/>
      <c r="E995" s="96"/>
    </row>
    <row r="996" spans="2:5" ht="13.2">
      <c r="B996" s="96"/>
      <c r="C996" s="96"/>
      <c r="D996" s="96"/>
      <c r="E996" s="96"/>
    </row>
    <row r="997" spans="2:5" ht="13.2">
      <c r="B997" s="96"/>
      <c r="C997" s="96"/>
      <c r="D997" s="96"/>
      <c r="E997" s="96"/>
    </row>
    <row r="998" spans="2:5" ht="13.2">
      <c r="B998" s="96"/>
      <c r="C998" s="96"/>
      <c r="D998" s="96"/>
      <c r="E998" s="96"/>
    </row>
    <row r="999" spans="2:5" ht="13.2">
      <c r="B999" s="96"/>
      <c r="C999" s="96"/>
      <c r="D999" s="96"/>
      <c r="E999" s="96"/>
    </row>
    <row r="1000" spans="2:5" ht="13.2">
      <c r="B1000" s="96"/>
      <c r="C1000" s="96"/>
      <c r="D1000" s="96"/>
      <c r="E1000" s="96"/>
    </row>
    <row r="1001" spans="2:5" ht="13.2">
      <c r="B1001" s="96"/>
      <c r="C1001" s="96"/>
      <c r="D1001" s="96"/>
      <c r="E1001" s="96"/>
    </row>
    <row r="1002" spans="2:5" ht="13.2">
      <c r="B1002" s="96"/>
      <c r="C1002" s="96"/>
      <c r="D1002" s="96"/>
      <c r="E1002" s="96"/>
    </row>
    <row r="1003" spans="2:5" ht="13.2">
      <c r="B1003" s="96"/>
      <c r="C1003" s="96"/>
      <c r="D1003" s="96"/>
      <c r="E1003" s="96"/>
    </row>
    <row r="1004" spans="2:5" ht="13.2">
      <c r="B1004" s="96"/>
      <c r="C1004" s="96"/>
      <c r="D1004" s="96"/>
      <c r="E1004" s="96"/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Q1012"/>
  <sheetViews>
    <sheetView zoomScale="70" zoomScaleNormal="70" workbookViewId="0">
      <selection activeCell="G14" sqref="G12:J14"/>
    </sheetView>
  </sheetViews>
  <sheetFormatPr defaultColWidth="14.44140625" defaultRowHeight="15.75" customHeight="1"/>
  <cols>
    <col min="1" max="1" width="84.109375" style="7" customWidth="1"/>
    <col min="2" max="16384" width="14.44140625" style="7"/>
  </cols>
  <sheetData>
    <row r="1" spans="1:17" ht="46.2">
      <c r="A1" s="106" t="s">
        <v>221</v>
      </c>
      <c r="B1" s="105" t="s">
        <v>220</v>
      </c>
      <c r="C1" s="105" t="s">
        <v>219</v>
      </c>
      <c r="D1" s="105" t="s">
        <v>218</v>
      </c>
      <c r="E1" s="105" t="s">
        <v>217</v>
      </c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</row>
    <row r="2" spans="1:17" ht="13.2">
      <c r="A2" s="101" t="s">
        <v>33</v>
      </c>
      <c r="B2" s="97">
        <v>187120</v>
      </c>
      <c r="C2" s="97">
        <v>194266</v>
      </c>
      <c r="D2" s="97">
        <v>145826</v>
      </c>
      <c r="E2" s="97">
        <v>154595</v>
      </c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</row>
    <row r="3" spans="1:17" ht="13.2">
      <c r="A3" s="100" t="s">
        <v>216</v>
      </c>
      <c r="B3" s="102">
        <v>-129898</v>
      </c>
      <c r="C3" s="102">
        <v>-137960</v>
      </c>
      <c r="D3" s="102">
        <v>-137474</v>
      </c>
      <c r="E3" s="102">
        <v>-143237</v>
      </c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ht="13.2">
      <c r="A4" s="99"/>
      <c r="B4" s="97"/>
      <c r="C4" s="97"/>
      <c r="D4" s="97"/>
      <c r="E4" s="97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ht="13.2">
      <c r="A5" s="101" t="s">
        <v>215</v>
      </c>
      <c r="B5" s="97">
        <v>57222</v>
      </c>
      <c r="C5" s="97">
        <v>56306</v>
      </c>
      <c r="D5" s="97">
        <v>8352</v>
      </c>
      <c r="E5" s="97">
        <v>11358</v>
      </c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3.2">
      <c r="A6" s="100" t="s">
        <v>214</v>
      </c>
      <c r="B6" s="97">
        <v>30925</v>
      </c>
      <c r="C6" s="97">
        <v>39161</v>
      </c>
      <c r="D6" s="97">
        <v>22473</v>
      </c>
      <c r="E6" s="97">
        <v>27565</v>
      </c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</row>
    <row r="7" spans="1:17" ht="13.2">
      <c r="A7" s="100" t="s">
        <v>213</v>
      </c>
      <c r="B7" s="97" t="s">
        <v>184</v>
      </c>
      <c r="C7" s="97">
        <v>29559</v>
      </c>
      <c r="D7" s="97" t="s">
        <v>184</v>
      </c>
      <c r="E7" s="97" t="s">
        <v>184</v>
      </c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</row>
    <row r="8" spans="1:17" ht="13.2">
      <c r="A8" s="100" t="s">
        <v>212</v>
      </c>
      <c r="B8" s="97">
        <v>29553</v>
      </c>
      <c r="C8" s="97">
        <v>-5302</v>
      </c>
      <c r="D8" s="97">
        <v>2577</v>
      </c>
      <c r="E8" s="97">
        <v>-6633</v>
      </c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</row>
    <row r="9" spans="1:17" ht="13.2">
      <c r="A9" s="100" t="s">
        <v>211</v>
      </c>
      <c r="B9" s="97">
        <v>-3931</v>
      </c>
      <c r="C9" s="97">
        <v>20026</v>
      </c>
      <c r="D9" s="97">
        <v>2576</v>
      </c>
      <c r="E9" s="97">
        <v>-813</v>
      </c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</row>
    <row r="10" spans="1:17" ht="13.2">
      <c r="A10" s="100" t="s">
        <v>210</v>
      </c>
      <c r="B10" s="97" t="s">
        <v>184</v>
      </c>
      <c r="C10" s="97" t="s">
        <v>184</v>
      </c>
      <c r="D10" s="97" t="s">
        <v>184</v>
      </c>
      <c r="E10" s="97">
        <v>-9472</v>
      </c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</row>
    <row r="11" spans="1:17" ht="13.2">
      <c r="A11" s="100" t="s">
        <v>209</v>
      </c>
      <c r="B11" s="97" t="s">
        <v>184</v>
      </c>
      <c r="C11" s="97" t="s">
        <v>184</v>
      </c>
      <c r="D11" s="97">
        <v>-8789</v>
      </c>
      <c r="E11" s="97" t="s">
        <v>184</v>
      </c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</row>
    <row r="12" spans="1:17" ht="13.2">
      <c r="A12" s="100" t="s">
        <v>208</v>
      </c>
      <c r="B12" s="97" t="s">
        <v>184</v>
      </c>
      <c r="C12" s="97" t="s">
        <v>184</v>
      </c>
      <c r="D12" s="97">
        <v>-10286</v>
      </c>
      <c r="E12" s="97" t="s">
        <v>184</v>
      </c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</row>
    <row r="13" spans="1:17" ht="13.2">
      <c r="A13" s="100" t="s">
        <v>207</v>
      </c>
      <c r="B13" s="102">
        <v>-24919</v>
      </c>
      <c r="C13" s="102">
        <v>-31470</v>
      </c>
      <c r="D13" s="102">
        <v>-29873</v>
      </c>
      <c r="E13" s="102">
        <v>-42936</v>
      </c>
      <c r="F13" s="96"/>
      <c r="G13" s="97"/>
      <c r="H13" s="97"/>
      <c r="I13" s="97"/>
      <c r="J13" s="97"/>
      <c r="K13" s="96"/>
      <c r="L13" s="96"/>
      <c r="M13" s="96"/>
      <c r="N13" s="96"/>
      <c r="O13" s="96"/>
      <c r="P13" s="96"/>
      <c r="Q13" s="96"/>
    </row>
    <row r="14" spans="1:17" ht="13.2">
      <c r="A14" s="99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</row>
    <row r="15" spans="1:17" ht="13.2">
      <c r="A15" s="101" t="s">
        <v>206</v>
      </c>
      <c r="B15" s="97">
        <v>88850</v>
      </c>
      <c r="C15" s="97">
        <v>108280</v>
      </c>
      <c r="D15" s="97">
        <v>-12970</v>
      </c>
      <c r="E15" s="97">
        <v>-20931</v>
      </c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</row>
    <row r="16" spans="1:17" ht="13.2">
      <c r="A16" s="100" t="s">
        <v>205</v>
      </c>
      <c r="B16" s="97">
        <v>-4862</v>
      </c>
      <c r="C16" s="97">
        <v>-5101</v>
      </c>
      <c r="D16" s="97">
        <v>-1156</v>
      </c>
      <c r="E16" s="97">
        <v>-557</v>
      </c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</row>
    <row r="17" spans="1:17" ht="13.2">
      <c r="A17" s="100" t="s">
        <v>204</v>
      </c>
      <c r="B17" s="97">
        <v>-1939</v>
      </c>
      <c r="C17" s="97">
        <v>21641</v>
      </c>
      <c r="D17" s="97">
        <v>131109</v>
      </c>
      <c r="E17" s="97">
        <v>75660</v>
      </c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</row>
    <row r="18" spans="1:17" ht="13.2">
      <c r="A18" s="100" t="s">
        <v>203</v>
      </c>
      <c r="B18" s="102" t="s">
        <v>184</v>
      </c>
      <c r="C18" s="102" t="s">
        <v>184</v>
      </c>
      <c r="D18" s="102">
        <v>28555</v>
      </c>
      <c r="E18" s="102">
        <v>68160</v>
      </c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</row>
    <row r="19" spans="1:17" ht="13.2">
      <c r="A19" s="99"/>
      <c r="B19" s="97"/>
      <c r="C19" s="97"/>
      <c r="D19" s="97"/>
      <c r="E19" s="97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</row>
    <row r="20" spans="1:17" ht="13.2">
      <c r="A20" s="101" t="s">
        <v>202</v>
      </c>
      <c r="B20" s="97">
        <v>82049</v>
      </c>
      <c r="C20" s="97">
        <v>124820</v>
      </c>
      <c r="D20" s="97">
        <v>145538</v>
      </c>
      <c r="E20" s="97">
        <v>122332</v>
      </c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</row>
    <row r="21" spans="1:17" ht="13.2">
      <c r="A21" s="100" t="s">
        <v>201</v>
      </c>
      <c r="B21" s="102">
        <v>-17088</v>
      </c>
      <c r="C21" s="102">
        <v>-17928</v>
      </c>
      <c r="D21" s="102">
        <v>-3181</v>
      </c>
      <c r="E21" s="102">
        <v>-9040</v>
      </c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</row>
    <row r="22" spans="1:17" ht="13.2">
      <c r="A22" s="99"/>
      <c r="B22" s="97"/>
      <c r="C22" s="97"/>
      <c r="D22" s="97"/>
      <c r="E22" s="9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</row>
    <row r="23" spans="1:17" ht="13.8" thickBot="1">
      <c r="A23" s="101" t="s">
        <v>200</v>
      </c>
      <c r="B23" s="104">
        <v>64961</v>
      </c>
      <c r="C23" s="104">
        <v>106892</v>
      </c>
      <c r="D23" s="104">
        <v>142357</v>
      </c>
      <c r="E23" s="104">
        <v>113292</v>
      </c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</row>
    <row r="24" spans="1:17" ht="13.8" thickTop="1">
      <c r="A24" s="99"/>
      <c r="B24" s="97"/>
      <c r="C24" s="97"/>
      <c r="D24" s="97"/>
      <c r="E24" s="97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</row>
    <row r="25" spans="1:17" ht="13.2">
      <c r="A25" s="101" t="s">
        <v>199</v>
      </c>
      <c r="B25" s="97"/>
      <c r="C25" s="97"/>
      <c r="D25" s="97"/>
      <c r="E25" s="97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</row>
    <row r="26" spans="1:17" ht="13.2">
      <c r="A26" s="100" t="s">
        <v>179</v>
      </c>
      <c r="B26" s="97">
        <v>64813</v>
      </c>
      <c r="C26" s="97">
        <v>106849</v>
      </c>
      <c r="D26" s="97">
        <v>142867</v>
      </c>
      <c r="E26" s="97">
        <v>113129</v>
      </c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</row>
    <row r="27" spans="1:17" ht="13.2">
      <c r="A27" s="100" t="s">
        <v>198</v>
      </c>
      <c r="B27" s="102">
        <v>148</v>
      </c>
      <c r="C27" s="102">
        <v>43</v>
      </c>
      <c r="D27" s="102">
        <v>-510</v>
      </c>
      <c r="E27" s="102">
        <v>163</v>
      </c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</row>
    <row r="28" spans="1:17" ht="13.2">
      <c r="A28" s="99"/>
      <c r="B28" s="97">
        <v>64961</v>
      </c>
      <c r="C28" s="97">
        <v>106892</v>
      </c>
      <c r="D28" s="97">
        <v>142357</v>
      </c>
      <c r="E28" s="97">
        <f>E23</f>
        <v>113292</v>
      </c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</row>
    <row r="29" spans="1:17" ht="13.2">
      <c r="A29" s="99"/>
      <c r="B29" s="97"/>
      <c r="C29" s="97"/>
      <c r="D29" s="97"/>
      <c r="E29" s="97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</row>
    <row r="30" spans="1:17" ht="13.2">
      <c r="A30" s="101" t="s">
        <v>197</v>
      </c>
      <c r="B30" s="97"/>
      <c r="C30" s="97"/>
      <c r="D30" s="97"/>
      <c r="E30" s="97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</row>
    <row r="31" spans="1:17" ht="13.2">
      <c r="A31" s="100" t="s">
        <v>196</v>
      </c>
      <c r="B31" s="103">
        <v>7.8</v>
      </c>
      <c r="C31" s="103">
        <v>12.9</v>
      </c>
      <c r="D31" s="103">
        <v>17.3</v>
      </c>
      <c r="E31" s="103">
        <v>13.7</v>
      </c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</row>
    <row r="32" spans="1:17" ht="13.2">
      <c r="A32" s="100" t="s">
        <v>195</v>
      </c>
      <c r="B32" s="103">
        <v>7.8</v>
      </c>
      <c r="C32" s="103">
        <v>12.9</v>
      </c>
      <c r="D32" s="103">
        <v>17.3</v>
      </c>
      <c r="E32" s="103">
        <v>13.7</v>
      </c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</row>
    <row r="33" spans="1:17" ht="13.2">
      <c r="A33" s="99"/>
      <c r="B33" s="97"/>
      <c r="C33" s="97"/>
      <c r="D33" s="97"/>
      <c r="E33" s="97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</row>
    <row r="34" spans="1:17" ht="13.2">
      <c r="A34" s="101" t="s">
        <v>194</v>
      </c>
      <c r="B34" s="97">
        <v>64961</v>
      </c>
      <c r="C34" s="97">
        <v>106892</v>
      </c>
      <c r="D34" s="97">
        <v>142357</v>
      </c>
      <c r="E34" s="97">
        <f>E28</f>
        <v>113292</v>
      </c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</row>
    <row r="35" spans="1:17" ht="13.2">
      <c r="A35" s="99"/>
      <c r="B35" s="97"/>
      <c r="C35" s="97"/>
      <c r="D35" s="97"/>
      <c r="E35" s="97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</row>
    <row r="36" spans="1:17" ht="13.2">
      <c r="A36" s="101" t="s">
        <v>193</v>
      </c>
      <c r="B36" s="97"/>
      <c r="C36" s="97"/>
      <c r="D36" s="97"/>
      <c r="E36" s="97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</row>
    <row r="37" spans="1:17" ht="13.2">
      <c r="A37" s="101" t="s">
        <v>192</v>
      </c>
      <c r="B37" s="97"/>
      <c r="C37" s="97"/>
      <c r="D37" s="97"/>
      <c r="E37" s="97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</row>
    <row r="38" spans="1:17" ht="13.2">
      <c r="A38" s="100" t="s">
        <v>191</v>
      </c>
      <c r="B38" s="97" t="s">
        <v>184</v>
      </c>
      <c r="C38" s="97" t="s">
        <v>184</v>
      </c>
      <c r="D38" s="97" t="s">
        <v>184</v>
      </c>
      <c r="E38" s="97">
        <v>42</v>
      </c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</row>
    <row r="39" spans="1:17" ht="13.2">
      <c r="A39" s="100" t="s">
        <v>190</v>
      </c>
      <c r="B39" s="97" t="s">
        <v>184</v>
      </c>
      <c r="C39" s="97" t="s">
        <v>184</v>
      </c>
      <c r="D39" s="97">
        <v>30926</v>
      </c>
      <c r="E39" s="97" t="s">
        <v>184</v>
      </c>
      <c r="F39" s="97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</row>
    <row r="40" spans="1:17" ht="13.2">
      <c r="A40" s="101"/>
      <c r="B40" s="97"/>
      <c r="C40" s="97"/>
      <c r="D40" s="97"/>
      <c r="E40" s="97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</row>
    <row r="41" spans="1:17" ht="13.2">
      <c r="A41" s="101" t="s">
        <v>189</v>
      </c>
      <c r="B41" s="97"/>
      <c r="C41" s="97"/>
      <c r="D41" s="97"/>
      <c r="E41" s="97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</row>
    <row r="42" spans="1:17" ht="13.2">
      <c r="A42" s="100" t="s">
        <v>188</v>
      </c>
      <c r="B42" s="97">
        <v>-1091</v>
      </c>
      <c r="C42" s="97">
        <v>6805</v>
      </c>
      <c r="D42" s="97">
        <v>78654</v>
      </c>
      <c r="E42" s="97">
        <v>-36228</v>
      </c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</row>
    <row r="43" spans="1:17" ht="13.2">
      <c r="A43" s="100" t="s">
        <v>187</v>
      </c>
      <c r="B43" s="97" t="s">
        <v>184</v>
      </c>
      <c r="C43" s="97" t="s">
        <v>184</v>
      </c>
      <c r="D43" s="97">
        <v>10286</v>
      </c>
      <c r="E43" s="97" t="s">
        <v>184</v>
      </c>
      <c r="F43" s="97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</row>
    <row r="44" spans="1:17" ht="13.2">
      <c r="A44" s="100" t="s">
        <v>186</v>
      </c>
      <c r="B44" s="97">
        <v>16108</v>
      </c>
      <c r="C44" s="97">
        <v>-44667</v>
      </c>
      <c r="D44" s="97">
        <v>-12349</v>
      </c>
      <c r="E44" s="97">
        <v>6634</v>
      </c>
      <c r="F44" s="97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</row>
    <row r="45" spans="1:17" ht="13.2">
      <c r="A45" s="100" t="s">
        <v>185</v>
      </c>
      <c r="B45" s="97" t="s">
        <v>184</v>
      </c>
      <c r="C45" s="97" t="s">
        <v>184</v>
      </c>
      <c r="D45" s="97">
        <v>-9183</v>
      </c>
      <c r="E45" s="97">
        <v>-12329</v>
      </c>
      <c r="F45" s="97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</row>
    <row r="46" spans="1:17" ht="13.2">
      <c r="A46" s="100" t="s">
        <v>183</v>
      </c>
      <c r="B46" s="102">
        <v>615</v>
      </c>
      <c r="C46" s="102">
        <v>1272</v>
      </c>
      <c r="D46" s="102">
        <v>597</v>
      </c>
      <c r="E46" s="102">
        <v>-19554</v>
      </c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</row>
    <row r="47" spans="1:17" ht="13.2">
      <c r="A47" s="99"/>
      <c r="B47" s="97"/>
      <c r="C47" s="97"/>
      <c r="D47" s="97"/>
      <c r="E47" s="97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</row>
    <row r="48" spans="1:17" ht="13.2">
      <c r="A48" s="101" t="s">
        <v>182</v>
      </c>
      <c r="B48" s="102">
        <v>15632</v>
      </c>
      <c r="C48" s="102">
        <v>-36590</v>
      </c>
      <c r="D48" s="102">
        <v>98931</v>
      </c>
      <c r="E48" s="102">
        <v>-61435</v>
      </c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</row>
    <row r="49" spans="1:17" ht="13.2">
      <c r="A49" s="99"/>
      <c r="B49" s="97"/>
      <c r="C49" s="97"/>
      <c r="D49" s="97"/>
      <c r="E49" s="97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</row>
    <row r="50" spans="1:17" ht="13.2">
      <c r="A50" s="101" t="s">
        <v>181</v>
      </c>
      <c r="B50" s="102">
        <v>80593</v>
      </c>
      <c r="C50" s="102">
        <v>70302</v>
      </c>
      <c r="D50" s="102">
        <v>241288</v>
      </c>
      <c r="E50" s="102">
        <v>51857</v>
      </c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</row>
    <row r="51" spans="1:17" ht="13.2">
      <c r="A51" s="99"/>
      <c r="B51" s="97"/>
      <c r="C51" s="97"/>
      <c r="D51" s="97"/>
      <c r="E51" s="97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</row>
    <row r="52" spans="1:17" ht="13.2">
      <c r="A52" s="101" t="s">
        <v>180</v>
      </c>
      <c r="B52" s="97"/>
      <c r="C52" s="97"/>
      <c r="D52" s="97"/>
      <c r="E52" s="97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</row>
    <row r="53" spans="1:17" ht="13.2">
      <c r="A53" s="100" t="s">
        <v>179</v>
      </c>
      <c r="B53" s="97">
        <v>80319</v>
      </c>
      <c r="C53" s="97">
        <v>70831</v>
      </c>
      <c r="D53" s="97">
        <v>241021</v>
      </c>
      <c r="E53" s="97">
        <v>51362</v>
      </c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</row>
    <row r="54" spans="1:17" ht="13.2">
      <c r="A54" s="100" t="s">
        <v>178</v>
      </c>
      <c r="B54" s="97">
        <v>274</v>
      </c>
      <c r="C54" s="97">
        <v>-529</v>
      </c>
      <c r="D54" s="97">
        <v>267</v>
      </c>
      <c r="E54" s="97">
        <v>495</v>
      </c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</row>
    <row r="55" spans="1:17" ht="13.8" thickBot="1">
      <c r="A55" s="99"/>
      <c r="B55" s="98">
        <v>80593</v>
      </c>
      <c r="C55" s="98">
        <v>70302</v>
      </c>
      <c r="D55" s="98">
        <v>241288</v>
      </c>
      <c r="E55" s="98">
        <f>E50</f>
        <v>51857</v>
      </c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</row>
    <row r="56" spans="1:17" ht="13.8" thickTop="1">
      <c r="B56" s="97"/>
      <c r="C56" s="97"/>
      <c r="D56" s="97"/>
      <c r="E56" s="97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</row>
    <row r="57" spans="1:17" ht="13.2">
      <c r="B57" s="97"/>
      <c r="C57" s="97"/>
      <c r="D57" s="97"/>
      <c r="E57" s="97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</row>
    <row r="58" spans="1:17" ht="13.2">
      <c r="B58" s="97"/>
      <c r="C58" s="97"/>
      <c r="D58" s="97"/>
      <c r="E58" s="97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</row>
    <row r="59" spans="1:17" ht="13.2">
      <c r="B59" s="97"/>
      <c r="C59" s="97"/>
      <c r="D59" s="97"/>
      <c r="E59" s="97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</row>
    <row r="60" spans="1:17" ht="13.2">
      <c r="B60" s="97"/>
      <c r="C60" s="97"/>
      <c r="D60" s="97"/>
      <c r="E60" s="97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</row>
    <row r="61" spans="1:17" ht="13.2">
      <c r="B61" s="97"/>
      <c r="C61" s="97"/>
      <c r="D61" s="97"/>
      <c r="E61" s="97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</row>
    <row r="62" spans="1:17" ht="13.2">
      <c r="B62" s="97"/>
      <c r="C62" s="97"/>
      <c r="D62" s="97"/>
      <c r="E62" s="97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</row>
    <row r="63" spans="1:17" ht="13.2">
      <c r="B63" s="97"/>
      <c r="C63" s="97"/>
      <c r="D63" s="97"/>
      <c r="E63" s="97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</row>
    <row r="64" spans="1:17" ht="13.2">
      <c r="B64" s="97"/>
      <c r="C64" s="97"/>
      <c r="D64" s="97"/>
      <c r="E64" s="97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</row>
    <row r="65" spans="2:17" ht="13.2">
      <c r="B65" s="97"/>
      <c r="C65" s="97"/>
      <c r="D65" s="97"/>
      <c r="E65" s="97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</row>
    <row r="66" spans="2:17" ht="13.2">
      <c r="B66" s="97"/>
      <c r="C66" s="97"/>
      <c r="D66" s="97"/>
      <c r="E66" s="97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</row>
    <row r="67" spans="2:17" ht="13.2">
      <c r="B67" s="97"/>
      <c r="C67" s="97"/>
      <c r="D67" s="97"/>
      <c r="E67" s="97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</row>
    <row r="68" spans="2:17" ht="13.2">
      <c r="B68" s="97"/>
      <c r="C68" s="97"/>
      <c r="D68" s="97"/>
      <c r="E68" s="97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</row>
    <row r="69" spans="2:17" ht="13.2">
      <c r="B69" s="97"/>
      <c r="C69" s="97"/>
      <c r="D69" s="97"/>
      <c r="E69" s="97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</row>
    <row r="70" spans="2:17" ht="13.2">
      <c r="B70" s="97"/>
      <c r="C70" s="97"/>
      <c r="D70" s="97"/>
      <c r="E70" s="97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</row>
    <row r="71" spans="2:17" ht="13.2">
      <c r="B71" s="97"/>
      <c r="C71" s="97"/>
      <c r="D71" s="97"/>
      <c r="E71" s="97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</row>
    <row r="72" spans="2:17" ht="13.2">
      <c r="B72" s="97"/>
      <c r="C72" s="97"/>
      <c r="D72" s="97"/>
      <c r="E72" s="97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</row>
    <row r="73" spans="2:17" ht="13.2">
      <c r="B73" s="97"/>
      <c r="C73" s="97"/>
      <c r="D73" s="97"/>
      <c r="E73" s="97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</row>
    <row r="74" spans="2:17" ht="13.2">
      <c r="B74" s="97"/>
      <c r="C74" s="97"/>
      <c r="D74" s="97"/>
      <c r="E74" s="97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</row>
    <row r="75" spans="2:17" ht="13.2">
      <c r="B75" s="97"/>
      <c r="C75" s="97"/>
      <c r="D75" s="97"/>
      <c r="E75" s="97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</row>
    <row r="76" spans="2:17" ht="13.2">
      <c r="B76" s="97"/>
      <c r="C76" s="97"/>
      <c r="D76" s="97"/>
      <c r="E76" s="97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</row>
    <row r="77" spans="2:17" ht="13.2">
      <c r="B77" s="97"/>
      <c r="C77" s="97"/>
      <c r="D77" s="97"/>
      <c r="E77" s="97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</row>
    <row r="78" spans="2:17" ht="13.2">
      <c r="B78" s="97"/>
      <c r="C78" s="97"/>
      <c r="D78" s="97"/>
      <c r="E78" s="97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</row>
    <row r="79" spans="2:17" ht="13.2">
      <c r="B79" s="97"/>
      <c r="C79" s="97"/>
      <c r="D79" s="97"/>
      <c r="E79" s="97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</row>
    <row r="80" spans="2:17" ht="13.2">
      <c r="B80" s="97"/>
      <c r="C80" s="97"/>
      <c r="D80" s="97"/>
      <c r="E80" s="97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</row>
    <row r="81" spans="2:17" ht="13.2">
      <c r="B81" s="97"/>
      <c r="C81" s="97"/>
      <c r="D81" s="97"/>
      <c r="E81" s="97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</row>
    <row r="82" spans="2:17" ht="13.2">
      <c r="B82" s="97"/>
      <c r="C82" s="97"/>
      <c r="D82" s="97"/>
      <c r="E82" s="97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</row>
    <row r="83" spans="2:17" ht="13.2">
      <c r="B83" s="97"/>
      <c r="C83" s="97"/>
      <c r="D83" s="97"/>
      <c r="E83" s="97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</row>
    <row r="84" spans="2:17" ht="13.2">
      <c r="B84" s="97"/>
      <c r="C84" s="97"/>
      <c r="D84" s="97"/>
      <c r="E84" s="97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</row>
    <row r="85" spans="2:17" ht="13.2">
      <c r="B85" s="97"/>
      <c r="C85" s="97"/>
      <c r="D85" s="97"/>
      <c r="E85" s="97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</row>
    <row r="86" spans="2:17" ht="13.2">
      <c r="B86" s="97"/>
      <c r="C86" s="97"/>
      <c r="D86" s="97"/>
      <c r="E86" s="97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</row>
    <row r="87" spans="2:17" ht="13.2">
      <c r="B87" s="97"/>
      <c r="C87" s="97"/>
      <c r="D87" s="97"/>
      <c r="E87" s="97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</row>
    <row r="88" spans="2:17" ht="13.2">
      <c r="B88" s="97"/>
      <c r="C88" s="97"/>
      <c r="D88" s="97"/>
      <c r="E88" s="97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</row>
    <row r="89" spans="2:17" ht="13.2">
      <c r="B89" s="97"/>
      <c r="C89" s="97"/>
      <c r="D89" s="97"/>
      <c r="E89" s="97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</row>
    <row r="90" spans="2:17" ht="13.2">
      <c r="B90" s="97"/>
      <c r="C90" s="97"/>
      <c r="D90" s="97"/>
      <c r="E90" s="97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</row>
    <row r="91" spans="2:17" ht="13.2">
      <c r="B91" s="97"/>
      <c r="C91" s="97"/>
      <c r="D91" s="97"/>
      <c r="E91" s="97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</row>
    <row r="92" spans="2:17" ht="13.2">
      <c r="B92" s="97"/>
      <c r="C92" s="97"/>
      <c r="D92" s="97"/>
      <c r="E92" s="97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</row>
    <row r="93" spans="2:17" ht="13.2">
      <c r="B93" s="97"/>
      <c r="C93" s="97"/>
      <c r="D93" s="97"/>
      <c r="E93" s="97"/>
      <c r="F93" s="96"/>
      <c r="G93" s="96"/>
      <c r="H93" s="96"/>
      <c r="I93" s="96"/>
      <c r="J93" s="96"/>
      <c r="K93" s="96"/>
      <c r="L93" s="96"/>
      <c r="M93" s="96"/>
      <c r="N93" s="96"/>
      <c r="O93" s="96"/>
      <c r="P93" s="96"/>
      <c r="Q93" s="96"/>
    </row>
    <row r="94" spans="2:17" ht="13.2">
      <c r="B94" s="97"/>
      <c r="C94" s="97"/>
      <c r="D94" s="97"/>
      <c r="E94" s="97"/>
      <c r="F94" s="96"/>
      <c r="G94" s="96"/>
      <c r="H94" s="96"/>
      <c r="I94" s="96"/>
      <c r="J94" s="96"/>
      <c r="K94" s="96"/>
      <c r="L94" s="96"/>
      <c r="M94" s="96"/>
      <c r="N94" s="96"/>
      <c r="O94" s="96"/>
      <c r="P94" s="96"/>
      <c r="Q94" s="96"/>
    </row>
    <row r="95" spans="2:17" ht="13.2">
      <c r="B95" s="97"/>
      <c r="C95" s="97"/>
      <c r="D95" s="97"/>
      <c r="E95" s="97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</row>
    <row r="96" spans="2:17" ht="13.2">
      <c r="B96" s="97"/>
      <c r="C96" s="97"/>
      <c r="D96" s="97"/>
      <c r="E96" s="97"/>
      <c r="F96" s="96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</row>
    <row r="97" spans="2:17" ht="13.2">
      <c r="B97" s="97"/>
      <c r="C97" s="97"/>
      <c r="D97" s="97"/>
      <c r="E97" s="97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</row>
    <row r="98" spans="2:17" ht="13.2">
      <c r="B98" s="97"/>
      <c r="C98" s="97"/>
      <c r="D98" s="97"/>
      <c r="E98" s="97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</row>
    <row r="99" spans="2:17" ht="13.2">
      <c r="B99" s="97"/>
      <c r="C99" s="97"/>
      <c r="D99" s="97"/>
      <c r="E99" s="97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6"/>
      <c r="Q99" s="96"/>
    </row>
    <row r="100" spans="2:17" ht="13.2">
      <c r="B100" s="97"/>
      <c r="C100" s="97"/>
      <c r="D100" s="97"/>
      <c r="E100" s="97"/>
      <c r="F100" s="96"/>
      <c r="G100" s="96"/>
      <c r="H100" s="96"/>
      <c r="I100" s="96"/>
      <c r="J100" s="96"/>
      <c r="K100" s="96"/>
      <c r="L100" s="96"/>
      <c r="M100" s="96"/>
      <c r="N100" s="96"/>
      <c r="O100" s="96"/>
      <c r="P100" s="96"/>
      <c r="Q100" s="96"/>
    </row>
    <row r="101" spans="2:17" ht="13.2">
      <c r="B101" s="97"/>
      <c r="C101" s="97"/>
      <c r="D101" s="97"/>
      <c r="E101" s="97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</row>
    <row r="102" spans="2:17" ht="13.2">
      <c r="B102" s="97"/>
      <c r="C102" s="97"/>
      <c r="D102" s="97"/>
      <c r="E102" s="97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</row>
    <row r="103" spans="2:17" ht="13.2">
      <c r="B103" s="97"/>
      <c r="C103" s="97"/>
      <c r="D103" s="97"/>
      <c r="E103" s="97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</row>
    <row r="104" spans="2:17" ht="13.2">
      <c r="B104" s="97"/>
      <c r="C104" s="97"/>
      <c r="D104" s="97"/>
      <c r="E104" s="97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</row>
    <row r="105" spans="2:17" ht="13.2">
      <c r="B105" s="97"/>
      <c r="C105" s="97"/>
      <c r="D105" s="97"/>
      <c r="E105" s="97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</row>
    <row r="106" spans="2:17" ht="13.2">
      <c r="B106" s="97"/>
      <c r="C106" s="97"/>
      <c r="D106" s="97"/>
      <c r="E106" s="97"/>
      <c r="F106" s="96"/>
      <c r="G106" s="96"/>
      <c r="H106" s="96"/>
      <c r="I106" s="96"/>
      <c r="J106" s="96"/>
      <c r="K106" s="96"/>
      <c r="L106" s="96"/>
      <c r="M106" s="96"/>
      <c r="N106" s="96"/>
      <c r="O106" s="96"/>
      <c r="P106" s="96"/>
      <c r="Q106" s="96"/>
    </row>
    <row r="107" spans="2:17" ht="13.2">
      <c r="B107" s="97"/>
      <c r="C107" s="97"/>
      <c r="D107" s="97"/>
      <c r="E107" s="97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</row>
    <row r="108" spans="2:17" ht="13.2">
      <c r="B108" s="97"/>
      <c r="C108" s="97"/>
      <c r="D108" s="97"/>
      <c r="E108" s="97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</row>
    <row r="109" spans="2:17" ht="13.2">
      <c r="B109" s="97"/>
      <c r="C109" s="97"/>
      <c r="D109" s="97"/>
      <c r="E109" s="97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</row>
    <row r="110" spans="2:17" ht="13.2">
      <c r="B110" s="97"/>
      <c r="C110" s="97"/>
      <c r="D110" s="97"/>
      <c r="E110" s="97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</row>
    <row r="111" spans="2:17" ht="13.2">
      <c r="B111" s="97"/>
      <c r="C111" s="97"/>
      <c r="D111" s="97"/>
      <c r="E111" s="97"/>
      <c r="F111" s="96"/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</row>
    <row r="112" spans="2:17" ht="13.2">
      <c r="B112" s="97"/>
      <c r="C112" s="97"/>
      <c r="D112" s="97"/>
      <c r="E112" s="97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</row>
    <row r="113" spans="2:17" ht="13.2">
      <c r="B113" s="97"/>
      <c r="C113" s="97"/>
      <c r="D113" s="97"/>
      <c r="E113" s="97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</row>
    <row r="114" spans="2:17" ht="13.2">
      <c r="B114" s="97"/>
      <c r="C114" s="97"/>
      <c r="D114" s="97"/>
      <c r="E114" s="97"/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</row>
    <row r="115" spans="2:17" ht="13.2">
      <c r="B115" s="97"/>
      <c r="C115" s="97"/>
      <c r="D115" s="97"/>
      <c r="E115" s="97"/>
      <c r="F115" s="96"/>
      <c r="G115" s="96"/>
      <c r="H115" s="96"/>
      <c r="I115" s="96"/>
      <c r="J115" s="96"/>
      <c r="K115" s="96"/>
      <c r="L115" s="96"/>
      <c r="M115" s="96"/>
      <c r="N115" s="96"/>
      <c r="O115" s="96"/>
      <c r="P115" s="96"/>
      <c r="Q115" s="96"/>
    </row>
    <row r="116" spans="2:17" ht="13.2">
      <c r="B116" s="97"/>
      <c r="C116" s="97"/>
      <c r="D116" s="97"/>
      <c r="E116" s="97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</row>
    <row r="117" spans="2:17" ht="13.2">
      <c r="B117" s="97"/>
      <c r="C117" s="97"/>
      <c r="D117" s="97"/>
      <c r="E117" s="97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</row>
    <row r="118" spans="2:17" ht="13.2">
      <c r="B118" s="97"/>
      <c r="C118" s="97"/>
      <c r="D118" s="97"/>
      <c r="E118" s="97"/>
      <c r="F118" s="96"/>
      <c r="G118" s="96"/>
      <c r="H118" s="96"/>
      <c r="I118" s="96"/>
      <c r="J118" s="96"/>
      <c r="K118" s="96"/>
      <c r="L118" s="96"/>
      <c r="M118" s="96"/>
      <c r="N118" s="96"/>
      <c r="O118" s="96"/>
      <c r="P118" s="96"/>
      <c r="Q118" s="96"/>
    </row>
    <row r="119" spans="2:17" ht="13.2">
      <c r="B119" s="97"/>
      <c r="C119" s="97"/>
      <c r="D119" s="97"/>
      <c r="E119" s="97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</row>
    <row r="120" spans="2:17" ht="13.2">
      <c r="B120" s="97"/>
      <c r="C120" s="97"/>
      <c r="D120" s="97"/>
      <c r="E120" s="97"/>
      <c r="F120" s="96"/>
      <c r="G120" s="96"/>
      <c r="H120" s="96"/>
      <c r="I120" s="96"/>
      <c r="J120" s="96"/>
      <c r="K120" s="96"/>
      <c r="L120" s="96"/>
      <c r="M120" s="96"/>
      <c r="N120" s="96"/>
      <c r="O120" s="96"/>
      <c r="P120" s="96"/>
      <c r="Q120" s="96"/>
    </row>
    <row r="121" spans="2:17" ht="13.2">
      <c r="B121" s="97"/>
      <c r="C121" s="97"/>
      <c r="D121" s="97"/>
      <c r="E121" s="97"/>
      <c r="F121" s="96"/>
      <c r="G121" s="96"/>
      <c r="H121" s="96"/>
      <c r="I121" s="96"/>
      <c r="J121" s="96"/>
      <c r="K121" s="96"/>
      <c r="L121" s="96"/>
      <c r="M121" s="96"/>
      <c r="N121" s="96"/>
      <c r="O121" s="96"/>
      <c r="P121" s="96"/>
      <c r="Q121" s="96"/>
    </row>
    <row r="122" spans="2:17" ht="13.2">
      <c r="B122" s="97"/>
      <c r="C122" s="97"/>
      <c r="D122" s="97"/>
      <c r="E122" s="97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</row>
    <row r="123" spans="2:17" ht="13.2">
      <c r="B123" s="97"/>
      <c r="C123" s="97"/>
      <c r="D123" s="97"/>
      <c r="E123" s="97"/>
      <c r="F123" s="96"/>
      <c r="G123" s="96"/>
      <c r="H123" s="96"/>
      <c r="I123" s="96"/>
      <c r="J123" s="96"/>
      <c r="K123" s="96"/>
      <c r="L123" s="96"/>
      <c r="M123" s="96"/>
      <c r="N123" s="96"/>
      <c r="O123" s="96"/>
      <c r="P123" s="96"/>
      <c r="Q123" s="96"/>
    </row>
    <row r="124" spans="2:17" ht="13.2">
      <c r="B124" s="95"/>
      <c r="C124" s="95"/>
      <c r="D124" s="95"/>
      <c r="E124" s="95"/>
    </row>
    <row r="125" spans="2:17" ht="13.2">
      <c r="B125" s="95"/>
      <c r="C125" s="95"/>
      <c r="D125" s="95"/>
      <c r="E125" s="95"/>
    </row>
    <row r="126" spans="2:17" ht="13.2">
      <c r="B126" s="95"/>
      <c r="C126" s="95"/>
      <c r="D126" s="95"/>
      <c r="E126" s="95"/>
    </row>
    <row r="127" spans="2:17" ht="13.2">
      <c r="B127" s="95"/>
      <c r="C127" s="95"/>
      <c r="D127" s="95"/>
      <c r="E127" s="95"/>
    </row>
    <row r="128" spans="2:17" ht="13.2">
      <c r="B128" s="95"/>
      <c r="C128" s="95"/>
      <c r="D128" s="95"/>
      <c r="E128" s="95"/>
    </row>
    <row r="129" spans="2:5" ht="13.2">
      <c r="B129" s="95"/>
      <c r="C129" s="95"/>
      <c r="D129" s="95"/>
      <c r="E129" s="95"/>
    </row>
    <row r="130" spans="2:5" ht="13.2">
      <c r="B130" s="95"/>
      <c r="C130" s="95"/>
      <c r="D130" s="95"/>
      <c r="E130" s="95"/>
    </row>
    <row r="131" spans="2:5" ht="13.2">
      <c r="B131" s="95"/>
      <c r="C131" s="95"/>
      <c r="D131" s="95"/>
      <c r="E131" s="95"/>
    </row>
    <row r="132" spans="2:5" ht="13.2">
      <c r="B132" s="95"/>
      <c r="C132" s="95"/>
      <c r="D132" s="95"/>
      <c r="E132" s="95"/>
    </row>
    <row r="133" spans="2:5" ht="13.2">
      <c r="B133" s="95"/>
      <c r="C133" s="95"/>
      <c r="D133" s="95"/>
      <c r="E133" s="95"/>
    </row>
    <row r="134" spans="2:5" ht="13.2">
      <c r="B134" s="95"/>
      <c r="C134" s="95"/>
      <c r="D134" s="95"/>
      <c r="E134" s="95"/>
    </row>
    <row r="135" spans="2:5" ht="13.2">
      <c r="B135" s="95"/>
      <c r="C135" s="95"/>
      <c r="D135" s="95"/>
      <c r="E135" s="95"/>
    </row>
    <row r="136" spans="2:5" ht="13.2">
      <c r="B136" s="95"/>
      <c r="C136" s="95"/>
      <c r="D136" s="95"/>
      <c r="E136" s="95"/>
    </row>
    <row r="137" spans="2:5" ht="13.2">
      <c r="B137" s="95"/>
      <c r="C137" s="95"/>
      <c r="D137" s="95"/>
      <c r="E137" s="95"/>
    </row>
    <row r="138" spans="2:5" ht="13.2">
      <c r="B138" s="95"/>
      <c r="C138" s="95"/>
      <c r="D138" s="95"/>
      <c r="E138" s="95"/>
    </row>
    <row r="139" spans="2:5" ht="13.2">
      <c r="B139" s="95"/>
      <c r="C139" s="95"/>
      <c r="D139" s="95"/>
      <c r="E139" s="95"/>
    </row>
    <row r="140" spans="2:5" ht="13.2">
      <c r="B140" s="95"/>
      <c r="C140" s="95"/>
      <c r="D140" s="95"/>
      <c r="E140" s="95"/>
    </row>
    <row r="141" spans="2:5" ht="13.2">
      <c r="B141" s="95"/>
      <c r="C141" s="95"/>
      <c r="D141" s="95"/>
      <c r="E141" s="95"/>
    </row>
    <row r="142" spans="2:5" ht="13.2">
      <c r="B142" s="95"/>
      <c r="C142" s="95"/>
      <c r="D142" s="95"/>
      <c r="E142" s="95"/>
    </row>
    <row r="143" spans="2:5" ht="13.2">
      <c r="B143" s="95"/>
      <c r="C143" s="95"/>
      <c r="D143" s="95"/>
      <c r="E143" s="95"/>
    </row>
    <row r="144" spans="2:5" ht="13.2">
      <c r="B144" s="95"/>
      <c r="C144" s="95"/>
      <c r="D144" s="95"/>
      <c r="E144" s="95"/>
    </row>
    <row r="145" spans="2:5" ht="13.2">
      <c r="B145" s="95"/>
      <c r="C145" s="95"/>
      <c r="D145" s="95"/>
      <c r="E145" s="95"/>
    </row>
    <row r="146" spans="2:5" ht="13.2">
      <c r="B146" s="95"/>
      <c r="C146" s="95"/>
      <c r="D146" s="95"/>
      <c r="E146" s="95"/>
    </row>
    <row r="147" spans="2:5" ht="13.2">
      <c r="B147" s="95"/>
      <c r="C147" s="95"/>
      <c r="D147" s="95"/>
      <c r="E147" s="95"/>
    </row>
    <row r="148" spans="2:5" ht="13.2">
      <c r="B148" s="95"/>
      <c r="C148" s="95"/>
      <c r="D148" s="95"/>
      <c r="E148" s="95"/>
    </row>
    <row r="149" spans="2:5" ht="13.2">
      <c r="B149" s="95"/>
      <c r="C149" s="95"/>
      <c r="D149" s="95"/>
      <c r="E149" s="95"/>
    </row>
    <row r="150" spans="2:5" ht="13.2">
      <c r="B150" s="95"/>
      <c r="C150" s="95"/>
      <c r="D150" s="95"/>
      <c r="E150" s="95"/>
    </row>
    <row r="151" spans="2:5" ht="13.2">
      <c r="B151" s="95"/>
      <c r="C151" s="95"/>
      <c r="D151" s="95"/>
      <c r="E151" s="95"/>
    </row>
    <row r="152" spans="2:5" ht="13.2">
      <c r="B152" s="95"/>
      <c r="C152" s="95"/>
      <c r="D152" s="95"/>
      <c r="E152" s="95"/>
    </row>
    <row r="153" spans="2:5" ht="13.2">
      <c r="B153" s="95"/>
      <c r="C153" s="95"/>
      <c r="D153" s="95"/>
      <c r="E153" s="95"/>
    </row>
    <row r="154" spans="2:5" ht="13.2">
      <c r="B154" s="95"/>
      <c r="C154" s="95"/>
      <c r="D154" s="95"/>
      <c r="E154" s="95"/>
    </row>
    <row r="155" spans="2:5" ht="13.2">
      <c r="B155" s="95"/>
      <c r="C155" s="95"/>
      <c r="D155" s="95"/>
      <c r="E155" s="95"/>
    </row>
    <row r="156" spans="2:5" ht="13.2">
      <c r="B156" s="95"/>
      <c r="C156" s="95"/>
      <c r="D156" s="95"/>
      <c r="E156" s="95"/>
    </row>
    <row r="157" spans="2:5" ht="13.2">
      <c r="B157" s="95"/>
      <c r="C157" s="95"/>
      <c r="D157" s="95"/>
      <c r="E157" s="95"/>
    </row>
    <row r="158" spans="2:5" ht="13.2">
      <c r="B158" s="95"/>
      <c r="C158" s="95"/>
      <c r="D158" s="95"/>
      <c r="E158" s="95"/>
    </row>
    <row r="159" spans="2:5" ht="13.2">
      <c r="B159" s="95"/>
      <c r="C159" s="95"/>
      <c r="D159" s="95"/>
      <c r="E159" s="95"/>
    </row>
    <row r="160" spans="2:5" ht="13.2">
      <c r="B160" s="95"/>
      <c r="C160" s="95"/>
      <c r="D160" s="95"/>
      <c r="E160" s="95"/>
    </row>
    <row r="161" spans="2:5" ht="13.2">
      <c r="B161" s="95"/>
      <c r="C161" s="95"/>
      <c r="D161" s="95"/>
      <c r="E161" s="95"/>
    </row>
    <row r="162" spans="2:5" ht="13.2">
      <c r="B162" s="95"/>
      <c r="C162" s="95"/>
      <c r="D162" s="95"/>
      <c r="E162" s="95"/>
    </row>
    <row r="163" spans="2:5" ht="13.2">
      <c r="B163" s="95"/>
      <c r="C163" s="95"/>
      <c r="D163" s="95"/>
      <c r="E163" s="95"/>
    </row>
    <row r="164" spans="2:5" ht="13.2">
      <c r="B164" s="95"/>
      <c r="C164" s="95"/>
      <c r="D164" s="95"/>
      <c r="E164" s="95"/>
    </row>
    <row r="165" spans="2:5" ht="13.2">
      <c r="B165" s="95"/>
      <c r="C165" s="95"/>
      <c r="D165" s="95"/>
      <c r="E165" s="95"/>
    </row>
    <row r="166" spans="2:5" ht="13.2">
      <c r="B166" s="95"/>
      <c r="C166" s="95"/>
      <c r="D166" s="95"/>
      <c r="E166" s="95"/>
    </row>
    <row r="167" spans="2:5" ht="13.2">
      <c r="B167" s="95"/>
      <c r="C167" s="95"/>
      <c r="D167" s="95"/>
      <c r="E167" s="95"/>
    </row>
    <row r="168" spans="2:5" ht="13.2">
      <c r="B168" s="95"/>
      <c r="C168" s="95"/>
      <c r="D168" s="95"/>
      <c r="E168" s="95"/>
    </row>
    <row r="169" spans="2:5" ht="13.2">
      <c r="B169" s="95"/>
      <c r="C169" s="95"/>
      <c r="D169" s="95"/>
      <c r="E169" s="95"/>
    </row>
    <row r="170" spans="2:5" ht="13.2">
      <c r="B170" s="95"/>
      <c r="C170" s="95"/>
      <c r="D170" s="95"/>
      <c r="E170" s="95"/>
    </row>
    <row r="171" spans="2:5" ht="13.2">
      <c r="B171" s="95"/>
      <c r="C171" s="95"/>
      <c r="D171" s="95"/>
      <c r="E171" s="95"/>
    </row>
    <row r="172" spans="2:5" ht="13.2">
      <c r="B172" s="95"/>
      <c r="C172" s="95"/>
      <c r="D172" s="95"/>
      <c r="E172" s="95"/>
    </row>
    <row r="173" spans="2:5" ht="13.2">
      <c r="B173" s="95"/>
      <c r="C173" s="95"/>
      <c r="D173" s="95"/>
      <c r="E173" s="95"/>
    </row>
    <row r="174" spans="2:5" ht="13.2">
      <c r="B174" s="95"/>
      <c r="C174" s="95"/>
      <c r="D174" s="95"/>
      <c r="E174" s="95"/>
    </row>
    <row r="175" spans="2:5" ht="13.2">
      <c r="B175" s="95"/>
      <c r="C175" s="95"/>
      <c r="D175" s="95"/>
      <c r="E175" s="95"/>
    </row>
    <row r="176" spans="2:5" ht="13.2">
      <c r="B176" s="95"/>
      <c r="C176" s="95"/>
      <c r="D176" s="95"/>
      <c r="E176" s="95"/>
    </row>
    <row r="177" spans="2:5" ht="13.2">
      <c r="B177" s="95"/>
      <c r="C177" s="95"/>
      <c r="D177" s="95"/>
      <c r="E177" s="95"/>
    </row>
    <row r="178" spans="2:5" ht="13.2">
      <c r="B178" s="95"/>
      <c r="C178" s="95"/>
      <c r="D178" s="95"/>
      <c r="E178" s="95"/>
    </row>
    <row r="179" spans="2:5" ht="13.2">
      <c r="B179" s="95"/>
      <c r="C179" s="95"/>
      <c r="D179" s="95"/>
      <c r="E179" s="95"/>
    </row>
    <row r="180" spans="2:5" ht="13.2">
      <c r="B180" s="95"/>
      <c r="C180" s="95"/>
      <c r="D180" s="95"/>
      <c r="E180" s="95"/>
    </row>
    <row r="181" spans="2:5" ht="13.2">
      <c r="B181" s="95"/>
      <c r="C181" s="95"/>
      <c r="D181" s="95"/>
      <c r="E181" s="95"/>
    </row>
    <row r="182" spans="2:5" ht="13.2">
      <c r="B182" s="95"/>
      <c r="C182" s="95"/>
      <c r="D182" s="95"/>
      <c r="E182" s="95"/>
    </row>
    <row r="183" spans="2:5" ht="13.2">
      <c r="B183" s="95"/>
      <c r="C183" s="95"/>
      <c r="D183" s="95"/>
      <c r="E183" s="95"/>
    </row>
    <row r="184" spans="2:5" ht="13.2">
      <c r="B184" s="95"/>
      <c r="C184" s="95"/>
      <c r="D184" s="95"/>
      <c r="E184" s="95"/>
    </row>
    <row r="185" spans="2:5" ht="13.2">
      <c r="B185" s="95"/>
      <c r="C185" s="95"/>
      <c r="D185" s="95"/>
      <c r="E185" s="95"/>
    </row>
    <row r="186" spans="2:5" ht="13.2">
      <c r="B186" s="95"/>
      <c r="C186" s="95"/>
      <c r="D186" s="95"/>
      <c r="E186" s="95"/>
    </row>
    <row r="187" spans="2:5" ht="13.2">
      <c r="B187" s="95"/>
      <c r="C187" s="95"/>
      <c r="D187" s="95"/>
      <c r="E187" s="95"/>
    </row>
    <row r="188" spans="2:5" ht="13.2">
      <c r="B188" s="95"/>
      <c r="C188" s="95"/>
      <c r="D188" s="95"/>
      <c r="E188" s="95"/>
    </row>
    <row r="189" spans="2:5" ht="13.2">
      <c r="B189" s="95"/>
      <c r="C189" s="95"/>
      <c r="D189" s="95"/>
      <c r="E189" s="95"/>
    </row>
    <row r="190" spans="2:5" ht="13.2">
      <c r="B190" s="95"/>
      <c r="C190" s="95"/>
      <c r="D190" s="95"/>
      <c r="E190" s="95"/>
    </row>
    <row r="191" spans="2:5" ht="13.2">
      <c r="B191" s="95"/>
      <c r="C191" s="95"/>
      <c r="D191" s="95"/>
      <c r="E191" s="95"/>
    </row>
    <row r="192" spans="2:5" ht="13.2">
      <c r="B192" s="95"/>
      <c r="C192" s="95"/>
      <c r="D192" s="95"/>
      <c r="E192" s="95"/>
    </row>
    <row r="193" spans="2:5" ht="13.2">
      <c r="B193" s="95"/>
      <c r="C193" s="95"/>
      <c r="D193" s="95"/>
      <c r="E193" s="95"/>
    </row>
    <row r="194" spans="2:5" ht="13.2">
      <c r="B194" s="95"/>
      <c r="C194" s="95"/>
      <c r="D194" s="95"/>
      <c r="E194" s="95"/>
    </row>
    <row r="195" spans="2:5" ht="13.2">
      <c r="B195" s="95"/>
      <c r="C195" s="95"/>
      <c r="D195" s="95"/>
      <c r="E195" s="95"/>
    </row>
    <row r="196" spans="2:5" ht="13.2">
      <c r="B196" s="95"/>
      <c r="C196" s="95"/>
      <c r="D196" s="95"/>
      <c r="E196" s="95"/>
    </row>
    <row r="197" spans="2:5" ht="13.2">
      <c r="B197" s="95"/>
      <c r="C197" s="95"/>
      <c r="D197" s="95"/>
      <c r="E197" s="95"/>
    </row>
    <row r="198" spans="2:5" ht="13.2">
      <c r="B198" s="95"/>
      <c r="C198" s="95"/>
      <c r="D198" s="95"/>
      <c r="E198" s="95"/>
    </row>
    <row r="199" spans="2:5" ht="13.2">
      <c r="B199" s="95"/>
      <c r="C199" s="95"/>
      <c r="D199" s="95"/>
      <c r="E199" s="95"/>
    </row>
    <row r="200" spans="2:5" ht="13.2">
      <c r="B200" s="95"/>
      <c r="C200" s="95"/>
      <c r="D200" s="95"/>
      <c r="E200" s="95"/>
    </row>
    <row r="201" spans="2:5" ht="13.2">
      <c r="B201" s="95"/>
      <c r="C201" s="95"/>
      <c r="D201" s="95"/>
      <c r="E201" s="95"/>
    </row>
    <row r="202" spans="2:5" ht="13.2">
      <c r="B202" s="95"/>
      <c r="C202" s="95"/>
      <c r="D202" s="95"/>
      <c r="E202" s="95"/>
    </row>
    <row r="203" spans="2:5" ht="13.2">
      <c r="B203" s="95"/>
      <c r="C203" s="95"/>
      <c r="D203" s="95"/>
      <c r="E203" s="95"/>
    </row>
    <row r="204" spans="2:5" ht="13.2">
      <c r="B204" s="95"/>
      <c r="C204" s="95"/>
      <c r="D204" s="95"/>
      <c r="E204" s="95"/>
    </row>
    <row r="205" spans="2:5" ht="13.2">
      <c r="B205" s="95"/>
      <c r="C205" s="95"/>
      <c r="D205" s="95"/>
      <c r="E205" s="95"/>
    </row>
    <row r="206" spans="2:5" ht="13.2">
      <c r="B206" s="95"/>
      <c r="C206" s="95"/>
      <c r="D206" s="95"/>
      <c r="E206" s="95"/>
    </row>
    <row r="207" spans="2:5" ht="13.2">
      <c r="B207" s="95"/>
      <c r="C207" s="95"/>
      <c r="D207" s="95"/>
      <c r="E207" s="95"/>
    </row>
    <row r="208" spans="2:5" ht="13.2">
      <c r="B208" s="95"/>
      <c r="C208" s="95"/>
      <c r="D208" s="95"/>
      <c r="E208" s="95"/>
    </row>
    <row r="209" spans="2:5" ht="13.2">
      <c r="B209" s="95"/>
      <c r="C209" s="95"/>
      <c r="D209" s="95"/>
      <c r="E209" s="95"/>
    </row>
    <row r="210" spans="2:5" ht="13.2">
      <c r="B210" s="95"/>
      <c r="C210" s="95"/>
      <c r="D210" s="95"/>
      <c r="E210" s="95"/>
    </row>
    <row r="211" spans="2:5" ht="13.2">
      <c r="B211" s="95"/>
      <c r="C211" s="95"/>
      <c r="D211" s="95"/>
      <c r="E211" s="95"/>
    </row>
    <row r="212" spans="2:5" ht="13.2">
      <c r="B212" s="95"/>
      <c r="C212" s="95"/>
      <c r="D212" s="95"/>
      <c r="E212" s="95"/>
    </row>
    <row r="213" spans="2:5" ht="13.2">
      <c r="B213" s="95"/>
      <c r="C213" s="95"/>
      <c r="D213" s="95"/>
      <c r="E213" s="95"/>
    </row>
    <row r="214" spans="2:5" ht="13.2">
      <c r="B214" s="95"/>
      <c r="C214" s="95"/>
      <c r="D214" s="95"/>
      <c r="E214" s="95"/>
    </row>
    <row r="215" spans="2:5" ht="13.2">
      <c r="B215" s="95"/>
      <c r="C215" s="95"/>
      <c r="D215" s="95"/>
      <c r="E215" s="95"/>
    </row>
    <row r="216" spans="2:5" ht="13.2">
      <c r="B216" s="95"/>
      <c r="C216" s="95"/>
      <c r="D216" s="95"/>
      <c r="E216" s="95"/>
    </row>
    <row r="217" spans="2:5" ht="13.2">
      <c r="B217" s="95"/>
      <c r="C217" s="95"/>
      <c r="D217" s="95"/>
      <c r="E217" s="95"/>
    </row>
    <row r="218" spans="2:5" ht="13.2">
      <c r="B218" s="95"/>
      <c r="C218" s="95"/>
      <c r="D218" s="95"/>
      <c r="E218" s="95"/>
    </row>
    <row r="219" spans="2:5" ht="13.2">
      <c r="B219" s="95"/>
      <c r="C219" s="95"/>
      <c r="D219" s="95"/>
      <c r="E219" s="95"/>
    </row>
    <row r="220" spans="2:5" ht="13.2">
      <c r="B220" s="95"/>
      <c r="C220" s="95"/>
      <c r="D220" s="95"/>
      <c r="E220" s="95"/>
    </row>
    <row r="221" spans="2:5" ht="13.2">
      <c r="B221" s="95"/>
      <c r="C221" s="95"/>
      <c r="D221" s="95"/>
      <c r="E221" s="95"/>
    </row>
    <row r="222" spans="2:5" ht="13.2">
      <c r="B222" s="95"/>
      <c r="C222" s="95"/>
      <c r="D222" s="95"/>
      <c r="E222" s="95"/>
    </row>
    <row r="223" spans="2:5" ht="13.2">
      <c r="B223" s="95"/>
      <c r="C223" s="95"/>
      <c r="D223" s="95"/>
      <c r="E223" s="95"/>
    </row>
    <row r="224" spans="2:5" ht="13.2">
      <c r="B224" s="95"/>
      <c r="C224" s="95"/>
      <c r="D224" s="95"/>
      <c r="E224" s="95"/>
    </row>
    <row r="225" spans="2:5" ht="13.2">
      <c r="B225" s="95"/>
      <c r="C225" s="95"/>
      <c r="D225" s="95"/>
      <c r="E225" s="95"/>
    </row>
    <row r="226" spans="2:5" ht="13.2">
      <c r="B226" s="95"/>
      <c r="C226" s="95"/>
      <c r="D226" s="95"/>
      <c r="E226" s="95"/>
    </row>
    <row r="227" spans="2:5" ht="13.2">
      <c r="B227" s="95"/>
      <c r="C227" s="95"/>
      <c r="D227" s="95"/>
      <c r="E227" s="95"/>
    </row>
    <row r="228" spans="2:5" ht="13.2">
      <c r="B228" s="95"/>
      <c r="C228" s="95"/>
      <c r="D228" s="95"/>
      <c r="E228" s="95"/>
    </row>
    <row r="229" spans="2:5" ht="13.2">
      <c r="B229" s="95"/>
      <c r="C229" s="95"/>
      <c r="D229" s="95"/>
      <c r="E229" s="95"/>
    </row>
    <row r="230" spans="2:5" ht="13.2">
      <c r="B230" s="95"/>
      <c r="C230" s="95"/>
      <c r="D230" s="95"/>
      <c r="E230" s="95"/>
    </row>
    <row r="231" spans="2:5" ht="13.2">
      <c r="B231" s="95"/>
      <c r="C231" s="95"/>
      <c r="D231" s="95"/>
      <c r="E231" s="95"/>
    </row>
    <row r="232" spans="2:5" ht="13.2">
      <c r="B232" s="95"/>
      <c r="C232" s="95"/>
      <c r="D232" s="95"/>
      <c r="E232" s="95"/>
    </row>
    <row r="233" spans="2:5" ht="13.2">
      <c r="B233" s="95"/>
      <c r="C233" s="95"/>
      <c r="D233" s="95"/>
      <c r="E233" s="95"/>
    </row>
    <row r="234" spans="2:5" ht="13.2">
      <c r="B234" s="95"/>
      <c r="C234" s="95"/>
      <c r="D234" s="95"/>
      <c r="E234" s="95"/>
    </row>
    <row r="235" spans="2:5" ht="13.2">
      <c r="B235" s="95"/>
      <c r="C235" s="95"/>
      <c r="D235" s="95"/>
      <c r="E235" s="95"/>
    </row>
    <row r="236" spans="2:5" ht="13.2">
      <c r="B236" s="95"/>
      <c r="C236" s="95"/>
      <c r="D236" s="95"/>
      <c r="E236" s="95"/>
    </row>
    <row r="237" spans="2:5" ht="13.2">
      <c r="B237" s="95"/>
      <c r="C237" s="95"/>
      <c r="D237" s="95"/>
      <c r="E237" s="95"/>
    </row>
    <row r="238" spans="2:5" ht="13.2">
      <c r="B238" s="95"/>
      <c r="C238" s="95"/>
      <c r="D238" s="95"/>
      <c r="E238" s="95"/>
    </row>
    <row r="239" spans="2:5" ht="13.2">
      <c r="B239" s="95"/>
      <c r="C239" s="95"/>
      <c r="D239" s="95"/>
      <c r="E239" s="95"/>
    </row>
    <row r="240" spans="2:5" ht="13.2">
      <c r="B240" s="95"/>
      <c r="C240" s="95"/>
      <c r="D240" s="95"/>
      <c r="E240" s="95"/>
    </row>
    <row r="241" spans="2:5" ht="13.2">
      <c r="B241" s="95"/>
      <c r="C241" s="95"/>
      <c r="D241" s="95"/>
      <c r="E241" s="95"/>
    </row>
    <row r="242" spans="2:5" ht="13.2">
      <c r="B242" s="95"/>
      <c r="C242" s="95"/>
      <c r="D242" s="95"/>
      <c r="E242" s="95"/>
    </row>
    <row r="243" spans="2:5" ht="13.2">
      <c r="B243" s="95"/>
      <c r="C243" s="95"/>
      <c r="D243" s="95"/>
      <c r="E243" s="95"/>
    </row>
    <row r="244" spans="2:5" ht="13.2">
      <c r="B244" s="95"/>
      <c r="C244" s="95"/>
      <c r="D244" s="95"/>
      <c r="E244" s="95"/>
    </row>
    <row r="245" spans="2:5" ht="13.2">
      <c r="B245" s="95"/>
      <c r="C245" s="95"/>
      <c r="D245" s="95"/>
      <c r="E245" s="95"/>
    </row>
    <row r="246" spans="2:5" ht="13.2">
      <c r="B246" s="95"/>
      <c r="C246" s="95"/>
      <c r="D246" s="95"/>
      <c r="E246" s="95"/>
    </row>
    <row r="247" spans="2:5" ht="13.2">
      <c r="B247" s="95"/>
      <c r="C247" s="95"/>
      <c r="D247" s="95"/>
      <c r="E247" s="95"/>
    </row>
    <row r="248" spans="2:5" ht="13.2">
      <c r="B248" s="95"/>
      <c r="C248" s="95"/>
      <c r="D248" s="95"/>
      <c r="E248" s="95"/>
    </row>
    <row r="249" spans="2:5" ht="13.2">
      <c r="B249" s="95"/>
      <c r="C249" s="95"/>
      <c r="D249" s="95"/>
      <c r="E249" s="95"/>
    </row>
    <row r="250" spans="2:5" ht="13.2">
      <c r="B250" s="95"/>
      <c r="C250" s="95"/>
      <c r="D250" s="95"/>
      <c r="E250" s="95"/>
    </row>
    <row r="251" spans="2:5" ht="13.2">
      <c r="B251" s="95"/>
      <c r="C251" s="95"/>
      <c r="D251" s="95"/>
      <c r="E251" s="95"/>
    </row>
    <row r="252" spans="2:5" ht="13.2">
      <c r="B252" s="95"/>
      <c r="C252" s="95"/>
      <c r="D252" s="95"/>
      <c r="E252" s="95"/>
    </row>
    <row r="253" spans="2:5" ht="13.2">
      <c r="B253" s="95"/>
      <c r="C253" s="95"/>
      <c r="D253" s="95"/>
      <c r="E253" s="95"/>
    </row>
    <row r="254" spans="2:5" ht="13.2">
      <c r="B254" s="95"/>
      <c r="C254" s="95"/>
      <c r="D254" s="95"/>
      <c r="E254" s="95"/>
    </row>
    <row r="255" spans="2:5" ht="13.2">
      <c r="B255" s="95"/>
      <c r="C255" s="95"/>
      <c r="D255" s="95"/>
      <c r="E255" s="95"/>
    </row>
    <row r="256" spans="2:5" ht="13.2">
      <c r="B256" s="95"/>
      <c r="C256" s="95"/>
      <c r="D256" s="95"/>
      <c r="E256" s="95"/>
    </row>
    <row r="257" spans="2:5" ht="13.2">
      <c r="B257" s="95"/>
      <c r="C257" s="95"/>
      <c r="D257" s="95"/>
      <c r="E257" s="95"/>
    </row>
    <row r="258" spans="2:5" ht="13.2">
      <c r="B258" s="95"/>
      <c r="C258" s="95"/>
      <c r="D258" s="95"/>
      <c r="E258" s="95"/>
    </row>
    <row r="259" spans="2:5" ht="13.2">
      <c r="B259" s="95"/>
      <c r="C259" s="95"/>
      <c r="D259" s="95"/>
      <c r="E259" s="95"/>
    </row>
    <row r="260" spans="2:5" ht="13.2">
      <c r="B260" s="95"/>
      <c r="C260" s="95"/>
      <c r="D260" s="95"/>
      <c r="E260" s="95"/>
    </row>
    <row r="261" spans="2:5" ht="13.2">
      <c r="B261" s="95"/>
      <c r="C261" s="95"/>
      <c r="D261" s="95"/>
      <c r="E261" s="95"/>
    </row>
    <row r="262" spans="2:5" ht="13.2">
      <c r="B262" s="95"/>
      <c r="C262" s="95"/>
      <c r="D262" s="95"/>
      <c r="E262" s="95"/>
    </row>
    <row r="263" spans="2:5" ht="13.2">
      <c r="B263" s="95"/>
      <c r="C263" s="95"/>
      <c r="D263" s="95"/>
      <c r="E263" s="95"/>
    </row>
    <row r="264" spans="2:5" ht="13.2">
      <c r="B264" s="95"/>
      <c r="C264" s="95"/>
      <c r="D264" s="95"/>
      <c r="E264" s="95"/>
    </row>
    <row r="265" spans="2:5" ht="13.2">
      <c r="B265" s="95"/>
      <c r="C265" s="95"/>
      <c r="D265" s="95"/>
      <c r="E265" s="95"/>
    </row>
    <row r="266" spans="2:5" ht="13.2">
      <c r="B266" s="95"/>
      <c r="C266" s="95"/>
      <c r="D266" s="95"/>
      <c r="E266" s="95"/>
    </row>
    <row r="267" spans="2:5" ht="13.2">
      <c r="B267" s="95"/>
      <c r="C267" s="95"/>
      <c r="D267" s="95"/>
      <c r="E267" s="95"/>
    </row>
    <row r="268" spans="2:5" ht="13.2">
      <c r="B268" s="95"/>
      <c r="C268" s="95"/>
      <c r="D268" s="95"/>
      <c r="E268" s="95"/>
    </row>
    <row r="269" spans="2:5" ht="13.2">
      <c r="B269" s="95"/>
      <c r="C269" s="95"/>
      <c r="D269" s="95"/>
      <c r="E269" s="95"/>
    </row>
    <row r="270" spans="2:5" ht="13.2">
      <c r="B270" s="95"/>
      <c r="C270" s="95"/>
      <c r="D270" s="95"/>
      <c r="E270" s="95"/>
    </row>
    <row r="271" spans="2:5" ht="13.2">
      <c r="B271" s="95"/>
      <c r="C271" s="95"/>
      <c r="D271" s="95"/>
      <c r="E271" s="95"/>
    </row>
    <row r="272" spans="2:5" ht="13.2">
      <c r="B272" s="95"/>
      <c r="C272" s="95"/>
      <c r="D272" s="95"/>
      <c r="E272" s="95"/>
    </row>
    <row r="273" spans="2:5" ht="13.2">
      <c r="B273" s="95"/>
      <c r="C273" s="95"/>
      <c r="D273" s="95"/>
      <c r="E273" s="95"/>
    </row>
    <row r="274" spans="2:5" ht="13.2">
      <c r="B274" s="95"/>
      <c r="C274" s="95"/>
      <c r="D274" s="95"/>
      <c r="E274" s="95"/>
    </row>
    <row r="275" spans="2:5" ht="13.2">
      <c r="B275" s="95"/>
      <c r="C275" s="95"/>
      <c r="D275" s="95"/>
      <c r="E275" s="95"/>
    </row>
    <row r="276" spans="2:5" ht="13.2">
      <c r="B276" s="95"/>
      <c r="C276" s="95"/>
      <c r="D276" s="95"/>
      <c r="E276" s="95"/>
    </row>
    <row r="277" spans="2:5" ht="13.2">
      <c r="B277" s="95"/>
      <c r="C277" s="95"/>
      <c r="D277" s="95"/>
      <c r="E277" s="95"/>
    </row>
    <row r="278" spans="2:5" ht="13.2">
      <c r="B278" s="95"/>
      <c r="C278" s="95"/>
      <c r="D278" s="95"/>
      <c r="E278" s="95"/>
    </row>
    <row r="279" spans="2:5" ht="13.2">
      <c r="B279" s="95"/>
      <c r="C279" s="95"/>
      <c r="D279" s="95"/>
      <c r="E279" s="95"/>
    </row>
    <row r="280" spans="2:5" ht="13.2">
      <c r="B280" s="95"/>
      <c r="C280" s="95"/>
      <c r="D280" s="95"/>
      <c r="E280" s="95"/>
    </row>
    <row r="281" spans="2:5" ht="13.2">
      <c r="B281" s="95"/>
      <c r="C281" s="95"/>
      <c r="D281" s="95"/>
      <c r="E281" s="95"/>
    </row>
    <row r="282" spans="2:5" ht="13.2">
      <c r="B282" s="95"/>
      <c r="C282" s="95"/>
      <c r="D282" s="95"/>
      <c r="E282" s="95"/>
    </row>
    <row r="283" spans="2:5" ht="13.2">
      <c r="B283" s="95"/>
      <c r="C283" s="95"/>
      <c r="D283" s="95"/>
      <c r="E283" s="95"/>
    </row>
    <row r="284" spans="2:5" ht="13.2">
      <c r="B284" s="95"/>
      <c r="C284" s="95"/>
      <c r="D284" s="95"/>
      <c r="E284" s="95"/>
    </row>
    <row r="285" spans="2:5" ht="13.2">
      <c r="B285" s="95"/>
      <c r="C285" s="95"/>
      <c r="D285" s="95"/>
      <c r="E285" s="95"/>
    </row>
    <row r="286" spans="2:5" ht="13.2">
      <c r="B286" s="95"/>
      <c r="C286" s="95"/>
      <c r="D286" s="95"/>
      <c r="E286" s="95"/>
    </row>
    <row r="287" spans="2:5" ht="13.2">
      <c r="B287" s="95"/>
      <c r="C287" s="95"/>
      <c r="D287" s="95"/>
      <c r="E287" s="95"/>
    </row>
    <row r="288" spans="2:5" ht="13.2">
      <c r="B288" s="95"/>
      <c r="C288" s="95"/>
      <c r="D288" s="95"/>
      <c r="E288" s="95"/>
    </row>
    <row r="289" spans="2:5" ht="13.2">
      <c r="B289" s="95"/>
      <c r="C289" s="95"/>
      <c r="D289" s="95"/>
      <c r="E289" s="95"/>
    </row>
    <row r="290" spans="2:5" ht="13.2">
      <c r="B290" s="95"/>
      <c r="C290" s="95"/>
      <c r="D290" s="95"/>
      <c r="E290" s="95"/>
    </row>
    <row r="291" spans="2:5" ht="13.2">
      <c r="B291" s="95"/>
      <c r="C291" s="95"/>
      <c r="D291" s="95"/>
      <c r="E291" s="95"/>
    </row>
    <row r="292" spans="2:5" ht="13.2">
      <c r="B292" s="95"/>
      <c r="C292" s="95"/>
      <c r="D292" s="95"/>
      <c r="E292" s="95"/>
    </row>
    <row r="293" spans="2:5" ht="13.2">
      <c r="B293" s="95"/>
      <c r="C293" s="95"/>
      <c r="D293" s="95"/>
      <c r="E293" s="95"/>
    </row>
    <row r="294" spans="2:5" ht="13.2">
      <c r="B294" s="95"/>
      <c r="C294" s="95"/>
      <c r="D294" s="95"/>
      <c r="E294" s="95"/>
    </row>
    <row r="295" spans="2:5" ht="13.2">
      <c r="B295" s="95"/>
      <c r="C295" s="95"/>
      <c r="D295" s="95"/>
      <c r="E295" s="95"/>
    </row>
    <row r="296" spans="2:5" ht="13.2">
      <c r="B296" s="95"/>
      <c r="C296" s="95"/>
      <c r="D296" s="95"/>
      <c r="E296" s="95"/>
    </row>
    <row r="297" spans="2:5" ht="13.2">
      <c r="B297" s="95"/>
      <c r="C297" s="95"/>
      <c r="D297" s="95"/>
      <c r="E297" s="95"/>
    </row>
    <row r="298" spans="2:5" ht="13.2">
      <c r="B298" s="95"/>
      <c r="C298" s="95"/>
      <c r="D298" s="95"/>
      <c r="E298" s="95"/>
    </row>
    <row r="299" spans="2:5" ht="13.2">
      <c r="B299" s="95"/>
      <c r="C299" s="95"/>
      <c r="D299" s="95"/>
      <c r="E299" s="95"/>
    </row>
    <row r="300" spans="2:5" ht="13.2">
      <c r="B300" s="95"/>
      <c r="C300" s="95"/>
      <c r="D300" s="95"/>
      <c r="E300" s="95"/>
    </row>
    <row r="301" spans="2:5" ht="13.2">
      <c r="B301" s="95"/>
      <c r="C301" s="95"/>
      <c r="D301" s="95"/>
      <c r="E301" s="95"/>
    </row>
    <row r="302" spans="2:5" ht="13.2">
      <c r="B302" s="95"/>
      <c r="C302" s="95"/>
      <c r="D302" s="95"/>
      <c r="E302" s="95"/>
    </row>
    <row r="303" spans="2:5" ht="13.2">
      <c r="B303" s="95"/>
      <c r="C303" s="95"/>
      <c r="D303" s="95"/>
      <c r="E303" s="95"/>
    </row>
    <row r="304" spans="2:5" ht="13.2">
      <c r="B304" s="95"/>
      <c r="C304" s="95"/>
      <c r="D304" s="95"/>
      <c r="E304" s="95"/>
    </row>
    <row r="305" spans="2:5" ht="13.2">
      <c r="B305" s="95"/>
      <c r="C305" s="95"/>
      <c r="D305" s="95"/>
      <c r="E305" s="95"/>
    </row>
    <row r="306" spans="2:5" ht="13.2">
      <c r="B306" s="95"/>
      <c r="C306" s="95"/>
      <c r="D306" s="95"/>
      <c r="E306" s="95"/>
    </row>
    <row r="307" spans="2:5" ht="13.2">
      <c r="B307" s="95"/>
      <c r="C307" s="95"/>
      <c r="D307" s="95"/>
      <c r="E307" s="95"/>
    </row>
    <row r="308" spans="2:5" ht="13.2">
      <c r="B308" s="95"/>
      <c r="C308" s="95"/>
      <c r="D308" s="95"/>
      <c r="E308" s="95"/>
    </row>
    <row r="309" spans="2:5" ht="13.2">
      <c r="B309" s="95"/>
      <c r="C309" s="95"/>
      <c r="D309" s="95"/>
      <c r="E309" s="95"/>
    </row>
    <row r="310" spans="2:5" ht="13.2">
      <c r="B310" s="95"/>
      <c r="C310" s="95"/>
      <c r="D310" s="95"/>
      <c r="E310" s="95"/>
    </row>
    <row r="311" spans="2:5" ht="13.2">
      <c r="B311" s="95"/>
      <c r="C311" s="95"/>
      <c r="D311" s="95"/>
      <c r="E311" s="95"/>
    </row>
    <row r="312" spans="2:5" ht="13.2">
      <c r="B312" s="95"/>
      <c r="C312" s="95"/>
      <c r="D312" s="95"/>
      <c r="E312" s="95"/>
    </row>
    <row r="313" spans="2:5" ht="13.2">
      <c r="B313" s="95"/>
      <c r="C313" s="95"/>
      <c r="D313" s="95"/>
      <c r="E313" s="95"/>
    </row>
    <row r="314" spans="2:5" ht="13.2">
      <c r="B314" s="95"/>
      <c r="C314" s="95"/>
      <c r="D314" s="95"/>
      <c r="E314" s="95"/>
    </row>
    <row r="315" spans="2:5" ht="13.2">
      <c r="B315" s="95"/>
      <c r="C315" s="95"/>
      <c r="D315" s="95"/>
      <c r="E315" s="95"/>
    </row>
    <row r="316" spans="2:5" ht="13.2">
      <c r="B316" s="95"/>
      <c r="C316" s="95"/>
      <c r="D316" s="95"/>
      <c r="E316" s="95"/>
    </row>
    <row r="317" spans="2:5" ht="13.2">
      <c r="B317" s="95"/>
      <c r="C317" s="95"/>
      <c r="D317" s="95"/>
      <c r="E317" s="95"/>
    </row>
    <row r="318" spans="2:5" ht="13.2">
      <c r="B318" s="95"/>
      <c r="C318" s="95"/>
      <c r="D318" s="95"/>
      <c r="E318" s="95"/>
    </row>
    <row r="319" spans="2:5" ht="13.2">
      <c r="B319" s="95"/>
      <c r="C319" s="95"/>
      <c r="D319" s="95"/>
      <c r="E319" s="95"/>
    </row>
    <row r="320" spans="2:5" ht="13.2">
      <c r="B320" s="95"/>
      <c r="C320" s="95"/>
      <c r="D320" s="95"/>
      <c r="E320" s="95"/>
    </row>
    <row r="321" spans="2:5" ht="13.2">
      <c r="B321" s="95"/>
      <c r="C321" s="95"/>
      <c r="D321" s="95"/>
      <c r="E321" s="95"/>
    </row>
    <row r="322" spans="2:5" ht="13.2">
      <c r="B322" s="95"/>
      <c r="C322" s="95"/>
      <c r="D322" s="95"/>
      <c r="E322" s="95"/>
    </row>
    <row r="323" spans="2:5" ht="13.2">
      <c r="B323" s="95"/>
      <c r="C323" s="95"/>
      <c r="D323" s="95"/>
      <c r="E323" s="95"/>
    </row>
    <row r="324" spans="2:5" ht="13.2">
      <c r="B324" s="95"/>
      <c r="C324" s="95"/>
      <c r="D324" s="95"/>
      <c r="E324" s="95"/>
    </row>
    <row r="325" spans="2:5" ht="13.2">
      <c r="B325" s="95"/>
      <c r="C325" s="95"/>
      <c r="D325" s="95"/>
      <c r="E325" s="95"/>
    </row>
    <row r="326" spans="2:5" ht="13.2">
      <c r="B326" s="95"/>
      <c r="C326" s="95"/>
      <c r="D326" s="95"/>
      <c r="E326" s="95"/>
    </row>
    <row r="327" spans="2:5" ht="13.2">
      <c r="B327" s="95"/>
      <c r="C327" s="95"/>
      <c r="D327" s="95"/>
      <c r="E327" s="95"/>
    </row>
    <row r="328" spans="2:5" ht="13.2">
      <c r="B328" s="95"/>
      <c r="C328" s="95"/>
      <c r="D328" s="95"/>
      <c r="E328" s="95"/>
    </row>
    <row r="329" spans="2:5" ht="13.2">
      <c r="B329" s="95"/>
      <c r="C329" s="95"/>
      <c r="D329" s="95"/>
      <c r="E329" s="95"/>
    </row>
    <row r="330" spans="2:5" ht="13.2">
      <c r="B330" s="95"/>
      <c r="C330" s="95"/>
      <c r="D330" s="95"/>
      <c r="E330" s="95"/>
    </row>
    <row r="331" spans="2:5" ht="13.2">
      <c r="B331" s="95"/>
      <c r="C331" s="95"/>
      <c r="D331" s="95"/>
      <c r="E331" s="95"/>
    </row>
    <row r="332" spans="2:5" ht="13.2">
      <c r="B332" s="95"/>
      <c r="C332" s="95"/>
      <c r="D332" s="95"/>
      <c r="E332" s="95"/>
    </row>
    <row r="333" spans="2:5" ht="13.2">
      <c r="B333" s="95"/>
      <c r="C333" s="95"/>
      <c r="D333" s="95"/>
      <c r="E333" s="95"/>
    </row>
    <row r="334" spans="2:5" ht="13.2">
      <c r="B334" s="95"/>
      <c r="C334" s="95"/>
      <c r="D334" s="95"/>
      <c r="E334" s="95"/>
    </row>
    <row r="335" spans="2:5" ht="13.2">
      <c r="B335" s="95"/>
      <c r="C335" s="95"/>
      <c r="D335" s="95"/>
      <c r="E335" s="95"/>
    </row>
    <row r="336" spans="2:5" ht="13.2">
      <c r="B336" s="95"/>
      <c r="C336" s="95"/>
      <c r="D336" s="95"/>
      <c r="E336" s="95"/>
    </row>
    <row r="337" spans="2:5" ht="13.2">
      <c r="B337" s="95"/>
      <c r="C337" s="95"/>
      <c r="D337" s="95"/>
      <c r="E337" s="95"/>
    </row>
    <row r="338" spans="2:5" ht="13.2">
      <c r="B338" s="95"/>
      <c r="C338" s="95"/>
      <c r="D338" s="95"/>
      <c r="E338" s="95"/>
    </row>
    <row r="339" spans="2:5" ht="13.2">
      <c r="B339" s="95"/>
      <c r="C339" s="95"/>
      <c r="D339" s="95"/>
      <c r="E339" s="95"/>
    </row>
    <row r="340" spans="2:5" ht="13.2">
      <c r="B340" s="95"/>
      <c r="C340" s="95"/>
      <c r="D340" s="95"/>
      <c r="E340" s="95"/>
    </row>
    <row r="341" spans="2:5" ht="13.2">
      <c r="B341" s="95"/>
      <c r="C341" s="95"/>
      <c r="D341" s="95"/>
      <c r="E341" s="95"/>
    </row>
    <row r="342" spans="2:5" ht="13.2">
      <c r="B342" s="95"/>
      <c r="C342" s="95"/>
      <c r="D342" s="95"/>
      <c r="E342" s="95"/>
    </row>
    <row r="343" spans="2:5" ht="13.2">
      <c r="B343" s="95"/>
      <c r="C343" s="95"/>
      <c r="D343" s="95"/>
      <c r="E343" s="95"/>
    </row>
    <row r="344" spans="2:5" ht="13.2">
      <c r="B344" s="95"/>
      <c r="C344" s="95"/>
      <c r="D344" s="95"/>
      <c r="E344" s="95"/>
    </row>
    <row r="345" spans="2:5" ht="13.2">
      <c r="B345" s="95"/>
      <c r="C345" s="95"/>
      <c r="D345" s="95"/>
      <c r="E345" s="95"/>
    </row>
    <row r="346" spans="2:5" ht="13.2">
      <c r="B346" s="95"/>
      <c r="C346" s="95"/>
      <c r="D346" s="95"/>
      <c r="E346" s="95"/>
    </row>
    <row r="347" spans="2:5" ht="13.2">
      <c r="B347" s="95"/>
      <c r="C347" s="95"/>
      <c r="D347" s="95"/>
      <c r="E347" s="95"/>
    </row>
    <row r="348" spans="2:5" ht="13.2">
      <c r="B348" s="95"/>
      <c r="C348" s="95"/>
      <c r="D348" s="95"/>
      <c r="E348" s="95"/>
    </row>
    <row r="349" spans="2:5" ht="13.2">
      <c r="B349" s="95"/>
      <c r="C349" s="95"/>
      <c r="D349" s="95"/>
      <c r="E349" s="95"/>
    </row>
    <row r="350" spans="2:5" ht="13.2">
      <c r="B350" s="95"/>
      <c r="C350" s="95"/>
      <c r="D350" s="95"/>
      <c r="E350" s="95"/>
    </row>
    <row r="351" spans="2:5" ht="13.2">
      <c r="B351" s="95"/>
      <c r="C351" s="95"/>
      <c r="D351" s="95"/>
      <c r="E351" s="95"/>
    </row>
    <row r="352" spans="2:5" ht="13.2">
      <c r="B352" s="95"/>
      <c r="C352" s="95"/>
      <c r="D352" s="95"/>
      <c r="E352" s="95"/>
    </row>
    <row r="353" spans="2:5" ht="13.2">
      <c r="B353" s="95"/>
      <c r="C353" s="95"/>
      <c r="D353" s="95"/>
      <c r="E353" s="95"/>
    </row>
    <row r="354" spans="2:5" ht="13.2">
      <c r="B354" s="95"/>
      <c r="C354" s="95"/>
      <c r="D354" s="95"/>
      <c r="E354" s="95"/>
    </row>
    <row r="355" spans="2:5" ht="13.2">
      <c r="B355" s="95"/>
      <c r="C355" s="95"/>
      <c r="D355" s="95"/>
      <c r="E355" s="95"/>
    </row>
    <row r="356" spans="2:5" ht="13.2">
      <c r="B356" s="95"/>
      <c r="C356" s="95"/>
      <c r="D356" s="95"/>
      <c r="E356" s="95"/>
    </row>
    <row r="357" spans="2:5" ht="13.2">
      <c r="B357" s="95"/>
      <c r="C357" s="95"/>
      <c r="D357" s="95"/>
      <c r="E357" s="95"/>
    </row>
    <row r="358" spans="2:5" ht="13.2">
      <c r="B358" s="95"/>
      <c r="C358" s="95"/>
      <c r="D358" s="95"/>
      <c r="E358" s="95"/>
    </row>
    <row r="359" spans="2:5" ht="13.2">
      <c r="B359" s="95"/>
      <c r="C359" s="95"/>
      <c r="D359" s="95"/>
      <c r="E359" s="95"/>
    </row>
    <row r="360" spans="2:5" ht="13.2">
      <c r="B360" s="95"/>
      <c r="C360" s="95"/>
      <c r="D360" s="95"/>
      <c r="E360" s="95"/>
    </row>
    <row r="361" spans="2:5" ht="13.2">
      <c r="B361" s="95"/>
      <c r="C361" s="95"/>
      <c r="D361" s="95"/>
      <c r="E361" s="95"/>
    </row>
    <row r="362" spans="2:5" ht="13.2">
      <c r="B362" s="95"/>
      <c r="C362" s="95"/>
      <c r="D362" s="95"/>
      <c r="E362" s="95"/>
    </row>
    <row r="363" spans="2:5" ht="13.2">
      <c r="B363" s="95"/>
      <c r="C363" s="95"/>
      <c r="D363" s="95"/>
      <c r="E363" s="95"/>
    </row>
    <row r="364" spans="2:5" ht="13.2">
      <c r="B364" s="95"/>
      <c r="C364" s="95"/>
      <c r="D364" s="95"/>
      <c r="E364" s="95"/>
    </row>
    <row r="365" spans="2:5" ht="13.2">
      <c r="B365" s="95"/>
      <c r="C365" s="95"/>
      <c r="D365" s="95"/>
      <c r="E365" s="95"/>
    </row>
    <row r="366" spans="2:5" ht="13.2">
      <c r="B366" s="95"/>
      <c r="C366" s="95"/>
      <c r="D366" s="95"/>
      <c r="E366" s="95"/>
    </row>
    <row r="367" spans="2:5" ht="13.2">
      <c r="B367" s="95"/>
      <c r="C367" s="95"/>
      <c r="D367" s="95"/>
      <c r="E367" s="95"/>
    </row>
    <row r="368" spans="2:5" ht="13.2">
      <c r="B368" s="95"/>
      <c r="C368" s="95"/>
      <c r="D368" s="95"/>
      <c r="E368" s="95"/>
    </row>
    <row r="369" spans="2:5" ht="13.2">
      <c r="B369" s="95"/>
      <c r="C369" s="95"/>
      <c r="D369" s="95"/>
      <c r="E369" s="95"/>
    </row>
    <row r="370" spans="2:5" ht="13.2">
      <c r="B370" s="95"/>
      <c r="C370" s="95"/>
      <c r="D370" s="95"/>
      <c r="E370" s="95"/>
    </row>
    <row r="371" spans="2:5" ht="13.2">
      <c r="B371" s="95"/>
      <c r="C371" s="95"/>
      <c r="D371" s="95"/>
      <c r="E371" s="95"/>
    </row>
    <row r="372" spans="2:5" ht="13.2">
      <c r="B372" s="95"/>
      <c r="C372" s="95"/>
      <c r="D372" s="95"/>
      <c r="E372" s="95"/>
    </row>
    <row r="373" spans="2:5" ht="13.2">
      <c r="B373" s="95"/>
      <c r="C373" s="95"/>
      <c r="D373" s="95"/>
      <c r="E373" s="95"/>
    </row>
    <row r="374" spans="2:5" ht="13.2">
      <c r="B374" s="95"/>
      <c r="C374" s="95"/>
      <c r="D374" s="95"/>
      <c r="E374" s="95"/>
    </row>
    <row r="375" spans="2:5" ht="13.2">
      <c r="B375" s="95"/>
      <c r="C375" s="95"/>
      <c r="D375" s="95"/>
      <c r="E375" s="95"/>
    </row>
    <row r="376" spans="2:5" ht="13.2">
      <c r="B376" s="95"/>
      <c r="C376" s="95"/>
      <c r="D376" s="95"/>
      <c r="E376" s="95"/>
    </row>
    <row r="377" spans="2:5" ht="13.2">
      <c r="B377" s="95"/>
      <c r="C377" s="95"/>
      <c r="D377" s="95"/>
      <c r="E377" s="95"/>
    </row>
    <row r="378" spans="2:5" ht="13.2">
      <c r="B378" s="95"/>
      <c r="C378" s="95"/>
      <c r="D378" s="95"/>
      <c r="E378" s="95"/>
    </row>
    <row r="379" spans="2:5" ht="13.2">
      <c r="B379" s="95"/>
      <c r="C379" s="95"/>
      <c r="D379" s="95"/>
      <c r="E379" s="95"/>
    </row>
    <row r="380" spans="2:5" ht="13.2">
      <c r="B380" s="95"/>
      <c r="C380" s="95"/>
      <c r="D380" s="95"/>
      <c r="E380" s="95"/>
    </row>
    <row r="381" spans="2:5" ht="13.2">
      <c r="B381" s="95"/>
      <c r="C381" s="95"/>
      <c r="D381" s="95"/>
      <c r="E381" s="95"/>
    </row>
    <row r="382" spans="2:5" ht="13.2">
      <c r="B382" s="95"/>
      <c r="C382" s="95"/>
      <c r="D382" s="95"/>
      <c r="E382" s="95"/>
    </row>
    <row r="383" spans="2:5" ht="13.2">
      <c r="B383" s="95"/>
      <c r="C383" s="95"/>
      <c r="D383" s="95"/>
      <c r="E383" s="95"/>
    </row>
    <row r="384" spans="2:5" ht="13.2">
      <c r="B384" s="95"/>
      <c r="C384" s="95"/>
      <c r="D384" s="95"/>
      <c r="E384" s="95"/>
    </row>
    <row r="385" spans="2:5" ht="13.2">
      <c r="B385" s="95"/>
      <c r="C385" s="95"/>
      <c r="D385" s="95"/>
      <c r="E385" s="95"/>
    </row>
    <row r="386" spans="2:5" ht="13.2">
      <c r="B386" s="95"/>
      <c r="C386" s="95"/>
      <c r="D386" s="95"/>
      <c r="E386" s="95"/>
    </row>
    <row r="387" spans="2:5" ht="13.2">
      <c r="B387" s="95"/>
      <c r="C387" s="95"/>
      <c r="D387" s="95"/>
      <c r="E387" s="95"/>
    </row>
    <row r="388" spans="2:5" ht="13.2">
      <c r="B388" s="95"/>
      <c r="C388" s="95"/>
      <c r="D388" s="95"/>
      <c r="E388" s="95"/>
    </row>
    <row r="389" spans="2:5" ht="13.2">
      <c r="B389" s="95"/>
      <c r="C389" s="95"/>
      <c r="D389" s="95"/>
      <c r="E389" s="95"/>
    </row>
    <row r="390" spans="2:5" ht="13.2">
      <c r="B390" s="95"/>
      <c r="C390" s="95"/>
      <c r="D390" s="95"/>
      <c r="E390" s="95"/>
    </row>
    <row r="391" spans="2:5" ht="13.2">
      <c r="B391" s="95"/>
      <c r="C391" s="95"/>
      <c r="D391" s="95"/>
      <c r="E391" s="95"/>
    </row>
    <row r="392" spans="2:5" ht="13.2">
      <c r="B392" s="95"/>
      <c r="C392" s="95"/>
      <c r="D392" s="95"/>
      <c r="E392" s="95"/>
    </row>
    <row r="393" spans="2:5" ht="13.2">
      <c r="B393" s="95"/>
      <c r="C393" s="95"/>
      <c r="D393" s="95"/>
      <c r="E393" s="95"/>
    </row>
    <row r="394" spans="2:5" ht="13.2">
      <c r="B394" s="95"/>
      <c r="C394" s="95"/>
      <c r="D394" s="95"/>
      <c r="E394" s="95"/>
    </row>
    <row r="395" spans="2:5" ht="13.2">
      <c r="B395" s="95"/>
      <c r="C395" s="95"/>
      <c r="D395" s="95"/>
      <c r="E395" s="95"/>
    </row>
    <row r="396" spans="2:5" ht="13.2">
      <c r="B396" s="95"/>
      <c r="C396" s="95"/>
      <c r="D396" s="95"/>
      <c r="E396" s="95"/>
    </row>
    <row r="397" spans="2:5" ht="13.2">
      <c r="B397" s="95"/>
      <c r="C397" s="95"/>
      <c r="D397" s="95"/>
      <c r="E397" s="95"/>
    </row>
    <row r="398" spans="2:5" ht="13.2">
      <c r="B398" s="95"/>
      <c r="C398" s="95"/>
      <c r="D398" s="95"/>
      <c r="E398" s="95"/>
    </row>
    <row r="399" spans="2:5" ht="13.2">
      <c r="B399" s="95"/>
      <c r="C399" s="95"/>
      <c r="D399" s="95"/>
      <c r="E399" s="95"/>
    </row>
    <row r="400" spans="2:5" ht="13.2">
      <c r="B400" s="95"/>
      <c r="C400" s="95"/>
      <c r="D400" s="95"/>
      <c r="E400" s="95"/>
    </row>
    <row r="401" spans="2:5" ht="13.2">
      <c r="B401" s="95"/>
      <c r="C401" s="95"/>
      <c r="D401" s="95"/>
      <c r="E401" s="95"/>
    </row>
    <row r="402" spans="2:5" ht="13.2">
      <c r="B402" s="95"/>
      <c r="C402" s="95"/>
      <c r="D402" s="95"/>
      <c r="E402" s="95"/>
    </row>
    <row r="403" spans="2:5" ht="13.2">
      <c r="B403" s="95"/>
      <c r="C403" s="95"/>
      <c r="D403" s="95"/>
      <c r="E403" s="95"/>
    </row>
    <row r="404" spans="2:5" ht="13.2">
      <c r="B404" s="95"/>
      <c r="C404" s="95"/>
      <c r="D404" s="95"/>
      <c r="E404" s="95"/>
    </row>
    <row r="405" spans="2:5" ht="13.2">
      <c r="B405" s="95"/>
      <c r="C405" s="95"/>
      <c r="D405" s="95"/>
      <c r="E405" s="95"/>
    </row>
    <row r="406" spans="2:5" ht="13.2">
      <c r="B406" s="95"/>
      <c r="C406" s="95"/>
      <c r="D406" s="95"/>
      <c r="E406" s="95"/>
    </row>
    <row r="407" spans="2:5" ht="13.2">
      <c r="B407" s="95"/>
      <c r="C407" s="95"/>
      <c r="D407" s="95"/>
      <c r="E407" s="95"/>
    </row>
    <row r="408" spans="2:5" ht="13.2">
      <c r="B408" s="95"/>
      <c r="C408" s="95"/>
      <c r="D408" s="95"/>
      <c r="E408" s="95"/>
    </row>
    <row r="409" spans="2:5" ht="13.2">
      <c r="B409" s="95"/>
      <c r="C409" s="95"/>
      <c r="D409" s="95"/>
      <c r="E409" s="95"/>
    </row>
    <row r="410" spans="2:5" ht="13.2">
      <c r="B410" s="95"/>
      <c r="C410" s="95"/>
      <c r="D410" s="95"/>
      <c r="E410" s="95"/>
    </row>
    <row r="411" spans="2:5" ht="13.2">
      <c r="B411" s="95"/>
      <c r="C411" s="95"/>
      <c r="D411" s="95"/>
      <c r="E411" s="95"/>
    </row>
    <row r="412" spans="2:5" ht="13.2">
      <c r="B412" s="95"/>
      <c r="C412" s="95"/>
      <c r="D412" s="95"/>
      <c r="E412" s="95"/>
    </row>
    <row r="413" spans="2:5" ht="13.2">
      <c r="B413" s="95"/>
      <c r="C413" s="95"/>
      <c r="D413" s="95"/>
      <c r="E413" s="95"/>
    </row>
    <row r="414" spans="2:5" ht="13.2">
      <c r="B414" s="95"/>
      <c r="C414" s="95"/>
      <c r="D414" s="95"/>
      <c r="E414" s="95"/>
    </row>
    <row r="415" spans="2:5" ht="13.2">
      <c r="B415" s="95"/>
      <c r="C415" s="95"/>
      <c r="D415" s="95"/>
      <c r="E415" s="95"/>
    </row>
    <row r="416" spans="2:5" ht="13.2">
      <c r="B416" s="95"/>
      <c r="C416" s="95"/>
      <c r="D416" s="95"/>
      <c r="E416" s="95"/>
    </row>
    <row r="417" spans="2:5" ht="13.2">
      <c r="B417" s="95"/>
      <c r="C417" s="95"/>
      <c r="D417" s="95"/>
      <c r="E417" s="95"/>
    </row>
    <row r="418" spans="2:5" ht="13.2">
      <c r="B418" s="95"/>
      <c r="C418" s="95"/>
      <c r="D418" s="95"/>
      <c r="E418" s="95"/>
    </row>
    <row r="419" spans="2:5" ht="13.2">
      <c r="B419" s="95"/>
      <c r="C419" s="95"/>
      <c r="D419" s="95"/>
      <c r="E419" s="95"/>
    </row>
    <row r="420" spans="2:5" ht="13.2">
      <c r="B420" s="95"/>
      <c r="C420" s="95"/>
      <c r="D420" s="95"/>
      <c r="E420" s="95"/>
    </row>
    <row r="421" spans="2:5" ht="13.2">
      <c r="B421" s="95"/>
      <c r="C421" s="95"/>
      <c r="D421" s="95"/>
      <c r="E421" s="95"/>
    </row>
    <row r="422" spans="2:5" ht="13.2">
      <c r="B422" s="95"/>
      <c r="C422" s="95"/>
      <c r="D422" s="95"/>
      <c r="E422" s="95"/>
    </row>
    <row r="423" spans="2:5" ht="13.2">
      <c r="B423" s="95"/>
      <c r="C423" s="95"/>
      <c r="D423" s="95"/>
      <c r="E423" s="95"/>
    </row>
    <row r="424" spans="2:5" ht="13.2">
      <c r="B424" s="95"/>
      <c r="C424" s="95"/>
      <c r="D424" s="95"/>
      <c r="E424" s="95"/>
    </row>
    <row r="425" spans="2:5" ht="13.2">
      <c r="B425" s="95"/>
      <c r="C425" s="95"/>
      <c r="D425" s="95"/>
      <c r="E425" s="95"/>
    </row>
    <row r="426" spans="2:5" ht="13.2">
      <c r="B426" s="95"/>
      <c r="C426" s="95"/>
      <c r="D426" s="95"/>
      <c r="E426" s="95"/>
    </row>
    <row r="427" spans="2:5" ht="13.2">
      <c r="B427" s="95"/>
      <c r="C427" s="95"/>
      <c r="D427" s="95"/>
      <c r="E427" s="95"/>
    </row>
    <row r="428" spans="2:5" ht="13.2">
      <c r="B428" s="95"/>
      <c r="C428" s="95"/>
      <c r="D428" s="95"/>
      <c r="E428" s="95"/>
    </row>
    <row r="429" spans="2:5" ht="13.2">
      <c r="B429" s="95"/>
      <c r="C429" s="95"/>
      <c r="D429" s="95"/>
      <c r="E429" s="95"/>
    </row>
    <row r="430" spans="2:5" ht="13.2">
      <c r="B430" s="95"/>
      <c r="C430" s="95"/>
      <c r="D430" s="95"/>
      <c r="E430" s="95"/>
    </row>
    <row r="431" spans="2:5" ht="13.2">
      <c r="B431" s="95"/>
      <c r="C431" s="95"/>
      <c r="D431" s="95"/>
      <c r="E431" s="95"/>
    </row>
    <row r="432" spans="2:5" ht="13.2">
      <c r="B432" s="95"/>
      <c r="C432" s="95"/>
      <c r="D432" s="95"/>
      <c r="E432" s="95"/>
    </row>
    <row r="433" spans="2:5" ht="13.2">
      <c r="B433" s="95"/>
      <c r="C433" s="95"/>
      <c r="D433" s="95"/>
      <c r="E433" s="95"/>
    </row>
    <row r="434" spans="2:5" ht="13.2">
      <c r="B434" s="95"/>
      <c r="C434" s="95"/>
      <c r="D434" s="95"/>
      <c r="E434" s="95"/>
    </row>
    <row r="435" spans="2:5" ht="13.2">
      <c r="B435" s="95"/>
      <c r="C435" s="95"/>
      <c r="D435" s="95"/>
      <c r="E435" s="95"/>
    </row>
    <row r="436" spans="2:5" ht="13.2">
      <c r="B436" s="95"/>
      <c r="C436" s="95"/>
      <c r="D436" s="95"/>
      <c r="E436" s="95"/>
    </row>
    <row r="437" spans="2:5" ht="13.2">
      <c r="B437" s="95"/>
      <c r="C437" s="95"/>
      <c r="D437" s="95"/>
      <c r="E437" s="95"/>
    </row>
    <row r="438" spans="2:5" ht="13.2">
      <c r="B438" s="95"/>
      <c r="C438" s="95"/>
      <c r="D438" s="95"/>
      <c r="E438" s="95"/>
    </row>
    <row r="439" spans="2:5" ht="13.2">
      <c r="B439" s="95"/>
      <c r="C439" s="95"/>
      <c r="D439" s="95"/>
      <c r="E439" s="95"/>
    </row>
    <row r="440" spans="2:5" ht="13.2">
      <c r="B440" s="95"/>
      <c r="C440" s="95"/>
      <c r="D440" s="95"/>
      <c r="E440" s="95"/>
    </row>
    <row r="441" spans="2:5" ht="13.2">
      <c r="B441" s="95"/>
      <c r="C441" s="95"/>
      <c r="D441" s="95"/>
      <c r="E441" s="95"/>
    </row>
    <row r="442" spans="2:5" ht="13.2">
      <c r="B442" s="95"/>
      <c r="C442" s="95"/>
      <c r="D442" s="95"/>
      <c r="E442" s="95"/>
    </row>
    <row r="443" spans="2:5" ht="13.2">
      <c r="B443" s="95"/>
      <c r="C443" s="95"/>
      <c r="D443" s="95"/>
      <c r="E443" s="95"/>
    </row>
    <row r="444" spans="2:5" ht="13.2">
      <c r="B444" s="95"/>
      <c r="C444" s="95"/>
      <c r="D444" s="95"/>
      <c r="E444" s="95"/>
    </row>
    <row r="445" spans="2:5" ht="13.2">
      <c r="B445" s="95"/>
      <c r="C445" s="95"/>
      <c r="D445" s="95"/>
      <c r="E445" s="95"/>
    </row>
    <row r="446" spans="2:5" ht="13.2">
      <c r="B446" s="95"/>
      <c r="C446" s="95"/>
      <c r="D446" s="95"/>
      <c r="E446" s="95"/>
    </row>
    <row r="447" spans="2:5" ht="13.2">
      <c r="B447" s="95"/>
      <c r="C447" s="95"/>
      <c r="D447" s="95"/>
      <c r="E447" s="95"/>
    </row>
    <row r="448" spans="2:5" ht="13.2">
      <c r="B448" s="95"/>
      <c r="C448" s="95"/>
      <c r="D448" s="95"/>
      <c r="E448" s="95"/>
    </row>
    <row r="449" spans="2:5" ht="13.2">
      <c r="B449" s="95"/>
      <c r="C449" s="95"/>
      <c r="D449" s="95"/>
      <c r="E449" s="95"/>
    </row>
    <row r="450" spans="2:5" ht="13.2">
      <c r="B450" s="95"/>
      <c r="C450" s="95"/>
      <c r="D450" s="95"/>
      <c r="E450" s="95"/>
    </row>
    <row r="451" spans="2:5" ht="13.2">
      <c r="B451" s="95"/>
      <c r="C451" s="95"/>
      <c r="D451" s="95"/>
      <c r="E451" s="95"/>
    </row>
    <row r="452" spans="2:5" ht="13.2">
      <c r="B452" s="95"/>
      <c r="C452" s="95"/>
      <c r="D452" s="95"/>
      <c r="E452" s="95"/>
    </row>
    <row r="453" spans="2:5" ht="13.2">
      <c r="B453" s="95"/>
      <c r="C453" s="95"/>
      <c r="D453" s="95"/>
      <c r="E453" s="95"/>
    </row>
    <row r="454" spans="2:5" ht="13.2">
      <c r="B454" s="95"/>
      <c r="C454" s="95"/>
      <c r="D454" s="95"/>
      <c r="E454" s="95"/>
    </row>
    <row r="455" spans="2:5" ht="13.2">
      <c r="B455" s="95"/>
      <c r="C455" s="95"/>
      <c r="D455" s="95"/>
      <c r="E455" s="95"/>
    </row>
    <row r="456" spans="2:5" ht="13.2">
      <c r="B456" s="95"/>
      <c r="C456" s="95"/>
      <c r="D456" s="95"/>
      <c r="E456" s="95"/>
    </row>
    <row r="457" spans="2:5" ht="13.2">
      <c r="B457" s="95"/>
      <c r="C457" s="95"/>
      <c r="D457" s="95"/>
      <c r="E457" s="95"/>
    </row>
    <row r="458" spans="2:5" ht="13.2">
      <c r="B458" s="95"/>
      <c r="C458" s="95"/>
      <c r="D458" s="95"/>
      <c r="E458" s="95"/>
    </row>
    <row r="459" spans="2:5" ht="13.2">
      <c r="B459" s="95"/>
      <c r="C459" s="95"/>
      <c r="D459" s="95"/>
      <c r="E459" s="95"/>
    </row>
    <row r="460" spans="2:5" ht="13.2">
      <c r="B460" s="95"/>
      <c r="C460" s="95"/>
      <c r="D460" s="95"/>
      <c r="E460" s="95"/>
    </row>
    <row r="461" spans="2:5" ht="13.2">
      <c r="B461" s="95"/>
      <c r="C461" s="95"/>
      <c r="D461" s="95"/>
      <c r="E461" s="95"/>
    </row>
    <row r="462" spans="2:5" ht="13.2">
      <c r="B462" s="95"/>
      <c r="C462" s="95"/>
      <c r="D462" s="95"/>
      <c r="E462" s="95"/>
    </row>
    <row r="463" spans="2:5" ht="13.2">
      <c r="B463" s="95"/>
      <c r="C463" s="95"/>
      <c r="D463" s="95"/>
      <c r="E463" s="95"/>
    </row>
    <row r="464" spans="2:5" ht="13.2">
      <c r="B464" s="95"/>
      <c r="C464" s="95"/>
      <c r="D464" s="95"/>
      <c r="E464" s="95"/>
    </row>
    <row r="465" spans="2:5" ht="13.2">
      <c r="B465" s="95"/>
      <c r="C465" s="95"/>
      <c r="D465" s="95"/>
      <c r="E465" s="95"/>
    </row>
    <row r="466" spans="2:5" ht="13.2">
      <c r="B466" s="95"/>
      <c r="C466" s="95"/>
      <c r="D466" s="95"/>
      <c r="E466" s="95"/>
    </row>
    <row r="467" spans="2:5" ht="13.2">
      <c r="B467" s="95"/>
      <c r="C467" s="95"/>
      <c r="D467" s="95"/>
      <c r="E467" s="95"/>
    </row>
    <row r="468" spans="2:5" ht="13.2">
      <c r="B468" s="95"/>
      <c r="C468" s="95"/>
      <c r="D468" s="95"/>
      <c r="E468" s="95"/>
    </row>
    <row r="469" spans="2:5" ht="13.2">
      <c r="B469" s="95"/>
      <c r="C469" s="95"/>
      <c r="D469" s="95"/>
      <c r="E469" s="95"/>
    </row>
    <row r="470" spans="2:5" ht="13.2">
      <c r="B470" s="95"/>
      <c r="C470" s="95"/>
      <c r="D470" s="95"/>
      <c r="E470" s="95"/>
    </row>
    <row r="471" spans="2:5" ht="13.2">
      <c r="B471" s="95"/>
      <c r="C471" s="95"/>
      <c r="D471" s="95"/>
      <c r="E471" s="95"/>
    </row>
    <row r="472" spans="2:5" ht="13.2">
      <c r="B472" s="95"/>
      <c r="C472" s="95"/>
      <c r="D472" s="95"/>
      <c r="E472" s="95"/>
    </row>
    <row r="473" spans="2:5" ht="13.2">
      <c r="B473" s="95"/>
      <c r="C473" s="95"/>
      <c r="D473" s="95"/>
      <c r="E473" s="95"/>
    </row>
    <row r="474" spans="2:5" ht="13.2">
      <c r="B474" s="95"/>
      <c r="C474" s="95"/>
      <c r="D474" s="95"/>
      <c r="E474" s="95"/>
    </row>
    <row r="475" spans="2:5" ht="13.2">
      <c r="B475" s="95"/>
      <c r="C475" s="95"/>
      <c r="D475" s="95"/>
      <c r="E475" s="95"/>
    </row>
    <row r="476" spans="2:5" ht="13.2">
      <c r="B476" s="95"/>
      <c r="C476" s="95"/>
      <c r="D476" s="95"/>
      <c r="E476" s="95"/>
    </row>
    <row r="477" spans="2:5" ht="13.2">
      <c r="B477" s="95"/>
      <c r="C477" s="95"/>
      <c r="D477" s="95"/>
      <c r="E477" s="95"/>
    </row>
    <row r="478" spans="2:5" ht="13.2">
      <c r="B478" s="95"/>
      <c r="C478" s="95"/>
      <c r="D478" s="95"/>
      <c r="E478" s="95"/>
    </row>
    <row r="479" spans="2:5" ht="13.2">
      <c r="B479" s="95"/>
      <c r="C479" s="95"/>
      <c r="D479" s="95"/>
      <c r="E479" s="95"/>
    </row>
    <row r="480" spans="2:5" ht="13.2">
      <c r="B480" s="95"/>
      <c r="C480" s="95"/>
      <c r="D480" s="95"/>
      <c r="E480" s="95"/>
    </row>
    <row r="481" spans="2:5" ht="13.2">
      <c r="B481" s="95"/>
      <c r="C481" s="95"/>
      <c r="D481" s="95"/>
      <c r="E481" s="95"/>
    </row>
    <row r="482" spans="2:5" ht="13.2">
      <c r="B482" s="95"/>
      <c r="C482" s="95"/>
      <c r="D482" s="95"/>
      <c r="E482" s="95"/>
    </row>
    <row r="483" spans="2:5" ht="13.2">
      <c r="B483" s="95"/>
      <c r="C483" s="95"/>
      <c r="D483" s="95"/>
      <c r="E483" s="95"/>
    </row>
    <row r="484" spans="2:5" ht="13.2">
      <c r="B484" s="95"/>
      <c r="C484" s="95"/>
      <c r="D484" s="95"/>
      <c r="E484" s="95"/>
    </row>
    <row r="485" spans="2:5" ht="13.2">
      <c r="B485" s="95"/>
      <c r="C485" s="95"/>
      <c r="D485" s="95"/>
      <c r="E485" s="95"/>
    </row>
    <row r="486" spans="2:5" ht="13.2">
      <c r="B486" s="95"/>
      <c r="C486" s="95"/>
      <c r="D486" s="95"/>
      <c r="E486" s="95"/>
    </row>
    <row r="487" spans="2:5" ht="13.2">
      <c r="B487" s="95"/>
      <c r="C487" s="95"/>
      <c r="D487" s="95"/>
      <c r="E487" s="95"/>
    </row>
    <row r="488" spans="2:5" ht="13.2">
      <c r="B488" s="95"/>
      <c r="C488" s="95"/>
      <c r="D488" s="95"/>
      <c r="E488" s="95"/>
    </row>
    <row r="489" spans="2:5" ht="13.2">
      <c r="B489" s="95"/>
      <c r="C489" s="95"/>
      <c r="D489" s="95"/>
      <c r="E489" s="95"/>
    </row>
    <row r="490" spans="2:5" ht="13.2">
      <c r="B490" s="95"/>
      <c r="C490" s="95"/>
      <c r="D490" s="95"/>
      <c r="E490" s="95"/>
    </row>
    <row r="491" spans="2:5" ht="13.2">
      <c r="B491" s="95"/>
      <c r="C491" s="95"/>
      <c r="D491" s="95"/>
      <c r="E491" s="95"/>
    </row>
    <row r="492" spans="2:5" ht="13.2">
      <c r="B492" s="95"/>
      <c r="C492" s="95"/>
      <c r="D492" s="95"/>
      <c r="E492" s="95"/>
    </row>
    <row r="493" spans="2:5" ht="13.2">
      <c r="B493" s="95"/>
      <c r="C493" s="95"/>
      <c r="D493" s="95"/>
      <c r="E493" s="95"/>
    </row>
    <row r="494" spans="2:5" ht="13.2">
      <c r="B494" s="95"/>
      <c r="C494" s="95"/>
      <c r="D494" s="95"/>
      <c r="E494" s="95"/>
    </row>
    <row r="495" spans="2:5" ht="13.2">
      <c r="B495" s="95"/>
      <c r="C495" s="95"/>
      <c r="D495" s="95"/>
      <c r="E495" s="95"/>
    </row>
    <row r="496" spans="2:5" ht="13.2">
      <c r="B496" s="95"/>
      <c r="C496" s="95"/>
      <c r="D496" s="95"/>
      <c r="E496" s="95"/>
    </row>
    <row r="497" spans="2:5" ht="13.2">
      <c r="B497" s="95"/>
      <c r="C497" s="95"/>
      <c r="D497" s="95"/>
      <c r="E497" s="95"/>
    </row>
    <row r="498" spans="2:5" ht="13.2">
      <c r="B498" s="95"/>
      <c r="C498" s="95"/>
      <c r="D498" s="95"/>
      <c r="E498" s="95"/>
    </row>
    <row r="499" spans="2:5" ht="13.2">
      <c r="B499" s="95"/>
      <c r="C499" s="95"/>
      <c r="D499" s="95"/>
      <c r="E499" s="95"/>
    </row>
    <row r="500" spans="2:5" ht="13.2">
      <c r="B500" s="95"/>
      <c r="C500" s="95"/>
      <c r="D500" s="95"/>
      <c r="E500" s="95"/>
    </row>
    <row r="501" spans="2:5" ht="13.2">
      <c r="B501" s="95"/>
      <c r="C501" s="95"/>
      <c r="D501" s="95"/>
      <c r="E501" s="95"/>
    </row>
    <row r="502" spans="2:5" ht="13.2">
      <c r="B502" s="95"/>
      <c r="C502" s="95"/>
      <c r="D502" s="95"/>
      <c r="E502" s="95"/>
    </row>
    <row r="503" spans="2:5" ht="13.2">
      <c r="B503" s="95"/>
      <c r="C503" s="95"/>
      <c r="D503" s="95"/>
      <c r="E503" s="95"/>
    </row>
    <row r="504" spans="2:5" ht="13.2">
      <c r="B504" s="95"/>
      <c r="C504" s="95"/>
      <c r="D504" s="95"/>
      <c r="E504" s="95"/>
    </row>
    <row r="505" spans="2:5" ht="13.2">
      <c r="B505" s="95"/>
      <c r="C505" s="95"/>
      <c r="D505" s="95"/>
      <c r="E505" s="95"/>
    </row>
    <row r="506" spans="2:5" ht="13.2">
      <c r="B506" s="95"/>
      <c r="C506" s="95"/>
      <c r="D506" s="95"/>
      <c r="E506" s="95"/>
    </row>
    <row r="507" spans="2:5" ht="13.2">
      <c r="B507" s="95"/>
      <c r="C507" s="95"/>
      <c r="D507" s="95"/>
      <c r="E507" s="95"/>
    </row>
    <row r="508" spans="2:5" ht="13.2">
      <c r="B508" s="95"/>
      <c r="C508" s="95"/>
      <c r="D508" s="95"/>
      <c r="E508" s="95"/>
    </row>
    <row r="509" spans="2:5" ht="13.2">
      <c r="B509" s="95"/>
      <c r="C509" s="95"/>
      <c r="D509" s="95"/>
      <c r="E509" s="95"/>
    </row>
    <row r="510" spans="2:5" ht="13.2">
      <c r="B510" s="95"/>
      <c r="C510" s="95"/>
      <c r="D510" s="95"/>
      <c r="E510" s="95"/>
    </row>
    <row r="511" spans="2:5" ht="13.2">
      <c r="B511" s="95"/>
      <c r="C511" s="95"/>
      <c r="D511" s="95"/>
      <c r="E511" s="95"/>
    </row>
    <row r="512" spans="2:5" ht="13.2">
      <c r="B512" s="95"/>
      <c r="C512" s="95"/>
      <c r="D512" s="95"/>
      <c r="E512" s="95"/>
    </row>
    <row r="513" spans="2:5" ht="13.2">
      <c r="B513" s="95"/>
      <c r="C513" s="95"/>
      <c r="D513" s="95"/>
      <c r="E513" s="95"/>
    </row>
    <row r="514" spans="2:5" ht="13.2">
      <c r="B514" s="95"/>
      <c r="C514" s="95"/>
      <c r="D514" s="95"/>
      <c r="E514" s="95"/>
    </row>
    <row r="515" spans="2:5" ht="13.2">
      <c r="B515" s="95"/>
      <c r="C515" s="95"/>
      <c r="D515" s="95"/>
      <c r="E515" s="95"/>
    </row>
    <row r="516" spans="2:5" ht="13.2">
      <c r="B516" s="95"/>
      <c r="C516" s="95"/>
      <c r="D516" s="95"/>
      <c r="E516" s="95"/>
    </row>
    <row r="517" spans="2:5" ht="13.2">
      <c r="B517" s="95"/>
      <c r="C517" s="95"/>
      <c r="D517" s="95"/>
      <c r="E517" s="95"/>
    </row>
    <row r="518" spans="2:5" ht="13.2">
      <c r="B518" s="95"/>
      <c r="C518" s="95"/>
      <c r="D518" s="95"/>
      <c r="E518" s="95"/>
    </row>
    <row r="519" spans="2:5" ht="13.2">
      <c r="B519" s="95"/>
      <c r="C519" s="95"/>
      <c r="D519" s="95"/>
      <c r="E519" s="95"/>
    </row>
    <row r="520" spans="2:5" ht="13.2">
      <c r="B520" s="95"/>
      <c r="C520" s="95"/>
      <c r="D520" s="95"/>
      <c r="E520" s="95"/>
    </row>
    <row r="521" spans="2:5" ht="13.2">
      <c r="B521" s="95"/>
      <c r="C521" s="95"/>
      <c r="D521" s="95"/>
      <c r="E521" s="95"/>
    </row>
    <row r="522" spans="2:5" ht="13.2">
      <c r="B522" s="95"/>
      <c r="C522" s="95"/>
      <c r="D522" s="95"/>
      <c r="E522" s="95"/>
    </row>
    <row r="523" spans="2:5" ht="13.2">
      <c r="B523" s="95"/>
      <c r="C523" s="95"/>
      <c r="D523" s="95"/>
      <c r="E523" s="95"/>
    </row>
    <row r="524" spans="2:5" ht="13.2">
      <c r="B524" s="95"/>
      <c r="C524" s="95"/>
      <c r="D524" s="95"/>
      <c r="E524" s="95"/>
    </row>
    <row r="525" spans="2:5" ht="13.2">
      <c r="B525" s="95"/>
      <c r="C525" s="95"/>
      <c r="D525" s="95"/>
      <c r="E525" s="95"/>
    </row>
    <row r="526" spans="2:5" ht="13.2">
      <c r="B526" s="95"/>
      <c r="C526" s="95"/>
      <c r="D526" s="95"/>
      <c r="E526" s="95"/>
    </row>
    <row r="527" spans="2:5" ht="13.2">
      <c r="B527" s="95"/>
      <c r="C527" s="95"/>
      <c r="D527" s="95"/>
      <c r="E527" s="95"/>
    </row>
    <row r="528" spans="2:5" ht="13.2">
      <c r="B528" s="95"/>
      <c r="C528" s="95"/>
      <c r="D528" s="95"/>
      <c r="E528" s="95"/>
    </row>
    <row r="529" spans="2:5" ht="13.2">
      <c r="B529" s="95"/>
      <c r="C529" s="95"/>
      <c r="D529" s="95"/>
      <c r="E529" s="95"/>
    </row>
    <row r="530" spans="2:5" ht="13.2">
      <c r="B530" s="95"/>
      <c r="C530" s="95"/>
      <c r="D530" s="95"/>
      <c r="E530" s="95"/>
    </row>
    <row r="531" spans="2:5" ht="13.2">
      <c r="B531" s="95"/>
      <c r="C531" s="95"/>
      <c r="D531" s="95"/>
      <c r="E531" s="95"/>
    </row>
    <row r="532" spans="2:5" ht="13.2">
      <c r="B532" s="95"/>
      <c r="C532" s="95"/>
      <c r="D532" s="95"/>
      <c r="E532" s="95"/>
    </row>
    <row r="533" spans="2:5" ht="13.2">
      <c r="B533" s="95"/>
      <c r="C533" s="95"/>
      <c r="D533" s="95"/>
      <c r="E533" s="95"/>
    </row>
    <row r="534" spans="2:5" ht="13.2">
      <c r="B534" s="95"/>
      <c r="C534" s="95"/>
      <c r="D534" s="95"/>
      <c r="E534" s="95"/>
    </row>
    <row r="535" spans="2:5" ht="13.2">
      <c r="B535" s="95"/>
      <c r="C535" s="95"/>
      <c r="D535" s="95"/>
      <c r="E535" s="95"/>
    </row>
    <row r="536" spans="2:5" ht="13.2">
      <c r="B536" s="95"/>
      <c r="C536" s="95"/>
      <c r="D536" s="95"/>
      <c r="E536" s="95"/>
    </row>
    <row r="537" spans="2:5" ht="13.2">
      <c r="B537" s="95"/>
      <c r="C537" s="95"/>
      <c r="D537" s="95"/>
      <c r="E537" s="95"/>
    </row>
    <row r="538" spans="2:5" ht="13.2">
      <c r="B538" s="95"/>
      <c r="C538" s="95"/>
      <c r="D538" s="95"/>
      <c r="E538" s="95"/>
    </row>
    <row r="539" spans="2:5" ht="13.2">
      <c r="B539" s="95"/>
      <c r="C539" s="95"/>
      <c r="D539" s="95"/>
      <c r="E539" s="95"/>
    </row>
    <row r="540" spans="2:5" ht="13.2">
      <c r="B540" s="95"/>
      <c r="C540" s="95"/>
      <c r="D540" s="95"/>
      <c r="E540" s="95"/>
    </row>
    <row r="541" spans="2:5" ht="13.2">
      <c r="B541" s="95"/>
      <c r="C541" s="95"/>
      <c r="D541" s="95"/>
      <c r="E541" s="95"/>
    </row>
    <row r="542" spans="2:5" ht="13.2">
      <c r="B542" s="95"/>
      <c r="C542" s="95"/>
      <c r="D542" s="95"/>
      <c r="E542" s="95"/>
    </row>
    <row r="543" spans="2:5" ht="13.2">
      <c r="B543" s="95"/>
      <c r="C543" s="95"/>
      <c r="D543" s="95"/>
      <c r="E543" s="95"/>
    </row>
    <row r="544" spans="2:5" ht="13.2">
      <c r="B544" s="95"/>
      <c r="C544" s="95"/>
      <c r="D544" s="95"/>
      <c r="E544" s="95"/>
    </row>
    <row r="545" spans="2:5" ht="13.2">
      <c r="B545" s="95"/>
      <c r="C545" s="95"/>
      <c r="D545" s="95"/>
      <c r="E545" s="95"/>
    </row>
    <row r="546" spans="2:5" ht="13.2">
      <c r="B546" s="95"/>
      <c r="C546" s="95"/>
      <c r="D546" s="95"/>
      <c r="E546" s="95"/>
    </row>
    <row r="547" spans="2:5" ht="13.2">
      <c r="B547" s="95"/>
      <c r="C547" s="95"/>
      <c r="D547" s="95"/>
      <c r="E547" s="95"/>
    </row>
    <row r="548" spans="2:5" ht="13.2">
      <c r="B548" s="95"/>
      <c r="C548" s="95"/>
      <c r="D548" s="95"/>
      <c r="E548" s="95"/>
    </row>
    <row r="549" spans="2:5" ht="13.2">
      <c r="B549" s="95"/>
      <c r="C549" s="95"/>
      <c r="D549" s="95"/>
      <c r="E549" s="95"/>
    </row>
    <row r="550" spans="2:5" ht="13.2">
      <c r="B550" s="95"/>
      <c r="C550" s="95"/>
      <c r="D550" s="95"/>
      <c r="E550" s="95"/>
    </row>
    <row r="551" spans="2:5" ht="13.2">
      <c r="B551" s="95"/>
      <c r="C551" s="95"/>
      <c r="D551" s="95"/>
      <c r="E551" s="95"/>
    </row>
    <row r="552" spans="2:5" ht="13.2">
      <c r="B552" s="95"/>
      <c r="C552" s="95"/>
      <c r="D552" s="95"/>
      <c r="E552" s="95"/>
    </row>
    <row r="553" spans="2:5" ht="13.2">
      <c r="B553" s="95"/>
      <c r="C553" s="95"/>
      <c r="D553" s="95"/>
      <c r="E553" s="95"/>
    </row>
    <row r="554" spans="2:5" ht="13.2">
      <c r="B554" s="95"/>
      <c r="C554" s="95"/>
      <c r="D554" s="95"/>
      <c r="E554" s="95"/>
    </row>
    <row r="555" spans="2:5" ht="13.2">
      <c r="B555" s="95"/>
      <c r="C555" s="95"/>
      <c r="D555" s="95"/>
      <c r="E555" s="95"/>
    </row>
    <row r="556" spans="2:5" ht="13.2">
      <c r="B556" s="95"/>
      <c r="C556" s="95"/>
      <c r="D556" s="95"/>
      <c r="E556" s="95"/>
    </row>
    <row r="557" spans="2:5" ht="13.2">
      <c r="B557" s="95"/>
      <c r="C557" s="95"/>
      <c r="D557" s="95"/>
      <c r="E557" s="95"/>
    </row>
    <row r="558" spans="2:5" ht="13.2">
      <c r="B558" s="95"/>
      <c r="C558" s="95"/>
      <c r="D558" s="95"/>
      <c r="E558" s="95"/>
    </row>
    <row r="559" spans="2:5" ht="13.2">
      <c r="B559" s="95"/>
      <c r="C559" s="95"/>
      <c r="D559" s="95"/>
      <c r="E559" s="95"/>
    </row>
    <row r="560" spans="2:5" ht="13.2">
      <c r="B560" s="95"/>
      <c r="C560" s="95"/>
      <c r="D560" s="95"/>
      <c r="E560" s="95"/>
    </row>
    <row r="561" spans="2:5" ht="13.2">
      <c r="B561" s="95"/>
      <c r="C561" s="95"/>
      <c r="D561" s="95"/>
      <c r="E561" s="95"/>
    </row>
    <row r="562" spans="2:5" ht="13.2">
      <c r="B562" s="95"/>
      <c r="C562" s="95"/>
      <c r="D562" s="95"/>
      <c r="E562" s="95"/>
    </row>
    <row r="563" spans="2:5" ht="13.2">
      <c r="B563" s="95"/>
      <c r="C563" s="95"/>
      <c r="D563" s="95"/>
      <c r="E563" s="95"/>
    </row>
    <row r="564" spans="2:5" ht="13.2">
      <c r="B564" s="95"/>
      <c r="C564" s="95"/>
      <c r="D564" s="95"/>
      <c r="E564" s="95"/>
    </row>
    <row r="565" spans="2:5" ht="13.2">
      <c r="B565" s="95"/>
      <c r="C565" s="95"/>
      <c r="D565" s="95"/>
      <c r="E565" s="95"/>
    </row>
    <row r="566" spans="2:5" ht="13.2">
      <c r="B566" s="95"/>
      <c r="C566" s="95"/>
      <c r="D566" s="95"/>
      <c r="E566" s="95"/>
    </row>
    <row r="567" spans="2:5" ht="13.2">
      <c r="B567" s="95"/>
      <c r="C567" s="95"/>
      <c r="D567" s="95"/>
      <c r="E567" s="95"/>
    </row>
    <row r="568" spans="2:5" ht="13.2">
      <c r="B568" s="95"/>
      <c r="C568" s="95"/>
      <c r="D568" s="95"/>
      <c r="E568" s="95"/>
    </row>
    <row r="569" spans="2:5" ht="13.2">
      <c r="B569" s="95"/>
      <c r="C569" s="95"/>
      <c r="D569" s="95"/>
      <c r="E569" s="95"/>
    </row>
    <row r="570" spans="2:5" ht="13.2">
      <c r="B570" s="95"/>
      <c r="C570" s="95"/>
      <c r="D570" s="95"/>
      <c r="E570" s="95"/>
    </row>
    <row r="571" spans="2:5" ht="13.2">
      <c r="B571" s="95"/>
      <c r="C571" s="95"/>
      <c r="D571" s="95"/>
      <c r="E571" s="95"/>
    </row>
    <row r="572" spans="2:5" ht="13.2">
      <c r="B572" s="95"/>
      <c r="C572" s="95"/>
      <c r="D572" s="95"/>
      <c r="E572" s="95"/>
    </row>
    <row r="573" spans="2:5" ht="13.2">
      <c r="B573" s="95"/>
      <c r="C573" s="95"/>
      <c r="D573" s="95"/>
      <c r="E573" s="95"/>
    </row>
    <row r="574" spans="2:5" ht="13.2">
      <c r="B574" s="95"/>
      <c r="C574" s="95"/>
      <c r="D574" s="95"/>
      <c r="E574" s="95"/>
    </row>
    <row r="575" spans="2:5" ht="13.2">
      <c r="B575" s="95"/>
      <c r="C575" s="95"/>
      <c r="D575" s="95"/>
      <c r="E575" s="95"/>
    </row>
    <row r="576" spans="2:5" ht="13.2">
      <c r="B576" s="95"/>
      <c r="C576" s="95"/>
      <c r="D576" s="95"/>
      <c r="E576" s="95"/>
    </row>
    <row r="577" spans="2:5" ht="13.2">
      <c r="B577" s="95"/>
      <c r="C577" s="95"/>
      <c r="D577" s="95"/>
      <c r="E577" s="95"/>
    </row>
    <row r="578" spans="2:5" ht="13.2">
      <c r="B578" s="95"/>
      <c r="C578" s="95"/>
      <c r="D578" s="95"/>
      <c r="E578" s="95"/>
    </row>
    <row r="579" spans="2:5" ht="13.2">
      <c r="B579" s="95"/>
      <c r="C579" s="95"/>
      <c r="D579" s="95"/>
      <c r="E579" s="95"/>
    </row>
    <row r="580" spans="2:5" ht="13.2">
      <c r="B580" s="95"/>
      <c r="C580" s="95"/>
      <c r="D580" s="95"/>
      <c r="E580" s="95"/>
    </row>
    <row r="581" spans="2:5" ht="13.2">
      <c r="B581" s="95"/>
      <c r="C581" s="95"/>
      <c r="D581" s="95"/>
      <c r="E581" s="95"/>
    </row>
    <row r="582" spans="2:5" ht="13.2">
      <c r="B582" s="95"/>
      <c r="C582" s="95"/>
      <c r="D582" s="95"/>
      <c r="E582" s="95"/>
    </row>
    <row r="583" spans="2:5" ht="13.2">
      <c r="B583" s="95"/>
      <c r="C583" s="95"/>
      <c r="D583" s="95"/>
      <c r="E583" s="95"/>
    </row>
    <row r="584" spans="2:5" ht="13.2">
      <c r="B584" s="95"/>
      <c r="C584" s="95"/>
      <c r="D584" s="95"/>
      <c r="E584" s="95"/>
    </row>
    <row r="585" spans="2:5" ht="13.2">
      <c r="B585" s="95"/>
      <c r="C585" s="95"/>
      <c r="D585" s="95"/>
      <c r="E585" s="95"/>
    </row>
    <row r="586" spans="2:5" ht="13.2">
      <c r="B586" s="95"/>
      <c r="C586" s="95"/>
      <c r="D586" s="95"/>
      <c r="E586" s="95"/>
    </row>
    <row r="587" spans="2:5" ht="13.2">
      <c r="B587" s="95"/>
      <c r="C587" s="95"/>
      <c r="D587" s="95"/>
      <c r="E587" s="95"/>
    </row>
    <row r="588" spans="2:5" ht="13.2">
      <c r="B588" s="95"/>
      <c r="C588" s="95"/>
      <c r="D588" s="95"/>
      <c r="E588" s="95"/>
    </row>
    <row r="589" spans="2:5" ht="13.2">
      <c r="B589" s="95"/>
      <c r="C589" s="95"/>
      <c r="D589" s="95"/>
      <c r="E589" s="95"/>
    </row>
    <row r="590" spans="2:5" ht="13.2">
      <c r="B590" s="95"/>
      <c r="C590" s="95"/>
      <c r="D590" s="95"/>
      <c r="E590" s="95"/>
    </row>
    <row r="591" spans="2:5" ht="13.2">
      <c r="B591" s="95"/>
      <c r="C591" s="95"/>
      <c r="D591" s="95"/>
      <c r="E591" s="95"/>
    </row>
    <row r="592" spans="2:5" ht="13.2">
      <c r="B592" s="95"/>
      <c r="C592" s="95"/>
      <c r="D592" s="95"/>
      <c r="E592" s="95"/>
    </row>
    <row r="593" spans="2:5" ht="13.2">
      <c r="B593" s="95"/>
      <c r="C593" s="95"/>
      <c r="D593" s="95"/>
      <c r="E593" s="95"/>
    </row>
    <row r="594" spans="2:5" ht="13.2">
      <c r="B594" s="95"/>
      <c r="C594" s="95"/>
      <c r="D594" s="95"/>
      <c r="E594" s="95"/>
    </row>
    <row r="595" spans="2:5" ht="13.2">
      <c r="B595" s="95"/>
      <c r="C595" s="95"/>
      <c r="D595" s="95"/>
      <c r="E595" s="95"/>
    </row>
    <row r="596" spans="2:5" ht="13.2">
      <c r="B596" s="95"/>
      <c r="C596" s="95"/>
      <c r="D596" s="95"/>
      <c r="E596" s="95"/>
    </row>
    <row r="597" spans="2:5" ht="13.2">
      <c r="B597" s="95"/>
      <c r="C597" s="95"/>
      <c r="D597" s="95"/>
      <c r="E597" s="95"/>
    </row>
    <row r="598" spans="2:5" ht="13.2">
      <c r="B598" s="95"/>
      <c r="C598" s="95"/>
      <c r="D598" s="95"/>
      <c r="E598" s="95"/>
    </row>
    <row r="599" spans="2:5" ht="13.2">
      <c r="B599" s="95"/>
      <c r="C599" s="95"/>
      <c r="D599" s="95"/>
      <c r="E599" s="95"/>
    </row>
    <row r="600" spans="2:5" ht="13.2">
      <c r="B600" s="95"/>
      <c r="C600" s="95"/>
      <c r="D600" s="95"/>
      <c r="E600" s="95"/>
    </row>
    <row r="601" spans="2:5" ht="13.2">
      <c r="B601" s="95"/>
      <c r="C601" s="95"/>
      <c r="D601" s="95"/>
      <c r="E601" s="95"/>
    </row>
    <row r="602" spans="2:5" ht="13.2">
      <c r="B602" s="95"/>
      <c r="C602" s="95"/>
      <c r="D602" s="95"/>
      <c r="E602" s="95"/>
    </row>
    <row r="603" spans="2:5" ht="13.2">
      <c r="B603" s="95"/>
      <c r="C603" s="95"/>
      <c r="D603" s="95"/>
      <c r="E603" s="95"/>
    </row>
    <row r="604" spans="2:5" ht="13.2">
      <c r="B604" s="95"/>
      <c r="C604" s="95"/>
      <c r="D604" s="95"/>
      <c r="E604" s="95"/>
    </row>
    <row r="605" spans="2:5" ht="13.2">
      <c r="B605" s="95"/>
      <c r="C605" s="95"/>
      <c r="D605" s="95"/>
      <c r="E605" s="95"/>
    </row>
    <row r="606" spans="2:5" ht="13.2">
      <c r="B606" s="95"/>
      <c r="C606" s="95"/>
      <c r="D606" s="95"/>
      <c r="E606" s="95"/>
    </row>
    <row r="607" spans="2:5" ht="13.2">
      <c r="B607" s="95"/>
      <c r="C607" s="95"/>
      <c r="D607" s="95"/>
      <c r="E607" s="95"/>
    </row>
    <row r="608" spans="2:5" ht="13.2">
      <c r="B608" s="95"/>
      <c r="C608" s="95"/>
      <c r="D608" s="95"/>
      <c r="E608" s="95"/>
    </row>
    <row r="609" spans="2:5" ht="13.2">
      <c r="B609" s="95"/>
      <c r="C609" s="95"/>
      <c r="D609" s="95"/>
      <c r="E609" s="95"/>
    </row>
    <row r="610" spans="2:5" ht="13.2">
      <c r="B610" s="95"/>
      <c r="C610" s="95"/>
      <c r="D610" s="95"/>
      <c r="E610" s="95"/>
    </row>
    <row r="611" spans="2:5" ht="13.2">
      <c r="B611" s="95"/>
      <c r="C611" s="95"/>
      <c r="D611" s="95"/>
      <c r="E611" s="95"/>
    </row>
    <row r="612" spans="2:5" ht="13.2">
      <c r="B612" s="95"/>
      <c r="C612" s="95"/>
      <c r="D612" s="95"/>
      <c r="E612" s="95"/>
    </row>
    <row r="613" spans="2:5" ht="13.2">
      <c r="B613" s="95"/>
      <c r="C613" s="95"/>
      <c r="D613" s="95"/>
      <c r="E613" s="95"/>
    </row>
    <row r="614" spans="2:5" ht="13.2">
      <c r="B614" s="95"/>
      <c r="C614" s="95"/>
      <c r="D614" s="95"/>
      <c r="E614" s="95"/>
    </row>
    <row r="615" spans="2:5" ht="13.2">
      <c r="B615" s="95"/>
      <c r="C615" s="95"/>
      <c r="D615" s="95"/>
      <c r="E615" s="95"/>
    </row>
    <row r="616" spans="2:5" ht="13.2">
      <c r="B616" s="95"/>
      <c r="C616" s="95"/>
      <c r="D616" s="95"/>
      <c r="E616" s="95"/>
    </row>
    <row r="617" spans="2:5" ht="13.2">
      <c r="B617" s="95"/>
      <c r="C617" s="95"/>
      <c r="D617" s="95"/>
      <c r="E617" s="95"/>
    </row>
    <row r="618" spans="2:5" ht="13.2">
      <c r="B618" s="95"/>
      <c r="C618" s="95"/>
      <c r="D618" s="95"/>
      <c r="E618" s="95"/>
    </row>
    <row r="619" spans="2:5" ht="13.2">
      <c r="B619" s="95"/>
      <c r="C619" s="95"/>
      <c r="D619" s="95"/>
      <c r="E619" s="95"/>
    </row>
    <row r="620" spans="2:5" ht="13.2">
      <c r="B620" s="95"/>
      <c r="C620" s="95"/>
      <c r="D620" s="95"/>
      <c r="E620" s="95"/>
    </row>
    <row r="621" spans="2:5" ht="13.2">
      <c r="B621" s="95"/>
      <c r="C621" s="95"/>
      <c r="D621" s="95"/>
      <c r="E621" s="95"/>
    </row>
    <row r="622" spans="2:5" ht="13.2">
      <c r="B622" s="95"/>
      <c r="C622" s="95"/>
      <c r="D622" s="95"/>
      <c r="E622" s="95"/>
    </row>
    <row r="623" spans="2:5" ht="13.2">
      <c r="B623" s="95"/>
      <c r="C623" s="95"/>
      <c r="D623" s="95"/>
      <c r="E623" s="95"/>
    </row>
    <row r="624" spans="2:5" ht="13.2">
      <c r="B624" s="95"/>
      <c r="C624" s="95"/>
      <c r="D624" s="95"/>
      <c r="E624" s="95"/>
    </row>
    <row r="625" spans="2:5" ht="13.2">
      <c r="B625" s="95"/>
      <c r="C625" s="95"/>
      <c r="D625" s="95"/>
      <c r="E625" s="95"/>
    </row>
    <row r="626" spans="2:5" ht="13.2">
      <c r="B626" s="95"/>
      <c r="C626" s="95"/>
      <c r="D626" s="95"/>
      <c r="E626" s="95"/>
    </row>
    <row r="627" spans="2:5" ht="13.2">
      <c r="B627" s="95"/>
      <c r="C627" s="95"/>
      <c r="D627" s="95"/>
      <c r="E627" s="95"/>
    </row>
    <row r="628" spans="2:5" ht="13.2">
      <c r="B628" s="95"/>
      <c r="C628" s="95"/>
      <c r="D628" s="95"/>
      <c r="E628" s="95"/>
    </row>
    <row r="629" spans="2:5" ht="13.2">
      <c r="B629" s="95"/>
      <c r="C629" s="95"/>
      <c r="D629" s="95"/>
      <c r="E629" s="95"/>
    </row>
    <row r="630" spans="2:5" ht="13.2">
      <c r="B630" s="95"/>
      <c r="C630" s="95"/>
      <c r="D630" s="95"/>
      <c r="E630" s="95"/>
    </row>
    <row r="631" spans="2:5" ht="13.2">
      <c r="B631" s="95"/>
      <c r="C631" s="95"/>
      <c r="D631" s="95"/>
      <c r="E631" s="95"/>
    </row>
    <row r="632" spans="2:5" ht="13.2">
      <c r="B632" s="95"/>
      <c r="C632" s="95"/>
      <c r="D632" s="95"/>
      <c r="E632" s="95"/>
    </row>
    <row r="633" spans="2:5" ht="13.2">
      <c r="B633" s="95"/>
      <c r="C633" s="95"/>
      <c r="D633" s="95"/>
      <c r="E633" s="95"/>
    </row>
    <row r="634" spans="2:5" ht="13.2">
      <c r="B634" s="95"/>
      <c r="C634" s="95"/>
      <c r="D634" s="95"/>
      <c r="E634" s="95"/>
    </row>
    <row r="635" spans="2:5" ht="13.2">
      <c r="B635" s="95"/>
      <c r="C635" s="95"/>
      <c r="D635" s="95"/>
      <c r="E635" s="95"/>
    </row>
    <row r="636" spans="2:5" ht="13.2">
      <c r="B636" s="95"/>
      <c r="C636" s="95"/>
      <c r="D636" s="95"/>
      <c r="E636" s="95"/>
    </row>
    <row r="637" spans="2:5" ht="13.2">
      <c r="B637" s="95"/>
      <c r="C637" s="95"/>
      <c r="D637" s="95"/>
      <c r="E637" s="95"/>
    </row>
    <row r="638" spans="2:5" ht="13.2">
      <c r="B638" s="95"/>
      <c r="C638" s="95"/>
      <c r="D638" s="95"/>
      <c r="E638" s="95"/>
    </row>
    <row r="639" spans="2:5" ht="13.2">
      <c r="B639" s="95"/>
      <c r="C639" s="95"/>
      <c r="D639" s="95"/>
      <c r="E639" s="95"/>
    </row>
    <row r="640" spans="2:5" ht="13.2">
      <c r="B640" s="95"/>
      <c r="C640" s="95"/>
      <c r="D640" s="95"/>
      <c r="E640" s="95"/>
    </row>
    <row r="641" spans="2:5" ht="13.2">
      <c r="B641" s="95"/>
      <c r="C641" s="95"/>
      <c r="D641" s="95"/>
      <c r="E641" s="95"/>
    </row>
    <row r="642" spans="2:5" ht="13.2">
      <c r="B642" s="95"/>
      <c r="C642" s="95"/>
      <c r="D642" s="95"/>
      <c r="E642" s="95"/>
    </row>
    <row r="643" spans="2:5" ht="13.2">
      <c r="B643" s="95"/>
      <c r="C643" s="95"/>
      <c r="D643" s="95"/>
      <c r="E643" s="95"/>
    </row>
    <row r="644" spans="2:5" ht="13.2">
      <c r="B644" s="95"/>
      <c r="C644" s="95"/>
      <c r="D644" s="95"/>
      <c r="E644" s="95"/>
    </row>
    <row r="645" spans="2:5" ht="13.2">
      <c r="B645" s="95"/>
      <c r="C645" s="95"/>
      <c r="D645" s="95"/>
      <c r="E645" s="95"/>
    </row>
    <row r="646" spans="2:5" ht="13.2">
      <c r="B646" s="95"/>
      <c r="C646" s="95"/>
      <c r="D646" s="95"/>
      <c r="E646" s="95"/>
    </row>
    <row r="647" spans="2:5" ht="13.2">
      <c r="B647" s="95"/>
      <c r="C647" s="95"/>
      <c r="D647" s="95"/>
      <c r="E647" s="95"/>
    </row>
    <row r="648" spans="2:5" ht="13.2">
      <c r="B648" s="95"/>
      <c r="C648" s="95"/>
      <c r="D648" s="95"/>
      <c r="E648" s="95"/>
    </row>
    <row r="649" spans="2:5" ht="13.2">
      <c r="B649" s="95"/>
      <c r="C649" s="95"/>
      <c r="D649" s="95"/>
      <c r="E649" s="95"/>
    </row>
    <row r="650" spans="2:5" ht="13.2">
      <c r="B650" s="95"/>
      <c r="C650" s="95"/>
      <c r="D650" s="95"/>
      <c r="E650" s="95"/>
    </row>
    <row r="651" spans="2:5" ht="13.2">
      <c r="B651" s="95"/>
      <c r="C651" s="95"/>
      <c r="D651" s="95"/>
      <c r="E651" s="95"/>
    </row>
    <row r="652" spans="2:5" ht="13.2">
      <c r="B652" s="95"/>
      <c r="C652" s="95"/>
      <c r="D652" s="95"/>
      <c r="E652" s="95"/>
    </row>
    <row r="653" spans="2:5" ht="13.2">
      <c r="B653" s="95"/>
      <c r="C653" s="95"/>
      <c r="D653" s="95"/>
      <c r="E653" s="95"/>
    </row>
    <row r="654" spans="2:5" ht="13.2">
      <c r="B654" s="95"/>
      <c r="C654" s="95"/>
      <c r="D654" s="95"/>
      <c r="E654" s="95"/>
    </row>
    <row r="655" spans="2:5" ht="13.2">
      <c r="B655" s="95"/>
      <c r="C655" s="95"/>
      <c r="D655" s="95"/>
      <c r="E655" s="95"/>
    </row>
    <row r="656" spans="2:5" ht="13.2">
      <c r="B656" s="95"/>
      <c r="C656" s="95"/>
      <c r="D656" s="95"/>
      <c r="E656" s="95"/>
    </row>
    <row r="657" spans="2:5" ht="13.2">
      <c r="B657" s="95"/>
      <c r="C657" s="95"/>
      <c r="D657" s="95"/>
      <c r="E657" s="95"/>
    </row>
    <row r="658" spans="2:5" ht="13.2">
      <c r="B658" s="95"/>
      <c r="C658" s="95"/>
      <c r="D658" s="95"/>
      <c r="E658" s="95"/>
    </row>
    <row r="659" spans="2:5" ht="13.2">
      <c r="B659" s="95"/>
      <c r="C659" s="95"/>
      <c r="D659" s="95"/>
      <c r="E659" s="95"/>
    </row>
    <row r="660" spans="2:5" ht="13.2">
      <c r="B660" s="95"/>
      <c r="C660" s="95"/>
      <c r="D660" s="95"/>
      <c r="E660" s="95"/>
    </row>
    <row r="661" spans="2:5" ht="13.2">
      <c r="B661" s="95"/>
      <c r="C661" s="95"/>
      <c r="D661" s="95"/>
      <c r="E661" s="95"/>
    </row>
    <row r="662" spans="2:5" ht="13.2">
      <c r="B662" s="95"/>
      <c r="C662" s="95"/>
      <c r="D662" s="95"/>
      <c r="E662" s="95"/>
    </row>
    <row r="663" spans="2:5" ht="13.2">
      <c r="B663" s="95"/>
      <c r="C663" s="95"/>
      <c r="D663" s="95"/>
      <c r="E663" s="95"/>
    </row>
    <row r="664" spans="2:5" ht="13.2">
      <c r="B664" s="95"/>
      <c r="C664" s="95"/>
      <c r="D664" s="95"/>
      <c r="E664" s="95"/>
    </row>
    <row r="665" spans="2:5" ht="13.2">
      <c r="B665" s="95"/>
      <c r="C665" s="95"/>
      <c r="D665" s="95"/>
      <c r="E665" s="95"/>
    </row>
    <row r="666" spans="2:5" ht="13.2">
      <c r="B666" s="95"/>
      <c r="C666" s="95"/>
      <c r="D666" s="95"/>
      <c r="E666" s="95"/>
    </row>
    <row r="667" spans="2:5" ht="13.2">
      <c r="B667" s="95"/>
      <c r="C667" s="95"/>
      <c r="D667" s="95"/>
      <c r="E667" s="95"/>
    </row>
    <row r="668" spans="2:5" ht="13.2">
      <c r="B668" s="95"/>
      <c r="C668" s="95"/>
      <c r="D668" s="95"/>
      <c r="E668" s="95"/>
    </row>
    <row r="669" spans="2:5" ht="13.2">
      <c r="B669" s="95"/>
      <c r="C669" s="95"/>
      <c r="D669" s="95"/>
      <c r="E669" s="95"/>
    </row>
    <row r="670" spans="2:5" ht="13.2">
      <c r="B670" s="95"/>
      <c r="C670" s="95"/>
      <c r="D670" s="95"/>
      <c r="E670" s="95"/>
    </row>
    <row r="671" spans="2:5" ht="13.2">
      <c r="B671" s="95"/>
      <c r="C671" s="95"/>
      <c r="D671" s="95"/>
      <c r="E671" s="95"/>
    </row>
    <row r="672" spans="2:5" ht="13.2">
      <c r="B672" s="95"/>
      <c r="C672" s="95"/>
      <c r="D672" s="95"/>
      <c r="E672" s="95"/>
    </row>
    <row r="673" spans="2:5" ht="13.2">
      <c r="B673" s="95"/>
      <c r="C673" s="95"/>
      <c r="D673" s="95"/>
      <c r="E673" s="95"/>
    </row>
    <row r="674" spans="2:5" ht="13.2">
      <c r="B674" s="95"/>
      <c r="C674" s="95"/>
      <c r="D674" s="95"/>
      <c r="E674" s="95"/>
    </row>
    <row r="675" spans="2:5" ht="13.2">
      <c r="B675" s="95"/>
      <c r="C675" s="95"/>
      <c r="D675" s="95"/>
      <c r="E675" s="95"/>
    </row>
    <row r="676" spans="2:5" ht="13.2">
      <c r="B676" s="95"/>
      <c r="C676" s="95"/>
      <c r="D676" s="95"/>
      <c r="E676" s="95"/>
    </row>
    <row r="677" spans="2:5" ht="13.2">
      <c r="B677" s="95"/>
      <c r="C677" s="95"/>
      <c r="D677" s="95"/>
      <c r="E677" s="95"/>
    </row>
    <row r="678" spans="2:5" ht="13.2">
      <c r="B678" s="95"/>
      <c r="C678" s="95"/>
      <c r="D678" s="95"/>
      <c r="E678" s="95"/>
    </row>
    <row r="679" spans="2:5" ht="13.2">
      <c r="B679" s="95"/>
      <c r="C679" s="95"/>
      <c r="D679" s="95"/>
      <c r="E679" s="95"/>
    </row>
    <row r="680" spans="2:5" ht="13.2">
      <c r="B680" s="95"/>
      <c r="C680" s="95"/>
      <c r="D680" s="95"/>
      <c r="E680" s="95"/>
    </row>
    <row r="681" spans="2:5" ht="13.2">
      <c r="B681" s="95"/>
      <c r="C681" s="95"/>
      <c r="D681" s="95"/>
      <c r="E681" s="95"/>
    </row>
    <row r="682" spans="2:5" ht="13.2">
      <c r="B682" s="95"/>
      <c r="C682" s="95"/>
      <c r="D682" s="95"/>
      <c r="E682" s="95"/>
    </row>
    <row r="683" spans="2:5" ht="13.2">
      <c r="B683" s="95"/>
      <c r="C683" s="95"/>
      <c r="D683" s="95"/>
      <c r="E683" s="95"/>
    </row>
    <row r="684" spans="2:5" ht="13.2">
      <c r="B684" s="95"/>
      <c r="C684" s="95"/>
      <c r="D684" s="95"/>
      <c r="E684" s="95"/>
    </row>
    <row r="685" spans="2:5" ht="13.2">
      <c r="B685" s="95"/>
      <c r="C685" s="95"/>
      <c r="D685" s="95"/>
      <c r="E685" s="95"/>
    </row>
    <row r="686" spans="2:5" ht="13.2">
      <c r="B686" s="95"/>
      <c r="C686" s="95"/>
      <c r="D686" s="95"/>
      <c r="E686" s="95"/>
    </row>
    <row r="687" spans="2:5" ht="13.2">
      <c r="B687" s="95"/>
      <c r="C687" s="95"/>
      <c r="D687" s="95"/>
      <c r="E687" s="95"/>
    </row>
    <row r="688" spans="2:5" ht="13.2">
      <c r="B688" s="95"/>
      <c r="C688" s="95"/>
      <c r="D688" s="95"/>
      <c r="E688" s="95"/>
    </row>
    <row r="689" spans="2:5" ht="13.2">
      <c r="B689" s="95"/>
      <c r="C689" s="95"/>
      <c r="D689" s="95"/>
      <c r="E689" s="95"/>
    </row>
    <row r="690" spans="2:5" ht="13.2">
      <c r="B690" s="95"/>
      <c r="C690" s="95"/>
      <c r="D690" s="95"/>
      <c r="E690" s="95"/>
    </row>
    <row r="691" spans="2:5" ht="13.2">
      <c r="B691" s="95"/>
      <c r="C691" s="95"/>
      <c r="D691" s="95"/>
      <c r="E691" s="95"/>
    </row>
    <row r="692" spans="2:5" ht="13.2">
      <c r="B692" s="95"/>
      <c r="C692" s="95"/>
      <c r="D692" s="95"/>
      <c r="E692" s="95"/>
    </row>
    <row r="693" spans="2:5" ht="13.2">
      <c r="B693" s="95"/>
      <c r="C693" s="95"/>
      <c r="D693" s="95"/>
      <c r="E693" s="95"/>
    </row>
    <row r="694" spans="2:5" ht="13.2">
      <c r="B694" s="95"/>
      <c r="C694" s="95"/>
      <c r="D694" s="95"/>
      <c r="E694" s="95"/>
    </row>
    <row r="695" spans="2:5" ht="13.2">
      <c r="B695" s="95"/>
      <c r="C695" s="95"/>
      <c r="D695" s="95"/>
      <c r="E695" s="95"/>
    </row>
    <row r="696" spans="2:5" ht="13.2">
      <c r="B696" s="95"/>
      <c r="C696" s="95"/>
      <c r="D696" s="95"/>
      <c r="E696" s="95"/>
    </row>
    <row r="697" spans="2:5" ht="13.2">
      <c r="B697" s="95"/>
      <c r="C697" s="95"/>
      <c r="D697" s="95"/>
      <c r="E697" s="95"/>
    </row>
    <row r="698" spans="2:5" ht="13.2">
      <c r="B698" s="95"/>
      <c r="C698" s="95"/>
      <c r="D698" s="95"/>
      <c r="E698" s="95"/>
    </row>
    <row r="699" spans="2:5" ht="13.2">
      <c r="B699" s="95"/>
      <c r="C699" s="95"/>
      <c r="D699" s="95"/>
      <c r="E699" s="95"/>
    </row>
    <row r="700" spans="2:5" ht="13.2">
      <c r="B700" s="95"/>
      <c r="C700" s="95"/>
      <c r="D700" s="95"/>
      <c r="E700" s="95"/>
    </row>
    <row r="701" spans="2:5" ht="13.2">
      <c r="B701" s="95"/>
      <c r="C701" s="95"/>
      <c r="D701" s="95"/>
      <c r="E701" s="95"/>
    </row>
    <row r="702" spans="2:5" ht="13.2">
      <c r="B702" s="95"/>
      <c r="C702" s="95"/>
      <c r="D702" s="95"/>
      <c r="E702" s="95"/>
    </row>
    <row r="703" spans="2:5" ht="13.2">
      <c r="B703" s="95"/>
      <c r="C703" s="95"/>
      <c r="D703" s="95"/>
      <c r="E703" s="95"/>
    </row>
    <row r="704" spans="2:5" ht="13.2">
      <c r="B704" s="95"/>
      <c r="C704" s="95"/>
      <c r="D704" s="95"/>
      <c r="E704" s="95"/>
    </row>
    <row r="705" spans="2:5" ht="13.2">
      <c r="B705" s="95"/>
      <c r="C705" s="95"/>
      <c r="D705" s="95"/>
      <c r="E705" s="95"/>
    </row>
    <row r="706" spans="2:5" ht="13.2">
      <c r="B706" s="95"/>
      <c r="C706" s="95"/>
      <c r="D706" s="95"/>
      <c r="E706" s="95"/>
    </row>
    <row r="707" spans="2:5" ht="13.2">
      <c r="B707" s="95"/>
      <c r="C707" s="95"/>
      <c r="D707" s="95"/>
      <c r="E707" s="95"/>
    </row>
    <row r="708" spans="2:5" ht="13.2">
      <c r="B708" s="95"/>
      <c r="C708" s="95"/>
      <c r="D708" s="95"/>
      <c r="E708" s="95"/>
    </row>
    <row r="709" spans="2:5" ht="13.2">
      <c r="B709" s="95"/>
      <c r="C709" s="95"/>
      <c r="D709" s="95"/>
      <c r="E709" s="95"/>
    </row>
    <row r="710" spans="2:5" ht="13.2">
      <c r="B710" s="95"/>
      <c r="C710" s="95"/>
      <c r="D710" s="95"/>
      <c r="E710" s="95"/>
    </row>
    <row r="711" spans="2:5" ht="13.2">
      <c r="B711" s="95"/>
      <c r="C711" s="95"/>
      <c r="D711" s="95"/>
      <c r="E711" s="95"/>
    </row>
    <row r="712" spans="2:5" ht="13.2">
      <c r="B712" s="95"/>
      <c r="C712" s="95"/>
      <c r="D712" s="95"/>
      <c r="E712" s="95"/>
    </row>
    <row r="713" spans="2:5" ht="13.2">
      <c r="B713" s="95"/>
      <c r="C713" s="95"/>
      <c r="D713" s="95"/>
      <c r="E713" s="95"/>
    </row>
    <row r="714" spans="2:5" ht="13.2">
      <c r="B714" s="95"/>
      <c r="C714" s="95"/>
      <c r="D714" s="95"/>
      <c r="E714" s="95"/>
    </row>
    <row r="715" spans="2:5" ht="13.2">
      <c r="B715" s="95"/>
      <c r="C715" s="95"/>
      <c r="D715" s="95"/>
      <c r="E715" s="95"/>
    </row>
    <row r="716" spans="2:5" ht="13.2">
      <c r="B716" s="95"/>
      <c r="C716" s="95"/>
      <c r="D716" s="95"/>
      <c r="E716" s="95"/>
    </row>
    <row r="717" spans="2:5" ht="13.2">
      <c r="B717" s="95"/>
      <c r="C717" s="95"/>
      <c r="D717" s="95"/>
      <c r="E717" s="95"/>
    </row>
    <row r="718" spans="2:5" ht="13.2">
      <c r="B718" s="95"/>
      <c r="C718" s="95"/>
      <c r="D718" s="95"/>
      <c r="E718" s="95"/>
    </row>
    <row r="719" spans="2:5" ht="13.2">
      <c r="B719" s="95"/>
      <c r="C719" s="95"/>
      <c r="D719" s="95"/>
      <c r="E719" s="95"/>
    </row>
    <row r="720" spans="2:5" ht="13.2">
      <c r="B720" s="95"/>
      <c r="C720" s="95"/>
      <c r="D720" s="95"/>
      <c r="E720" s="95"/>
    </row>
    <row r="721" spans="2:5" ht="13.2">
      <c r="B721" s="95"/>
      <c r="C721" s="95"/>
      <c r="D721" s="95"/>
      <c r="E721" s="95"/>
    </row>
    <row r="722" spans="2:5" ht="13.2">
      <c r="B722" s="95"/>
      <c r="C722" s="95"/>
      <c r="D722" s="95"/>
      <c r="E722" s="95"/>
    </row>
    <row r="723" spans="2:5" ht="13.2">
      <c r="B723" s="95"/>
      <c r="C723" s="95"/>
      <c r="D723" s="95"/>
      <c r="E723" s="95"/>
    </row>
    <row r="724" spans="2:5" ht="13.2">
      <c r="B724" s="95"/>
      <c r="C724" s="95"/>
      <c r="D724" s="95"/>
      <c r="E724" s="95"/>
    </row>
    <row r="725" spans="2:5" ht="13.2">
      <c r="B725" s="95"/>
      <c r="C725" s="95"/>
      <c r="D725" s="95"/>
      <c r="E725" s="95"/>
    </row>
    <row r="726" spans="2:5" ht="13.2">
      <c r="B726" s="95"/>
      <c r="C726" s="95"/>
      <c r="D726" s="95"/>
      <c r="E726" s="95"/>
    </row>
    <row r="727" spans="2:5" ht="13.2">
      <c r="B727" s="95"/>
      <c r="C727" s="95"/>
      <c r="D727" s="95"/>
      <c r="E727" s="95"/>
    </row>
    <row r="728" spans="2:5" ht="13.2">
      <c r="B728" s="95"/>
      <c r="C728" s="95"/>
      <c r="D728" s="95"/>
      <c r="E728" s="95"/>
    </row>
    <row r="729" spans="2:5" ht="13.2">
      <c r="B729" s="95"/>
      <c r="C729" s="95"/>
      <c r="D729" s="95"/>
      <c r="E729" s="95"/>
    </row>
    <row r="730" spans="2:5" ht="13.2">
      <c r="B730" s="95"/>
      <c r="C730" s="95"/>
      <c r="D730" s="95"/>
      <c r="E730" s="95"/>
    </row>
    <row r="731" spans="2:5" ht="13.2">
      <c r="B731" s="95"/>
      <c r="C731" s="95"/>
      <c r="D731" s="95"/>
      <c r="E731" s="95"/>
    </row>
    <row r="732" spans="2:5" ht="13.2">
      <c r="B732" s="95"/>
      <c r="C732" s="95"/>
      <c r="D732" s="95"/>
      <c r="E732" s="95"/>
    </row>
    <row r="733" spans="2:5" ht="13.2">
      <c r="B733" s="95"/>
      <c r="C733" s="95"/>
      <c r="D733" s="95"/>
      <c r="E733" s="95"/>
    </row>
    <row r="734" spans="2:5" ht="13.2">
      <c r="B734" s="95"/>
      <c r="C734" s="95"/>
      <c r="D734" s="95"/>
      <c r="E734" s="95"/>
    </row>
    <row r="735" spans="2:5" ht="13.2">
      <c r="B735" s="95"/>
      <c r="C735" s="95"/>
      <c r="D735" s="95"/>
      <c r="E735" s="95"/>
    </row>
    <row r="736" spans="2:5" ht="13.2">
      <c r="B736" s="95"/>
      <c r="C736" s="95"/>
      <c r="D736" s="95"/>
      <c r="E736" s="95"/>
    </row>
    <row r="737" spans="2:5" ht="13.2">
      <c r="B737" s="95"/>
      <c r="C737" s="95"/>
      <c r="D737" s="95"/>
      <c r="E737" s="95"/>
    </row>
    <row r="738" spans="2:5" ht="13.2">
      <c r="B738" s="95"/>
      <c r="C738" s="95"/>
      <c r="D738" s="95"/>
      <c r="E738" s="95"/>
    </row>
    <row r="739" spans="2:5" ht="13.2">
      <c r="B739" s="95"/>
      <c r="C739" s="95"/>
      <c r="D739" s="95"/>
      <c r="E739" s="95"/>
    </row>
    <row r="740" spans="2:5" ht="13.2">
      <c r="B740" s="95"/>
      <c r="C740" s="95"/>
      <c r="D740" s="95"/>
      <c r="E740" s="95"/>
    </row>
    <row r="741" spans="2:5" ht="13.2">
      <c r="B741" s="95"/>
      <c r="C741" s="95"/>
      <c r="D741" s="95"/>
      <c r="E741" s="95"/>
    </row>
    <row r="742" spans="2:5" ht="13.2">
      <c r="B742" s="95"/>
      <c r="C742" s="95"/>
      <c r="D742" s="95"/>
      <c r="E742" s="95"/>
    </row>
    <row r="743" spans="2:5" ht="13.2">
      <c r="B743" s="95"/>
      <c r="C743" s="95"/>
      <c r="D743" s="95"/>
      <c r="E743" s="95"/>
    </row>
    <row r="744" spans="2:5" ht="13.2">
      <c r="B744" s="95"/>
      <c r="C744" s="95"/>
      <c r="D744" s="95"/>
      <c r="E744" s="95"/>
    </row>
    <row r="745" spans="2:5" ht="13.2">
      <c r="B745" s="95"/>
      <c r="C745" s="95"/>
      <c r="D745" s="95"/>
      <c r="E745" s="95"/>
    </row>
    <row r="746" spans="2:5" ht="13.2">
      <c r="B746" s="95"/>
      <c r="C746" s="95"/>
      <c r="D746" s="95"/>
      <c r="E746" s="95"/>
    </row>
    <row r="747" spans="2:5" ht="13.2">
      <c r="B747" s="95"/>
      <c r="C747" s="95"/>
      <c r="D747" s="95"/>
      <c r="E747" s="95"/>
    </row>
    <row r="748" spans="2:5" ht="13.2">
      <c r="B748" s="95"/>
      <c r="C748" s="95"/>
      <c r="D748" s="95"/>
      <c r="E748" s="95"/>
    </row>
    <row r="749" spans="2:5" ht="13.2">
      <c r="B749" s="95"/>
      <c r="C749" s="95"/>
      <c r="D749" s="95"/>
      <c r="E749" s="95"/>
    </row>
    <row r="750" spans="2:5" ht="13.2">
      <c r="B750" s="95"/>
      <c r="C750" s="95"/>
      <c r="D750" s="95"/>
      <c r="E750" s="95"/>
    </row>
    <row r="751" spans="2:5" ht="13.2">
      <c r="B751" s="95"/>
      <c r="C751" s="95"/>
      <c r="D751" s="95"/>
      <c r="E751" s="95"/>
    </row>
    <row r="752" spans="2:5" ht="13.2">
      <c r="B752" s="95"/>
      <c r="C752" s="95"/>
      <c r="D752" s="95"/>
      <c r="E752" s="95"/>
    </row>
    <row r="753" spans="2:5" ht="13.2">
      <c r="B753" s="95"/>
      <c r="C753" s="95"/>
      <c r="D753" s="95"/>
      <c r="E753" s="95"/>
    </row>
    <row r="754" spans="2:5" ht="13.2">
      <c r="B754" s="95"/>
      <c r="C754" s="95"/>
      <c r="D754" s="95"/>
      <c r="E754" s="95"/>
    </row>
    <row r="755" spans="2:5" ht="13.2">
      <c r="B755" s="95"/>
      <c r="C755" s="95"/>
      <c r="D755" s="95"/>
      <c r="E755" s="95"/>
    </row>
    <row r="756" spans="2:5" ht="13.2">
      <c r="B756" s="95"/>
      <c r="C756" s="95"/>
      <c r="D756" s="95"/>
      <c r="E756" s="95"/>
    </row>
    <row r="757" spans="2:5" ht="13.2">
      <c r="B757" s="95"/>
      <c r="C757" s="95"/>
      <c r="D757" s="95"/>
      <c r="E757" s="95"/>
    </row>
    <row r="758" spans="2:5" ht="13.2">
      <c r="B758" s="95"/>
      <c r="C758" s="95"/>
      <c r="D758" s="95"/>
      <c r="E758" s="95"/>
    </row>
    <row r="759" spans="2:5" ht="13.2">
      <c r="B759" s="95"/>
      <c r="C759" s="95"/>
      <c r="D759" s="95"/>
      <c r="E759" s="95"/>
    </row>
    <row r="760" spans="2:5" ht="13.2">
      <c r="B760" s="95"/>
      <c r="C760" s="95"/>
      <c r="D760" s="95"/>
      <c r="E760" s="95"/>
    </row>
    <row r="761" spans="2:5" ht="13.2">
      <c r="B761" s="95"/>
      <c r="C761" s="95"/>
      <c r="D761" s="95"/>
      <c r="E761" s="95"/>
    </row>
    <row r="762" spans="2:5" ht="13.2">
      <c r="B762" s="95"/>
      <c r="C762" s="95"/>
      <c r="D762" s="95"/>
      <c r="E762" s="95"/>
    </row>
    <row r="763" spans="2:5" ht="13.2">
      <c r="B763" s="95"/>
      <c r="C763" s="95"/>
      <c r="D763" s="95"/>
      <c r="E763" s="95"/>
    </row>
    <row r="764" spans="2:5" ht="13.2">
      <c r="B764" s="95"/>
      <c r="C764" s="95"/>
      <c r="D764" s="95"/>
      <c r="E764" s="95"/>
    </row>
    <row r="765" spans="2:5" ht="13.2">
      <c r="B765" s="95"/>
      <c r="C765" s="95"/>
      <c r="D765" s="95"/>
      <c r="E765" s="95"/>
    </row>
    <row r="766" spans="2:5" ht="13.2">
      <c r="B766" s="95"/>
      <c r="C766" s="95"/>
      <c r="D766" s="95"/>
      <c r="E766" s="95"/>
    </row>
    <row r="767" spans="2:5" ht="13.2">
      <c r="B767" s="95"/>
      <c r="C767" s="95"/>
      <c r="D767" s="95"/>
      <c r="E767" s="95"/>
    </row>
    <row r="768" spans="2:5" ht="13.2">
      <c r="B768" s="95"/>
      <c r="C768" s="95"/>
      <c r="D768" s="95"/>
      <c r="E768" s="95"/>
    </row>
    <row r="769" spans="2:5" ht="13.2">
      <c r="B769" s="95"/>
      <c r="C769" s="95"/>
      <c r="D769" s="95"/>
      <c r="E769" s="95"/>
    </row>
    <row r="770" spans="2:5" ht="13.2">
      <c r="B770" s="95"/>
      <c r="C770" s="95"/>
      <c r="D770" s="95"/>
      <c r="E770" s="95"/>
    </row>
    <row r="771" spans="2:5" ht="13.2">
      <c r="B771" s="95"/>
      <c r="C771" s="95"/>
      <c r="D771" s="95"/>
      <c r="E771" s="95"/>
    </row>
    <row r="772" spans="2:5" ht="13.2">
      <c r="B772" s="95"/>
      <c r="C772" s="95"/>
      <c r="D772" s="95"/>
      <c r="E772" s="95"/>
    </row>
    <row r="773" spans="2:5" ht="13.2">
      <c r="B773" s="95"/>
      <c r="C773" s="95"/>
      <c r="D773" s="95"/>
      <c r="E773" s="95"/>
    </row>
    <row r="774" spans="2:5" ht="13.2">
      <c r="B774" s="95"/>
      <c r="C774" s="95"/>
      <c r="D774" s="95"/>
      <c r="E774" s="95"/>
    </row>
    <row r="775" spans="2:5" ht="13.2">
      <c r="B775" s="95"/>
      <c r="C775" s="95"/>
      <c r="D775" s="95"/>
      <c r="E775" s="95"/>
    </row>
    <row r="776" spans="2:5" ht="13.2">
      <c r="B776" s="95"/>
      <c r="C776" s="95"/>
      <c r="D776" s="95"/>
      <c r="E776" s="95"/>
    </row>
    <row r="777" spans="2:5" ht="13.2">
      <c r="B777" s="95"/>
      <c r="C777" s="95"/>
      <c r="D777" s="95"/>
      <c r="E777" s="95"/>
    </row>
    <row r="778" spans="2:5" ht="13.2">
      <c r="B778" s="95"/>
      <c r="C778" s="95"/>
      <c r="D778" s="95"/>
      <c r="E778" s="95"/>
    </row>
    <row r="779" spans="2:5" ht="13.2">
      <c r="B779" s="95"/>
      <c r="C779" s="95"/>
      <c r="D779" s="95"/>
      <c r="E779" s="95"/>
    </row>
    <row r="780" spans="2:5" ht="13.2">
      <c r="B780" s="95"/>
      <c r="C780" s="95"/>
      <c r="D780" s="95"/>
      <c r="E780" s="95"/>
    </row>
    <row r="781" spans="2:5" ht="13.2">
      <c r="B781" s="95"/>
      <c r="C781" s="95"/>
      <c r="D781" s="95"/>
      <c r="E781" s="95"/>
    </row>
    <row r="782" spans="2:5" ht="13.2">
      <c r="B782" s="95"/>
      <c r="C782" s="95"/>
      <c r="D782" s="95"/>
      <c r="E782" s="95"/>
    </row>
    <row r="783" spans="2:5" ht="13.2">
      <c r="B783" s="95"/>
      <c r="C783" s="95"/>
      <c r="D783" s="95"/>
      <c r="E783" s="95"/>
    </row>
    <row r="784" spans="2:5" ht="13.2">
      <c r="B784" s="95"/>
      <c r="C784" s="95"/>
      <c r="D784" s="95"/>
      <c r="E784" s="95"/>
    </row>
    <row r="785" spans="2:5" ht="13.2">
      <c r="B785" s="95"/>
      <c r="C785" s="95"/>
      <c r="D785" s="95"/>
      <c r="E785" s="95"/>
    </row>
    <row r="786" spans="2:5" ht="13.2">
      <c r="B786" s="95"/>
      <c r="C786" s="95"/>
      <c r="D786" s="95"/>
      <c r="E786" s="95"/>
    </row>
    <row r="787" spans="2:5" ht="13.2">
      <c r="B787" s="95"/>
      <c r="C787" s="95"/>
      <c r="D787" s="95"/>
      <c r="E787" s="95"/>
    </row>
    <row r="788" spans="2:5" ht="13.2">
      <c r="B788" s="95"/>
      <c r="C788" s="95"/>
      <c r="D788" s="95"/>
      <c r="E788" s="95"/>
    </row>
    <row r="789" spans="2:5" ht="13.2">
      <c r="B789" s="95"/>
      <c r="C789" s="95"/>
      <c r="D789" s="95"/>
      <c r="E789" s="95"/>
    </row>
    <row r="790" spans="2:5" ht="13.2">
      <c r="B790" s="95"/>
      <c r="C790" s="95"/>
      <c r="D790" s="95"/>
      <c r="E790" s="95"/>
    </row>
    <row r="791" spans="2:5" ht="13.2">
      <c r="B791" s="95"/>
      <c r="C791" s="95"/>
      <c r="D791" s="95"/>
      <c r="E791" s="95"/>
    </row>
    <row r="792" spans="2:5" ht="13.2">
      <c r="B792" s="95"/>
      <c r="C792" s="95"/>
      <c r="D792" s="95"/>
      <c r="E792" s="95"/>
    </row>
    <row r="793" spans="2:5" ht="13.2">
      <c r="B793" s="95"/>
      <c r="C793" s="95"/>
      <c r="D793" s="95"/>
      <c r="E793" s="95"/>
    </row>
    <row r="794" spans="2:5" ht="13.2">
      <c r="B794" s="95"/>
      <c r="C794" s="95"/>
      <c r="D794" s="95"/>
      <c r="E794" s="95"/>
    </row>
    <row r="795" spans="2:5" ht="13.2">
      <c r="B795" s="95"/>
      <c r="C795" s="95"/>
      <c r="D795" s="95"/>
      <c r="E795" s="95"/>
    </row>
    <row r="796" spans="2:5" ht="13.2">
      <c r="B796" s="95"/>
      <c r="C796" s="95"/>
      <c r="D796" s="95"/>
      <c r="E796" s="95"/>
    </row>
    <row r="797" spans="2:5" ht="13.2">
      <c r="B797" s="95"/>
      <c r="C797" s="95"/>
      <c r="D797" s="95"/>
      <c r="E797" s="95"/>
    </row>
    <row r="798" spans="2:5" ht="13.2">
      <c r="B798" s="95"/>
      <c r="C798" s="95"/>
      <c r="D798" s="95"/>
      <c r="E798" s="95"/>
    </row>
    <row r="799" spans="2:5" ht="13.2">
      <c r="B799" s="95"/>
      <c r="C799" s="95"/>
      <c r="D799" s="95"/>
      <c r="E799" s="95"/>
    </row>
    <row r="800" spans="2:5" ht="13.2">
      <c r="B800" s="95"/>
      <c r="C800" s="95"/>
      <c r="D800" s="95"/>
      <c r="E800" s="95"/>
    </row>
    <row r="801" spans="2:5" ht="13.2">
      <c r="B801" s="95"/>
      <c r="C801" s="95"/>
      <c r="D801" s="95"/>
      <c r="E801" s="95"/>
    </row>
    <row r="802" spans="2:5" ht="13.2">
      <c r="B802" s="95"/>
      <c r="C802" s="95"/>
      <c r="D802" s="95"/>
      <c r="E802" s="95"/>
    </row>
    <row r="803" spans="2:5" ht="13.2">
      <c r="B803" s="95"/>
      <c r="C803" s="95"/>
      <c r="D803" s="95"/>
      <c r="E803" s="95"/>
    </row>
    <row r="804" spans="2:5" ht="13.2">
      <c r="B804" s="95"/>
      <c r="C804" s="95"/>
      <c r="D804" s="95"/>
      <c r="E804" s="95"/>
    </row>
    <row r="805" spans="2:5" ht="13.2">
      <c r="B805" s="95"/>
      <c r="C805" s="95"/>
      <c r="D805" s="95"/>
      <c r="E805" s="95"/>
    </row>
    <row r="806" spans="2:5" ht="13.2">
      <c r="B806" s="95"/>
      <c r="C806" s="95"/>
      <c r="D806" s="95"/>
      <c r="E806" s="95"/>
    </row>
    <row r="807" spans="2:5" ht="13.2">
      <c r="B807" s="95"/>
      <c r="C807" s="95"/>
      <c r="D807" s="95"/>
      <c r="E807" s="95"/>
    </row>
    <row r="808" spans="2:5" ht="13.2">
      <c r="B808" s="95"/>
      <c r="C808" s="95"/>
      <c r="D808" s="95"/>
      <c r="E808" s="95"/>
    </row>
    <row r="809" spans="2:5" ht="13.2">
      <c r="B809" s="95"/>
      <c r="C809" s="95"/>
      <c r="D809" s="95"/>
      <c r="E809" s="95"/>
    </row>
    <row r="810" spans="2:5" ht="13.2">
      <c r="B810" s="95"/>
      <c r="C810" s="95"/>
      <c r="D810" s="95"/>
      <c r="E810" s="95"/>
    </row>
    <row r="811" spans="2:5" ht="13.2">
      <c r="B811" s="95"/>
      <c r="C811" s="95"/>
      <c r="D811" s="95"/>
      <c r="E811" s="95"/>
    </row>
    <row r="812" spans="2:5" ht="13.2">
      <c r="B812" s="95"/>
      <c r="C812" s="95"/>
      <c r="D812" s="95"/>
      <c r="E812" s="95"/>
    </row>
    <row r="813" spans="2:5" ht="13.2">
      <c r="B813" s="95"/>
      <c r="C813" s="95"/>
      <c r="D813" s="95"/>
      <c r="E813" s="95"/>
    </row>
    <row r="814" spans="2:5" ht="13.2">
      <c r="B814" s="95"/>
      <c r="C814" s="95"/>
      <c r="D814" s="95"/>
      <c r="E814" s="95"/>
    </row>
    <row r="815" spans="2:5" ht="13.2">
      <c r="B815" s="95"/>
      <c r="C815" s="95"/>
      <c r="D815" s="95"/>
      <c r="E815" s="95"/>
    </row>
    <row r="816" spans="2:5" ht="13.2">
      <c r="B816" s="95"/>
      <c r="C816" s="95"/>
      <c r="D816" s="95"/>
      <c r="E816" s="95"/>
    </row>
    <row r="817" spans="2:5" ht="13.2">
      <c r="B817" s="95"/>
      <c r="C817" s="95"/>
      <c r="D817" s="95"/>
      <c r="E817" s="95"/>
    </row>
    <row r="818" spans="2:5" ht="13.2">
      <c r="B818" s="95"/>
      <c r="C818" s="95"/>
      <c r="D818" s="95"/>
      <c r="E818" s="95"/>
    </row>
    <row r="819" spans="2:5" ht="13.2">
      <c r="B819" s="95"/>
      <c r="C819" s="95"/>
      <c r="D819" s="95"/>
      <c r="E819" s="95"/>
    </row>
    <row r="820" spans="2:5" ht="13.2">
      <c r="B820" s="95"/>
      <c r="C820" s="95"/>
      <c r="D820" s="95"/>
      <c r="E820" s="95"/>
    </row>
    <row r="821" spans="2:5" ht="13.2">
      <c r="B821" s="95"/>
      <c r="C821" s="95"/>
      <c r="D821" s="95"/>
      <c r="E821" s="95"/>
    </row>
    <row r="822" spans="2:5" ht="13.2">
      <c r="B822" s="95"/>
      <c r="C822" s="95"/>
      <c r="D822" s="95"/>
      <c r="E822" s="95"/>
    </row>
    <row r="823" spans="2:5" ht="13.2">
      <c r="B823" s="95"/>
      <c r="C823" s="95"/>
      <c r="D823" s="95"/>
      <c r="E823" s="95"/>
    </row>
    <row r="824" spans="2:5" ht="13.2">
      <c r="B824" s="95"/>
      <c r="C824" s="95"/>
      <c r="D824" s="95"/>
      <c r="E824" s="95"/>
    </row>
    <row r="825" spans="2:5" ht="13.2">
      <c r="B825" s="95"/>
      <c r="C825" s="95"/>
      <c r="D825" s="95"/>
      <c r="E825" s="95"/>
    </row>
    <row r="826" spans="2:5" ht="13.2">
      <c r="B826" s="95"/>
      <c r="C826" s="95"/>
      <c r="D826" s="95"/>
      <c r="E826" s="95"/>
    </row>
    <row r="827" spans="2:5" ht="13.2">
      <c r="B827" s="95"/>
      <c r="C827" s="95"/>
      <c r="D827" s="95"/>
      <c r="E827" s="95"/>
    </row>
    <row r="828" spans="2:5" ht="13.2">
      <c r="B828" s="95"/>
      <c r="C828" s="95"/>
      <c r="D828" s="95"/>
      <c r="E828" s="95"/>
    </row>
    <row r="829" spans="2:5" ht="13.2">
      <c r="B829" s="95"/>
      <c r="C829" s="95"/>
      <c r="D829" s="95"/>
      <c r="E829" s="95"/>
    </row>
    <row r="830" spans="2:5" ht="13.2">
      <c r="B830" s="95"/>
      <c r="C830" s="95"/>
      <c r="D830" s="95"/>
      <c r="E830" s="95"/>
    </row>
    <row r="831" spans="2:5" ht="13.2">
      <c r="B831" s="95"/>
      <c r="C831" s="95"/>
      <c r="D831" s="95"/>
      <c r="E831" s="95"/>
    </row>
    <row r="832" spans="2:5" ht="13.2">
      <c r="B832" s="95"/>
      <c r="C832" s="95"/>
      <c r="D832" s="95"/>
      <c r="E832" s="95"/>
    </row>
    <row r="833" spans="2:5" ht="13.2">
      <c r="B833" s="95"/>
      <c r="C833" s="95"/>
      <c r="D833" s="95"/>
      <c r="E833" s="95"/>
    </row>
    <row r="834" spans="2:5" ht="13.2">
      <c r="B834" s="95"/>
      <c r="C834" s="95"/>
      <c r="D834" s="95"/>
      <c r="E834" s="95"/>
    </row>
    <row r="835" spans="2:5" ht="13.2">
      <c r="B835" s="95"/>
      <c r="C835" s="95"/>
      <c r="D835" s="95"/>
      <c r="E835" s="95"/>
    </row>
    <row r="836" spans="2:5" ht="13.2">
      <c r="B836" s="95"/>
      <c r="C836" s="95"/>
      <c r="D836" s="95"/>
      <c r="E836" s="95"/>
    </row>
    <row r="837" spans="2:5" ht="13.2">
      <c r="B837" s="95"/>
      <c r="C837" s="95"/>
      <c r="D837" s="95"/>
      <c r="E837" s="95"/>
    </row>
    <row r="838" spans="2:5" ht="13.2">
      <c r="B838" s="95"/>
      <c r="C838" s="95"/>
      <c r="D838" s="95"/>
      <c r="E838" s="95"/>
    </row>
    <row r="839" spans="2:5" ht="13.2">
      <c r="B839" s="95"/>
      <c r="C839" s="95"/>
      <c r="D839" s="95"/>
      <c r="E839" s="95"/>
    </row>
    <row r="840" spans="2:5" ht="13.2">
      <c r="B840" s="95"/>
      <c r="C840" s="95"/>
      <c r="D840" s="95"/>
      <c r="E840" s="95"/>
    </row>
    <row r="841" spans="2:5" ht="13.2">
      <c r="B841" s="95"/>
      <c r="C841" s="95"/>
      <c r="D841" s="95"/>
      <c r="E841" s="95"/>
    </row>
    <row r="842" spans="2:5" ht="13.2">
      <c r="B842" s="95"/>
      <c r="C842" s="95"/>
      <c r="D842" s="95"/>
      <c r="E842" s="95"/>
    </row>
    <row r="843" spans="2:5" ht="13.2">
      <c r="B843" s="95"/>
      <c r="C843" s="95"/>
      <c r="D843" s="95"/>
      <c r="E843" s="95"/>
    </row>
    <row r="844" spans="2:5" ht="13.2">
      <c r="B844" s="95"/>
      <c r="C844" s="95"/>
      <c r="D844" s="95"/>
      <c r="E844" s="95"/>
    </row>
    <row r="845" spans="2:5" ht="13.2">
      <c r="B845" s="95"/>
      <c r="C845" s="95"/>
      <c r="D845" s="95"/>
      <c r="E845" s="95"/>
    </row>
    <row r="846" spans="2:5" ht="13.2">
      <c r="B846" s="95"/>
      <c r="C846" s="95"/>
      <c r="D846" s="95"/>
      <c r="E846" s="95"/>
    </row>
    <row r="847" spans="2:5" ht="13.2">
      <c r="B847" s="95"/>
      <c r="C847" s="95"/>
      <c r="D847" s="95"/>
      <c r="E847" s="95"/>
    </row>
    <row r="848" spans="2:5" ht="13.2">
      <c r="B848" s="95"/>
      <c r="C848" s="95"/>
      <c r="D848" s="95"/>
      <c r="E848" s="95"/>
    </row>
    <row r="849" spans="2:5" ht="13.2">
      <c r="B849" s="95"/>
      <c r="C849" s="95"/>
      <c r="D849" s="95"/>
      <c r="E849" s="95"/>
    </row>
    <row r="850" spans="2:5" ht="13.2">
      <c r="B850" s="95"/>
      <c r="C850" s="95"/>
      <c r="D850" s="95"/>
      <c r="E850" s="95"/>
    </row>
    <row r="851" spans="2:5" ht="13.2">
      <c r="B851" s="95"/>
      <c r="C851" s="95"/>
      <c r="D851" s="95"/>
      <c r="E851" s="95"/>
    </row>
    <row r="852" spans="2:5" ht="13.2">
      <c r="B852" s="95"/>
      <c r="C852" s="95"/>
      <c r="D852" s="95"/>
      <c r="E852" s="95"/>
    </row>
    <row r="853" spans="2:5" ht="13.2">
      <c r="B853" s="95"/>
      <c r="C853" s="95"/>
      <c r="D853" s="95"/>
      <c r="E853" s="95"/>
    </row>
    <row r="854" spans="2:5" ht="13.2">
      <c r="B854" s="95"/>
      <c r="C854" s="95"/>
      <c r="D854" s="95"/>
      <c r="E854" s="95"/>
    </row>
    <row r="855" spans="2:5" ht="13.2">
      <c r="B855" s="95"/>
      <c r="C855" s="95"/>
      <c r="D855" s="95"/>
      <c r="E855" s="95"/>
    </row>
    <row r="856" spans="2:5" ht="13.2">
      <c r="B856" s="95"/>
      <c r="C856" s="95"/>
      <c r="D856" s="95"/>
      <c r="E856" s="95"/>
    </row>
    <row r="857" spans="2:5" ht="13.2">
      <c r="B857" s="95"/>
      <c r="C857" s="95"/>
      <c r="D857" s="95"/>
      <c r="E857" s="95"/>
    </row>
    <row r="858" spans="2:5" ht="13.2">
      <c r="B858" s="95"/>
      <c r="C858" s="95"/>
      <c r="D858" s="95"/>
      <c r="E858" s="95"/>
    </row>
    <row r="859" spans="2:5" ht="13.2">
      <c r="B859" s="95"/>
      <c r="C859" s="95"/>
      <c r="D859" s="95"/>
      <c r="E859" s="95"/>
    </row>
    <row r="860" spans="2:5" ht="13.2">
      <c r="B860" s="95"/>
      <c r="C860" s="95"/>
      <c r="D860" s="95"/>
      <c r="E860" s="95"/>
    </row>
    <row r="861" spans="2:5" ht="13.2">
      <c r="B861" s="95"/>
      <c r="C861" s="95"/>
      <c r="D861" s="95"/>
      <c r="E861" s="95"/>
    </row>
    <row r="862" spans="2:5" ht="13.2">
      <c r="B862" s="95"/>
      <c r="C862" s="95"/>
      <c r="D862" s="95"/>
      <c r="E862" s="95"/>
    </row>
    <row r="863" spans="2:5" ht="13.2">
      <c r="B863" s="95"/>
      <c r="C863" s="95"/>
      <c r="D863" s="95"/>
      <c r="E863" s="95"/>
    </row>
    <row r="864" spans="2:5" ht="13.2">
      <c r="B864" s="95"/>
      <c r="C864" s="95"/>
      <c r="D864" s="95"/>
      <c r="E864" s="95"/>
    </row>
    <row r="865" spans="2:5" ht="13.2">
      <c r="B865" s="95"/>
      <c r="C865" s="95"/>
      <c r="D865" s="95"/>
      <c r="E865" s="95"/>
    </row>
    <row r="866" spans="2:5" ht="13.2">
      <c r="B866" s="95"/>
      <c r="C866" s="95"/>
      <c r="D866" s="95"/>
      <c r="E866" s="95"/>
    </row>
    <row r="867" spans="2:5" ht="13.2">
      <c r="B867" s="95"/>
      <c r="C867" s="95"/>
      <c r="D867" s="95"/>
      <c r="E867" s="95"/>
    </row>
    <row r="868" spans="2:5" ht="13.2">
      <c r="B868" s="95"/>
      <c r="C868" s="95"/>
      <c r="D868" s="95"/>
      <c r="E868" s="95"/>
    </row>
    <row r="869" spans="2:5" ht="13.2">
      <c r="B869" s="95"/>
      <c r="C869" s="95"/>
      <c r="D869" s="95"/>
      <c r="E869" s="95"/>
    </row>
    <row r="870" spans="2:5" ht="13.2">
      <c r="B870" s="95"/>
      <c r="C870" s="95"/>
      <c r="D870" s="95"/>
      <c r="E870" s="95"/>
    </row>
    <row r="871" spans="2:5" ht="13.2">
      <c r="B871" s="95"/>
      <c r="C871" s="95"/>
      <c r="D871" s="95"/>
      <c r="E871" s="95"/>
    </row>
    <row r="872" spans="2:5" ht="13.2">
      <c r="B872" s="95"/>
      <c r="C872" s="95"/>
      <c r="D872" s="95"/>
      <c r="E872" s="95"/>
    </row>
    <row r="873" spans="2:5" ht="13.2">
      <c r="B873" s="95"/>
      <c r="C873" s="95"/>
      <c r="D873" s="95"/>
      <c r="E873" s="95"/>
    </row>
    <row r="874" spans="2:5" ht="13.2">
      <c r="B874" s="95"/>
      <c r="C874" s="95"/>
      <c r="D874" s="95"/>
      <c r="E874" s="95"/>
    </row>
    <row r="875" spans="2:5" ht="13.2">
      <c r="B875" s="95"/>
      <c r="C875" s="95"/>
      <c r="D875" s="95"/>
      <c r="E875" s="95"/>
    </row>
    <row r="876" spans="2:5" ht="13.2">
      <c r="B876" s="95"/>
      <c r="C876" s="95"/>
      <c r="D876" s="95"/>
      <c r="E876" s="95"/>
    </row>
    <row r="877" spans="2:5" ht="13.2">
      <c r="B877" s="95"/>
      <c r="C877" s="95"/>
      <c r="D877" s="95"/>
      <c r="E877" s="95"/>
    </row>
    <row r="878" spans="2:5" ht="13.2">
      <c r="B878" s="95"/>
      <c r="C878" s="95"/>
      <c r="D878" s="95"/>
      <c r="E878" s="95"/>
    </row>
    <row r="879" spans="2:5" ht="13.2">
      <c r="B879" s="95"/>
      <c r="C879" s="95"/>
      <c r="D879" s="95"/>
      <c r="E879" s="95"/>
    </row>
    <row r="880" spans="2:5" ht="13.2">
      <c r="B880" s="95"/>
      <c r="C880" s="95"/>
      <c r="D880" s="95"/>
      <c r="E880" s="95"/>
    </row>
    <row r="881" spans="2:5" ht="13.2">
      <c r="B881" s="95"/>
      <c r="C881" s="95"/>
      <c r="D881" s="95"/>
      <c r="E881" s="95"/>
    </row>
    <row r="882" spans="2:5" ht="13.2">
      <c r="B882" s="95"/>
      <c r="C882" s="95"/>
      <c r="D882" s="95"/>
      <c r="E882" s="95"/>
    </row>
    <row r="883" spans="2:5" ht="13.2">
      <c r="B883" s="95"/>
      <c r="C883" s="95"/>
      <c r="D883" s="95"/>
      <c r="E883" s="95"/>
    </row>
    <row r="884" spans="2:5" ht="13.2">
      <c r="B884" s="95"/>
      <c r="C884" s="95"/>
      <c r="D884" s="95"/>
      <c r="E884" s="95"/>
    </row>
    <row r="885" spans="2:5" ht="13.2">
      <c r="B885" s="95"/>
      <c r="C885" s="95"/>
      <c r="D885" s="95"/>
      <c r="E885" s="95"/>
    </row>
    <row r="886" spans="2:5" ht="13.2">
      <c r="B886" s="95"/>
      <c r="C886" s="95"/>
      <c r="D886" s="95"/>
      <c r="E886" s="95"/>
    </row>
    <row r="887" spans="2:5" ht="13.2">
      <c r="B887" s="95"/>
      <c r="C887" s="95"/>
      <c r="D887" s="95"/>
      <c r="E887" s="95"/>
    </row>
    <row r="888" spans="2:5" ht="13.2">
      <c r="B888" s="95"/>
      <c r="C888" s="95"/>
      <c r="D888" s="95"/>
      <c r="E888" s="95"/>
    </row>
    <row r="889" spans="2:5" ht="13.2">
      <c r="B889" s="95"/>
      <c r="C889" s="95"/>
      <c r="D889" s="95"/>
      <c r="E889" s="95"/>
    </row>
    <row r="890" spans="2:5" ht="13.2">
      <c r="B890" s="95"/>
      <c r="C890" s="95"/>
      <c r="D890" s="95"/>
      <c r="E890" s="95"/>
    </row>
    <row r="891" spans="2:5" ht="13.2">
      <c r="B891" s="95"/>
      <c r="C891" s="95"/>
      <c r="D891" s="95"/>
      <c r="E891" s="95"/>
    </row>
    <row r="892" spans="2:5" ht="13.2">
      <c r="B892" s="95"/>
      <c r="C892" s="95"/>
      <c r="D892" s="95"/>
      <c r="E892" s="95"/>
    </row>
    <row r="893" spans="2:5" ht="13.2">
      <c r="B893" s="95"/>
      <c r="C893" s="95"/>
      <c r="D893" s="95"/>
      <c r="E893" s="95"/>
    </row>
    <row r="894" spans="2:5" ht="13.2">
      <c r="B894" s="95"/>
      <c r="C894" s="95"/>
      <c r="D894" s="95"/>
      <c r="E894" s="95"/>
    </row>
    <row r="895" spans="2:5" ht="13.2">
      <c r="B895" s="95"/>
      <c r="C895" s="95"/>
      <c r="D895" s="95"/>
      <c r="E895" s="95"/>
    </row>
    <row r="896" spans="2:5" ht="13.2">
      <c r="B896" s="95"/>
      <c r="C896" s="95"/>
      <c r="D896" s="95"/>
      <c r="E896" s="95"/>
    </row>
    <row r="897" spans="2:5" ht="13.2">
      <c r="B897" s="95"/>
      <c r="C897" s="95"/>
      <c r="D897" s="95"/>
      <c r="E897" s="95"/>
    </row>
    <row r="898" spans="2:5" ht="13.2">
      <c r="B898" s="95"/>
      <c r="C898" s="95"/>
      <c r="D898" s="95"/>
      <c r="E898" s="95"/>
    </row>
    <row r="899" spans="2:5" ht="13.2">
      <c r="B899" s="95"/>
      <c r="C899" s="95"/>
      <c r="D899" s="95"/>
      <c r="E899" s="95"/>
    </row>
    <row r="900" spans="2:5" ht="13.2">
      <c r="B900" s="95"/>
      <c r="C900" s="95"/>
      <c r="D900" s="95"/>
      <c r="E900" s="95"/>
    </row>
    <row r="901" spans="2:5" ht="13.2">
      <c r="B901" s="95"/>
      <c r="C901" s="95"/>
      <c r="D901" s="95"/>
      <c r="E901" s="95"/>
    </row>
    <row r="902" spans="2:5" ht="13.2">
      <c r="B902" s="95"/>
      <c r="C902" s="95"/>
      <c r="D902" s="95"/>
      <c r="E902" s="95"/>
    </row>
    <row r="903" spans="2:5" ht="13.2">
      <c r="B903" s="95"/>
      <c r="C903" s="95"/>
      <c r="D903" s="95"/>
      <c r="E903" s="95"/>
    </row>
    <row r="904" spans="2:5" ht="13.2">
      <c r="B904" s="95"/>
      <c r="C904" s="95"/>
      <c r="D904" s="95"/>
      <c r="E904" s="95"/>
    </row>
    <row r="905" spans="2:5" ht="13.2">
      <c r="B905" s="95"/>
      <c r="C905" s="95"/>
      <c r="D905" s="95"/>
      <c r="E905" s="95"/>
    </row>
    <row r="906" spans="2:5" ht="13.2">
      <c r="B906" s="95"/>
      <c r="C906" s="95"/>
      <c r="D906" s="95"/>
      <c r="E906" s="95"/>
    </row>
    <row r="907" spans="2:5" ht="13.2">
      <c r="B907" s="95"/>
      <c r="C907" s="95"/>
      <c r="D907" s="95"/>
      <c r="E907" s="95"/>
    </row>
    <row r="908" spans="2:5" ht="13.2">
      <c r="B908" s="95"/>
      <c r="C908" s="95"/>
      <c r="D908" s="95"/>
      <c r="E908" s="95"/>
    </row>
    <row r="909" spans="2:5" ht="13.2">
      <c r="B909" s="95"/>
      <c r="C909" s="95"/>
      <c r="D909" s="95"/>
      <c r="E909" s="95"/>
    </row>
    <row r="910" spans="2:5" ht="13.2">
      <c r="B910" s="95"/>
      <c r="C910" s="95"/>
      <c r="D910" s="95"/>
      <c r="E910" s="95"/>
    </row>
    <row r="911" spans="2:5" ht="13.2">
      <c r="B911" s="95"/>
      <c r="C911" s="95"/>
      <c r="D911" s="95"/>
      <c r="E911" s="95"/>
    </row>
    <row r="912" spans="2:5" ht="13.2">
      <c r="B912" s="95"/>
      <c r="C912" s="95"/>
      <c r="D912" s="95"/>
      <c r="E912" s="95"/>
    </row>
    <row r="913" spans="2:5" ht="13.2">
      <c r="B913" s="95"/>
      <c r="C913" s="95"/>
      <c r="D913" s="95"/>
      <c r="E913" s="95"/>
    </row>
    <row r="914" spans="2:5" ht="13.2">
      <c r="B914" s="95"/>
      <c r="C914" s="95"/>
      <c r="D914" s="95"/>
      <c r="E914" s="95"/>
    </row>
    <row r="915" spans="2:5" ht="13.2">
      <c r="B915" s="95"/>
      <c r="C915" s="95"/>
      <c r="D915" s="95"/>
      <c r="E915" s="95"/>
    </row>
    <row r="916" spans="2:5" ht="13.2">
      <c r="B916" s="95"/>
      <c r="C916" s="95"/>
      <c r="D916" s="95"/>
      <c r="E916" s="95"/>
    </row>
    <row r="917" spans="2:5" ht="13.2">
      <c r="B917" s="95"/>
      <c r="C917" s="95"/>
      <c r="D917" s="95"/>
      <c r="E917" s="95"/>
    </row>
    <row r="918" spans="2:5" ht="13.2">
      <c r="B918" s="95"/>
      <c r="C918" s="95"/>
      <c r="D918" s="95"/>
      <c r="E918" s="95"/>
    </row>
    <row r="919" spans="2:5" ht="13.2">
      <c r="B919" s="95"/>
      <c r="C919" s="95"/>
      <c r="D919" s="95"/>
      <c r="E919" s="95"/>
    </row>
    <row r="920" spans="2:5" ht="13.2">
      <c r="B920" s="95"/>
      <c r="C920" s="95"/>
      <c r="D920" s="95"/>
      <c r="E920" s="95"/>
    </row>
    <row r="921" spans="2:5" ht="13.2">
      <c r="B921" s="95"/>
      <c r="C921" s="95"/>
      <c r="D921" s="95"/>
      <c r="E921" s="95"/>
    </row>
    <row r="922" spans="2:5" ht="13.2">
      <c r="B922" s="95"/>
      <c r="C922" s="95"/>
      <c r="D922" s="95"/>
      <c r="E922" s="95"/>
    </row>
    <row r="923" spans="2:5" ht="13.2">
      <c r="B923" s="95"/>
      <c r="C923" s="95"/>
      <c r="D923" s="95"/>
      <c r="E923" s="95"/>
    </row>
    <row r="924" spans="2:5" ht="13.2">
      <c r="B924" s="95"/>
      <c r="C924" s="95"/>
      <c r="D924" s="95"/>
      <c r="E924" s="95"/>
    </row>
    <row r="925" spans="2:5" ht="13.2">
      <c r="B925" s="95"/>
      <c r="C925" s="95"/>
      <c r="D925" s="95"/>
      <c r="E925" s="95"/>
    </row>
    <row r="926" spans="2:5" ht="13.2">
      <c r="B926" s="95"/>
      <c r="C926" s="95"/>
      <c r="D926" s="95"/>
      <c r="E926" s="95"/>
    </row>
    <row r="927" spans="2:5" ht="13.2">
      <c r="B927" s="95"/>
      <c r="C927" s="95"/>
      <c r="D927" s="95"/>
      <c r="E927" s="95"/>
    </row>
    <row r="928" spans="2:5" ht="13.2">
      <c r="B928" s="95"/>
      <c r="C928" s="95"/>
      <c r="D928" s="95"/>
      <c r="E928" s="95"/>
    </row>
    <row r="929" spans="2:5" ht="13.2">
      <c r="B929" s="95"/>
      <c r="C929" s="95"/>
      <c r="D929" s="95"/>
      <c r="E929" s="95"/>
    </row>
    <row r="930" spans="2:5" ht="13.2">
      <c r="B930" s="95"/>
      <c r="C930" s="95"/>
      <c r="D930" s="95"/>
      <c r="E930" s="95"/>
    </row>
    <row r="931" spans="2:5" ht="13.2">
      <c r="B931" s="95"/>
      <c r="C931" s="95"/>
      <c r="D931" s="95"/>
      <c r="E931" s="95"/>
    </row>
    <row r="932" spans="2:5" ht="13.2">
      <c r="B932" s="95"/>
      <c r="C932" s="95"/>
      <c r="D932" s="95"/>
      <c r="E932" s="95"/>
    </row>
    <row r="933" spans="2:5" ht="13.2">
      <c r="B933" s="95"/>
      <c r="C933" s="95"/>
      <c r="D933" s="95"/>
      <c r="E933" s="95"/>
    </row>
    <row r="934" spans="2:5" ht="13.2">
      <c r="B934" s="95"/>
      <c r="C934" s="95"/>
      <c r="D934" s="95"/>
      <c r="E934" s="95"/>
    </row>
    <row r="935" spans="2:5" ht="13.2">
      <c r="B935" s="95"/>
      <c r="C935" s="95"/>
      <c r="D935" s="95"/>
      <c r="E935" s="95"/>
    </row>
    <row r="936" spans="2:5" ht="13.2">
      <c r="B936" s="95"/>
      <c r="C936" s="95"/>
      <c r="D936" s="95"/>
      <c r="E936" s="95"/>
    </row>
    <row r="937" spans="2:5" ht="13.2">
      <c r="B937" s="95"/>
      <c r="C937" s="95"/>
      <c r="D937" s="95"/>
      <c r="E937" s="95"/>
    </row>
    <row r="938" spans="2:5" ht="13.2">
      <c r="B938" s="95"/>
      <c r="C938" s="95"/>
      <c r="D938" s="95"/>
      <c r="E938" s="95"/>
    </row>
    <row r="939" spans="2:5" ht="13.2">
      <c r="B939" s="95"/>
      <c r="C939" s="95"/>
      <c r="D939" s="95"/>
      <c r="E939" s="95"/>
    </row>
    <row r="940" spans="2:5" ht="13.2">
      <c r="B940" s="95"/>
      <c r="C940" s="95"/>
      <c r="D940" s="95"/>
      <c r="E940" s="95"/>
    </row>
    <row r="941" spans="2:5" ht="13.2">
      <c r="B941" s="95"/>
      <c r="C941" s="95"/>
      <c r="D941" s="95"/>
      <c r="E941" s="95"/>
    </row>
    <row r="942" spans="2:5" ht="13.2">
      <c r="B942" s="95"/>
      <c r="C942" s="95"/>
      <c r="D942" s="95"/>
      <c r="E942" s="95"/>
    </row>
    <row r="943" spans="2:5" ht="13.2">
      <c r="B943" s="95"/>
      <c r="C943" s="95"/>
      <c r="D943" s="95"/>
      <c r="E943" s="95"/>
    </row>
    <row r="944" spans="2:5" ht="13.2">
      <c r="B944" s="95"/>
      <c r="C944" s="95"/>
      <c r="D944" s="95"/>
      <c r="E944" s="95"/>
    </row>
    <row r="945" spans="2:5" ht="13.2">
      <c r="B945" s="95"/>
      <c r="C945" s="95"/>
      <c r="D945" s="95"/>
      <c r="E945" s="95"/>
    </row>
    <row r="946" spans="2:5" ht="13.2">
      <c r="B946" s="95"/>
      <c r="C946" s="95"/>
      <c r="D946" s="95"/>
      <c r="E946" s="95"/>
    </row>
    <row r="947" spans="2:5" ht="13.2">
      <c r="B947" s="95"/>
      <c r="C947" s="95"/>
      <c r="D947" s="95"/>
      <c r="E947" s="95"/>
    </row>
    <row r="948" spans="2:5" ht="13.2">
      <c r="B948" s="95"/>
      <c r="C948" s="95"/>
      <c r="D948" s="95"/>
      <c r="E948" s="95"/>
    </row>
    <row r="949" spans="2:5" ht="13.2">
      <c r="B949" s="95"/>
      <c r="C949" s="95"/>
      <c r="D949" s="95"/>
      <c r="E949" s="95"/>
    </row>
    <row r="950" spans="2:5" ht="13.2">
      <c r="B950" s="95"/>
      <c r="C950" s="95"/>
      <c r="D950" s="95"/>
      <c r="E950" s="95"/>
    </row>
    <row r="951" spans="2:5" ht="13.2">
      <c r="B951" s="95"/>
      <c r="C951" s="95"/>
      <c r="D951" s="95"/>
      <c r="E951" s="95"/>
    </row>
    <row r="952" spans="2:5" ht="13.2">
      <c r="B952" s="95"/>
      <c r="C952" s="95"/>
      <c r="D952" s="95"/>
      <c r="E952" s="95"/>
    </row>
    <row r="953" spans="2:5" ht="13.2">
      <c r="B953" s="95"/>
      <c r="C953" s="95"/>
      <c r="D953" s="95"/>
      <c r="E953" s="95"/>
    </row>
    <row r="954" spans="2:5" ht="13.2">
      <c r="B954" s="95"/>
      <c r="C954" s="95"/>
      <c r="D954" s="95"/>
      <c r="E954" s="95"/>
    </row>
    <row r="955" spans="2:5" ht="13.2">
      <c r="B955" s="95"/>
      <c r="C955" s="95"/>
      <c r="D955" s="95"/>
      <c r="E955" s="95"/>
    </row>
    <row r="956" spans="2:5" ht="13.2">
      <c r="B956" s="95"/>
      <c r="C956" s="95"/>
      <c r="D956" s="95"/>
      <c r="E956" s="95"/>
    </row>
    <row r="957" spans="2:5" ht="13.2">
      <c r="B957" s="95"/>
      <c r="C957" s="95"/>
      <c r="D957" s="95"/>
      <c r="E957" s="95"/>
    </row>
    <row r="958" spans="2:5" ht="13.2">
      <c r="B958" s="95"/>
      <c r="C958" s="95"/>
      <c r="D958" s="95"/>
      <c r="E958" s="95"/>
    </row>
    <row r="959" spans="2:5" ht="13.2">
      <c r="B959" s="95"/>
      <c r="C959" s="95"/>
      <c r="D959" s="95"/>
      <c r="E959" s="95"/>
    </row>
    <row r="960" spans="2:5" ht="13.2">
      <c r="B960" s="95"/>
      <c r="C960" s="95"/>
      <c r="D960" s="95"/>
      <c r="E960" s="95"/>
    </row>
    <row r="961" spans="2:5" ht="13.2">
      <c r="B961" s="95"/>
      <c r="C961" s="95"/>
      <c r="D961" s="95"/>
      <c r="E961" s="95"/>
    </row>
    <row r="962" spans="2:5" ht="13.2">
      <c r="B962" s="95"/>
      <c r="C962" s="95"/>
      <c r="D962" s="95"/>
      <c r="E962" s="95"/>
    </row>
    <row r="963" spans="2:5" ht="13.2">
      <c r="B963" s="95"/>
      <c r="C963" s="95"/>
      <c r="D963" s="95"/>
      <c r="E963" s="95"/>
    </row>
    <row r="964" spans="2:5" ht="13.2">
      <c r="B964" s="95"/>
      <c r="C964" s="95"/>
      <c r="D964" s="95"/>
      <c r="E964" s="95"/>
    </row>
    <row r="965" spans="2:5" ht="13.2">
      <c r="B965" s="95"/>
      <c r="C965" s="95"/>
      <c r="D965" s="95"/>
      <c r="E965" s="95"/>
    </row>
    <row r="966" spans="2:5" ht="13.2">
      <c r="B966" s="95"/>
      <c r="C966" s="95"/>
      <c r="D966" s="95"/>
      <c r="E966" s="95"/>
    </row>
    <row r="967" spans="2:5" ht="13.2">
      <c r="B967" s="95"/>
      <c r="C967" s="95"/>
      <c r="D967" s="95"/>
      <c r="E967" s="95"/>
    </row>
    <row r="968" spans="2:5" ht="13.2">
      <c r="B968" s="95"/>
      <c r="C968" s="95"/>
      <c r="D968" s="95"/>
      <c r="E968" s="95"/>
    </row>
    <row r="969" spans="2:5" ht="13.2">
      <c r="B969" s="95"/>
      <c r="C969" s="95"/>
      <c r="D969" s="95"/>
      <c r="E969" s="95"/>
    </row>
    <row r="970" spans="2:5" ht="13.2">
      <c r="B970" s="95"/>
      <c r="C970" s="95"/>
      <c r="D970" s="95"/>
      <c r="E970" s="95"/>
    </row>
    <row r="971" spans="2:5" ht="13.2">
      <c r="B971" s="95"/>
      <c r="C971" s="95"/>
      <c r="D971" s="95"/>
      <c r="E971" s="95"/>
    </row>
    <row r="972" spans="2:5" ht="13.2">
      <c r="B972" s="95"/>
      <c r="C972" s="95"/>
      <c r="D972" s="95"/>
      <c r="E972" s="95"/>
    </row>
    <row r="973" spans="2:5" ht="13.2">
      <c r="B973" s="95"/>
      <c r="C973" s="95"/>
      <c r="D973" s="95"/>
      <c r="E973" s="95"/>
    </row>
    <row r="974" spans="2:5" ht="13.2">
      <c r="B974" s="95"/>
      <c r="C974" s="95"/>
      <c r="D974" s="95"/>
      <c r="E974" s="95"/>
    </row>
    <row r="975" spans="2:5" ht="13.2">
      <c r="B975" s="95"/>
      <c r="C975" s="95"/>
      <c r="D975" s="95"/>
      <c r="E975" s="95"/>
    </row>
    <row r="976" spans="2:5" ht="13.2">
      <c r="B976" s="95"/>
      <c r="C976" s="95"/>
      <c r="D976" s="95"/>
      <c r="E976" s="95"/>
    </row>
    <row r="977" spans="2:5" ht="13.2">
      <c r="B977" s="95"/>
      <c r="C977" s="95"/>
      <c r="D977" s="95"/>
      <c r="E977" s="95"/>
    </row>
    <row r="978" spans="2:5" ht="13.2">
      <c r="B978" s="95"/>
      <c r="C978" s="95"/>
      <c r="D978" s="95"/>
      <c r="E978" s="95"/>
    </row>
    <row r="979" spans="2:5" ht="13.2">
      <c r="B979" s="95"/>
      <c r="C979" s="95"/>
      <c r="D979" s="95"/>
      <c r="E979" s="95"/>
    </row>
    <row r="980" spans="2:5" ht="13.2">
      <c r="B980" s="95"/>
      <c r="C980" s="95"/>
      <c r="D980" s="95"/>
      <c r="E980" s="95"/>
    </row>
    <row r="981" spans="2:5" ht="13.2">
      <c r="B981" s="95"/>
      <c r="C981" s="95"/>
      <c r="D981" s="95"/>
      <c r="E981" s="95"/>
    </row>
    <row r="982" spans="2:5" ht="13.2">
      <c r="B982" s="95"/>
      <c r="C982" s="95"/>
      <c r="D982" s="95"/>
      <c r="E982" s="95"/>
    </row>
    <row r="983" spans="2:5" ht="13.2">
      <c r="B983" s="95"/>
      <c r="C983" s="95"/>
      <c r="D983" s="95"/>
      <c r="E983" s="95"/>
    </row>
    <row r="984" spans="2:5" ht="13.2">
      <c r="B984" s="95"/>
      <c r="C984" s="95"/>
      <c r="D984" s="95"/>
      <c r="E984" s="95"/>
    </row>
    <row r="985" spans="2:5" ht="13.2">
      <c r="B985" s="95"/>
      <c r="C985" s="95"/>
      <c r="D985" s="95"/>
      <c r="E985" s="95"/>
    </row>
    <row r="986" spans="2:5" ht="13.2">
      <c r="B986" s="95"/>
      <c r="C986" s="95"/>
      <c r="D986" s="95"/>
      <c r="E986" s="95"/>
    </row>
    <row r="987" spans="2:5" ht="13.2">
      <c r="B987" s="95"/>
      <c r="C987" s="95"/>
      <c r="D987" s="95"/>
      <c r="E987" s="95"/>
    </row>
    <row r="988" spans="2:5" ht="13.2">
      <c r="B988" s="95"/>
      <c r="C988" s="95"/>
      <c r="D988" s="95"/>
      <c r="E988" s="95"/>
    </row>
    <row r="989" spans="2:5" ht="13.2">
      <c r="B989" s="95"/>
      <c r="C989" s="95"/>
      <c r="D989" s="95"/>
      <c r="E989" s="95"/>
    </row>
    <row r="990" spans="2:5" ht="13.2">
      <c r="B990" s="95"/>
      <c r="C990" s="95"/>
      <c r="D990" s="95"/>
      <c r="E990" s="95"/>
    </row>
    <row r="991" spans="2:5" ht="13.2">
      <c r="B991" s="95"/>
      <c r="C991" s="95"/>
      <c r="D991" s="95"/>
      <c r="E991" s="95"/>
    </row>
    <row r="992" spans="2:5" ht="13.2">
      <c r="B992" s="95"/>
      <c r="C992" s="95"/>
      <c r="D992" s="95"/>
      <c r="E992" s="95"/>
    </row>
    <row r="993" spans="2:5" ht="13.2">
      <c r="B993" s="95"/>
      <c r="C993" s="95"/>
      <c r="D993" s="95"/>
      <c r="E993" s="95"/>
    </row>
    <row r="994" spans="2:5" ht="13.2">
      <c r="B994" s="95"/>
      <c r="C994" s="95"/>
      <c r="D994" s="95"/>
      <c r="E994" s="95"/>
    </row>
    <row r="995" spans="2:5" ht="13.2">
      <c r="B995" s="95"/>
      <c r="C995" s="95"/>
      <c r="D995" s="95"/>
      <c r="E995" s="95"/>
    </row>
    <row r="996" spans="2:5" ht="13.2">
      <c r="B996" s="95"/>
      <c r="C996" s="95"/>
      <c r="D996" s="95"/>
      <c r="E996" s="95"/>
    </row>
    <row r="997" spans="2:5" ht="13.2">
      <c r="B997" s="95"/>
      <c r="C997" s="95"/>
      <c r="D997" s="95"/>
      <c r="E997" s="95"/>
    </row>
    <row r="998" spans="2:5" ht="13.2">
      <c r="B998" s="95"/>
      <c r="C998" s="95"/>
      <c r="D998" s="95"/>
      <c r="E998" s="95"/>
    </row>
    <row r="999" spans="2:5" ht="13.2">
      <c r="B999" s="95"/>
      <c r="C999" s="95"/>
      <c r="D999" s="95"/>
      <c r="E999" s="95"/>
    </row>
    <row r="1000" spans="2:5" ht="13.2">
      <c r="B1000" s="95"/>
      <c r="C1000" s="95"/>
      <c r="D1000" s="95"/>
      <c r="E1000" s="95"/>
    </row>
    <row r="1001" spans="2:5" ht="13.2">
      <c r="B1001" s="95"/>
      <c r="C1001" s="95"/>
      <c r="D1001" s="95"/>
      <c r="E1001" s="95"/>
    </row>
    <row r="1002" spans="2:5" ht="13.2">
      <c r="B1002" s="95"/>
      <c r="C1002" s="95"/>
      <c r="D1002" s="95"/>
      <c r="E1002" s="95"/>
    </row>
    <row r="1003" spans="2:5" ht="13.2">
      <c r="B1003" s="95"/>
      <c r="C1003" s="95"/>
      <c r="D1003" s="95"/>
      <c r="E1003" s="95"/>
    </row>
    <row r="1004" spans="2:5" ht="13.2">
      <c r="B1004" s="95"/>
      <c r="C1004" s="95"/>
      <c r="D1004" s="95"/>
      <c r="E1004" s="95"/>
    </row>
    <row r="1005" spans="2:5" ht="13.2">
      <c r="B1005" s="95"/>
      <c r="C1005" s="95"/>
      <c r="D1005" s="95"/>
      <c r="E1005" s="95"/>
    </row>
    <row r="1006" spans="2:5" ht="13.2">
      <c r="B1006" s="95"/>
      <c r="C1006" s="95"/>
      <c r="D1006" s="95"/>
      <c r="E1006" s="95"/>
    </row>
    <row r="1007" spans="2:5" ht="13.2">
      <c r="B1007" s="95"/>
      <c r="C1007" s="95"/>
      <c r="D1007" s="95"/>
      <c r="E1007" s="95"/>
    </row>
    <row r="1008" spans="2:5" ht="13.2">
      <c r="B1008" s="95"/>
      <c r="C1008" s="95"/>
      <c r="D1008" s="95"/>
      <c r="E1008" s="95"/>
    </row>
    <row r="1009" spans="2:5" ht="13.2">
      <c r="B1009" s="95"/>
      <c r="C1009" s="95"/>
      <c r="D1009" s="95"/>
      <c r="E1009" s="95"/>
    </row>
    <row r="1010" spans="2:5" ht="13.2">
      <c r="B1010" s="95"/>
      <c r="C1010" s="95"/>
      <c r="D1010" s="95"/>
      <c r="E1010" s="95"/>
    </row>
    <row r="1011" spans="2:5" ht="13.2">
      <c r="B1011" s="95"/>
      <c r="C1011" s="95"/>
      <c r="D1011" s="95"/>
      <c r="E1011" s="95"/>
    </row>
    <row r="1012" spans="2:5" ht="13.2">
      <c r="B1012" s="95"/>
      <c r="C1012" s="95"/>
      <c r="D1012" s="95"/>
      <c r="E1012" s="95"/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F1005"/>
  <sheetViews>
    <sheetView workbookViewId="0">
      <selection activeCell="H13" sqref="H13"/>
    </sheetView>
  </sheetViews>
  <sheetFormatPr defaultColWidth="14.44140625" defaultRowHeight="15.75" customHeight="1"/>
  <cols>
    <col min="1" max="1" width="42.6640625" style="7" customWidth="1"/>
    <col min="2" max="16384" width="14.44140625" style="7"/>
  </cols>
  <sheetData>
    <row r="1" spans="1:6" ht="13.2">
      <c r="A1" s="101" t="s">
        <v>267</v>
      </c>
      <c r="C1" s="13" t="s">
        <v>92</v>
      </c>
      <c r="D1" s="13" t="s">
        <v>91</v>
      </c>
      <c r="E1" s="13" t="s">
        <v>90</v>
      </c>
      <c r="F1" s="13" t="s">
        <v>89</v>
      </c>
    </row>
    <row r="2" spans="1:6" ht="13.2">
      <c r="A2" s="101" t="s">
        <v>266</v>
      </c>
      <c r="C2" s="97"/>
      <c r="D2" s="97"/>
      <c r="E2" s="97"/>
      <c r="F2" s="97"/>
    </row>
    <row r="3" spans="1:6" ht="13.2">
      <c r="A3" s="101" t="s">
        <v>71</v>
      </c>
      <c r="C3" s="97"/>
      <c r="D3" s="97"/>
      <c r="E3" s="97"/>
      <c r="F3" s="97"/>
    </row>
    <row r="4" spans="1:6" ht="13.2">
      <c r="A4" s="100" t="s">
        <v>265</v>
      </c>
      <c r="C4" s="97">
        <v>6603</v>
      </c>
      <c r="D4" s="97">
        <v>4818</v>
      </c>
      <c r="E4" s="97">
        <v>6083</v>
      </c>
      <c r="F4" s="97">
        <v>4872</v>
      </c>
    </row>
    <row r="5" spans="1:6" ht="13.2">
      <c r="A5" s="100" t="s">
        <v>264</v>
      </c>
      <c r="C5" s="97">
        <v>533871</v>
      </c>
      <c r="D5" s="97">
        <v>653918</v>
      </c>
      <c r="E5" s="97">
        <v>168948</v>
      </c>
      <c r="F5" s="97">
        <v>106653</v>
      </c>
    </row>
    <row r="6" spans="1:6" ht="13.2">
      <c r="A6" s="100" t="s">
        <v>263</v>
      </c>
      <c r="C6" s="97" t="s">
        <v>184</v>
      </c>
      <c r="D6" s="97" t="s">
        <v>184</v>
      </c>
      <c r="E6" s="97" t="s">
        <v>184</v>
      </c>
      <c r="F6" s="97" t="s">
        <v>184</v>
      </c>
    </row>
    <row r="7" spans="1:6" ht="13.2">
      <c r="A7" s="100" t="s">
        <v>262</v>
      </c>
      <c r="C7" s="97" t="s">
        <v>184</v>
      </c>
      <c r="D7" s="97" t="s">
        <v>184</v>
      </c>
      <c r="E7" s="97" t="s">
        <v>184</v>
      </c>
      <c r="F7" s="97" t="s">
        <v>184</v>
      </c>
    </row>
    <row r="8" spans="1:6" ht="13.2">
      <c r="A8" s="100" t="s">
        <v>261</v>
      </c>
      <c r="C8" s="97">
        <v>57338</v>
      </c>
      <c r="D8" s="97">
        <v>85034</v>
      </c>
      <c r="E8" s="97">
        <v>346089</v>
      </c>
      <c r="F8" s="97">
        <v>396785</v>
      </c>
    </row>
    <row r="9" spans="1:6" ht="13.2">
      <c r="A9" s="100" t="s">
        <v>260</v>
      </c>
      <c r="C9" s="97">
        <v>72448</v>
      </c>
      <c r="D9" s="97">
        <v>114050</v>
      </c>
      <c r="E9" s="97">
        <v>64325</v>
      </c>
      <c r="F9" s="97">
        <v>70266</v>
      </c>
    </row>
    <row r="10" spans="1:6" ht="13.2">
      <c r="A10" s="100" t="s">
        <v>259</v>
      </c>
      <c r="C10" s="97" t="s">
        <v>184</v>
      </c>
      <c r="D10" s="97" t="s">
        <v>184</v>
      </c>
      <c r="E10" s="97">
        <v>286886</v>
      </c>
      <c r="F10" s="97">
        <v>216249</v>
      </c>
    </row>
    <row r="11" spans="1:6" ht="13.2">
      <c r="A11" s="100" t="s">
        <v>258</v>
      </c>
      <c r="C11" s="97">
        <v>2555</v>
      </c>
      <c r="D11" s="97">
        <v>460</v>
      </c>
      <c r="E11" s="97">
        <v>163640</v>
      </c>
      <c r="F11" s="97">
        <v>128972</v>
      </c>
    </row>
    <row r="12" spans="1:6" ht="13.2">
      <c r="A12" s="100" t="s">
        <v>257</v>
      </c>
      <c r="C12" s="97">
        <v>90002</v>
      </c>
      <c r="D12" s="97">
        <v>143494</v>
      </c>
      <c r="E12" s="97">
        <v>48403</v>
      </c>
      <c r="F12" s="97">
        <v>51429</v>
      </c>
    </row>
    <row r="13" spans="1:6" ht="13.2">
      <c r="A13" s="100" t="s">
        <v>256</v>
      </c>
      <c r="C13" s="97">
        <v>29981</v>
      </c>
      <c r="D13" s="97" t="s">
        <v>184</v>
      </c>
      <c r="E13" s="97" t="s">
        <v>184</v>
      </c>
      <c r="F13" s="97" t="s">
        <v>184</v>
      </c>
    </row>
    <row r="14" spans="1:6" ht="13.2">
      <c r="C14" s="36">
        <v>792798</v>
      </c>
      <c r="D14" s="36">
        <v>1001774</v>
      </c>
      <c r="E14" s="36">
        <v>1085374</v>
      </c>
      <c r="F14" s="36">
        <v>975226</v>
      </c>
    </row>
    <row r="15" spans="1:6" ht="13.2">
      <c r="A15" s="101" t="s">
        <v>255</v>
      </c>
      <c r="C15" s="97"/>
      <c r="D15" s="97"/>
      <c r="E15" s="97"/>
      <c r="F15" s="97"/>
    </row>
    <row r="16" spans="1:6" ht="13.2">
      <c r="A16" s="100" t="s">
        <v>254</v>
      </c>
      <c r="C16" s="97">
        <v>226077</v>
      </c>
      <c r="D16" s="97">
        <v>241380</v>
      </c>
      <c r="E16" s="97" t="s">
        <v>184</v>
      </c>
      <c r="F16" s="97" t="s">
        <v>184</v>
      </c>
    </row>
    <row r="17" spans="1:6" ht="13.2">
      <c r="A17" s="100" t="s">
        <v>253</v>
      </c>
      <c r="C17" s="97">
        <v>14977</v>
      </c>
      <c r="D17" s="97">
        <v>15103</v>
      </c>
      <c r="E17" s="97">
        <v>26978</v>
      </c>
      <c r="F17" s="97">
        <v>19296</v>
      </c>
    </row>
    <row r="18" spans="1:6" ht="13.2">
      <c r="A18" s="100" t="s">
        <v>252</v>
      </c>
      <c r="C18" s="97">
        <v>721</v>
      </c>
      <c r="D18" s="97">
        <v>1316</v>
      </c>
      <c r="E18" s="97">
        <v>1225</v>
      </c>
      <c r="F18" s="97">
        <v>721</v>
      </c>
    </row>
    <row r="19" spans="1:6" ht="13.2">
      <c r="A19" s="100" t="s">
        <v>251</v>
      </c>
      <c r="C19" s="97" t="s">
        <v>184</v>
      </c>
      <c r="D19" s="97" t="s">
        <v>184</v>
      </c>
      <c r="E19" s="97">
        <v>12290</v>
      </c>
      <c r="F19" s="97" t="s">
        <v>184</v>
      </c>
    </row>
    <row r="20" spans="1:6" ht="13.2">
      <c r="A20" s="100" t="s">
        <v>250</v>
      </c>
      <c r="C20" s="97" t="s">
        <v>184</v>
      </c>
      <c r="D20" s="97" t="s">
        <v>184</v>
      </c>
      <c r="E20" s="97">
        <v>76539</v>
      </c>
      <c r="F20" s="97" t="s">
        <v>184</v>
      </c>
    </row>
    <row r="21" spans="1:6" ht="13.2">
      <c r="A21" s="100" t="s">
        <v>249</v>
      </c>
      <c r="C21" s="97">
        <v>16354</v>
      </c>
      <c r="D21" s="97">
        <v>16002</v>
      </c>
      <c r="E21" s="97">
        <v>10221</v>
      </c>
      <c r="F21" s="97">
        <v>10492</v>
      </c>
    </row>
    <row r="22" spans="1:6" ht="13.2">
      <c r="A22" s="100" t="s">
        <v>248</v>
      </c>
      <c r="C22" s="97">
        <v>269</v>
      </c>
      <c r="D22" s="97">
        <v>190</v>
      </c>
      <c r="E22" s="97">
        <v>197</v>
      </c>
      <c r="F22" s="97">
        <v>267</v>
      </c>
    </row>
    <row r="23" spans="1:6" ht="13.2">
      <c r="A23" s="100" t="s">
        <v>247</v>
      </c>
      <c r="C23" s="97">
        <v>99291</v>
      </c>
      <c r="D23" s="97">
        <v>31583</v>
      </c>
      <c r="E23" s="97">
        <v>49863</v>
      </c>
      <c r="F23" s="97">
        <v>33919</v>
      </c>
    </row>
    <row r="24" spans="1:6" ht="13.2">
      <c r="A24" s="100" t="s">
        <v>246</v>
      </c>
      <c r="C24" s="97">
        <v>34982</v>
      </c>
      <c r="D24" s="97">
        <v>39271</v>
      </c>
      <c r="E24" s="97">
        <v>28849</v>
      </c>
      <c r="F24" s="97" t="s">
        <v>184</v>
      </c>
    </row>
    <row r="25" spans="1:6" ht="13.2">
      <c r="A25" s="100" t="s">
        <v>245</v>
      </c>
      <c r="C25" s="97">
        <v>351605</v>
      </c>
      <c r="D25" s="97">
        <v>297971</v>
      </c>
      <c r="E25" s="97">
        <v>349987</v>
      </c>
      <c r="F25" s="97">
        <v>493606</v>
      </c>
    </row>
    <row r="26" spans="1:6" ht="13.2">
      <c r="A26" s="100" t="s">
        <v>244</v>
      </c>
      <c r="C26" s="97">
        <v>9901</v>
      </c>
      <c r="D26" s="97" t="s">
        <v>184</v>
      </c>
      <c r="E26" s="97" t="s">
        <v>184</v>
      </c>
      <c r="F26" s="97" t="s">
        <v>184</v>
      </c>
    </row>
    <row r="27" spans="1:6" ht="13.2">
      <c r="C27" s="36">
        <v>754177</v>
      </c>
      <c r="D27" s="36">
        <f>SUM(D16:D26)</f>
        <v>642816</v>
      </c>
      <c r="E27" s="36">
        <v>556149</v>
      </c>
      <c r="F27" s="36">
        <v>558301</v>
      </c>
    </row>
    <row r="28" spans="1:6" ht="13.8" thickBot="1">
      <c r="A28" s="101" t="s">
        <v>73</v>
      </c>
      <c r="C28" s="27">
        <v>1546975</v>
      </c>
      <c r="D28" s="27">
        <v>1644590</v>
      </c>
      <c r="E28" s="27">
        <v>1641523</v>
      </c>
      <c r="F28" s="27">
        <v>1533527</v>
      </c>
    </row>
    <row r="29" spans="1:6" ht="13.2">
      <c r="C29" s="97"/>
      <c r="D29" s="97"/>
      <c r="E29" s="97"/>
      <c r="F29" s="97"/>
    </row>
    <row r="30" spans="1:6" ht="13.2">
      <c r="A30" s="101" t="s">
        <v>243</v>
      </c>
      <c r="C30" s="97"/>
      <c r="D30" s="97"/>
      <c r="E30" s="97"/>
      <c r="F30" s="97"/>
    </row>
    <row r="31" spans="1:6" ht="13.2">
      <c r="A31" s="101" t="s">
        <v>242</v>
      </c>
      <c r="C31" s="97"/>
      <c r="D31" s="97"/>
      <c r="E31" s="97"/>
      <c r="F31" s="97"/>
    </row>
    <row r="32" spans="1:6" ht="13.2">
      <c r="A32" s="100" t="s">
        <v>241</v>
      </c>
      <c r="C32" s="97">
        <v>41865</v>
      </c>
      <c r="D32" s="97">
        <v>32498</v>
      </c>
      <c r="E32" s="97">
        <v>23860</v>
      </c>
      <c r="F32" s="97" t="s">
        <v>184</v>
      </c>
    </row>
    <row r="33" spans="1:6" ht="13.2">
      <c r="A33" s="100" t="s">
        <v>240</v>
      </c>
      <c r="C33" s="97">
        <v>75979</v>
      </c>
      <c r="D33" s="97">
        <v>91971</v>
      </c>
      <c r="E33" s="97">
        <v>60739</v>
      </c>
      <c r="F33" s="97">
        <v>52682</v>
      </c>
    </row>
    <row r="34" spans="1:6" ht="13.2">
      <c r="A34" s="100" t="s">
        <v>239</v>
      </c>
      <c r="C34" s="97" t="s">
        <v>184</v>
      </c>
      <c r="D34" s="97" t="s">
        <v>184</v>
      </c>
      <c r="E34" s="97">
        <v>111110</v>
      </c>
      <c r="F34" s="97">
        <v>69050</v>
      </c>
    </row>
    <row r="35" spans="1:6" ht="13.2">
      <c r="A35" s="100" t="s">
        <v>238</v>
      </c>
      <c r="C35" s="97">
        <v>5748</v>
      </c>
      <c r="D35" s="97">
        <v>9168</v>
      </c>
      <c r="E35" s="97">
        <v>3692</v>
      </c>
      <c r="F35" s="97">
        <v>4813</v>
      </c>
    </row>
    <row r="36" spans="1:6" ht="13.2">
      <c r="C36" s="36">
        <v>123592</v>
      </c>
      <c r="D36" s="36">
        <v>133637</v>
      </c>
      <c r="E36" s="36">
        <v>199401</v>
      </c>
      <c r="F36" s="36">
        <v>126546</v>
      </c>
    </row>
    <row r="37" spans="1:6" ht="13.8" thickBot="1">
      <c r="A37" s="101" t="s">
        <v>237</v>
      </c>
      <c r="C37" s="27">
        <v>630585</v>
      </c>
      <c r="D37" s="27">
        <v>509179</v>
      </c>
      <c r="E37" s="27">
        <v>356748</v>
      </c>
      <c r="F37" s="27">
        <v>431755</v>
      </c>
    </row>
    <row r="38" spans="1:6" ht="13.2">
      <c r="C38" s="97"/>
      <c r="D38" s="97"/>
      <c r="E38" s="97"/>
      <c r="F38" s="97"/>
    </row>
    <row r="39" spans="1:6" ht="13.2">
      <c r="A39" s="101" t="s">
        <v>236</v>
      </c>
      <c r="C39" s="97"/>
      <c r="D39" s="97"/>
      <c r="E39" s="97"/>
      <c r="F39" s="97"/>
    </row>
    <row r="40" spans="1:6" ht="13.2">
      <c r="A40" s="100" t="s">
        <v>235</v>
      </c>
      <c r="C40" s="97">
        <v>97897</v>
      </c>
      <c r="D40" s="97">
        <v>194983</v>
      </c>
      <c r="E40" s="97">
        <v>35578</v>
      </c>
      <c r="F40" s="97" t="s">
        <v>184</v>
      </c>
    </row>
    <row r="41" spans="1:6" ht="13.2">
      <c r="A41" s="100" t="s">
        <v>234</v>
      </c>
      <c r="C41" s="97" t="s">
        <v>184</v>
      </c>
      <c r="D41" s="97" t="s">
        <v>184</v>
      </c>
      <c r="E41" s="97" t="s">
        <v>184</v>
      </c>
      <c r="F41" s="97" t="s">
        <v>184</v>
      </c>
    </row>
    <row r="42" spans="1:6" ht="17.25" customHeight="1">
      <c r="A42" s="100" t="s">
        <v>233</v>
      </c>
      <c r="C42" s="97" t="s">
        <v>184</v>
      </c>
      <c r="D42" s="97">
        <v>779</v>
      </c>
      <c r="E42" s="97" t="s">
        <v>184</v>
      </c>
      <c r="F42" s="97" t="s">
        <v>184</v>
      </c>
    </row>
    <row r="43" spans="1:6" ht="17.25" customHeight="1">
      <c r="A43" s="100" t="s">
        <v>232</v>
      </c>
      <c r="C43" s="97" t="s">
        <v>184</v>
      </c>
      <c r="D43" s="97" t="s">
        <v>184</v>
      </c>
      <c r="E43" s="97">
        <v>15407</v>
      </c>
      <c r="F43" s="97">
        <v>12010</v>
      </c>
    </row>
    <row r="44" spans="1:6" ht="13.2">
      <c r="A44" s="100" t="s">
        <v>231</v>
      </c>
      <c r="C44" s="97">
        <v>71508</v>
      </c>
      <c r="D44" s="97">
        <v>79091</v>
      </c>
      <c r="E44" s="97">
        <v>13820</v>
      </c>
      <c r="F44" s="97">
        <v>15479</v>
      </c>
    </row>
    <row r="45" spans="1:6" ht="13.2">
      <c r="C45" s="36">
        <v>169405</v>
      </c>
      <c r="D45" s="36">
        <v>274853</v>
      </c>
      <c r="E45" s="36">
        <v>64805</v>
      </c>
      <c r="F45" s="36">
        <v>27489</v>
      </c>
    </row>
    <row r="46" spans="1:6" ht="13.8" thickBot="1">
      <c r="A46" s="101" t="s">
        <v>230</v>
      </c>
      <c r="C46" s="37">
        <v>319665</v>
      </c>
      <c r="D46" s="37">
        <v>398445</v>
      </c>
      <c r="E46" s="37">
        <v>264206</v>
      </c>
      <c r="F46" s="37">
        <v>154035</v>
      </c>
    </row>
    <row r="47" spans="1:6" ht="13.8" thickBot="1">
      <c r="A47" s="101" t="s">
        <v>229</v>
      </c>
      <c r="C47" s="107">
        <v>1117619</v>
      </c>
      <c r="D47" s="107">
        <v>1148530</v>
      </c>
      <c r="E47" s="107">
        <v>1377317</v>
      </c>
      <c r="F47" s="107">
        <v>1379492</v>
      </c>
    </row>
    <row r="48" spans="1:6" ht="13.2">
      <c r="C48" s="97"/>
      <c r="D48" s="97"/>
      <c r="E48" s="97"/>
      <c r="F48" s="97"/>
    </row>
    <row r="49" spans="1:6" ht="13.2">
      <c r="A49" s="101" t="s">
        <v>228</v>
      </c>
      <c r="C49" s="97"/>
      <c r="D49" s="97"/>
      <c r="E49" s="97"/>
      <c r="F49" s="97"/>
    </row>
    <row r="50" spans="1:6" ht="13.2">
      <c r="A50" s="100" t="s">
        <v>227</v>
      </c>
      <c r="C50" s="97">
        <v>169717</v>
      </c>
      <c r="D50" s="97">
        <v>169717</v>
      </c>
      <c r="E50" s="97">
        <v>169717</v>
      </c>
      <c r="F50" s="97">
        <v>169717</v>
      </c>
    </row>
    <row r="51" spans="1:6" ht="13.2">
      <c r="A51" s="100" t="s">
        <v>226</v>
      </c>
      <c r="C51" s="97">
        <v>-1768</v>
      </c>
      <c r="D51" s="97">
        <v>-1768</v>
      </c>
      <c r="E51" s="97">
        <v>-1768</v>
      </c>
      <c r="F51" s="97">
        <v>-1768</v>
      </c>
    </row>
    <row r="52" spans="1:6" ht="13.2">
      <c r="A52" s="100" t="s">
        <v>225</v>
      </c>
      <c r="C52" s="97">
        <v>946332</v>
      </c>
      <c r="D52" s="97">
        <v>967850</v>
      </c>
      <c r="E52" s="97">
        <v>1206018</v>
      </c>
      <c r="F52" s="97">
        <v>1207698</v>
      </c>
    </row>
    <row r="53" spans="1:6" ht="13.2">
      <c r="A53" s="100" t="s">
        <v>224</v>
      </c>
      <c r="C53" s="97">
        <v>9119</v>
      </c>
      <c r="D53" s="97" t="s">
        <v>184</v>
      </c>
      <c r="E53" s="97" t="s">
        <v>184</v>
      </c>
      <c r="F53" s="97" t="s">
        <v>184</v>
      </c>
    </row>
    <row r="54" spans="1:6" ht="13.2">
      <c r="C54" s="37">
        <v>1114281</v>
      </c>
      <c r="D54" s="37">
        <v>1144918</v>
      </c>
      <c r="E54" s="37">
        <v>1373967</v>
      </c>
      <c r="F54" s="37">
        <v>1375647</v>
      </c>
    </row>
    <row r="55" spans="1:6" ht="13.2">
      <c r="A55" s="101" t="s">
        <v>178</v>
      </c>
      <c r="C55" s="97">
        <v>3338</v>
      </c>
      <c r="D55" s="97">
        <v>3612</v>
      </c>
      <c r="E55" s="97">
        <v>3550</v>
      </c>
      <c r="F55" s="97">
        <v>3845</v>
      </c>
    </row>
    <row r="56" spans="1:6" ht="13.8" thickBot="1">
      <c r="A56" s="101" t="s">
        <v>223</v>
      </c>
      <c r="C56" s="37">
        <v>1117619</v>
      </c>
      <c r="D56" s="37">
        <v>1148530</v>
      </c>
      <c r="E56" s="36">
        <v>1377317</v>
      </c>
      <c r="F56" s="36">
        <v>1379492</v>
      </c>
    </row>
    <row r="57" spans="1:6" ht="13.8" thickBot="1">
      <c r="A57" s="101" t="s">
        <v>222</v>
      </c>
      <c r="C57" s="107">
        <v>1437284</v>
      </c>
      <c r="D57" s="107">
        <v>1546975</v>
      </c>
      <c r="E57" s="107">
        <v>1641523</v>
      </c>
      <c r="F57" s="107">
        <v>1533527</v>
      </c>
    </row>
    <row r="58" spans="1:6" ht="13.2">
      <c r="C58" s="97"/>
      <c r="D58" s="97"/>
      <c r="E58" s="97"/>
      <c r="F58" s="97"/>
    </row>
    <row r="59" spans="1:6" ht="13.2">
      <c r="C59" s="97"/>
      <c r="D59" s="97"/>
      <c r="E59" s="97"/>
      <c r="F59" s="97"/>
    </row>
    <row r="60" spans="1:6" ht="13.2">
      <c r="C60" s="97"/>
      <c r="D60" s="97"/>
      <c r="E60" s="97"/>
      <c r="F60" s="97"/>
    </row>
    <row r="61" spans="1:6" ht="13.2">
      <c r="C61" s="97"/>
      <c r="D61" s="97"/>
      <c r="E61" s="97"/>
      <c r="F61" s="97"/>
    </row>
    <row r="62" spans="1:6" ht="13.2">
      <c r="C62" s="97"/>
      <c r="D62" s="97"/>
      <c r="E62" s="97"/>
      <c r="F62" s="97"/>
    </row>
    <row r="63" spans="1:6" ht="13.2">
      <c r="C63" s="97"/>
      <c r="D63" s="97"/>
      <c r="E63" s="97"/>
      <c r="F63" s="97"/>
    </row>
    <row r="64" spans="1:6" ht="13.2">
      <c r="C64" s="97"/>
      <c r="D64" s="97"/>
      <c r="E64" s="97"/>
      <c r="F64" s="97"/>
    </row>
    <row r="65" spans="3:6" ht="13.2">
      <c r="C65" s="97"/>
      <c r="D65" s="97"/>
      <c r="E65" s="97"/>
      <c r="F65" s="97"/>
    </row>
    <row r="66" spans="3:6" ht="13.2">
      <c r="C66" s="97"/>
      <c r="D66" s="97"/>
      <c r="E66" s="97"/>
      <c r="F66" s="97"/>
    </row>
    <row r="67" spans="3:6" ht="13.2">
      <c r="C67" s="97"/>
      <c r="D67" s="97"/>
      <c r="E67" s="97"/>
      <c r="F67" s="97"/>
    </row>
    <row r="68" spans="3:6" ht="13.2">
      <c r="C68" s="97"/>
      <c r="D68" s="97"/>
      <c r="E68" s="97"/>
      <c r="F68" s="97"/>
    </row>
    <row r="69" spans="3:6" ht="13.2">
      <c r="C69" s="97"/>
      <c r="D69" s="97"/>
      <c r="E69" s="97"/>
      <c r="F69" s="97"/>
    </row>
    <row r="70" spans="3:6" ht="13.2">
      <c r="C70" s="97"/>
      <c r="D70" s="97"/>
      <c r="E70" s="97"/>
      <c r="F70" s="97"/>
    </row>
    <row r="71" spans="3:6" ht="13.2">
      <c r="C71" s="97"/>
      <c r="D71" s="97"/>
      <c r="E71" s="97"/>
      <c r="F71" s="97"/>
    </row>
    <row r="72" spans="3:6" ht="13.2">
      <c r="C72" s="97"/>
      <c r="D72" s="97"/>
      <c r="E72" s="97"/>
      <c r="F72" s="97"/>
    </row>
    <row r="73" spans="3:6" ht="13.2">
      <c r="C73" s="97"/>
      <c r="D73" s="97"/>
      <c r="E73" s="97"/>
      <c r="F73" s="97"/>
    </row>
    <row r="74" spans="3:6" ht="13.2">
      <c r="C74" s="97"/>
      <c r="D74" s="97"/>
      <c r="E74" s="97"/>
      <c r="F74" s="97"/>
    </row>
    <row r="75" spans="3:6" ht="13.2">
      <c r="C75" s="97"/>
      <c r="D75" s="97"/>
      <c r="E75" s="97"/>
      <c r="F75" s="97"/>
    </row>
    <row r="76" spans="3:6" ht="13.2">
      <c r="C76" s="97"/>
      <c r="D76" s="97"/>
      <c r="E76" s="97"/>
      <c r="F76" s="97"/>
    </row>
    <row r="77" spans="3:6" ht="13.2">
      <c r="C77" s="97"/>
      <c r="D77" s="97"/>
      <c r="E77" s="97"/>
      <c r="F77" s="97"/>
    </row>
    <row r="78" spans="3:6" ht="13.2">
      <c r="C78" s="97"/>
      <c r="D78" s="97"/>
      <c r="E78" s="97"/>
      <c r="F78" s="97"/>
    </row>
    <row r="79" spans="3:6" ht="13.2">
      <c r="C79" s="97"/>
      <c r="D79" s="97"/>
      <c r="E79" s="97"/>
      <c r="F79" s="97"/>
    </row>
    <row r="80" spans="3:6" ht="13.2">
      <c r="C80" s="97"/>
      <c r="D80" s="97"/>
      <c r="E80" s="97"/>
      <c r="F80" s="97"/>
    </row>
    <row r="81" spans="3:6" ht="13.2">
      <c r="C81" s="97"/>
      <c r="D81" s="97"/>
      <c r="E81" s="97"/>
      <c r="F81" s="97"/>
    </row>
    <row r="82" spans="3:6" ht="13.2">
      <c r="C82" s="97"/>
      <c r="D82" s="97"/>
      <c r="E82" s="97"/>
      <c r="F82" s="97"/>
    </row>
    <row r="83" spans="3:6" ht="13.2">
      <c r="C83" s="97"/>
      <c r="D83" s="97"/>
      <c r="E83" s="97"/>
      <c r="F83" s="97"/>
    </row>
    <row r="84" spans="3:6" ht="13.2">
      <c r="C84" s="97"/>
      <c r="D84" s="97"/>
      <c r="E84" s="97"/>
      <c r="F84" s="97"/>
    </row>
    <row r="85" spans="3:6" ht="13.2">
      <c r="C85" s="97"/>
      <c r="D85" s="97"/>
      <c r="E85" s="97"/>
      <c r="F85" s="97"/>
    </row>
    <row r="86" spans="3:6" ht="13.2">
      <c r="C86" s="97"/>
      <c r="D86" s="97"/>
      <c r="E86" s="97"/>
      <c r="F86" s="97"/>
    </row>
    <row r="87" spans="3:6" ht="13.2">
      <c r="C87" s="97"/>
      <c r="D87" s="97"/>
      <c r="E87" s="97"/>
      <c r="F87" s="97"/>
    </row>
    <row r="88" spans="3:6" ht="13.2">
      <c r="C88" s="97"/>
      <c r="D88" s="97"/>
      <c r="E88" s="97"/>
      <c r="F88" s="97"/>
    </row>
    <row r="89" spans="3:6" ht="13.2">
      <c r="C89" s="97"/>
      <c r="D89" s="97"/>
      <c r="E89" s="97"/>
      <c r="F89" s="97"/>
    </row>
    <row r="90" spans="3:6" ht="13.2">
      <c r="C90" s="97"/>
      <c r="D90" s="97"/>
      <c r="E90" s="97"/>
      <c r="F90" s="97"/>
    </row>
    <row r="91" spans="3:6" ht="13.2">
      <c r="C91" s="97"/>
      <c r="D91" s="97"/>
      <c r="E91" s="97"/>
      <c r="F91" s="97"/>
    </row>
    <row r="92" spans="3:6" ht="13.2">
      <c r="C92" s="97"/>
      <c r="D92" s="97"/>
      <c r="E92" s="97"/>
      <c r="F92" s="97"/>
    </row>
    <row r="93" spans="3:6" ht="13.2">
      <c r="C93" s="97"/>
      <c r="D93" s="97"/>
      <c r="E93" s="97"/>
      <c r="F93" s="97"/>
    </row>
    <row r="94" spans="3:6" ht="13.2">
      <c r="C94" s="97"/>
      <c r="D94" s="97"/>
      <c r="E94" s="97"/>
      <c r="F94" s="97"/>
    </row>
    <row r="95" spans="3:6" ht="13.2">
      <c r="C95" s="97"/>
      <c r="D95" s="97"/>
      <c r="E95" s="97"/>
      <c r="F95" s="97"/>
    </row>
    <row r="96" spans="3:6" ht="13.2">
      <c r="C96" s="97"/>
      <c r="D96" s="97"/>
      <c r="E96" s="97"/>
      <c r="F96" s="97"/>
    </row>
    <row r="97" spans="3:6" ht="13.2">
      <c r="C97" s="97"/>
      <c r="D97" s="97"/>
      <c r="E97" s="97"/>
      <c r="F97" s="97"/>
    </row>
    <row r="98" spans="3:6" ht="13.2">
      <c r="C98" s="97"/>
      <c r="D98" s="97"/>
      <c r="E98" s="97"/>
      <c r="F98" s="97"/>
    </row>
    <row r="99" spans="3:6" ht="13.2">
      <c r="C99" s="97"/>
      <c r="D99" s="97"/>
      <c r="E99" s="97"/>
      <c r="F99" s="97"/>
    </row>
    <row r="100" spans="3:6" ht="13.2">
      <c r="C100" s="97"/>
      <c r="D100" s="97"/>
      <c r="E100" s="97"/>
      <c r="F100" s="97"/>
    </row>
    <row r="101" spans="3:6" ht="13.2">
      <c r="C101" s="97"/>
      <c r="D101" s="97"/>
      <c r="E101" s="97"/>
      <c r="F101" s="97"/>
    </row>
    <row r="102" spans="3:6" ht="13.2">
      <c r="C102" s="97"/>
      <c r="D102" s="97"/>
      <c r="E102" s="97"/>
      <c r="F102" s="97"/>
    </row>
    <row r="103" spans="3:6" ht="13.2">
      <c r="C103" s="97"/>
      <c r="D103" s="97"/>
      <c r="E103" s="97"/>
      <c r="F103" s="97"/>
    </row>
    <row r="104" spans="3:6" ht="13.2">
      <c r="C104" s="97"/>
      <c r="D104" s="97"/>
      <c r="E104" s="97"/>
      <c r="F104" s="97"/>
    </row>
    <row r="105" spans="3:6" ht="13.2">
      <c r="C105" s="97"/>
      <c r="D105" s="97"/>
      <c r="E105" s="97"/>
      <c r="F105" s="97"/>
    </row>
    <row r="106" spans="3:6" ht="13.2">
      <c r="C106" s="97"/>
      <c r="D106" s="97"/>
      <c r="E106" s="97"/>
      <c r="F106" s="97"/>
    </row>
    <row r="107" spans="3:6" ht="13.2">
      <c r="C107" s="97"/>
      <c r="D107" s="97"/>
      <c r="E107" s="97"/>
      <c r="F107" s="97"/>
    </row>
    <row r="108" spans="3:6" ht="13.2">
      <c r="C108" s="97"/>
      <c r="D108" s="97"/>
      <c r="E108" s="97"/>
      <c r="F108" s="97"/>
    </row>
    <row r="109" spans="3:6" ht="13.2">
      <c r="C109" s="97"/>
      <c r="D109" s="97"/>
      <c r="E109" s="97"/>
      <c r="F109" s="97"/>
    </row>
    <row r="110" spans="3:6" ht="13.2">
      <c r="C110" s="97"/>
      <c r="D110" s="97"/>
      <c r="E110" s="97"/>
      <c r="F110" s="97"/>
    </row>
    <row r="111" spans="3:6" ht="13.2">
      <c r="C111" s="97"/>
      <c r="D111" s="97"/>
      <c r="E111" s="97"/>
      <c r="F111" s="97"/>
    </row>
    <row r="112" spans="3:6" ht="13.2">
      <c r="C112" s="97"/>
      <c r="D112" s="97"/>
      <c r="E112" s="97"/>
      <c r="F112" s="97"/>
    </row>
    <row r="113" spans="3:6" ht="13.2">
      <c r="C113" s="97"/>
      <c r="D113" s="97"/>
      <c r="E113" s="97"/>
      <c r="F113" s="97"/>
    </row>
    <row r="114" spans="3:6" ht="13.2">
      <c r="C114" s="97"/>
      <c r="D114" s="97"/>
      <c r="E114" s="97"/>
      <c r="F114" s="97"/>
    </row>
    <row r="115" spans="3:6" ht="13.2">
      <c r="C115" s="97"/>
      <c r="D115" s="97"/>
      <c r="E115" s="97"/>
      <c r="F115" s="97"/>
    </row>
    <row r="116" spans="3:6" ht="13.2">
      <c r="C116" s="97"/>
      <c r="D116" s="97"/>
      <c r="E116" s="97"/>
      <c r="F116" s="97"/>
    </row>
    <row r="117" spans="3:6" ht="13.2">
      <c r="C117" s="97"/>
      <c r="D117" s="97"/>
      <c r="E117" s="97"/>
      <c r="F117" s="97"/>
    </row>
    <row r="118" spans="3:6" ht="13.2">
      <c r="C118" s="97"/>
      <c r="D118" s="97"/>
      <c r="E118" s="97"/>
      <c r="F118" s="97"/>
    </row>
    <row r="119" spans="3:6" ht="13.2">
      <c r="C119" s="97"/>
      <c r="D119" s="97"/>
      <c r="E119" s="97"/>
      <c r="F119" s="97"/>
    </row>
    <row r="120" spans="3:6" ht="13.2">
      <c r="C120" s="97"/>
      <c r="D120" s="97"/>
      <c r="E120" s="97"/>
      <c r="F120" s="97"/>
    </row>
    <row r="121" spans="3:6" ht="13.2">
      <c r="C121" s="97"/>
      <c r="D121" s="97"/>
      <c r="E121" s="97"/>
      <c r="F121" s="97"/>
    </row>
    <row r="122" spans="3:6" ht="13.2">
      <c r="C122" s="97"/>
      <c r="D122" s="97"/>
      <c r="E122" s="97"/>
      <c r="F122" s="97"/>
    </row>
    <row r="123" spans="3:6" ht="13.2">
      <c r="C123" s="97"/>
      <c r="D123" s="97"/>
      <c r="E123" s="97"/>
      <c r="F123" s="97"/>
    </row>
    <row r="124" spans="3:6" ht="13.2">
      <c r="C124" s="97"/>
      <c r="D124" s="97"/>
      <c r="E124" s="97"/>
      <c r="F124" s="97"/>
    </row>
    <row r="125" spans="3:6" ht="13.2">
      <c r="C125" s="97"/>
      <c r="D125" s="97"/>
      <c r="E125" s="97"/>
      <c r="F125" s="97"/>
    </row>
    <row r="126" spans="3:6" ht="13.2">
      <c r="C126" s="97"/>
      <c r="D126" s="97"/>
      <c r="E126" s="97"/>
      <c r="F126" s="97"/>
    </row>
    <row r="127" spans="3:6" ht="13.2">
      <c r="C127" s="97"/>
      <c r="D127" s="97"/>
      <c r="E127" s="97"/>
      <c r="F127" s="97"/>
    </row>
    <row r="128" spans="3:6" ht="13.2">
      <c r="C128" s="97"/>
      <c r="D128" s="97"/>
      <c r="E128" s="97"/>
      <c r="F128" s="97"/>
    </row>
    <row r="129" spans="3:6" ht="13.2">
      <c r="C129" s="97"/>
      <c r="D129" s="97"/>
      <c r="E129" s="97"/>
      <c r="F129" s="97"/>
    </row>
    <row r="130" spans="3:6" ht="13.2">
      <c r="C130" s="97"/>
      <c r="D130" s="97"/>
      <c r="E130" s="97"/>
      <c r="F130" s="97"/>
    </row>
    <row r="131" spans="3:6" ht="13.2">
      <c r="C131" s="97"/>
      <c r="D131" s="97"/>
      <c r="E131" s="97"/>
      <c r="F131" s="97"/>
    </row>
    <row r="132" spans="3:6" ht="13.2">
      <c r="C132" s="97"/>
      <c r="D132" s="97"/>
      <c r="E132" s="97"/>
      <c r="F132" s="97"/>
    </row>
    <row r="133" spans="3:6" ht="13.2">
      <c r="C133" s="97"/>
      <c r="D133" s="97"/>
      <c r="E133" s="97"/>
      <c r="F133" s="97"/>
    </row>
    <row r="134" spans="3:6" ht="13.2">
      <c r="C134" s="97"/>
      <c r="D134" s="97"/>
      <c r="E134" s="97"/>
      <c r="F134" s="97"/>
    </row>
    <row r="135" spans="3:6" ht="13.2">
      <c r="C135" s="97"/>
      <c r="D135" s="97"/>
      <c r="E135" s="97"/>
      <c r="F135" s="97"/>
    </row>
    <row r="136" spans="3:6" ht="13.2">
      <c r="C136" s="97"/>
      <c r="D136" s="97"/>
      <c r="E136" s="97"/>
      <c r="F136" s="97"/>
    </row>
    <row r="137" spans="3:6" ht="13.2">
      <c r="C137" s="97"/>
      <c r="D137" s="97"/>
      <c r="E137" s="97"/>
      <c r="F137" s="97"/>
    </row>
    <row r="138" spans="3:6" ht="13.2">
      <c r="C138" s="97"/>
      <c r="D138" s="97"/>
      <c r="E138" s="97"/>
      <c r="F138" s="97"/>
    </row>
    <row r="139" spans="3:6" ht="13.2">
      <c r="C139" s="97"/>
      <c r="D139" s="97"/>
      <c r="E139" s="97"/>
      <c r="F139" s="97"/>
    </row>
    <row r="140" spans="3:6" ht="13.2">
      <c r="C140" s="97"/>
      <c r="D140" s="97"/>
      <c r="E140" s="97"/>
      <c r="F140" s="97"/>
    </row>
    <row r="141" spans="3:6" ht="13.2">
      <c r="C141" s="97"/>
      <c r="D141" s="97"/>
      <c r="E141" s="97"/>
      <c r="F141" s="97"/>
    </row>
    <row r="142" spans="3:6" ht="13.2">
      <c r="C142" s="97"/>
      <c r="D142" s="97"/>
      <c r="E142" s="97"/>
      <c r="F142" s="97"/>
    </row>
    <row r="143" spans="3:6" ht="13.2">
      <c r="C143" s="97"/>
      <c r="D143" s="97"/>
      <c r="E143" s="97"/>
      <c r="F143" s="97"/>
    </row>
    <row r="144" spans="3:6" ht="13.2">
      <c r="C144" s="97"/>
      <c r="D144" s="97"/>
      <c r="E144" s="97"/>
      <c r="F144" s="97"/>
    </row>
    <row r="145" spans="3:6" ht="13.2">
      <c r="C145" s="97"/>
      <c r="D145" s="97"/>
      <c r="E145" s="97"/>
      <c r="F145" s="97"/>
    </row>
    <row r="146" spans="3:6" ht="13.2">
      <c r="C146" s="97"/>
      <c r="D146" s="97"/>
      <c r="E146" s="97"/>
      <c r="F146" s="97"/>
    </row>
    <row r="147" spans="3:6" ht="13.2">
      <c r="C147" s="97"/>
      <c r="D147" s="97"/>
      <c r="E147" s="97"/>
      <c r="F147" s="97"/>
    </row>
    <row r="148" spans="3:6" ht="13.2">
      <c r="C148" s="97"/>
      <c r="D148" s="97"/>
      <c r="E148" s="97"/>
      <c r="F148" s="97"/>
    </row>
    <row r="149" spans="3:6" ht="13.2">
      <c r="C149" s="97"/>
      <c r="D149" s="97"/>
      <c r="E149" s="97"/>
      <c r="F149" s="97"/>
    </row>
    <row r="150" spans="3:6" ht="13.2">
      <c r="C150" s="97"/>
      <c r="D150" s="97"/>
      <c r="E150" s="97"/>
      <c r="F150" s="97"/>
    </row>
    <row r="151" spans="3:6" ht="13.2">
      <c r="C151" s="97"/>
      <c r="D151" s="97"/>
      <c r="E151" s="97"/>
      <c r="F151" s="97"/>
    </row>
    <row r="152" spans="3:6" ht="13.2">
      <c r="C152" s="97"/>
      <c r="D152" s="97"/>
      <c r="E152" s="97"/>
      <c r="F152" s="97"/>
    </row>
    <row r="153" spans="3:6" ht="13.2">
      <c r="C153" s="97"/>
      <c r="D153" s="97"/>
      <c r="E153" s="97"/>
      <c r="F153" s="97"/>
    </row>
    <row r="154" spans="3:6" ht="13.2">
      <c r="C154" s="97"/>
      <c r="D154" s="97"/>
      <c r="E154" s="97"/>
      <c r="F154" s="97"/>
    </row>
    <row r="155" spans="3:6" ht="13.2">
      <c r="C155" s="97"/>
      <c r="D155" s="97"/>
      <c r="E155" s="97"/>
      <c r="F155" s="97"/>
    </row>
    <row r="156" spans="3:6" ht="13.2">
      <c r="C156" s="97"/>
      <c r="D156" s="97"/>
      <c r="E156" s="97"/>
      <c r="F156" s="97"/>
    </row>
    <row r="157" spans="3:6" ht="13.2">
      <c r="C157" s="97"/>
      <c r="D157" s="97"/>
      <c r="E157" s="97"/>
      <c r="F157" s="97"/>
    </row>
    <row r="158" spans="3:6" ht="13.2">
      <c r="C158" s="97"/>
      <c r="D158" s="97"/>
      <c r="E158" s="97"/>
      <c r="F158" s="97"/>
    </row>
    <row r="159" spans="3:6" ht="13.2">
      <c r="C159" s="97"/>
      <c r="D159" s="97"/>
      <c r="E159" s="97"/>
      <c r="F159" s="97"/>
    </row>
    <row r="160" spans="3:6" ht="13.2">
      <c r="C160" s="97"/>
      <c r="D160" s="97"/>
      <c r="E160" s="97"/>
      <c r="F160" s="97"/>
    </row>
    <row r="161" spans="3:6" ht="13.2">
      <c r="C161" s="97"/>
      <c r="D161" s="97"/>
      <c r="E161" s="97"/>
      <c r="F161" s="97"/>
    </row>
    <row r="162" spans="3:6" ht="13.2">
      <c r="C162" s="97"/>
      <c r="D162" s="97"/>
      <c r="E162" s="97"/>
      <c r="F162" s="97"/>
    </row>
    <row r="163" spans="3:6" ht="13.2">
      <c r="C163" s="97"/>
      <c r="D163" s="97"/>
      <c r="E163" s="97"/>
      <c r="F163" s="97"/>
    </row>
    <row r="164" spans="3:6" ht="13.2">
      <c r="C164" s="97"/>
      <c r="D164" s="97"/>
      <c r="E164" s="97"/>
      <c r="F164" s="97"/>
    </row>
    <row r="165" spans="3:6" ht="13.2">
      <c r="C165" s="97"/>
      <c r="D165" s="97"/>
      <c r="E165" s="97"/>
      <c r="F165" s="97"/>
    </row>
    <row r="166" spans="3:6" ht="13.2">
      <c r="C166" s="97"/>
      <c r="D166" s="97"/>
      <c r="E166" s="97"/>
      <c r="F166" s="97"/>
    </row>
    <row r="167" spans="3:6" ht="13.2">
      <c r="C167" s="97"/>
      <c r="D167" s="97"/>
      <c r="E167" s="97"/>
      <c r="F167" s="97"/>
    </row>
    <row r="168" spans="3:6" ht="13.2">
      <c r="C168" s="97"/>
      <c r="D168" s="97"/>
      <c r="E168" s="97"/>
      <c r="F168" s="97"/>
    </row>
    <row r="169" spans="3:6" ht="13.2">
      <c r="C169" s="97"/>
      <c r="D169" s="97"/>
      <c r="E169" s="97"/>
      <c r="F169" s="97"/>
    </row>
    <row r="170" spans="3:6" ht="13.2">
      <c r="C170" s="97"/>
      <c r="D170" s="97"/>
      <c r="E170" s="97"/>
      <c r="F170" s="97"/>
    </row>
    <row r="171" spans="3:6" ht="13.2">
      <c r="C171" s="97"/>
      <c r="D171" s="97"/>
      <c r="E171" s="97"/>
      <c r="F171" s="97"/>
    </row>
    <row r="172" spans="3:6" ht="13.2">
      <c r="C172" s="97"/>
      <c r="D172" s="97"/>
      <c r="E172" s="97"/>
      <c r="F172" s="97"/>
    </row>
    <row r="173" spans="3:6" ht="13.2">
      <c r="C173" s="97"/>
      <c r="D173" s="97"/>
      <c r="E173" s="97"/>
      <c r="F173" s="97"/>
    </row>
    <row r="174" spans="3:6" ht="13.2">
      <c r="C174" s="97"/>
      <c r="D174" s="97"/>
      <c r="E174" s="97"/>
      <c r="F174" s="97"/>
    </row>
    <row r="175" spans="3:6" ht="13.2">
      <c r="C175" s="97"/>
      <c r="D175" s="97"/>
      <c r="E175" s="97"/>
      <c r="F175" s="97"/>
    </row>
    <row r="176" spans="3:6" ht="13.2">
      <c r="C176" s="97"/>
      <c r="D176" s="97"/>
      <c r="E176" s="97"/>
      <c r="F176" s="97"/>
    </row>
    <row r="177" spans="3:6" ht="13.2">
      <c r="C177" s="97"/>
      <c r="D177" s="97"/>
      <c r="E177" s="97"/>
      <c r="F177" s="97"/>
    </row>
    <row r="178" spans="3:6" ht="13.2">
      <c r="C178" s="97"/>
      <c r="D178" s="97"/>
      <c r="E178" s="97"/>
      <c r="F178" s="97"/>
    </row>
    <row r="179" spans="3:6" ht="13.2">
      <c r="C179" s="97"/>
      <c r="D179" s="97"/>
      <c r="E179" s="97"/>
      <c r="F179" s="97"/>
    </row>
    <row r="180" spans="3:6" ht="13.2">
      <c r="C180" s="97"/>
      <c r="D180" s="97"/>
      <c r="E180" s="97"/>
      <c r="F180" s="97"/>
    </row>
    <row r="181" spans="3:6" ht="13.2">
      <c r="C181" s="97"/>
      <c r="D181" s="97"/>
      <c r="E181" s="97"/>
      <c r="F181" s="97"/>
    </row>
    <row r="182" spans="3:6" ht="13.2">
      <c r="C182" s="97"/>
      <c r="D182" s="97"/>
      <c r="E182" s="97"/>
      <c r="F182" s="97"/>
    </row>
    <row r="183" spans="3:6" ht="13.2">
      <c r="C183" s="97"/>
      <c r="D183" s="97"/>
      <c r="E183" s="97"/>
      <c r="F183" s="97"/>
    </row>
    <row r="184" spans="3:6" ht="13.2">
      <c r="C184" s="97"/>
      <c r="D184" s="97"/>
      <c r="E184" s="97"/>
      <c r="F184" s="97"/>
    </row>
    <row r="185" spans="3:6" ht="13.2">
      <c r="C185" s="97"/>
      <c r="D185" s="97"/>
      <c r="E185" s="97"/>
      <c r="F185" s="97"/>
    </row>
    <row r="186" spans="3:6" ht="13.2">
      <c r="C186" s="97"/>
      <c r="D186" s="97"/>
      <c r="E186" s="97"/>
      <c r="F186" s="97"/>
    </row>
    <row r="187" spans="3:6" ht="13.2">
      <c r="C187" s="97"/>
      <c r="D187" s="97"/>
      <c r="E187" s="97"/>
      <c r="F187" s="97"/>
    </row>
    <row r="188" spans="3:6" ht="13.2">
      <c r="C188" s="97"/>
      <c r="D188" s="97"/>
      <c r="E188" s="97"/>
      <c r="F188" s="97"/>
    </row>
    <row r="189" spans="3:6" ht="13.2">
      <c r="C189" s="97"/>
      <c r="D189" s="97"/>
      <c r="E189" s="97"/>
      <c r="F189" s="97"/>
    </row>
    <row r="190" spans="3:6" ht="13.2">
      <c r="C190" s="97"/>
      <c r="D190" s="97"/>
      <c r="E190" s="97"/>
      <c r="F190" s="97"/>
    </row>
    <row r="191" spans="3:6" ht="13.2">
      <c r="C191" s="97"/>
      <c r="D191" s="97"/>
      <c r="E191" s="97"/>
      <c r="F191" s="97"/>
    </row>
    <row r="192" spans="3:6" ht="13.2">
      <c r="C192" s="97"/>
      <c r="D192" s="97"/>
      <c r="E192" s="97"/>
      <c r="F192" s="97"/>
    </row>
    <row r="193" spans="3:6" ht="13.2">
      <c r="C193" s="97"/>
      <c r="D193" s="97"/>
      <c r="E193" s="97"/>
      <c r="F193" s="97"/>
    </row>
    <row r="194" spans="3:6" ht="13.2">
      <c r="C194" s="97"/>
      <c r="D194" s="97"/>
      <c r="E194" s="97"/>
      <c r="F194" s="97"/>
    </row>
    <row r="195" spans="3:6" ht="13.2">
      <c r="C195" s="97"/>
      <c r="D195" s="97"/>
      <c r="E195" s="97"/>
      <c r="F195" s="97"/>
    </row>
    <row r="196" spans="3:6" ht="13.2">
      <c r="C196" s="97"/>
      <c r="D196" s="97"/>
      <c r="E196" s="97"/>
      <c r="F196" s="97"/>
    </row>
    <row r="197" spans="3:6" ht="13.2">
      <c r="C197" s="97"/>
      <c r="D197" s="97"/>
      <c r="E197" s="97"/>
      <c r="F197" s="97"/>
    </row>
    <row r="198" spans="3:6" ht="13.2">
      <c r="C198" s="97"/>
      <c r="D198" s="97"/>
      <c r="E198" s="97"/>
      <c r="F198" s="97"/>
    </row>
    <row r="199" spans="3:6" ht="13.2">
      <c r="C199" s="97"/>
      <c r="D199" s="97"/>
      <c r="E199" s="97"/>
      <c r="F199" s="97"/>
    </row>
    <row r="200" spans="3:6" ht="13.2">
      <c r="C200" s="97"/>
      <c r="D200" s="97"/>
      <c r="E200" s="97"/>
      <c r="F200" s="97"/>
    </row>
    <row r="201" spans="3:6" ht="13.2">
      <c r="C201" s="97"/>
      <c r="D201" s="97"/>
      <c r="E201" s="97"/>
      <c r="F201" s="97"/>
    </row>
    <row r="202" spans="3:6" ht="13.2">
      <c r="C202" s="97"/>
      <c r="D202" s="97"/>
      <c r="E202" s="97"/>
      <c r="F202" s="97"/>
    </row>
    <row r="203" spans="3:6" ht="13.2">
      <c r="C203" s="97"/>
      <c r="D203" s="97"/>
      <c r="E203" s="97"/>
      <c r="F203" s="97"/>
    </row>
    <row r="204" spans="3:6" ht="13.2">
      <c r="C204" s="97"/>
      <c r="D204" s="97"/>
      <c r="E204" s="97"/>
      <c r="F204" s="97"/>
    </row>
    <row r="205" spans="3:6" ht="13.2">
      <c r="C205" s="97"/>
      <c r="D205" s="97"/>
      <c r="E205" s="97"/>
      <c r="F205" s="97"/>
    </row>
    <row r="206" spans="3:6" ht="13.2">
      <c r="C206" s="97"/>
      <c r="D206" s="97"/>
      <c r="E206" s="97"/>
      <c r="F206" s="97"/>
    </row>
    <row r="207" spans="3:6" ht="13.2">
      <c r="C207" s="97"/>
      <c r="D207" s="97"/>
      <c r="E207" s="97"/>
      <c r="F207" s="97"/>
    </row>
    <row r="208" spans="3:6" ht="13.2">
      <c r="C208" s="97"/>
      <c r="D208" s="97"/>
      <c r="E208" s="97"/>
      <c r="F208" s="97"/>
    </row>
    <row r="209" spans="3:6" ht="13.2">
      <c r="C209" s="97"/>
      <c r="D209" s="97"/>
      <c r="E209" s="97"/>
      <c r="F209" s="97"/>
    </row>
    <row r="210" spans="3:6" ht="13.2">
      <c r="C210" s="97"/>
      <c r="D210" s="97"/>
      <c r="E210" s="97"/>
      <c r="F210" s="97"/>
    </row>
    <row r="211" spans="3:6" ht="13.2">
      <c r="C211" s="97"/>
      <c r="D211" s="97"/>
      <c r="E211" s="97"/>
      <c r="F211" s="97"/>
    </row>
    <row r="212" spans="3:6" ht="13.2">
      <c r="C212" s="97"/>
      <c r="D212" s="97"/>
      <c r="E212" s="97"/>
      <c r="F212" s="97"/>
    </row>
    <row r="213" spans="3:6" ht="13.2">
      <c r="C213" s="97"/>
      <c r="D213" s="97"/>
      <c r="E213" s="97"/>
      <c r="F213" s="97"/>
    </row>
    <row r="214" spans="3:6" ht="13.2">
      <c r="C214" s="97"/>
      <c r="D214" s="97"/>
      <c r="E214" s="97"/>
      <c r="F214" s="97"/>
    </row>
    <row r="215" spans="3:6" ht="13.2">
      <c r="C215" s="97"/>
      <c r="D215" s="97"/>
      <c r="E215" s="97"/>
      <c r="F215" s="97"/>
    </row>
    <row r="216" spans="3:6" ht="13.2">
      <c r="C216" s="97"/>
      <c r="D216" s="97"/>
      <c r="E216" s="97"/>
      <c r="F216" s="97"/>
    </row>
    <row r="217" spans="3:6" ht="13.2">
      <c r="C217" s="97"/>
      <c r="D217" s="97"/>
      <c r="E217" s="97"/>
      <c r="F217" s="97"/>
    </row>
    <row r="218" spans="3:6" ht="13.2">
      <c r="C218" s="97"/>
      <c r="D218" s="97"/>
      <c r="E218" s="97"/>
      <c r="F218" s="97"/>
    </row>
    <row r="219" spans="3:6" ht="13.2">
      <c r="C219" s="97"/>
      <c r="D219" s="97"/>
      <c r="E219" s="97"/>
      <c r="F219" s="97"/>
    </row>
    <row r="220" spans="3:6" ht="13.2">
      <c r="C220" s="97"/>
      <c r="D220" s="97"/>
      <c r="E220" s="97"/>
      <c r="F220" s="97"/>
    </row>
    <row r="221" spans="3:6" ht="13.2">
      <c r="C221" s="97"/>
      <c r="D221" s="97"/>
      <c r="E221" s="97"/>
      <c r="F221" s="97"/>
    </row>
    <row r="222" spans="3:6" ht="13.2">
      <c r="C222" s="97"/>
      <c r="D222" s="97"/>
      <c r="E222" s="97"/>
      <c r="F222" s="97"/>
    </row>
    <row r="223" spans="3:6" ht="13.2">
      <c r="C223" s="97"/>
      <c r="D223" s="97"/>
      <c r="E223" s="97"/>
      <c r="F223" s="97"/>
    </row>
    <row r="224" spans="3:6" ht="13.2">
      <c r="C224" s="97"/>
      <c r="D224" s="97"/>
      <c r="E224" s="97"/>
      <c r="F224" s="97"/>
    </row>
    <row r="225" spans="3:6" ht="13.2">
      <c r="C225" s="97"/>
      <c r="D225" s="97"/>
      <c r="E225" s="97"/>
      <c r="F225" s="97"/>
    </row>
    <row r="226" spans="3:6" ht="13.2">
      <c r="C226" s="97"/>
      <c r="D226" s="97"/>
      <c r="E226" s="97"/>
      <c r="F226" s="97"/>
    </row>
    <row r="227" spans="3:6" ht="13.2">
      <c r="C227" s="97"/>
      <c r="D227" s="97"/>
      <c r="E227" s="97"/>
      <c r="F227" s="97"/>
    </row>
    <row r="228" spans="3:6" ht="13.2">
      <c r="C228" s="97"/>
      <c r="D228" s="97"/>
      <c r="E228" s="97"/>
      <c r="F228" s="97"/>
    </row>
    <row r="229" spans="3:6" ht="13.2">
      <c r="C229" s="97"/>
      <c r="D229" s="97"/>
      <c r="E229" s="97"/>
      <c r="F229" s="97"/>
    </row>
    <row r="230" spans="3:6" ht="13.2">
      <c r="C230" s="97"/>
      <c r="D230" s="97"/>
      <c r="E230" s="97"/>
      <c r="F230" s="97"/>
    </row>
    <row r="231" spans="3:6" ht="13.2">
      <c r="C231" s="97"/>
      <c r="D231" s="97"/>
      <c r="E231" s="97"/>
      <c r="F231" s="97"/>
    </row>
    <row r="232" spans="3:6" ht="13.2">
      <c r="C232" s="97"/>
      <c r="D232" s="97"/>
      <c r="E232" s="97"/>
      <c r="F232" s="97"/>
    </row>
    <row r="233" spans="3:6" ht="13.2">
      <c r="C233" s="97"/>
      <c r="D233" s="97"/>
      <c r="E233" s="97"/>
      <c r="F233" s="97"/>
    </row>
    <row r="234" spans="3:6" ht="13.2">
      <c r="C234" s="97"/>
      <c r="D234" s="97"/>
      <c r="E234" s="97"/>
      <c r="F234" s="97"/>
    </row>
    <row r="235" spans="3:6" ht="13.2">
      <c r="C235" s="97"/>
      <c r="D235" s="97"/>
      <c r="E235" s="97"/>
      <c r="F235" s="97"/>
    </row>
    <row r="236" spans="3:6" ht="13.2">
      <c r="C236" s="97"/>
      <c r="D236" s="97"/>
      <c r="E236" s="97"/>
      <c r="F236" s="97"/>
    </row>
    <row r="237" spans="3:6" ht="13.2">
      <c r="C237" s="97"/>
      <c r="D237" s="97"/>
      <c r="E237" s="97"/>
      <c r="F237" s="97"/>
    </row>
    <row r="238" spans="3:6" ht="13.2">
      <c r="C238" s="97"/>
      <c r="D238" s="97"/>
      <c r="E238" s="97"/>
      <c r="F238" s="97"/>
    </row>
    <row r="239" spans="3:6" ht="13.2">
      <c r="C239" s="97"/>
      <c r="D239" s="97"/>
      <c r="E239" s="97"/>
      <c r="F239" s="97"/>
    </row>
    <row r="240" spans="3:6" ht="13.2">
      <c r="C240" s="97"/>
      <c r="D240" s="97"/>
      <c r="E240" s="97"/>
      <c r="F240" s="97"/>
    </row>
    <row r="241" spans="3:6" ht="13.2">
      <c r="C241" s="97"/>
      <c r="D241" s="97"/>
      <c r="E241" s="97"/>
      <c r="F241" s="97"/>
    </row>
    <row r="242" spans="3:6" ht="13.2">
      <c r="C242" s="97"/>
      <c r="D242" s="97"/>
      <c r="E242" s="97"/>
      <c r="F242" s="97"/>
    </row>
    <row r="243" spans="3:6" ht="13.2">
      <c r="C243" s="97"/>
      <c r="D243" s="97"/>
      <c r="E243" s="97"/>
      <c r="F243" s="97"/>
    </row>
    <row r="244" spans="3:6" ht="13.2">
      <c r="C244" s="97"/>
      <c r="D244" s="97"/>
      <c r="E244" s="97"/>
      <c r="F244" s="97"/>
    </row>
    <row r="245" spans="3:6" ht="13.2">
      <c r="C245" s="97"/>
      <c r="D245" s="97"/>
      <c r="E245" s="97"/>
      <c r="F245" s="97"/>
    </row>
    <row r="246" spans="3:6" ht="13.2">
      <c r="C246" s="97"/>
      <c r="D246" s="97"/>
      <c r="E246" s="97"/>
      <c r="F246" s="97"/>
    </row>
    <row r="247" spans="3:6" ht="13.2">
      <c r="C247" s="97"/>
      <c r="D247" s="97"/>
      <c r="E247" s="97"/>
      <c r="F247" s="97"/>
    </row>
    <row r="248" spans="3:6" ht="13.2">
      <c r="C248" s="97"/>
      <c r="D248" s="97"/>
      <c r="E248" s="97"/>
      <c r="F248" s="97"/>
    </row>
    <row r="249" spans="3:6" ht="13.2">
      <c r="C249" s="97"/>
      <c r="D249" s="97"/>
      <c r="E249" s="97"/>
      <c r="F249" s="97"/>
    </row>
    <row r="250" spans="3:6" ht="13.2">
      <c r="C250" s="97"/>
      <c r="D250" s="97"/>
      <c r="E250" s="97"/>
      <c r="F250" s="97"/>
    </row>
    <row r="251" spans="3:6" ht="13.2">
      <c r="C251" s="97"/>
      <c r="D251" s="97"/>
      <c r="E251" s="97"/>
      <c r="F251" s="97"/>
    </row>
    <row r="252" spans="3:6" ht="13.2">
      <c r="C252" s="97"/>
      <c r="D252" s="97"/>
      <c r="E252" s="97"/>
      <c r="F252" s="97"/>
    </row>
    <row r="253" spans="3:6" ht="13.2">
      <c r="C253" s="97"/>
      <c r="D253" s="97"/>
      <c r="E253" s="97"/>
      <c r="F253" s="97"/>
    </row>
    <row r="254" spans="3:6" ht="13.2">
      <c r="C254" s="97"/>
      <c r="D254" s="97"/>
      <c r="E254" s="97"/>
      <c r="F254" s="97"/>
    </row>
    <row r="255" spans="3:6" ht="13.2">
      <c r="C255" s="97"/>
      <c r="D255" s="97"/>
      <c r="E255" s="97"/>
      <c r="F255" s="97"/>
    </row>
    <row r="256" spans="3:6" ht="13.2">
      <c r="C256" s="97"/>
      <c r="D256" s="97"/>
      <c r="E256" s="97"/>
      <c r="F256" s="97"/>
    </row>
    <row r="257" spans="3:6" ht="13.2">
      <c r="C257" s="97"/>
      <c r="D257" s="97"/>
      <c r="E257" s="97"/>
      <c r="F257" s="97"/>
    </row>
    <row r="258" spans="3:6" ht="13.2">
      <c r="C258" s="97"/>
      <c r="D258" s="97"/>
      <c r="E258" s="97"/>
      <c r="F258" s="97"/>
    </row>
    <row r="259" spans="3:6" ht="13.2">
      <c r="C259" s="97"/>
      <c r="D259" s="97"/>
      <c r="E259" s="97"/>
      <c r="F259" s="97"/>
    </row>
    <row r="260" spans="3:6" ht="13.2">
      <c r="C260" s="97"/>
      <c r="D260" s="97"/>
      <c r="E260" s="97"/>
      <c r="F260" s="97"/>
    </row>
    <row r="261" spans="3:6" ht="13.2">
      <c r="C261" s="97"/>
      <c r="D261" s="97"/>
      <c r="E261" s="97"/>
      <c r="F261" s="97"/>
    </row>
    <row r="262" spans="3:6" ht="13.2">
      <c r="C262" s="97"/>
      <c r="D262" s="97"/>
      <c r="E262" s="97"/>
      <c r="F262" s="97"/>
    </row>
    <row r="263" spans="3:6" ht="13.2">
      <c r="C263" s="97"/>
      <c r="D263" s="97"/>
      <c r="E263" s="97"/>
      <c r="F263" s="97"/>
    </row>
    <row r="264" spans="3:6" ht="13.2">
      <c r="C264" s="97"/>
      <c r="D264" s="97"/>
      <c r="E264" s="97"/>
      <c r="F264" s="97"/>
    </row>
    <row r="265" spans="3:6" ht="13.2">
      <c r="C265" s="97"/>
      <c r="D265" s="97"/>
      <c r="E265" s="97"/>
      <c r="F265" s="97"/>
    </row>
    <row r="266" spans="3:6" ht="13.2">
      <c r="C266" s="97"/>
      <c r="D266" s="97"/>
      <c r="E266" s="97"/>
      <c r="F266" s="97"/>
    </row>
    <row r="267" spans="3:6" ht="13.2">
      <c r="C267" s="97"/>
      <c r="D267" s="97"/>
      <c r="E267" s="97"/>
      <c r="F267" s="97"/>
    </row>
    <row r="268" spans="3:6" ht="13.2">
      <c r="C268" s="97"/>
      <c r="D268" s="97"/>
      <c r="E268" s="97"/>
      <c r="F268" s="97"/>
    </row>
    <row r="269" spans="3:6" ht="13.2">
      <c r="C269" s="97"/>
      <c r="D269" s="97"/>
      <c r="E269" s="97"/>
      <c r="F269" s="97"/>
    </row>
    <row r="270" spans="3:6" ht="13.2">
      <c r="C270" s="97"/>
      <c r="D270" s="97"/>
      <c r="E270" s="97"/>
      <c r="F270" s="97"/>
    </row>
    <row r="271" spans="3:6" ht="13.2">
      <c r="C271" s="97"/>
      <c r="D271" s="97"/>
      <c r="E271" s="97"/>
      <c r="F271" s="97"/>
    </row>
    <row r="272" spans="3:6" ht="13.2">
      <c r="C272" s="97"/>
      <c r="D272" s="97"/>
      <c r="E272" s="97"/>
      <c r="F272" s="97"/>
    </row>
    <row r="273" spans="3:6" ht="13.2">
      <c r="C273" s="97"/>
      <c r="D273" s="97"/>
      <c r="E273" s="97"/>
      <c r="F273" s="97"/>
    </row>
    <row r="274" spans="3:6" ht="13.2">
      <c r="C274" s="97"/>
      <c r="D274" s="97"/>
      <c r="E274" s="97"/>
      <c r="F274" s="97"/>
    </row>
    <row r="275" spans="3:6" ht="13.2">
      <c r="C275" s="97"/>
      <c r="D275" s="97"/>
      <c r="E275" s="97"/>
      <c r="F275" s="97"/>
    </row>
    <row r="276" spans="3:6" ht="13.2">
      <c r="C276" s="97"/>
      <c r="D276" s="97"/>
      <c r="E276" s="97"/>
      <c r="F276" s="97"/>
    </row>
    <row r="277" spans="3:6" ht="13.2">
      <c r="C277" s="97"/>
      <c r="D277" s="97"/>
      <c r="E277" s="97"/>
      <c r="F277" s="97"/>
    </row>
    <row r="278" spans="3:6" ht="13.2">
      <c r="C278" s="97"/>
      <c r="D278" s="97"/>
      <c r="E278" s="97"/>
      <c r="F278" s="97"/>
    </row>
    <row r="279" spans="3:6" ht="13.2">
      <c r="C279" s="97"/>
      <c r="D279" s="97"/>
      <c r="E279" s="97"/>
      <c r="F279" s="97"/>
    </row>
    <row r="280" spans="3:6" ht="13.2">
      <c r="C280" s="97"/>
      <c r="D280" s="97"/>
      <c r="E280" s="97"/>
      <c r="F280" s="97"/>
    </row>
    <row r="281" spans="3:6" ht="13.2">
      <c r="C281" s="97"/>
      <c r="D281" s="97"/>
      <c r="E281" s="97"/>
      <c r="F281" s="97"/>
    </row>
    <row r="282" spans="3:6" ht="13.2">
      <c r="C282" s="97"/>
      <c r="D282" s="97"/>
      <c r="E282" s="97"/>
      <c r="F282" s="97"/>
    </row>
    <row r="283" spans="3:6" ht="13.2">
      <c r="C283" s="97"/>
      <c r="D283" s="97"/>
      <c r="E283" s="97"/>
      <c r="F283" s="97"/>
    </row>
    <row r="284" spans="3:6" ht="13.2">
      <c r="C284" s="97"/>
      <c r="D284" s="97"/>
      <c r="E284" s="97"/>
      <c r="F284" s="97"/>
    </row>
    <row r="285" spans="3:6" ht="13.2">
      <c r="C285" s="97"/>
      <c r="D285" s="97"/>
      <c r="E285" s="97"/>
      <c r="F285" s="97"/>
    </row>
    <row r="286" spans="3:6" ht="13.2">
      <c r="C286" s="97"/>
      <c r="D286" s="97"/>
      <c r="E286" s="97"/>
      <c r="F286" s="97"/>
    </row>
    <row r="287" spans="3:6" ht="13.2">
      <c r="C287" s="97"/>
      <c r="D287" s="97"/>
      <c r="E287" s="97"/>
      <c r="F287" s="97"/>
    </row>
    <row r="288" spans="3:6" ht="13.2">
      <c r="C288" s="97"/>
      <c r="D288" s="97"/>
      <c r="E288" s="97"/>
      <c r="F288" s="97"/>
    </row>
    <row r="289" spans="3:6" ht="13.2">
      <c r="C289" s="97"/>
      <c r="D289" s="97"/>
      <c r="E289" s="97"/>
      <c r="F289" s="97"/>
    </row>
    <row r="290" spans="3:6" ht="13.2">
      <c r="C290" s="97"/>
      <c r="D290" s="97"/>
      <c r="E290" s="97"/>
      <c r="F290" s="97"/>
    </row>
    <row r="291" spans="3:6" ht="13.2">
      <c r="C291" s="97"/>
      <c r="D291" s="97"/>
      <c r="E291" s="97"/>
      <c r="F291" s="97"/>
    </row>
    <row r="292" spans="3:6" ht="13.2">
      <c r="C292" s="97"/>
      <c r="D292" s="97"/>
      <c r="E292" s="97"/>
      <c r="F292" s="97"/>
    </row>
    <row r="293" spans="3:6" ht="13.2">
      <c r="C293" s="97"/>
      <c r="D293" s="97"/>
      <c r="E293" s="97"/>
      <c r="F293" s="97"/>
    </row>
    <row r="294" spans="3:6" ht="13.2">
      <c r="C294" s="97"/>
      <c r="D294" s="97"/>
      <c r="E294" s="97"/>
      <c r="F294" s="97"/>
    </row>
    <row r="295" spans="3:6" ht="13.2">
      <c r="C295" s="97"/>
      <c r="D295" s="97"/>
      <c r="E295" s="97"/>
      <c r="F295" s="97"/>
    </row>
    <row r="296" spans="3:6" ht="13.2">
      <c r="C296" s="97"/>
      <c r="D296" s="97"/>
      <c r="E296" s="97"/>
      <c r="F296" s="97"/>
    </row>
    <row r="297" spans="3:6" ht="13.2">
      <c r="C297" s="97"/>
      <c r="D297" s="97"/>
      <c r="E297" s="97"/>
      <c r="F297" s="97"/>
    </row>
    <row r="298" spans="3:6" ht="13.2">
      <c r="C298" s="97"/>
      <c r="D298" s="97"/>
      <c r="E298" s="97"/>
      <c r="F298" s="97"/>
    </row>
    <row r="299" spans="3:6" ht="13.2">
      <c r="C299" s="97"/>
      <c r="D299" s="97"/>
      <c r="E299" s="97"/>
      <c r="F299" s="97"/>
    </row>
    <row r="300" spans="3:6" ht="13.2">
      <c r="C300" s="97"/>
      <c r="D300" s="97"/>
      <c r="E300" s="97"/>
      <c r="F300" s="97"/>
    </row>
    <row r="301" spans="3:6" ht="13.2">
      <c r="C301" s="97"/>
      <c r="D301" s="97"/>
      <c r="E301" s="97"/>
      <c r="F301" s="97"/>
    </row>
    <row r="302" spans="3:6" ht="13.2">
      <c r="C302" s="97"/>
      <c r="D302" s="97"/>
      <c r="E302" s="97"/>
      <c r="F302" s="97"/>
    </row>
    <row r="303" spans="3:6" ht="13.2">
      <c r="C303" s="97"/>
      <c r="D303" s="97"/>
      <c r="E303" s="97"/>
      <c r="F303" s="97"/>
    </row>
    <row r="304" spans="3:6" ht="13.2">
      <c r="C304" s="97"/>
      <c r="D304" s="97"/>
      <c r="E304" s="97"/>
      <c r="F304" s="97"/>
    </row>
    <row r="305" spans="3:6" ht="13.2">
      <c r="C305" s="97"/>
      <c r="D305" s="97"/>
      <c r="E305" s="97"/>
      <c r="F305" s="97"/>
    </row>
    <row r="306" spans="3:6" ht="13.2">
      <c r="C306" s="97"/>
      <c r="D306" s="97"/>
      <c r="E306" s="97"/>
      <c r="F306" s="97"/>
    </row>
    <row r="307" spans="3:6" ht="13.2">
      <c r="C307" s="97"/>
      <c r="D307" s="97"/>
      <c r="E307" s="97"/>
      <c r="F307" s="97"/>
    </row>
    <row r="308" spans="3:6" ht="13.2">
      <c r="C308" s="97"/>
      <c r="D308" s="97"/>
      <c r="E308" s="97"/>
      <c r="F308" s="97"/>
    </row>
    <row r="309" spans="3:6" ht="13.2">
      <c r="C309" s="97"/>
      <c r="D309" s="97"/>
      <c r="E309" s="97"/>
      <c r="F309" s="97"/>
    </row>
    <row r="310" spans="3:6" ht="13.2">
      <c r="C310" s="97"/>
      <c r="D310" s="97"/>
      <c r="E310" s="97"/>
      <c r="F310" s="97"/>
    </row>
    <row r="311" spans="3:6" ht="13.2">
      <c r="C311" s="97"/>
      <c r="D311" s="97"/>
      <c r="E311" s="97"/>
      <c r="F311" s="97"/>
    </row>
    <row r="312" spans="3:6" ht="13.2">
      <c r="C312" s="97"/>
      <c r="D312" s="97"/>
      <c r="E312" s="97"/>
      <c r="F312" s="97"/>
    </row>
    <row r="313" spans="3:6" ht="13.2">
      <c r="C313" s="97"/>
      <c r="D313" s="97"/>
      <c r="E313" s="97"/>
      <c r="F313" s="97"/>
    </row>
    <row r="314" spans="3:6" ht="13.2">
      <c r="C314" s="97"/>
      <c r="D314" s="97"/>
      <c r="E314" s="97"/>
      <c r="F314" s="97"/>
    </row>
    <row r="315" spans="3:6" ht="13.2">
      <c r="C315" s="97"/>
      <c r="D315" s="97"/>
      <c r="E315" s="97"/>
      <c r="F315" s="97"/>
    </row>
    <row r="316" spans="3:6" ht="13.2">
      <c r="C316" s="97"/>
      <c r="D316" s="97"/>
      <c r="E316" s="97"/>
      <c r="F316" s="97"/>
    </row>
    <row r="317" spans="3:6" ht="13.2">
      <c r="C317" s="97"/>
      <c r="D317" s="97"/>
      <c r="E317" s="97"/>
      <c r="F317" s="97"/>
    </row>
    <row r="318" spans="3:6" ht="13.2">
      <c r="C318" s="97"/>
      <c r="D318" s="97"/>
      <c r="E318" s="97"/>
      <c r="F318" s="97"/>
    </row>
    <row r="319" spans="3:6" ht="13.2">
      <c r="C319" s="97"/>
      <c r="D319" s="97"/>
      <c r="E319" s="97"/>
      <c r="F319" s="97"/>
    </row>
    <row r="320" spans="3:6" ht="13.2">
      <c r="C320" s="97"/>
      <c r="D320" s="97"/>
      <c r="E320" s="97"/>
      <c r="F320" s="97"/>
    </row>
    <row r="321" spans="3:6" ht="13.2">
      <c r="C321" s="97"/>
      <c r="D321" s="97"/>
      <c r="E321" s="97"/>
      <c r="F321" s="97"/>
    </row>
    <row r="322" spans="3:6" ht="13.2">
      <c r="C322" s="97"/>
      <c r="D322" s="97"/>
      <c r="E322" s="97"/>
      <c r="F322" s="97"/>
    </row>
    <row r="323" spans="3:6" ht="13.2">
      <c r="C323" s="97"/>
      <c r="D323" s="97"/>
      <c r="E323" s="97"/>
      <c r="F323" s="97"/>
    </row>
    <row r="324" spans="3:6" ht="13.2">
      <c r="C324" s="97"/>
      <c r="D324" s="97"/>
      <c r="E324" s="97"/>
      <c r="F324" s="97"/>
    </row>
    <row r="325" spans="3:6" ht="13.2">
      <c r="C325" s="97"/>
      <c r="D325" s="97"/>
      <c r="E325" s="97"/>
      <c r="F325" s="97"/>
    </row>
    <row r="326" spans="3:6" ht="13.2">
      <c r="C326" s="97"/>
      <c r="D326" s="97"/>
      <c r="E326" s="97"/>
      <c r="F326" s="97"/>
    </row>
    <row r="327" spans="3:6" ht="13.2">
      <c r="C327" s="97"/>
      <c r="D327" s="97"/>
      <c r="E327" s="97"/>
      <c r="F327" s="97"/>
    </row>
    <row r="328" spans="3:6" ht="13.2">
      <c r="C328" s="97"/>
      <c r="D328" s="97"/>
      <c r="E328" s="97"/>
      <c r="F328" s="97"/>
    </row>
    <row r="329" spans="3:6" ht="13.2">
      <c r="C329" s="97"/>
      <c r="D329" s="97"/>
      <c r="E329" s="97"/>
      <c r="F329" s="97"/>
    </row>
    <row r="330" spans="3:6" ht="13.2">
      <c r="C330" s="97"/>
      <c r="D330" s="97"/>
      <c r="E330" s="97"/>
      <c r="F330" s="97"/>
    </row>
    <row r="331" spans="3:6" ht="13.2">
      <c r="C331" s="97"/>
      <c r="D331" s="97"/>
      <c r="E331" s="97"/>
      <c r="F331" s="97"/>
    </row>
    <row r="332" spans="3:6" ht="13.2">
      <c r="C332" s="97"/>
      <c r="D332" s="97"/>
      <c r="E332" s="97"/>
      <c r="F332" s="97"/>
    </row>
    <row r="333" spans="3:6" ht="13.2">
      <c r="C333" s="97"/>
      <c r="D333" s="97"/>
      <c r="E333" s="97"/>
      <c r="F333" s="97"/>
    </row>
    <row r="334" spans="3:6" ht="13.2">
      <c r="C334" s="97"/>
      <c r="D334" s="97"/>
      <c r="E334" s="97"/>
      <c r="F334" s="97"/>
    </row>
    <row r="335" spans="3:6" ht="13.2">
      <c r="C335" s="97"/>
      <c r="D335" s="97"/>
      <c r="E335" s="97"/>
      <c r="F335" s="97"/>
    </row>
    <row r="336" spans="3:6" ht="13.2">
      <c r="C336" s="97"/>
      <c r="D336" s="97"/>
      <c r="E336" s="97"/>
      <c r="F336" s="97"/>
    </row>
    <row r="337" spans="3:6" ht="13.2">
      <c r="C337" s="97"/>
      <c r="D337" s="97"/>
      <c r="E337" s="97"/>
      <c r="F337" s="97"/>
    </row>
    <row r="338" spans="3:6" ht="13.2">
      <c r="C338" s="97"/>
      <c r="D338" s="97"/>
      <c r="E338" s="97"/>
      <c r="F338" s="97"/>
    </row>
    <row r="339" spans="3:6" ht="13.2">
      <c r="C339" s="97"/>
      <c r="D339" s="97"/>
      <c r="E339" s="97"/>
      <c r="F339" s="97"/>
    </row>
    <row r="340" spans="3:6" ht="13.2">
      <c r="C340" s="97"/>
      <c r="D340" s="97"/>
      <c r="E340" s="97"/>
      <c r="F340" s="97"/>
    </row>
    <row r="341" spans="3:6" ht="13.2">
      <c r="C341" s="97"/>
      <c r="D341" s="97"/>
      <c r="E341" s="97"/>
      <c r="F341" s="97"/>
    </row>
    <row r="342" spans="3:6" ht="13.2">
      <c r="C342" s="97"/>
      <c r="D342" s="97"/>
      <c r="E342" s="97"/>
      <c r="F342" s="97"/>
    </row>
    <row r="343" spans="3:6" ht="13.2">
      <c r="C343" s="97"/>
      <c r="D343" s="97"/>
      <c r="E343" s="97"/>
      <c r="F343" s="97"/>
    </row>
    <row r="344" spans="3:6" ht="13.2">
      <c r="C344" s="97"/>
      <c r="D344" s="97"/>
      <c r="E344" s="97"/>
      <c r="F344" s="97"/>
    </row>
    <row r="345" spans="3:6" ht="13.2">
      <c r="C345" s="97"/>
      <c r="D345" s="97"/>
      <c r="E345" s="97"/>
      <c r="F345" s="97"/>
    </row>
    <row r="346" spans="3:6" ht="13.2">
      <c r="C346" s="97"/>
      <c r="D346" s="97"/>
      <c r="E346" s="97"/>
      <c r="F346" s="97"/>
    </row>
    <row r="347" spans="3:6" ht="13.2">
      <c r="C347" s="97"/>
      <c r="D347" s="97"/>
      <c r="E347" s="97"/>
      <c r="F347" s="97"/>
    </row>
    <row r="348" spans="3:6" ht="13.2">
      <c r="C348" s="97"/>
      <c r="D348" s="97"/>
      <c r="E348" s="97"/>
      <c r="F348" s="97"/>
    </row>
    <row r="349" spans="3:6" ht="13.2">
      <c r="C349" s="97"/>
      <c r="D349" s="97"/>
      <c r="E349" s="97"/>
      <c r="F349" s="97"/>
    </row>
    <row r="350" spans="3:6" ht="13.2">
      <c r="C350" s="97"/>
      <c r="D350" s="97"/>
      <c r="E350" s="97"/>
      <c r="F350" s="97"/>
    </row>
    <row r="351" spans="3:6" ht="13.2">
      <c r="C351" s="97"/>
      <c r="D351" s="97"/>
      <c r="E351" s="97"/>
      <c r="F351" s="97"/>
    </row>
    <row r="352" spans="3:6" ht="13.2">
      <c r="C352" s="97"/>
      <c r="D352" s="97"/>
      <c r="E352" s="97"/>
      <c r="F352" s="97"/>
    </row>
    <row r="353" spans="3:6" ht="13.2">
      <c r="C353" s="97"/>
      <c r="D353" s="97"/>
      <c r="E353" s="97"/>
      <c r="F353" s="97"/>
    </row>
    <row r="354" spans="3:6" ht="13.2">
      <c r="C354" s="97"/>
      <c r="D354" s="97"/>
      <c r="E354" s="97"/>
      <c r="F354" s="97"/>
    </row>
    <row r="355" spans="3:6" ht="13.2">
      <c r="C355" s="97"/>
      <c r="D355" s="97"/>
      <c r="E355" s="97"/>
      <c r="F355" s="97"/>
    </row>
    <row r="356" spans="3:6" ht="13.2">
      <c r="C356" s="97"/>
      <c r="D356" s="97"/>
      <c r="E356" s="97"/>
      <c r="F356" s="97"/>
    </row>
    <row r="357" spans="3:6" ht="13.2">
      <c r="C357" s="97"/>
      <c r="D357" s="97"/>
      <c r="E357" s="97"/>
      <c r="F357" s="97"/>
    </row>
    <row r="358" spans="3:6" ht="13.2">
      <c r="C358" s="97"/>
      <c r="D358" s="97"/>
      <c r="E358" s="97"/>
      <c r="F358" s="97"/>
    </row>
    <row r="359" spans="3:6" ht="13.2">
      <c r="C359" s="97"/>
      <c r="D359" s="97"/>
      <c r="E359" s="97"/>
      <c r="F359" s="97"/>
    </row>
    <row r="360" spans="3:6" ht="13.2">
      <c r="C360" s="97"/>
      <c r="D360" s="97"/>
      <c r="E360" s="97"/>
      <c r="F360" s="97"/>
    </row>
    <row r="361" spans="3:6" ht="13.2">
      <c r="C361" s="97"/>
      <c r="D361" s="97"/>
      <c r="E361" s="97"/>
      <c r="F361" s="97"/>
    </row>
    <row r="362" spans="3:6" ht="13.2">
      <c r="C362" s="97"/>
      <c r="D362" s="97"/>
      <c r="E362" s="97"/>
      <c r="F362" s="97"/>
    </row>
    <row r="363" spans="3:6" ht="13.2">
      <c r="C363" s="97"/>
      <c r="D363" s="97"/>
      <c r="E363" s="97"/>
      <c r="F363" s="97"/>
    </row>
    <row r="364" spans="3:6" ht="13.2">
      <c r="C364" s="97"/>
      <c r="D364" s="97"/>
      <c r="E364" s="97"/>
      <c r="F364" s="97"/>
    </row>
    <row r="365" spans="3:6" ht="13.2">
      <c r="C365" s="97"/>
      <c r="D365" s="97"/>
      <c r="E365" s="97"/>
      <c r="F365" s="97"/>
    </row>
    <row r="366" spans="3:6" ht="13.2">
      <c r="C366" s="97"/>
      <c r="D366" s="97"/>
      <c r="E366" s="97"/>
      <c r="F366" s="97"/>
    </row>
    <row r="367" spans="3:6" ht="13.2">
      <c r="C367" s="97"/>
      <c r="D367" s="97"/>
      <c r="E367" s="97"/>
      <c r="F367" s="97"/>
    </row>
    <row r="368" spans="3:6" ht="13.2">
      <c r="C368" s="97"/>
      <c r="D368" s="97"/>
      <c r="E368" s="97"/>
      <c r="F368" s="97"/>
    </row>
    <row r="369" spans="3:6" ht="13.2">
      <c r="C369" s="97"/>
      <c r="D369" s="97"/>
      <c r="E369" s="97"/>
      <c r="F369" s="97"/>
    </row>
    <row r="370" spans="3:6" ht="13.2">
      <c r="C370" s="97"/>
      <c r="D370" s="97"/>
      <c r="E370" s="97"/>
      <c r="F370" s="97"/>
    </row>
    <row r="371" spans="3:6" ht="13.2">
      <c r="C371" s="97"/>
      <c r="D371" s="97"/>
      <c r="E371" s="97"/>
      <c r="F371" s="97"/>
    </row>
    <row r="372" spans="3:6" ht="13.2">
      <c r="C372" s="97"/>
      <c r="D372" s="97"/>
      <c r="E372" s="97"/>
      <c r="F372" s="97"/>
    </row>
    <row r="373" spans="3:6" ht="13.2">
      <c r="C373" s="97"/>
      <c r="D373" s="97"/>
      <c r="E373" s="97"/>
      <c r="F373" s="97"/>
    </row>
    <row r="374" spans="3:6" ht="13.2">
      <c r="C374" s="97"/>
      <c r="D374" s="97"/>
      <c r="E374" s="97"/>
      <c r="F374" s="97"/>
    </row>
    <row r="375" spans="3:6" ht="13.2">
      <c r="C375" s="97"/>
      <c r="D375" s="97"/>
      <c r="E375" s="97"/>
      <c r="F375" s="97"/>
    </row>
    <row r="376" spans="3:6" ht="13.2">
      <c r="C376" s="97"/>
      <c r="D376" s="97"/>
      <c r="E376" s="97"/>
      <c r="F376" s="97"/>
    </row>
    <row r="377" spans="3:6" ht="13.2">
      <c r="C377" s="97"/>
      <c r="D377" s="97"/>
      <c r="E377" s="97"/>
      <c r="F377" s="97"/>
    </row>
    <row r="378" spans="3:6" ht="13.2">
      <c r="C378" s="97"/>
      <c r="D378" s="97"/>
      <c r="E378" s="97"/>
      <c r="F378" s="97"/>
    </row>
    <row r="379" spans="3:6" ht="13.2">
      <c r="C379" s="97"/>
      <c r="D379" s="97"/>
      <c r="E379" s="97"/>
      <c r="F379" s="97"/>
    </row>
    <row r="380" spans="3:6" ht="13.2">
      <c r="C380" s="97"/>
      <c r="D380" s="97"/>
      <c r="E380" s="97"/>
      <c r="F380" s="97"/>
    </row>
    <row r="381" spans="3:6" ht="13.2">
      <c r="C381" s="97"/>
      <c r="D381" s="97"/>
      <c r="E381" s="97"/>
      <c r="F381" s="97"/>
    </row>
    <row r="382" spans="3:6" ht="13.2">
      <c r="C382" s="97"/>
      <c r="D382" s="97"/>
      <c r="E382" s="97"/>
      <c r="F382" s="97"/>
    </row>
    <row r="383" spans="3:6" ht="13.2">
      <c r="C383" s="97"/>
      <c r="D383" s="97"/>
      <c r="E383" s="97"/>
      <c r="F383" s="97"/>
    </row>
    <row r="384" spans="3:6" ht="13.2">
      <c r="C384" s="97"/>
      <c r="D384" s="97"/>
      <c r="E384" s="97"/>
      <c r="F384" s="97"/>
    </row>
    <row r="385" spans="3:6" ht="13.2">
      <c r="C385" s="97"/>
      <c r="D385" s="97"/>
      <c r="E385" s="97"/>
      <c r="F385" s="97"/>
    </row>
    <row r="386" spans="3:6" ht="13.2">
      <c r="C386" s="97"/>
      <c r="D386" s="97"/>
      <c r="E386" s="97"/>
      <c r="F386" s="97"/>
    </row>
    <row r="387" spans="3:6" ht="13.2">
      <c r="C387" s="97"/>
      <c r="D387" s="97"/>
      <c r="E387" s="97"/>
      <c r="F387" s="97"/>
    </row>
    <row r="388" spans="3:6" ht="13.2">
      <c r="C388" s="97"/>
      <c r="D388" s="97"/>
      <c r="E388" s="97"/>
      <c r="F388" s="97"/>
    </row>
    <row r="389" spans="3:6" ht="13.2">
      <c r="C389" s="97"/>
      <c r="D389" s="97"/>
      <c r="E389" s="97"/>
      <c r="F389" s="97"/>
    </row>
    <row r="390" spans="3:6" ht="13.2">
      <c r="C390" s="97"/>
      <c r="D390" s="97"/>
      <c r="E390" s="97"/>
      <c r="F390" s="97"/>
    </row>
    <row r="391" spans="3:6" ht="13.2">
      <c r="C391" s="97"/>
      <c r="D391" s="97"/>
      <c r="E391" s="97"/>
      <c r="F391" s="97"/>
    </row>
    <row r="392" spans="3:6" ht="13.2">
      <c r="C392" s="97"/>
      <c r="D392" s="97"/>
      <c r="E392" s="97"/>
      <c r="F392" s="97"/>
    </row>
    <row r="393" spans="3:6" ht="13.2">
      <c r="C393" s="97"/>
      <c r="D393" s="97"/>
      <c r="E393" s="97"/>
      <c r="F393" s="97"/>
    </row>
    <row r="394" spans="3:6" ht="13.2">
      <c r="C394" s="97"/>
      <c r="D394" s="97"/>
      <c r="E394" s="97"/>
      <c r="F394" s="97"/>
    </row>
    <row r="395" spans="3:6" ht="13.2">
      <c r="C395" s="97"/>
      <c r="D395" s="97"/>
      <c r="E395" s="97"/>
      <c r="F395" s="97"/>
    </row>
    <row r="396" spans="3:6" ht="13.2">
      <c r="C396" s="97"/>
      <c r="D396" s="97"/>
      <c r="E396" s="97"/>
      <c r="F396" s="97"/>
    </row>
    <row r="397" spans="3:6" ht="13.2">
      <c r="C397" s="97"/>
      <c r="D397" s="97"/>
      <c r="E397" s="97"/>
      <c r="F397" s="97"/>
    </row>
    <row r="398" spans="3:6" ht="13.2">
      <c r="C398" s="97"/>
      <c r="D398" s="97"/>
      <c r="E398" s="97"/>
      <c r="F398" s="97"/>
    </row>
    <row r="399" spans="3:6" ht="13.2">
      <c r="C399" s="97"/>
      <c r="D399" s="97"/>
      <c r="E399" s="97"/>
      <c r="F399" s="97"/>
    </row>
    <row r="400" spans="3:6" ht="13.2">
      <c r="C400" s="97"/>
      <c r="D400" s="97"/>
      <c r="E400" s="97"/>
      <c r="F400" s="97"/>
    </row>
    <row r="401" spans="3:6" ht="13.2">
      <c r="C401" s="97"/>
      <c r="D401" s="97"/>
      <c r="E401" s="97"/>
      <c r="F401" s="97"/>
    </row>
    <row r="402" spans="3:6" ht="13.2">
      <c r="C402" s="97"/>
      <c r="D402" s="97"/>
      <c r="E402" s="97"/>
      <c r="F402" s="97"/>
    </row>
    <row r="403" spans="3:6" ht="13.2">
      <c r="C403" s="97"/>
      <c r="D403" s="97"/>
      <c r="E403" s="97"/>
      <c r="F403" s="97"/>
    </row>
    <row r="404" spans="3:6" ht="13.2">
      <c r="C404" s="97"/>
      <c r="D404" s="97"/>
      <c r="E404" s="97"/>
      <c r="F404" s="97"/>
    </row>
    <row r="405" spans="3:6" ht="13.2">
      <c r="C405" s="97"/>
      <c r="D405" s="97"/>
      <c r="E405" s="97"/>
      <c r="F405" s="97"/>
    </row>
    <row r="406" spans="3:6" ht="13.2">
      <c r="C406" s="97"/>
      <c r="D406" s="97"/>
      <c r="E406" s="97"/>
      <c r="F406" s="97"/>
    </row>
    <row r="407" spans="3:6" ht="13.2">
      <c r="C407" s="97"/>
      <c r="D407" s="97"/>
      <c r="E407" s="97"/>
      <c r="F407" s="97"/>
    </row>
    <row r="408" spans="3:6" ht="13.2">
      <c r="C408" s="97"/>
      <c r="D408" s="97"/>
      <c r="E408" s="97"/>
      <c r="F408" s="97"/>
    </row>
    <row r="409" spans="3:6" ht="13.2">
      <c r="C409" s="97"/>
      <c r="D409" s="97"/>
      <c r="E409" s="97"/>
      <c r="F409" s="97"/>
    </row>
    <row r="410" spans="3:6" ht="13.2">
      <c r="C410" s="97"/>
      <c r="D410" s="97"/>
      <c r="E410" s="97"/>
      <c r="F410" s="97"/>
    </row>
    <row r="411" spans="3:6" ht="13.2">
      <c r="C411" s="97"/>
      <c r="D411" s="97"/>
      <c r="E411" s="97"/>
      <c r="F411" s="97"/>
    </row>
    <row r="412" spans="3:6" ht="13.2">
      <c r="C412" s="97"/>
      <c r="D412" s="97"/>
      <c r="E412" s="97"/>
      <c r="F412" s="97"/>
    </row>
    <row r="413" spans="3:6" ht="13.2">
      <c r="C413" s="97"/>
      <c r="D413" s="97"/>
      <c r="E413" s="97"/>
      <c r="F413" s="97"/>
    </row>
    <row r="414" spans="3:6" ht="13.2">
      <c r="C414" s="97"/>
      <c r="D414" s="97"/>
      <c r="E414" s="97"/>
      <c r="F414" s="97"/>
    </row>
    <row r="415" spans="3:6" ht="13.2">
      <c r="C415" s="97"/>
      <c r="D415" s="97"/>
      <c r="E415" s="97"/>
      <c r="F415" s="97"/>
    </row>
    <row r="416" spans="3:6" ht="13.2">
      <c r="C416" s="97"/>
      <c r="D416" s="97"/>
      <c r="E416" s="97"/>
      <c r="F416" s="97"/>
    </row>
    <row r="417" spans="3:6" ht="13.2">
      <c r="C417" s="97"/>
      <c r="D417" s="97"/>
      <c r="E417" s="97"/>
      <c r="F417" s="97"/>
    </row>
    <row r="418" spans="3:6" ht="13.2">
      <c r="C418" s="97"/>
      <c r="D418" s="97"/>
      <c r="E418" s="97"/>
      <c r="F418" s="97"/>
    </row>
    <row r="419" spans="3:6" ht="13.2">
      <c r="C419" s="97"/>
      <c r="D419" s="97"/>
      <c r="E419" s="97"/>
      <c r="F419" s="97"/>
    </row>
    <row r="420" spans="3:6" ht="13.2">
      <c r="C420" s="97"/>
      <c r="D420" s="97"/>
      <c r="E420" s="97"/>
      <c r="F420" s="97"/>
    </row>
    <row r="421" spans="3:6" ht="13.2">
      <c r="C421" s="97"/>
      <c r="D421" s="97"/>
      <c r="E421" s="97"/>
      <c r="F421" s="97"/>
    </row>
    <row r="422" spans="3:6" ht="13.2">
      <c r="C422" s="97"/>
      <c r="D422" s="97"/>
      <c r="E422" s="97"/>
      <c r="F422" s="97"/>
    </row>
    <row r="423" spans="3:6" ht="13.2">
      <c r="C423" s="97"/>
      <c r="D423" s="97"/>
      <c r="E423" s="97"/>
      <c r="F423" s="97"/>
    </row>
    <row r="424" spans="3:6" ht="13.2">
      <c r="C424" s="97"/>
      <c r="D424" s="97"/>
      <c r="E424" s="97"/>
      <c r="F424" s="97"/>
    </row>
    <row r="425" spans="3:6" ht="13.2">
      <c r="C425" s="97"/>
      <c r="D425" s="97"/>
      <c r="E425" s="97"/>
      <c r="F425" s="97"/>
    </row>
    <row r="426" spans="3:6" ht="13.2">
      <c r="C426" s="97"/>
      <c r="D426" s="97"/>
      <c r="E426" s="97"/>
      <c r="F426" s="97"/>
    </row>
    <row r="427" spans="3:6" ht="13.2">
      <c r="C427" s="97"/>
      <c r="D427" s="97"/>
      <c r="E427" s="97"/>
      <c r="F427" s="97"/>
    </row>
    <row r="428" spans="3:6" ht="13.2">
      <c r="C428" s="97"/>
      <c r="D428" s="97"/>
      <c r="E428" s="97"/>
      <c r="F428" s="97"/>
    </row>
    <row r="429" spans="3:6" ht="13.2">
      <c r="C429" s="97"/>
      <c r="D429" s="97"/>
      <c r="E429" s="97"/>
      <c r="F429" s="97"/>
    </row>
    <row r="430" spans="3:6" ht="13.2">
      <c r="C430" s="97"/>
      <c r="D430" s="97"/>
      <c r="E430" s="97"/>
      <c r="F430" s="97"/>
    </row>
    <row r="431" spans="3:6" ht="13.2">
      <c r="C431" s="97"/>
      <c r="D431" s="97"/>
      <c r="E431" s="97"/>
      <c r="F431" s="97"/>
    </row>
    <row r="432" spans="3:6" ht="13.2">
      <c r="C432" s="97"/>
      <c r="D432" s="97"/>
      <c r="E432" s="97"/>
      <c r="F432" s="97"/>
    </row>
    <row r="433" spans="3:6" ht="13.2">
      <c r="C433" s="97"/>
      <c r="D433" s="97"/>
      <c r="E433" s="97"/>
      <c r="F433" s="97"/>
    </row>
    <row r="434" spans="3:6" ht="13.2">
      <c r="C434" s="97"/>
      <c r="D434" s="97"/>
      <c r="E434" s="97"/>
      <c r="F434" s="97"/>
    </row>
    <row r="435" spans="3:6" ht="13.2">
      <c r="C435" s="97"/>
      <c r="D435" s="97"/>
      <c r="E435" s="97"/>
      <c r="F435" s="97"/>
    </row>
    <row r="436" spans="3:6" ht="13.2">
      <c r="C436" s="97"/>
      <c r="D436" s="97"/>
      <c r="E436" s="97"/>
      <c r="F436" s="97"/>
    </row>
    <row r="437" spans="3:6" ht="13.2">
      <c r="C437" s="97"/>
      <c r="D437" s="97"/>
      <c r="E437" s="97"/>
      <c r="F437" s="97"/>
    </row>
    <row r="438" spans="3:6" ht="13.2">
      <c r="C438" s="97"/>
      <c r="D438" s="97"/>
      <c r="E438" s="97"/>
      <c r="F438" s="97"/>
    </row>
    <row r="439" spans="3:6" ht="13.2">
      <c r="C439" s="97"/>
      <c r="D439" s="97"/>
      <c r="E439" s="97"/>
      <c r="F439" s="97"/>
    </row>
    <row r="440" spans="3:6" ht="13.2">
      <c r="C440" s="97"/>
      <c r="D440" s="97"/>
      <c r="E440" s="97"/>
      <c r="F440" s="97"/>
    </row>
    <row r="441" spans="3:6" ht="13.2">
      <c r="C441" s="97"/>
      <c r="D441" s="97"/>
      <c r="E441" s="97"/>
      <c r="F441" s="97"/>
    </row>
    <row r="442" spans="3:6" ht="13.2">
      <c r="C442" s="97"/>
      <c r="D442" s="97"/>
      <c r="E442" s="97"/>
      <c r="F442" s="97"/>
    </row>
    <row r="443" spans="3:6" ht="13.2">
      <c r="C443" s="97"/>
      <c r="D443" s="97"/>
      <c r="E443" s="97"/>
      <c r="F443" s="97"/>
    </row>
    <row r="444" spans="3:6" ht="13.2">
      <c r="C444" s="97"/>
      <c r="D444" s="97"/>
      <c r="E444" s="97"/>
      <c r="F444" s="97"/>
    </row>
    <row r="445" spans="3:6" ht="13.2">
      <c r="C445" s="97"/>
      <c r="D445" s="97"/>
      <c r="E445" s="97"/>
      <c r="F445" s="97"/>
    </row>
    <row r="446" spans="3:6" ht="13.2">
      <c r="C446" s="97"/>
      <c r="D446" s="97"/>
      <c r="E446" s="97"/>
      <c r="F446" s="97"/>
    </row>
    <row r="447" spans="3:6" ht="13.2">
      <c r="C447" s="97"/>
      <c r="D447" s="97"/>
      <c r="E447" s="97"/>
      <c r="F447" s="97"/>
    </row>
    <row r="448" spans="3:6" ht="13.2">
      <c r="C448" s="97"/>
      <c r="D448" s="97"/>
      <c r="E448" s="97"/>
      <c r="F448" s="97"/>
    </row>
    <row r="449" spans="3:6" ht="13.2">
      <c r="C449" s="97"/>
      <c r="D449" s="97"/>
      <c r="E449" s="97"/>
      <c r="F449" s="97"/>
    </row>
    <row r="450" spans="3:6" ht="13.2">
      <c r="C450" s="97"/>
      <c r="D450" s="97"/>
      <c r="E450" s="97"/>
      <c r="F450" s="97"/>
    </row>
    <row r="451" spans="3:6" ht="13.2">
      <c r="C451" s="97"/>
      <c r="D451" s="97"/>
      <c r="E451" s="97"/>
      <c r="F451" s="97"/>
    </row>
    <row r="452" spans="3:6" ht="13.2">
      <c r="C452" s="97"/>
      <c r="D452" s="97"/>
      <c r="E452" s="97"/>
      <c r="F452" s="97"/>
    </row>
    <row r="453" spans="3:6" ht="13.2">
      <c r="C453" s="97"/>
      <c r="D453" s="97"/>
      <c r="E453" s="97"/>
      <c r="F453" s="97"/>
    </row>
    <row r="454" spans="3:6" ht="13.2">
      <c r="C454" s="97"/>
      <c r="D454" s="97"/>
      <c r="E454" s="97"/>
      <c r="F454" s="97"/>
    </row>
    <row r="455" spans="3:6" ht="13.2">
      <c r="C455" s="97"/>
      <c r="D455" s="97"/>
      <c r="E455" s="97"/>
      <c r="F455" s="97"/>
    </row>
    <row r="456" spans="3:6" ht="13.2">
      <c r="C456" s="97"/>
      <c r="D456" s="97"/>
      <c r="E456" s="97"/>
      <c r="F456" s="97"/>
    </row>
    <row r="457" spans="3:6" ht="13.2">
      <c r="C457" s="97"/>
      <c r="D457" s="97"/>
      <c r="E457" s="97"/>
      <c r="F457" s="97"/>
    </row>
    <row r="458" spans="3:6" ht="13.2">
      <c r="C458" s="97"/>
      <c r="D458" s="97"/>
      <c r="E458" s="97"/>
      <c r="F458" s="97"/>
    </row>
    <row r="459" spans="3:6" ht="13.2">
      <c r="C459" s="97"/>
      <c r="D459" s="97"/>
      <c r="E459" s="97"/>
      <c r="F459" s="97"/>
    </row>
    <row r="460" spans="3:6" ht="13.2">
      <c r="C460" s="97"/>
      <c r="D460" s="97"/>
      <c r="E460" s="97"/>
      <c r="F460" s="97"/>
    </row>
    <row r="461" spans="3:6" ht="13.2">
      <c r="C461" s="97"/>
      <c r="D461" s="97"/>
      <c r="E461" s="97"/>
      <c r="F461" s="97"/>
    </row>
    <row r="462" spans="3:6" ht="13.2">
      <c r="C462" s="97"/>
      <c r="D462" s="97"/>
      <c r="E462" s="97"/>
      <c r="F462" s="97"/>
    </row>
    <row r="463" spans="3:6" ht="13.2">
      <c r="C463" s="97"/>
      <c r="D463" s="97"/>
      <c r="E463" s="97"/>
      <c r="F463" s="97"/>
    </row>
    <row r="464" spans="3:6" ht="13.2">
      <c r="C464" s="97"/>
      <c r="D464" s="97"/>
      <c r="E464" s="97"/>
      <c r="F464" s="97"/>
    </row>
    <row r="465" spans="3:6" ht="13.2">
      <c r="C465" s="97"/>
      <c r="D465" s="97"/>
      <c r="E465" s="97"/>
      <c r="F465" s="97"/>
    </row>
    <row r="466" spans="3:6" ht="13.2">
      <c r="C466" s="97"/>
      <c r="D466" s="97"/>
      <c r="E466" s="97"/>
      <c r="F466" s="97"/>
    </row>
    <row r="467" spans="3:6" ht="13.2">
      <c r="C467" s="97"/>
      <c r="D467" s="97"/>
      <c r="E467" s="97"/>
      <c r="F467" s="97"/>
    </row>
    <row r="468" spans="3:6" ht="13.2">
      <c r="C468" s="97"/>
      <c r="D468" s="97"/>
      <c r="E468" s="97"/>
      <c r="F468" s="97"/>
    </row>
    <row r="469" spans="3:6" ht="13.2">
      <c r="C469" s="97"/>
      <c r="D469" s="97"/>
      <c r="E469" s="97"/>
      <c r="F469" s="97"/>
    </row>
    <row r="470" spans="3:6" ht="13.2">
      <c r="C470" s="97"/>
      <c r="D470" s="97"/>
      <c r="E470" s="97"/>
      <c r="F470" s="97"/>
    </row>
    <row r="471" spans="3:6" ht="13.2">
      <c r="C471" s="97"/>
      <c r="D471" s="97"/>
      <c r="E471" s="97"/>
      <c r="F471" s="97"/>
    </row>
    <row r="472" spans="3:6" ht="13.2">
      <c r="C472" s="97"/>
      <c r="D472" s="97"/>
      <c r="E472" s="97"/>
      <c r="F472" s="97"/>
    </row>
    <row r="473" spans="3:6" ht="13.2">
      <c r="C473" s="97"/>
      <c r="D473" s="97"/>
      <c r="E473" s="97"/>
      <c r="F473" s="97"/>
    </row>
    <row r="474" spans="3:6" ht="13.2">
      <c r="C474" s="97"/>
      <c r="D474" s="97"/>
      <c r="E474" s="97"/>
      <c r="F474" s="97"/>
    </row>
    <row r="475" spans="3:6" ht="13.2">
      <c r="C475" s="97"/>
      <c r="D475" s="97"/>
      <c r="E475" s="97"/>
      <c r="F475" s="97"/>
    </row>
    <row r="476" spans="3:6" ht="13.2">
      <c r="C476" s="97"/>
      <c r="D476" s="97"/>
      <c r="E476" s="97"/>
      <c r="F476" s="97"/>
    </row>
    <row r="477" spans="3:6" ht="13.2">
      <c r="C477" s="97"/>
      <c r="D477" s="97"/>
      <c r="E477" s="97"/>
      <c r="F477" s="97"/>
    </row>
    <row r="478" spans="3:6" ht="13.2">
      <c r="C478" s="97"/>
      <c r="D478" s="97"/>
      <c r="E478" s="97"/>
      <c r="F478" s="97"/>
    </row>
    <row r="479" spans="3:6" ht="13.2">
      <c r="C479" s="97"/>
      <c r="D479" s="97"/>
      <c r="E479" s="97"/>
      <c r="F479" s="97"/>
    </row>
    <row r="480" spans="3:6" ht="13.2">
      <c r="C480" s="97"/>
      <c r="D480" s="97"/>
      <c r="E480" s="97"/>
      <c r="F480" s="97"/>
    </row>
    <row r="481" spans="3:6" ht="13.2">
      <c r="C481" s="97"/>
      <c r="D481" s="97"/>
      <c r="E481" s="97"/>
      <c r="F481" s="97"/>
    </row>
    <row r="482" spans="3:6" ht="13.2">
      <c r="C482" s="97"/>
      <c r="D482" s="97"/>
      <c r="E482" s="97"/>
      <c r="F482" s="97"/>
    </row>
    <row r="483" spans="3:6" ht="13.2">
      <c r="C483" s="97"/>
      <c r="D483" s="97"/>
      <c r="E483" s="97"/>
      <c r="F483" s="97"/>
    </row>
    <row r="484" spans="3:6" ht="13.2">
      <c r="C484" s="97"/>
      <c r="D484" s="97"/>
      <c r="E484" s="97"/>
      <c r="F484" s="97"/>
    </row>
    <row r="485" spans="3:6" ht="13.2">
      <c r="C485" s="97"/>
      <c r="D485" s="97"/>
      <c r="E485" s="97"/>
      <c r="F485" s="97"/>
    </row>
    <row r="486" spans="3:6" ht="13.2">
      <c r="C486" s="97"/>
      <c r="D486" s="97"/>
      <c r="E486" s="97"/>
      <c r="F486" s="97"/>
    </row>
    <row r="487" spans="3:6" ht="13.2">
      <c r="C487" s="97"/>
      <c r="D487" s="97"/>
      <c r="E487" s="97"/>
      <c r="F487" s="97"/>
    </row>
    <row r="488" spans="3:6" ht="13.2">
      <c r="C488" s="97"/>
      <c r="D488" s="97"/>
      <c r="E488" s="97"/>
      <c r="F488" s="97"/>
    </row>
    <row r="489" spans="3:6" ht="13.2">
      <c r="C489" s="97"/>
      <c r="D489" s="97"/>
      <c r="E489" s="97"/>
      <c r="F489" s="97"/>
    </row>
    <row r="490" spans="3:6" ht="13.2">
      <c r="C490" s="97"/>
      <c r="D490" s="97"/>
      <c r="E490" s="97"/>
      <c r="F490" s="97"/>
    </row>
    <row r="491" spans="3:6" ht="13.2">
      <c r="C491" s="97"/>
      <c r="D491" s="97"/>
      <c r="E491" s="97"/>
      <c r="F491" s="97"/>
    </row>
    <row r="492" spans="3:6" ht="13.2">
      <c r="C492" s="97"/>
      <c r="D492" s="97"/>
      <c r="E492" s="97"/>
      <c r="F492" s="97"/>
    </row>
    <row r="493" spans="3:6" ht="13.2">
      <c r="C493" s="97"/>
      <c r="D493" s="97"/>
      <c r="E493" s="97"/>
      <c r="F493" s="97"/>
    </row>
    <row r="494" spans="3:6" ht="13.2">
      <c r="C494" s="97"/>
      <c r="D494" s="97"/>
      <c r="E494" s="97"/>
      <c r="F494" s="97"/>
    </row>
    <row r="495" spans="3:6" ht="13.2">
      <c r="C495" s="97"/>
      <c r="D495" s="97"/>
      <c r="E495" s="97"/>
      <c r="F495" s="97"/>
    </row>
    <row r="496" spans="3:6" ht="13.2">
      <c r="C496" s="97"/>
      <c r="D496" s="97"/>
      <c r="E496" s="97"/>
      <c r="F496" s="97"/>
    </row>
    <row r="497" spans="3:6" ht="13.2">
      <c r="C497" s="97"/>
      <c r="D497" s="97"/>
      <c r="E497" s="97"/>
      <c r="F497" s="97"/>
    </row>
    <row r="498" spans="3:6" ht="13.2">
      <c r="C498" s="97"/>
      <c r="D498" s="97"/>
      <c r="E498" s="97"/>
      <c r="F498" s="97"/>
    </row>
    <row r="499" spans="3:6" ht="13.2">
      <c r="C499" s="97"/>
      <c r="D499" s="97"/>
      <c r="E499" s="97"/>
      <c r="F499" s="97"/>
    </row>
    <row r="500" spans="3:6" ht="13.2">
      <c r="C500" s="97"/>
      <c r="D500" s="97"/>
      <c r="E500" s="97"/>
      <c r="F500" s="97"/>
    </row>
    <row r="501" spans="3:6" ht="13.2">
      <c r="C501" s="97"/>
      <c r="D501" s="97"/>
      <c r="E501" s="97"/>
      <c r="F501" s="97"/>
    </row>
    <row r="502" spans="3:6" ht="13.2">
      <c r="C502" s="97"/>
      <c r="D502" s="97"/>
      <c r="E502" s="97"/>
      <c r="F502" s="97"/>
    </row>
    <row r="503" spans="3:6" ht="13.2">
      <c r="C503" s="97"/>
      <c r="D503" s="97"/>
      <c r="E503" s="97"/>
      <c r="F503" s="97"/>
    </row>
    <row r="504" spans="3:6" ht="13.2">
      <c r="C504" s="97"/>
      <c r="D504" s="97"/>
      <c r="E504" s="97"/>
      <c r="F504" s="97"/>
    </row>
    <row r="505" spans="3:6" ht="13.2">
      <c r="C505" s="97"/>
      <c r="D505" s="97"/>
      <c r="E505" s="97"/>
      <c r="F505" s="97"/>
    </row>
    <row r="506" spans="3:6" ht="13.2">
      <c r="C506" s="97"/>
      <c r="D506" s="97"/>
      <c r="E506" s="97"/>
      <c r="F506" s="97"/>
    </row>
    <row r="507" spans="3:6" ht="13.2">
      <c r="C507" s="97"/>
      <c r="D507" s="97"/>
      <c r="E507" s="97"/>
      <c r="F507" s="97"/>
    </row>
    <row r="508" spans="3:6" ht="13.2">
      <c r="C508" s="97"/>
      <c r="D508" s="97"/>
      <c r="E508" s="97"/>
      <c r="F508" s="97"/>
    </row>
    <row r="509" spans="3:6" ht="13.2">
      <c r="C509" s="97"/>
      <c r="D509" s="97"/>
      <c r="E509" s="97"/>
      <c r="F509" s="97"/>
    </row>
    <row r="510" spans="3:6" ht="13.2">
      <c r="C510" s="97"/>
      <c r="D510" s="97"/>
      <c r="E510" s="97"/>
      <c r="F510" s="97"/>
    </row>
    <row r="511" spans="3:6" ht="13.2">
      <c r="C511" s="97"/>
      <c r="D511" s="97"/>
      <c r="E511" s="97"/>
      <c r="F511" s="97"/>
    </row>
    <row r="512" spans="3:6" ht="13.2">
      <c r="C512" s="97"/>
      <c r="D512" s="97"/>
      <c r="E512" s="97"/>
      <c r="F512" s="97"/>
    </row>
    <row r="513" spans="3:6" ht="13.2">
      <c r="C513" s="97"/>
      <c r="D513" s="97"/>
      <c r="E513" s="97"/>
      <c r="F513" s="97"/>
    </row>
    <row r="514" spans="3:6" ht="13.2">
      <c r="C514" s="97"/>
      <c r="D514" s="97"/>
      <c r="E514" s="97"/>
      <c r="F514" s="97"/>
    </row>
    <row r="515" spans="3:6" ht="13.2">
      <c r="C515" s="97"/>
      <c r="D515" s="97"/>
      <c r="E515" s="97"/>
      <c r="F515" s="97"/>
    </row>
    <row r="516" spans="3:6" ht="13.2">
      <c r="C516" s="97"/>
      <c r="D516" s="97"/>
      <c r="E516" s="97"/>
      <c r="F516" s="97"/>
    </row>
    <row r="517" spans="3:6" ht="13.2">
      <c r="C517" s="97"/>
      <c r="D517" s="97"/>
      <c r="E517" s="97"/>
      <c r="F517" s="97"/>
    </row>
    <row r="518" spans="3:6" ht="13.2">
      <c r="C518" s="97"/>
      <c r="D518" s="97"/>
      <c r="E518" s="97"/>
      <c r="F518" s="97"/>
    </row>
    <row r="519" spans="3:6" ht="13.2">
      <c r="C519" s="97"/>
      <c r="D519" s="97"/>
      <c r="E519" s="97"/>
      <c r="F519" s="97"/>
    </row>
    <row r="520" spans="3:6" ht="13.2">
      <c r="C520" s="97"/>
      <c r="D520" s="97"/>
      <c r="E520" s="97"/>
      <c r="F520" s="97"/>
    </row>
    <row r="521" spans="3:6" ht="13.2">
      <c r="C521" s="97"/>
      <c r="D521" s="97"/>
      <c r="E521" s="97"/>
      <c r="F521" s="97"/>
    </row>
    <row r="522" spans="3:6" ht="13.2">
      <c r="C522" s="97"/>
      <c r="D522" s="97"/>
      <c r="E522" s="97"/>
      <c r="F522" s="97"/>
    </row>
    <row r="523" spans="3:6" ht="13.2">
      <c r="C523" s="97"/>
      <c r="D523" s="97"/>
      <c r="E523" s="97"/>
      <c r="F523" s="97"/>
    </row>
    <row r="524" spans="3:6" ht="13.2">
      <c r="C524" s="97"/>
      <c r="D524" s="97"/>
      <c r="E524" s="97"/>
      <c r="F524" s="97"/>
    </row>
    <row r="525" spans="3:6" ht="13.2">
      <c r="C525" s="97"/>
      <c r="D525" s="97"/>
      <c r="E525" s="97"/>
      <c r="F525" s="97"/>
    </row>
    <row r="526" spans="3:6" ht="13.2">
      <c r="C526" s="97"/>
      <c r="D526" s="97"/>
      <c r="E526" s="97"/>
      <c r="F526" s="97"/>
    </row>
    <row r="527" spans="3:6" ht="13.2">
      <c r="C527" s="97"/>
      <c r="D527" s="97"/>
      <c r="E527" s="97"/>
      <c r="F527" s="97"/>
    </row>
    <row r="528" spans="3:6" ht="13.2">
      <c r="C528" s="97"/>
      <c r="D528" s="97"/>
      <c r="E528" s="97"/>
      <c r="F528" s="97"/>
    </row>
    <row r="529" spans="3:6" ht="13.2">
      <c r="C529" s="97"/>
      <c r="D529" s="97"/>
      <c r="E529" s="97"/>
      <c r="F529" s="97"/>
    </row>
    <row r="530" spans="3:6" ht="13.2">
      <c r="C530" s="97"/>
      <c r="D530" s="97"/>
      <c r="E530" s="97"/>
      <c r="F530" s="97"/>
    </row>
    <row r="531" spans="3:6" ht="13.2">
      <c r="C531" s="97"/>
      <c r="D531" s="97"/>
      <c r="E531" s="97"/>
      <c r="F531" s="97"/>
    </row>
    <row r="532" spans="3:6" ht="13.2">
      <c r="C532" s="97"/>
      <c r="D532" s="97"/>
      <c r="E532" s="97"/>
      <c r="F532" s="97"/>
    </row>
    <row r="533" spans="3:6" ht="13.2">
      <c r="C533" s="97"/>
      <c r="D533" s="97"/>
      <c r="E533" s="97"/>
      <c r="F533" s="97"/>
    </row>
    <row r="534" spans="3:6" ht="13.2">
      <c r="C534" s="97"/>
      <c r="D534" s="97"/>
      <c r="E534" s="97"/>
      <c r="F534" s="97"/>
    </row>
    <row r="535" spans="3:6" ht="13.2">
      <c r="C535" s="97"/>
      <c r="D535" s="97"/>
      <c r="E535" s="97"/>
      <c r="F535" s="97"/>
    </row>
    <row r="536" spans="3:6" ht="13.2">
      <c r="C536" s="97"/>
      <c r="D536" s="97"/>
      <c r="E536" s="97"/>
      <c r="F536" s="97"/>
    </row>
    <row r="537" spans="3:6" ht="13.2">
      <c r="C537" s="97"/>
      <c r="D537" s="97"/>
      <c r="E537" s="97"/>
      <c r="F537" s="97"/>
    </row>
    <row r="538" spans="3:6" ht="13.2">
      <c r="C538" s="97"/>
      <c r="D538" s="97"/>
      <c r="E538" s="97"/>
      <c r="F538" s="97"/>
    </row>
    <row r="539" spans="3:6" ht="13.2">
      <c r="C539" s="97"/>
      <c r="D539" s="97"/>
      <c r="E539" s="97"/>
      <c r="F539" s="97"/>
    </row>
    <row r="540" spans="3:6" ht="13.2">
      <c r="C540" s="97"/>
      <c r="D540" s="97"/>
      <c r="E540" s="97"/>
      <c r="F540" s="97"/>
    </row>
    <row r="541" spans="3:6" ht="13.2">
      <c r="C541" s="97"/>
      <c r="D541" s="97"/>
      <c r="E541" s="97"/>
      <c r="F541" s="97"/>
    </row>
    <row r="542" spans="3:6" ht="13.2">
      <c r="C542" s="97"/>
      <c r="D542" s="97"/>
      <c r="E542" s="97"/>
      <c r="F542" s="97"/>
    </row>
    <row r="543" spans="3:6" ht="13.2">
      <c r="C543" s="97"/>
      <c r="D543" s="97"/>
      <c r="E543" s="97"/>
      <c r="F543" s="97"/>
    </row>
    <row r="544" spans="3:6" ht="13.2">
      <c r="C544" s="97"/>
      <c r="D544" s="97"/>
      <c r="E544" s="97"/>
      <c r="F544" s="97"/>
    </row>
    <row r="545" spans="3:6" ht="13.2">
      <c r="C545" s="97"/>
      <c r="D545" s="97"/>
      <c r="E545" s="97"/>
      <c r="F545" s="97"/>
    </row>
    <row r="546" spans="3:6" ht="13.2">
      <c r="C546" s="97"/>
      <c r="D546" s="97"/>
      <c r="E546" s="97"/>
      <c r="F546" s="97"/>
    </row>
    <row r="547" spans="3:6" ht="13.2">
      <c r="C547" s="97"/>
      <c r="D547" s="97"/>
      <c r="E547" s="97"/>
      <c r="F547" s="97"/>
    </row>
    <row r="548" spans="3:6" ht="13.2">
      <c r="C548" s="97"/>
      <c r="D548" s="97"/>
      <c r="E548" s="97"/>
      <c r="F548" s="97"/>
    </row>
    <row r="549" spans="3:6" ht="13.2">
      <c r="C549" s="97"/>
      <c r="D549" s="97"/>
      <c r="E549" s="97"/>
      <c r="F549" s="97"/>
    </row>
    <row r="550" spans="3:6" ht="13.2">
      <c r="C550" s="97"/>
      <c r="D550" s="97"/>
      <c r="E550" s="97"/>
      <c r="F550" s="97"/>
    </row>
    <row r="551" spans="3:6" ht="13.2">
      <c r="C551" s="97"/>
      <c r="D551" s="97"/>
      <c r="E551" s="97"/>
      <c r="F551" s="97"/>
    </row>
    <row r="552" spans="3:6" ht="13.2">
      <c r="C552" s="97"/>
      <c r="D552" s="97"/>
      <c r="E552" s="97"/>
      <c r="F552" s="97"/>
    </row>
    <row r="553" spans="3:6" ht="13.2">
      <c r="C553" s="97"/>
      <c r="D553" s="97"/>
      <c r="E553" s="97"/>
      <c r="F553" s="97"/>
    </row>
    <row r="554" spans="3:6" ht="13.2">
      <c r="C554" s="97"/>
      <c r="D554" s="97"/>
      <c r="E554" s="97"/>
      <c r="F554" s="97"/>
    </row>
    <row r="555" spans="3:6" ht="13.2">
      <c r="C555" s="97"/>
      <c r="D555" s="97"/>
      <c r="E555" s="97"/>
      <c r="F555" s="97"/>
    </row>
    <row r="556" spans="3:6" ht="13.2">
      <c r="C556" s="97"/>
      <c r="D556" s="97"/>
      <c r="E556" s="97"/>
      <c r="F556" s="97"/>
    </row>
    <row r="557" spans="3:6" ht="13.2">
      <c r="C557" s="97"/>
      <c r="D557" s="97"/>
      <c r="E557" s="97"/>
      <c r="F557" s="97"/>
    </row>
    <row r="558" spans="3:6" ht="13.2">
      <c r="C558" s="97"/>
      <c r="D558" s="97"/>
      <c r="E558" s="97"/>
      <c r="F558" s="97"/>
    </row>
    <row r="559" spans="3:6" ht="13.2">
      <c r="C559" s="97"/>
      <c r="D559" s="97"/>
      <c r="E559" s="97"/>
      <c r="F559" s="97"/>
    </row>
    <row r="560" spans="3:6" ht="13.2">
      <c r="C560" s="97"/>
      <c r="D560" s="97"/>
      <c r="E560" s="97"/>
      <c r="F560" s="97"/>
    </row>
    <row r="561" spans="3:6" ht="13.2">
      <c r="C561" s="97"/>
      <c r="D561" s="97"/>
      <c r="E561" s="97"/>
      <c r="F561" s="97"/>
    </row>
    <row r="562" spans="3:6" ht="13.2">
      <c r="C562" s="97"/>
      <c r="D562" s="97"/>
      <c r="E562" s="97"/>
      <c r="F562" s="97"/>
    </row>
    <row r="563" spans="3:6" ht="13.2">
      <c r="C563" s="97"/>
      <c r="D563" s="97"/>
      <c r="E563" s="97"/>
      <c r="F563" s="97"/>
    </row>
    <row r="564" spans="3:6" ht="13.2">
      <c r="C564" s="97"/>
      <c r="D564" s="97"/>
      <c r="E564" s="97"/>
      <c r="F564" s="97"/>
    </row>
    <row r="565" spans="3:6" ht="13.2">
      <c r="C565" s="97"/>
      <c r="D565" s="97"/>
      <c r="E565" s="97"/>
      <c r="F565" s="97"/>
    </row>
    <row r="566" spans="3:6" ht="13.2">
      <c r="C566" s="97"/>
      <c r="D566" s="97"/>
      <c r="E566" s="97"/>
      <c r="F566" s="97"/>
    </row>
    <row r="567" spans="3:6" ht="13.2">
      <c r="C567" s="97"/>
      <c r="D567" s="97"/>
      <c r="E567" s="97"/>
      <c r="F567" s="97"/>
    </row>
    <row r="568" spans="3:6" ht="13.2">
      <c r="C568" s="97"/>
      <c r="D568" s="97"/>
      <c r="E568" s="97"/>
      <c r="F568" s="97"/>
    </row>
    <row r="569" spans="3:6" ht="13.2">
      <c r="C569" s="97"/>
      <c r="D569" s="97"/>
      <c r="E569" s="97"/>
      <c r="F569" s="97"/>
    </row>
    <row r="570" spans="3:6" ht="13.2">
      <c r="C570" s="97"/>
      <c r="D570" s="97"/>
      <c r="E570" s="97"/>
      <c r="F570" s="97"/>
    </row>
    <row r="571" spans="3:6" ht="13.2">
      <c r="C571" s="97"/>
      <c r="D571" s="97"/>
      <c r="E571" s="97"/>
      <c r="F571" s="97"/>
    </row>
    <row r="572" spans="3:6" ht="13.2">
      <c r="C572" s="97"/>
      <c r="D572" s="97"/>
      <c r="E572" s="97"/>
      <c r="F572" s="97"/>
    </row>
    <row r="573" spans="3:6" ht="13.2">
      <c r="C573" s="97"/>
      <c r="D573" s="97"/>
      <c r="E573" s="97"/>
      <c r="F573" s="97"/>
    </row>
    <row r="574" spans="3:6" ht="13.2">
      <c r="C574" s="97"/>
      <c r="D574" s="97"/>
      <c r="E574" s="97"/>
      <c r="F574" s="97"/>
    </row>
    <row r="575" spans="3:6" ht="13.2">
      <c r="C575" s="97"/>
      <c r="D575" s="97"/>
      <c r="E575" s="97"/>
      <c r="F575" s="97"/>
    </row>
    <row r="576" spans="3:6" ht="13.2">
      <c r="C576" s="97"/>
      <c r="D576" s="97"/>
      <c r="E576" s="97"/>
      <c r="F576" s="97"/>
    </row>
    <row r="577" spans="3:6" ht="13.2">
      <c r="C577" s="97"/>
      <c r="D577" s="97"/>
      <c r="E577" s="97"/>
      <c r="F577" s="97"/>
    </row>
    <row r="578" spans="3:6" ht="13.2">
      <c r="C578" s="97"/>
      <c r="D578" s="97"/>
      <c r="E578" s="97"/>
      <c r="F578" s="97"/>
    </row>
    <row r="579" spans="3:6" ht="13.2">
      <c r="C579" s="97"/>
      <c r="D579" s="97"/>
      <c r="E579" s="97"/>
      <c r="F579" s="97"/>
    </row>
    <row r="580" spans="3:6" ht="13.2">
      <c r="C580" s="97"/>
      <c r="D580" s="97"/>
      <c r="E580" s="97"/>
      <c r="F580" s="97"/>
    </row>
    <row r="581" spans="3:6" ht="13.2">
      <c r="C581" s="97"/>
      <c r="D581" s="97"/>
      <c r="E581" s="97"/>
      <c r="F581" s="97"/>
    </row>
    <row r="582" spans="3:6" ht="13.2">
      <c r="C582" s="97"/>
      <c r="D582" s="97"/>
      <c r="E582" s="97"/>
      <c r="F582" s="97"/>
    </row>
    <row r="583" spans="3:6" ht="13.2">
      <c r="C583" s="97"/>
      <c r="D583" s="97"/>
      <c r="E583" s="97"/>
      <c r="F583" s="97"/>
    </row>
    <row r="584" spans="3:6" ht="13.2">
      <c r="C584" s="97"/>
      <c r="D584" s="97"/>
      <c r="E584" s="97"/>
      <c r="F584" s="97"/>
    </row>
    <row r="585" spans="3:6" ht="13.2">
      <c r="C585" s="97"/>
      <c r="D585" s="97"/>
      <c r="E585" s="97"/>
      <c r="F585" s="97"/>
    </row>
    <row r="586" spans="3:6" ht="13.2">
      <c r="C586" s="97"/>
      <c r="D586" s="97"/>
      <c r="E586" s="97"/>
      <c r="F586" s="97"/>
    </row>
    <row r="587" spans="3:6" ht="13.2">
      <c r="C587" s="97"/>
      <c r="D587" s="97"/>
      <c r="E587" s="97"/>
      <c r="F587" s="97"/>
    </row>
    <row r="588" spans="3:6" ht="13.2">
      <c r="C588" s="97"/>
      <c r="D588" s="97"/>
      <c r="E588" s="97"/>
      <c r="F588" s="97"/>
    </row>
    <row r="589" spans="3:6" ht="13.2">
      <c r="C589" s="97"/>
      <c r="D589" s="97"/>
      <c r="E589" s="97"/>
      <c r="F589" s="97"/>
    </row>
    <row r="590" spans="3:6" ht="13.2">
      <c r="C590" s="97"/>
      <c r="D590" s="97"/>
      <c r="E590" s="97"/>
      <c r="F590" s="97"/>
    </row>
    <row r="591" spans="3:6" ht="13.2">
      <c r="C591" s="97"/>
      <c r="D591" s="97"/>
      <c r="E591" s="97"/>
      <c r="F591" s="97"/>
    </row>
    <row r="592" spans="3:6" ht="13.2">
      <c r="C592" s="97"/>
      <c r="D592" s="97"/>
      <c r="E592" s="97"/>
      <c r="F592" s="97"/>
    </row>
    <row r="593" spans="3:6" ht="13.2">
      <c r="C593" s="97"/>
      <c r="D593" s="97"/>
      <c r="E593" s="97"/>
      <c r="F593" s="97"/>
    </row>
    <row r="594" spans="3:6" ht="13.2">
      <c r="C594" s="97"/>
      <c r="D594" s="97"/>
      <c r="E594" s="97"/>
      <c r="F594" s="97"/>
    </row>
    <row r="595" spans="3:6" ht="13.2">
      <c r="C595" s="97"/>
      <c r="D595" s="97"/>
      <c r="E595" s="97"/>
      <c r="F595" s="97"/>
    </row>
    <row r="596" spans="3:6" ht="13.2">
      <c r="C596" s="97"/>
      <c r="D596" s="97"/>
      <c r="E596" s="97"/>
      <c r="F596" s="97"/>
    </row>
    <row r="597" spans="3:6" ht="13.2">
      <c r="C597" s="97"/>
      <c r="D597" s="97"/>
      <c r="E597" s="97"/>
      <c r="F597" s="97"/>
    </row>
    <row r="598" spans="3:6" ht="13.2">
      <c r="C598" s="97"/>
      <c r="D598" s="97"/>
      <c r="E598" s="97"/>
      <c r="F598" s="97"/>
    </row>
    <row r="599" spans="3:6" ht="13.2">
      <c r="C599" s="97"/>
      <c r="D599" s="97"/>
      <c r="E599" s="97"/>
      <c r="F599" s="97"/>
    </row>
    <row r="600" spans="3:6" ht="13.2">
      <c r="C600" s="97"/>
      <c r="D600" s="97"/>
      <c r="E600" s="97"/>
      <c r="F600" s="97"/>
    </row>
    <row r="601" spans="3:6" ht="13.2">
      <c r="C601" s="97"/>
      <c r="D601" s="97"/>
      <c r="E601" s="97"/>
      <c r="F601" s="97"/>
    </row>
    <row r="602" spans="3:6" ht="13.2">
      <c r="C602" s="97"/>
      <c r="D602" s="97"/>
      <c r="E602" s="97"/>
      <c r="F602" s="97"/>
    </row>
    <row r="603" spans="3:6" ht="13.2">
      <c r="C603" s="97"/>
      <c r="D603" s="97"/>
      <c r="E603" s="97"/>
      <c r="F603" s="97"/>
    </row>
    <row r="604" spans="3:6" ht="13.2">
      <c r="C604" s="97"/>
      <c r="D604" s="97"/>
      <c r="E604" s="97"/>
      <c r="F604" s="97"/>
    </row>
    <row r="605" spans="3:6" ht="13.2">
      <c r="C605" s="97"/>
      <c r="D605" s="97"/>
      <c r="E605" s="97"/>
      <c r="F605" s="97"/>
    </row>
    <row r="606" spans="3:6" ht="13.2">
      <c r="C606" s="97"/>
      <c r="D606" s="97"/>
      <c r="E606" s="97"/>
      <c r="F606" s="97"/>
    </row>
    <row r="607" spans="3:6" ht="13.2">
      <c r="C607" s="97"/>
      <c r="D607" s="97"/>
      <c r="E607" s="97"/>
      <c r="F607" s="97"/>
    </row>
    <row r="608" spans="3:6" ht="13.2">
      <c r="C608" s="97"/>
      <c r="D608" s="97"/>
      <c r="E608" s="97"/>
      <c r="F608" s="97"/>
    </row>
    <row r="609" spans="3:6" ht="13.2">
      <c r="C609" s="97"/>
      <c r="D609" s="97"/>
      <c r="E609" s="97"/>
      <c r="F609" s="97"/>
    </row>
    <row r="610" spans="3:6" ht="13.2">
      <c r="C610" s="97"/>
      <c r="D610" s="97"/>
      <c r="E610" s="97"/>
      <c r="F610" s="97"/>
    </row>
    <row r="611" spans="3:6" ht="13.2">
      <c r="C611" s="97"/>
      <c r="D611" s="97"/>
      <c r="E611" s="97"/>
      <c r="F611" s="97"/>
    </row>
    <row r="612" spans="3:6" ht="13.2">
      <c r="C612" s="97"/>
      <c r="D612" s="97"/>
      <c r="E612" s="97"/>
      <c r="F612" s="97"/>
    </row>
    <row r="613" spans="3:6" ht="13.2">
      <c r="C613" s="97"/>
      <c r="D613" s="97"/>
      <c r="E613" s="97"/>
      <c r="F613" s="97"/>
    </row>
    <row r="614" spans="3:6" ht="13.2">
      <c r="C614" s="97"/>
      <c r="D614" s="97"/>
      <c r="E614" s="97"/>
      <c r="F614" s="97"/>
    </row>
    <row r="615" spans="3:6" ht="13.2">
      <c r="C615" s="97"/>
      <c r="D615" s="97"/>
      <c r="E615" s="97"/>
      <c r="F615" s="97"/>
    </row>
    <row r="616" spans="3:6" ht="13.2">
      <c r="C616" s="97"/>
      <c r="D616" s="97"/>
      <c r="E616" s="97"/>
      <c r="F616" s="97"/>
    </row>
    <row r="617" spans="3:6" ht="13.2">
      <c r="C617" s="97"/>
      <c r="D617" s="97"/>
      <c r="E617" s="97"/>
      <c r="F617" s="97"/>
    </row>
    <row r="618" spans="3:6" ht="13.2">
      <c r="C618" s="97"/>
      <c r="D618" s="97"/>
      <c r="E618" s="97"/>
      <c r="F618" s="97"/>
    </row>
    <row r="619" spans="3:6" ht="13.2">
      <c r="C619" s="97"/>
      <c r="D619" s="97"/>
      <c r="E619" s="97"/>
      <c r="F619" s="97"/>
    </row>
    <row r="620" spans="3:6" ht="13.2">
      <c r="C620" s="97"/>
      <c r="D620" s="97"/>
      <c r="E620" s="97"/>
      <c r="F620" s="97"/>
    </row>
    <row r="621" spans="3:6" ht="13.2">
      <c r="C621" s="97"/>
      <c r="D621" s="97"/>
      <c r="E621" s="97"/>
      <c r="F621" s="97"/>
    </row>
    <row r="622" spans="3:6" ht="13.2">
      <c r="C622" s="97"/>
      <c r="D622" s="97"/>
      <c r="E622" s="97"/>
      <c r="F622" s="97"/>
    </row>
    <row r="623" spans="3:6" ht="13.2">
      <c r="C623" s="97"/>
      <c r="D623" s="97"/>
      <c r="E623" s="97"/>
      <c r="F623" s="97"/>
    </row>
    <row r="624" spans="3:6" ht="13.2">
      <c r="C624" s="97"/>
      <c r="D624" s="97"/>
      <c r="E624" s="97"/>
      <c r="F624" s="97"/>
    </row>
    <row r="625" spans="3:6" ht="13.2">
      <c r="C625" s="97"/>
      <c r="D625" s="97"/>
      <c r="E625" s="97"/>
      <c r="F625" s="97"/>
    </row>
    <row r="626" spans="3:6" ht="13.2">
      <c r="C626" s="97"/>
      <c r="D626" s="97"/>
      <c r="E626" s="97"/>
      <c r="F626" s="97"/>
    </row>
    <row r="627" spans="3:6" ht="13.2">
      <c r="C627" s="97"/>
      <c r="D627" s="97"/>
      <c r="E627" s="97"/>
      <c r="F627" s="97"/>
    </row>
    <row r="628" spans="3:6" ht="13.2">
      <c r="C628" s="97"/>
      <c r="D628" s="97"/>
      <c r="E628" s="97"/>
      <c r="F628" s="97"/>
    </row>
    <row r="629" spans="3:6" ht="13.2">
      <c r="C629" s="97"/>
      <c r="D629" s="97"/>
      <c r="E629" s="97"/>
      <c r="F629" s="97"/>
    </row>
    <row r="630" spans="3:6" ht="13.2">
      <c r="C630" s="97"/>
      <c r="D630" s="97"/>
      <c r="E630" s="97"/>
      <c r="F630" s="97"/>
    </row>
    <row r="631" spans="3:6" ht="13.2">
      <c r="C631" s="97"/>
      <c r="D631" s="97"/>
      <c r="E631" s="97"/>
      <c r="F631" s="97"/>
    </row>
    <row r="632" spans="3:6" ht="13.2">
      <c r="C632" s="97"/>
      <c r="D632" s="97"/>
      <c r="E632" s="97"/>
      <c r="F632" s="97"/>
    </row>
    <row r="633" spans="3:6" ht="13.2">
      <c r="C633" s="97"/>
      <c r="D633" s="97"/>
      <c r="E633" s="97"/>
      <c r="F633" s="97"/>
    </row>
    <row r="634" spans="3:6" ht="13.2">
      <c r="C634" s="97"/>
      <c r="D634" s="97"/>
      <c r="E634" s="97"/>
      <c r="F634" s="97"/>
    </row>
    <row r="635" spans="3:6" ht="13.2">
      <c r="C635" s="97"/>
      <c r="D635" s="97"/>
      <c r="E635" s="97"/>
      <c r="F635" s="97"/>
    </row>
    <row r="636" spans="3:6" ht="13.2">
      <c r="C636" s="97"/>
      <c r="D636" s="97"/>
      <c r="E636" s="97"/>
      <c r="F636" s="97"/>
    </row>
    <row r="637" spans="3:6" ht="13.2">
      <c r="C637" s="97"/>
      <c r="D637" s="97"/>
      <c r="E637" s="97"/>
      <c r="F637" s="97"/>
    </row>
    <row r="638" spans="3:6" ht="13.2">
      <c r="C638" s="97"/>
      <c r="D638" s="97"/>
      <c r="E638" s="97"/>
      <c r="F638" s="97"/>
    </row>
    <row r="639" spans="3:6" ht="13.2">
      <c r="C639" s="97"/>
      <c r="D639" s="97"/>
      <c r="E639" s="97"/>
      <c r="F639" s="97"/>
    </row>
    <row r="640" spans="3:6" ht="13.2">
      <c r="C640" s="97"/>
      <c r="D640" s="97"/>
      <c r="E640" s="97"/>
      <c r="F640" s="97"/>
    </row>
    <row r="641" spans="3:6" ht="13.2">
      <c r="C641" s="97"/>
      <c r="D641" s="97"/>
      <c r="E641" s="97"/>
      <c r="F641" s="97"/>
    </row>
    <row r="642" spans="3:6" ht="13.2">
      <c r="C642" s="97"/>
      <c r="D642" s="97"/>
      <c r="E642" s="97"/>
      <c r="F642" s="97"/>
    </row>
    <row r="643" spans="3:6" ht="13.2">
      <c r="C643" s="97"/>
      <c r="D643" s="97"/>
      <c r="E643" s="97"/>
      <c r="F643" s="97"/>
    </row>
    <row r="644" spans="3:6" ht="13.2">
      <c r="C644" s="97"/>
      <c r="D644" s="97"/>
      <c r="E644" s="97"/>
      <c r="F644" s="97"/>
    </row>
    <row r="645" spans="3:6" ht="13.2">
      <c r="C645" s="97"/>
      <c r="D645" s="97"/>
      <c r="E645" s="97"/>
      <c r="F645" s="97"/>
    </row>
    <row r="646" spans="3:6" ht="13.2">
      <c r="C646" s="97"/>
      <c r="D646" s="97"/>
      <c r="E646" s="97"/>
      <c r="F646" s="97"/>
    </row>
    <row r="647" spans="3:6" ht="13.2">
      <c r="C647" s="97"/>
      <c r="D647" s="97"/>
      <c r="E647" s="97"/>
      <c r="F647" s="97"/>
    </row>
    <row r="648" spans="3:6" ht="13.2">
      <c r="C648" s="97"/>
      <c r="D648" s="97"/>
      <c r="E648" s="97"/>
      <c r="F648" s="97"/>
    </row>
    <row r="649" spans="3:6" ht="13.2">
      <c r="C649" s="97"/>
      <c r="D649" s="97"/>
      <c r="E649" s="97"/>
      <c r="F649" s="97"/>
    </row>
    <row r="650" spans="3:6" ht="13.2">
      <c r="C650" s="97"/>
      <c r="D650" s="97"/>
      <c r="E650" s="97"/>
      <c r="F650" s="97"/>
    </row>
    <row r="651" spans="3:6" ht="13.2">
      <c r="C651" s="97"/>
      <c r="D651" s="97"/>
      <c r="E651" s="97"/>
      <c r="F651" s="97"/>
    </row>
    <row r="652" spans="3:6" ht="13.2">
      <c r="C652" s="97"/>
      <c r="D652" s="97"/>
      <c r="E652" s="97"/>
      <c r="F652" s="97"/>
    </row>
    <row r="653" spans="3:6" ht="13.2">
      <c r="C653" s="97"/>
      <c r="D653" s="97"/>
      <c r="E653" s="97"/>
      <c r="F653" s="97"/>
    </row>
    <row r="654" spans="3:6" ht="13.2">
      <c r="C654" s="97"/>
      <c r="D654" s="97"/>
      <c r="E654" s="97"/>
      <c r="F654" s="97"/>
    </row>
    <row r="655" spans="3:6" ht="13.2">
      <c r="C655" s="97"/>
      <c r="D655" s="97"/>
      <c r="E655" s="97"/>
      <c r="F655" s="97"/>
    </row>
    <row r="656" spans="3:6" ht="13.2">
      <c r="C656" s="97"/>
      <c r="D656" s="97"/>
      <c r="E656" s="97"/>
      <c r="F656" s="97"/>
    </row>
    <row r="657" spans="3:6" ht="13.2">
      <c r="C657" s="97"/>
      <c r="D657" s="97"/>
      <c r="E657" s="97"/>
      <c r="F657" s="97"/>
    </row>
    <row r="658" spans="3:6" ht="13.2">
      <c r="C658" s="97"/>
      <c r="D658" s="97"/>
      <c r="E658" s="97"/>
      <c r="F658" s="97"/>
    </row>
    <row r="659" spans="3:6" ht="13.2">
      <c r="C659" s="97"/>
      <c r="D659" s="97"/>
      <c r="E659" s="97"/>
      <c r="F659" s="97"/>
    </row>
    <row r="660" spans="3:6" ht="13.2">
      <c r="C660" s="97"/>
      <c r="D660" s="97"/>
      <c r="E660" s="97"/>
      <c r="F660" s="97"/>
    </row>
    <row r="661" spans="3:6" ht="13.2">
      <c r="C661" s="97"/>
      <c r="D661" s="97"/>
      <c r="E661" s="97"/>
      <c r="F661" s="97"/>
    </row>
    <row r="662" spans="3:6" ht="13.2">
      <c r="C662" s="97"/>
      <c r="D662" s="97"/>
      <c r="E662" s="97"/>
      <c r="F662" s="97"/>
    </row>
    <row r="663" spans="3:6" ht="13.2">
      <c r="C663" s="97"/>
      <c r="D663" s="97"/>
      <c r="E663" s="97"/>
      <c r="F663" s="97"/>
    </row>
    <row r="664" spans="3:6" ht="13.2">
      <c r="C664" s="97"/>
      <c r="D664" s="97"/>
      <c r="E664" s="97"/>
      <c r="F664" s="97"/>
    </row>
    <row r="665" spans="3:6" ht="13.2">
      <c r="C665" s="97"/>
      <c r="D665" s="97"/>
      <c r="E665" s="97"/>
      <c r="F665" s="97"/>
    </row>
    <row r="666" spans="3:6" ht="13.2">
      <c r="C666" s="97"/>
      <c r="D666" s="97"/>
      <c r="E666" s="97"/>
      <c r="F666" s="97"/>
    </row>
    <row r="667" spans="3:6" ht="13.2">
      <c r="C667" s="97"/>
      <c r="D667" s="97"/>
      <c r="E667" s="97"/>
      <c r="F667" s="97"/>
    </row>
    <row r="668" spans="3:6" ht="13.2">
      <c r="C668" s="97"/>
      <c r="D668" s="97"/>
      <c r="E668" s="97"/>
      <c r="F668" s="97"/>
    </row>
    <row r="669" spans="3:6" ht="13.2">
      <c r="C669" s="97"/>
      <c r="D669" s="97"/>
      <c r="E669" s="97"/>
      <c r="F669" s="97"/>
    </row>
    <row r="670" spans="3:6" ht="13.2">
      <c r="C670" s="97"/>
      <c r="D670" s="97"/>
      <c r="E670" s="97"/>
      <c r="F670" s="97"/>
    </row>
    <row r="671" spans="3:6" ht="13.2">
      <c r="C671" s="97"/>
      <c r="D671" s="97"/>
      <c r="E671" s="97"/>
      <c r="F671" s="97"/>
    </row>
    <row r="672" spans="3:6" ht="13.2">
      <c r="C672" s="97"/>
      <c r="D672" s="97"/>
      <c r="E672" s="97"/>
      <c r="F672" s="97"/>
    </row>
    <row r="673" spans="3:6" ht="13.2">
      <c r="C673" s="97"/>
      <c r="D673" s="97"/>
      <c r="E673" s="97"/>
      <c r="F673" s="97"/>
    </row>
    <row r="674" spans="3:6" ht="13.2">
      <c r="C674" s="97"/>
      <c r="D674" s="97"/>
      <c r="E674" s="97"/>
      <c r="F674" s="97"/>
    </row>
    <row r="675" spans="3:6" ht="13.2">
      <c r="C675" s="97"/>
      <c r="D675" s="97"/>
      <c r="E675" s="97"/>
      <c r="F675" s="97"/>
    </row>
    <row r="676" spans="3:6" ht="13.2">
      <c r="C676" s="97"/>
      <c r="D676" s="97"/>
      <c r="E676" s="97"/>
      <c r="F676" s="97"/>
    </row>
    <row r="677" spans="3:6" ht="13.2">
      <c r="C677" s="97"/>
      <c r="D677" s="97"/>
      <c r="E677" s="97"/>
      <c r="F677" s="97"/>
    </row>
    <row r="678" spans="3:6" ht="13.2">
      <c r="C678" s="97"/>
      <c r="D678" s="97"/>
      <c r="E678" s="97"/>
      <c r="F678" s="97"/>
    </row>
    <row r="679" spans="3:6" ht="13.2">
      <c r="C679" s="97"/>
      <c r="D679" s="97"/>
      <c r="E679" s="97"/>
      <c r="F679" s="97"/>
    </row>
    <row r="680" spans="3:6" ht="13.2">
      <c r="C680" s="97"/>
      <c r="D680" s="97"/>
      <c r="E680" s="97"/>
      <c r="F680" s="97"/>
    </row>
    <row r="681" spans="3:6" ht="13.2">
      <c r="C681" s="97"/>
      <c r="D681" s="97"/>
      <c r="E681" s="97"/>
      <c r="F681" s="97"/>
    </row>
    <row r="682" spans="3:6" ht="13.2">
      <c r="C682" s="97"/>
      <c r="D682" s="97"/>
      <c r="E682" s="97"/>
      <c r="F682" s="97"/>
    </row>
    <row r="683" spans="3:6" ht="13.2">
      <c r="C683" s="97"/>
      <c r="D683" s="97"/>
      <c r="E683" s="97"/>
      <c r="F683" s="97"/>
    </row>
    <row r="684" spans="3:6" ht="13.2">
      <c r="C684" s="97"/>
      <c r="D684" s="97"/>
      <c r="E684" s="97"/>
      <c r="F684" s="97"/>
    </row>
    <row r="685" spans="3:6" ht="13.2">
      <c r="C685" s="97"/>
      <c r="D685" s="97"/>
      <c r="E685" s="97"/>
      <c r="F685" s="97"/>
    </row>
    <row r="686" spans="3:6" ht="13.2">
      <c r="C686" s="97"/>
      <c r="D686" s="97"/>
      <c r="E686" s="97"/>
      <c r="F686" s="97"/>
    </row>
    <row r="687" spans="3:6" ht="13.2">
      <c r="C687" s="97"/>
      <c r="D687" s="97"/>
      <c r="E687" s="97"/>
      <c r="F687" s="97"/>
    </row>
    <row r="688" spans="3:6" ht="13.2">
      <c r="C688" s="97"/>
      <c r="D688" s="97"/>
      <c r="E688" s="97"/>
      <c r="F688" s="97"/>
    </row>
    <row r="689" spans="3:6" ht="13.2">
      <c r="C689" s="97"/>
      <c r="D689" s="97"/>
      <c r="E689" s="97"/>
      <c r="F689" s="97"/>
    </row>
    <row r="690" spans="3:6" ht="13.2">
      <c r="C690" s="97"/>
      <c r="D690" s="97"/>
      <c r="E690" s="97"/>
      <c r="F690" s="97"/>
    </row>
    <row r="691" spans="3:6" ht="13.2">
      <c r="C691" s="97"/>
      <c r="D691" s="97"/>
      <c r="E691" s="97"/>
      <c r="F691" s="97"/>
    </row>
    <row r="692" spans="3:6" ht="13.2">
      <c r="C692" s="97"/>
      <c r="D692" s="97"/>
      <c r="E692" s="97"/>
      <c r="F692" s="97"/>
    </row>
    <row r="693" spans="3:6" ht="13.2">
      <c r="C693" s="97"/>
      <c r="D693" s="97"/>
      <c r="E693" s="97"/>
      <c r="F693" s="97"/>
    </row>
    <row r="694" spans="3:6" ht="13.2">
      <c r="C694" s="97"/>
      <c r="D694" s="97"/>
      <c r="E694" s="97"/>
      <c r="F694" s="97"/>
    </row>
    <row r="695" spans="3:6" ht="13.2">
      <c r="C695" s="97"/>
      <c r="D695" s="97"/>
      <c r="E695" s="97"/>
      <c r="F695" s="97"/>
    </row>
    <row r="696" spans="3:6" ht="13.2">
      <c r="C696" s="97"/>
      <c r="D696" s="97"/>
      <c r="E696" s="97"/>
      <c r="F696" s="97"/>
    </row>
    <row r="697" spans="3:6" ht="13.2">
      <c r="C697" s="97"/>
      <c r="D697" s="97"/>
      <c r="E697" s="97"/>
      <c r="F697" s="97"/>
    </row>
    <row r="698" spans="3:6" ht="13.2">
      <c r="C698" s="97"/>
      <c r="D698" s="97"/>
      <c r="E698" s="97"/>
      <c r="F698" s="97"/>
    </row>
    <row r="699" spans="3:6" ht="13.2">
      <c r="C699" s="97"/>
      <c r="D699" s="97"/>
      <c r="E699" s="97"/>
      <c r="F699" s="97"/>
    </row>
    <row r="700" spans="3:6" ht="13.2">
      <c r="C700" s="97"/>
      <c r="D700" s="97"/>
      <c r="E700" s="97"/>
      <c r="F700" s="97"/>
    </row>
    <row r="701" spans="3:6" ht="13.2">
      <c r="C701" s="97"/>
      <c r="D701" s="97"/>
      <c r="E701" s="97"/>
      <c r="F701" s="97"/>
    </row>
    <row r="702" spans="3:6" ht="13.2">
      <c r="C702" s="97"/>
      <c r="D702" s="97"/>
      <c r="E702" s="97"/>
      <c r="F702" s="97"/>
    </row>
    <row r="703" spans="3:6" ht="13.2">
      <c r="C703" s="97"/>
      <c r="D703" s="97"/>
      <c r="E703" s="97"/>
      <c r="F703" s="97"/>
    </row>
    <row r="704" spans="3:6" ht="13.2">
      <c r="C704" s="97"/>
      <c r="D704" s="97"/>
      <c r="E704" s="97"/>
      <c r="F704" s="97"/>
    </row>
    <row r="705" spans="3:6" ht="13.2">
      <c r="C705" s="97"/>
      <c r="D705" s="97"/>
      <c r="E705" s="97"/>
      <c r="F705" s="97"/>
    </row>
    <row r="706" spans="3:6" ht="13.2">
      <c r="C706" s="97"/>
      <c r="D706" s="97"/>
      <c r="E706" s="97"/>
      <c r="F706" s="97"/>
    </row>
    <row r="707" spans="3:6" ht="13.2">
      <c r="C707" s="97"/>
      <c r="D707" s="97"/>
      <c r="E707" s="97"/>
      <c r="F707" s="97"/>
    </row>
    <row r="708" spans="3:6" ht="13.2">
      <c r="C708" s="97"/>
      <c r="D708" s="97"/>
      <c r="E708" s="97"/>
      <c r="F708" s="97"/>
    </row>
    <row r="709" spans="3:6" ht="13.2">
      <c r="C709" s="97"/>
      <c r="D709" s="97"/>
      <c r="E709" s="97"/>
      <c r="F709" s="97"/>
    </row>
    <row r="710" spans="3:6" ht="13.2">
      <c r="C710" s="97"/>
      <c r="D710" s="97"/>
      <c r="E710" s="97"/>
      <c r="F710" s="97"/>
    </row>
    <row r="711" spans="3:6" ht="13.2">
      <c r="C711" s="97"/>
      <c r="D711" s="97"/>
      <c r="E711" s="97"/>
      <c r="F711" s="97"/>
    </row>
    <row r="712" spans="3:6" ht="13.2">
      <c r="C712" s="97"/>
      <c r="D712" s="97"/>
      <c r="E712" s="97"/>
      <c r="F712" s="97"/>
    </row>
    <row r="713" spans="3:6" ht="13.2">
      <c r="C713" s="97"/>
      <c r="D713" s="97"/>
      <c r="E713" s="97"/>
      <c r="F713" s="97"/>
    </row>
    <row r="714" spans="3:6" ht="13.2">
      <c r="C714" s="97"/>
      <c r="D714" s="97"/>
      <c r="E714" s="97"/>
      <c r="F714" s="97"/>
    </row>
    <row r="715" spans="3:6" ht="13.2">
      <c r="C715" s="97"/>
      <c r="D715" s="97"/>
      <c r="E715" s="97"/>
      <c r="F715" s="97"/>
    </row>
    <row r="716" spans="3:6" ht="13.2">
      <c r="C716" s="97"/>
      <c r="D716" s="97"/>
      <c r="E716" s="97"/>
      <c r="F716" s="97"/>
    </row>
    <row r="717" spans="3:6" ht="13.2">
      <c r="C717" s="97"/>
      <c r="D717" s="97"/>
      <c r="E717" s="97"/>
      <c r="F717" s="97"/>
    </row>
    <row r="718" spans="3:6" ht="13.2">
      <c r="C718" s="97"/>
      <c r="D718" s="97"/>
      <c r="E718" s="97"/>
      <c r="F718" s="97"/>
    </row>
    <row r="719" spans="3:6" ht="13.2">
      <c r="C719" s="97"/>
      <c r="D719" s="97"/>
      <c r="E719" s="97"/>
      <c r="F719" s="97"/>
    </row>
    <row r="720" spans="3:6" ht="13.2">
      <c r="C720" s="97"/>
      <c r="D720" s="97"/>
      <c r="E720" s="97"/>
      <c r="F720" s="97"/>
    </row>
    <row r="721" spans="3:6" ht="13.2">
      <c r="C721" s="97"/>
      <c r="D721" s="97"/>
      <c r="E721" s="97"/>
      <c r="F721" s="97"/>
    </row>
    <row r="722" spans="3:6" ht="13.2">
      <c r="C722" s="97"/>
      <c r="D722" s="97"/>
      <c r="E722" s="97"/>
      <c r="F722" s="97"/>
    </row>
    <row r="723" spans="3:6" ht="13.2">
      <c r="C723" s="97"/>
      <c r="D723" s="97"/>
      <c r="E723" s="97"/>
      <c r="F723" s="97"/>
    </row>
    <row r="724" spans="3:6" ht="13.2">
      <c r="C724" s="97"/>
      <c r="D724" s="97"/>
      <c r="E724" s="97"/>
      <c r="F724" s="97"/>
    </row>
    <row r="725" spans="3:6" ht="13.2">
      <c r="C725" s="97"/>
      <c r="D725" s="97"/>
      <c r="E725" s="97"/>
      <c r="F725" s="97"/>
    </row>
    <row r="726" spans="3:6" ht="13.2">
      <c r="C726" s="97"/>
      <c r="D726" s="97"/>
      <c r="E726" s="97"/>
      <c r="F726" s="97"/>
    </row>
    <row r="727" spans="3:6" ht="13.2">
      <c r="C727" s="97"/>
      <c r="D727" s="97"/>
      <c r="E727" s="97"/>
      <c r="F727" s="97"/>
    </row>
    <row r="728" spans="3:6" ht="13.2">
      <c r="C728" s="97"/>
      <c r="D728" s="97"/>
      <c r="E728" s="97"/>
      <c r="F728" s="97"/>
    </row>
    <row r="729" spans="3:6" ht="13.2">
      <c r="C729" s="97"/>
      <c r="D729" s="97"/>
      <c r="E729" s="97"/>
      <c r="F729" s="97"/>
    </row>
    <row r="730" spans="3:6" ht="13.2">
      <c r="C730" s="97"/>
      <c r="D730" s="97"/>
      <c r="E730" s="97"/>
      <c r="F730" s="97"/>
    </row>
    <row r="731" spans="3:6" ht="13.2">
      <c r="C731" s="97"/>
      <c r="D731" s="97"/>
      <c r="E731" s="97"/>
      <c r="F731" s="97"/>
    </row>
    <row r="732" spans="3:6" ht="13.2">
      <c r="C732" s="97"/>
      <c r="D732" s="97"/>
      <c r="E732" s="97"/>
      <c r="F732" s="97"/>
    </row>
    <row r="733" spans="3:6" ht="13.2">
      <c r="C733" s="97"/>
      <c r="D733" s="97"/>
      <c r="E733" s="97"/>
      <c r="F733" s="97"/>
    </row>
    <row r="734" spans="3:6" ht="13.2">
      <c r="C734" s="97"/>
      <c r="D734" s="97"/>
      <c r="E734" s="97"/>
      <c r="F734" s="97"/>
    </row>
    <row r="735" spans="3:6" ht="13.2">
      <c r="C735" s="97"/>
      <c r="D735" s="97"/>
      <c r="E735" s="97"/>
      <c r="F735" s="97"/>
    </row>
    <row r="736" spans="3:6" ht="13.2">
      <c r="C736" s="97"/>
      <c r="D736" s="97"/>
      <c r="E736" s="97"/>
      <c r="F736" s="97"/>
    </row>
    <row r="737" spans="3:6" ht="13.2">
      <c r="C737" s="97"/>
      <c r="D737" s="97"/>
      <c r="E737" s="97"/>
      <c r="F737" s="97"/>
    </row>
    <row r="738" spans="3:6" ht="13.2">
      <c r="C738" s="97"/>
      <c r="D738" s="97"/>
      <c r="E738" s="97"/>
      <c r="F738" s="97"/>
    </row>
    <row r="739" spans="3:6" ht="13.2">
      <c r="C739" s="97"/>
      <c r="D739" s="97"/>
      <c r="E739" s="97"/>
      <c r="F739" s="97"/>
    </row>
    <row r="740" spans="3:6" ht="13.2">
      <c r="C740" s="97"/>
      <c r="D740" s="97"/>
      <c r="E740" s="97"/>
      <c r="F740" s="97"/>
    </row>
    <row r="741" spans="3:6" ht="13.2">
      <c r="C741" s="97"/>
      <c r="D741" s="97"/>
      <c r="E741" s="97"/>
      <c r="F741" s="97"/>
    </row>
    <row r="742" spans="3:6" ht="13.2">
      <c r="C742" s="97"/>
      <c r="D742" s="97"/>
      <c r="E742" s="97"/>
      <c r="F742" s="97"/>
    </row>
    <row r="743" spans="3:6" ht="13.2">
      <c r="C743" s="97"/>
      <c r="D743" s="97"/>
      <c r="E743" s="97"/>
      <c r="F743" s="97"/>
    </row>
    <row r="744" spans="3:6" ht="13.2">
      <c r="C744" s="97"/>
      <c r="D744" s="97"/>
      <c r="E744" s="97"/>
      <c r="F744" s="97"/>
    </row>
    <row r="745" spans="3:6" ht="13.2">
      <c r="C745" s="97"/>
      <c r="D745" s="97"/>
      <c r="E745" s="97"/>
      <c r="F745" s="97"/>
    </row>
    <row r="746" spans="3:6" ht="13.2">
      <c r="C746" s="97"/>
      <c r="D746" s="97"/>
      <c r="E746" s="97"/>
      <c r="F746" s="97"/>
    </row>
    <row r="747" spans="3:6" ht="13.2">
      <c r="C747" s="97"/>
      <c r="D747" s="97"/>
      <c r="E747" s="97"/>
      <c r="F747" s="97"/>
    </row>
    <row r="748" spans="3:6" ht="13.2">
      <c r="C748" s="97"/>
      <c r="D748" s="97"/>
      <c r="E748" s="97"/>
      <c r="F748" s="97"/>
    </row>
    <row r="749" spans="3:6" ht="13.2">
      <c r="C749" s="97"/>
      <c r="D749" s="97"/>
      <c r="E749" s="97"/>
      <c r="F749" s="97"/>
    </row>
    <row r="750" spans="3:6" ht="13.2">
      <c r="C750" s="97"/>
      <c r="D750" s="97"/>
      <c r="E750" s="97"/>
      <c r="F750" s="97"/>
    </row>
    <row r="751" spans="3:6" ht="13.2">
      <c r="C751" s="97"/>
      <c r="D751" s="97"/>
      <c r="E751" s="97"/>
      <c r="F751" s="97"/>
    </row>
    <row r="752" spans="3:6" ht="13.2">
      <c r="C752" s="97"/>
      <c r="D752" s="97"/>
      <c r="E752" s="97"/>
      <c r="F752" s="97"/>
    </row>
    <row r="753" spans="3:6" ht="13.2">
      <c r="C753" s="97"/>
      <c r="D753" s="97"/>
      <c r="E753" s="97"/>
      <c r="F753" s="97"/>
    </row>
    <row r="754" spans="3:6" ht="13.2">
      <c r="C754" s="97"/>
      <c r="D754" s="97"/>
      <c r="E754" s="97"/>
      <c r="F754" s="97"/>
    </row>
    <row r="755" spans="3:6" ht="13.2">
      <c r="C755" s="97"/>
      <c r="D755" s="97"/>
      <c r="E755" s="97"/>
      <c r="F755" s="97"/>
    </row>
    <row r="756" spans="3:6" ht="13.2">
      <c r="C756" s="97"/>
      <c r="D756" s="97"/>
      <c r="E756" s="97"/>
      <c r="F756" s="97"/>
    </row>
    <row r="757" spans="3:6" ht="13.2">
      <c r="C757" s="97"/>
      <c r="D757" s="97"/>
      <c r="E757" s="97"/>
      <c r="F757" s="97"/>
    </row>
    <row r="758" spans="3:6" ht="13.2">
      <c r="C758" s="97"/>
      <c r="D758" s="97"/>
      <c r="E758" s="97"/>
      <c r="F758" s="97"/>
    </row>
    <row r="759" spans="3:6" ht="13.2">
      <c r="C759" s="97"/>
      <c r="D759" s="97"/>
      <c r="E759" s="97"/>
      <c r="F759" s="97"/>
    </row>
    <row r="760" spans="3:6" ht="13.2">
      <c r="C760" s="97"/>
      <c r="D760" s="97"/>
      <c r="E760" s="97"/>
      <c r="F760" s="97"/>
    </row>
    <row r="761" spans="3:6" ht="13.2">
      <c r="C761" s="97"/>
      <c r="D761" s="97"/>
      <c r="E761" s="97"/>
      <c r="F761" s="97"/>
    </row>
    <row r="762" spans="3:6" ht="13.2">
      <c r="C762" s="97"/>
      <c r="D762" s="97"/>
      <c r="E762" s="97"/>
      <c r="F762" s="97"/>
    </row>
    <row r="763" spans="3:6" ht="13.2">
      <c r="C763" s="97"/>
      <c r="D763" s="97"/>
      <c r="E763" s="97"/>
      <c r="F763" s="97"/>
    </row>
    <row r="764" spans="3:6" ht="13.2">
      <c r="C764" s="97"/>
      <c r="D764" s="97"/>
      <c r="E764" s="97"/>
      <c r="F764" s="97"/>
    </row>
    <row r="765" spans="3:6" ht="13.2">
      <c r="C765" s="97"/>
      <c r="D765" s="97"/>
      <c r="E765" s="97"/>
      <c r="F765" s="97"/>
    </row>
    <row r="766" spans="3:6" ht="13.2">
      <c r="C766" s="97"/>
      <c r="D766" s="97"/>
      <c r="E766" s="97"/>
      <c r="F766" s="97"/>
    </row>
    <row r="767" spans="3:6" ht="13.2">
      <c r="C767" s="97"/>
      <c r="D767" s="97"/>
      <c r="E767" s="97"/>
      <c r="F767" s="97"/>
    </row>
    <row r="768" spans="3:6" ht="13.2">
      <c r="C768" s="97"/>
      <c r="D768" s="97"/>
      <c r="E768" s="97"/>
      <c r="F768" s="97"/>
    </row>
    <row r="769" spans="3:6" ht="13.2">
      <c r="C769" s="97"/>
      <c r="D769" s="97"/>
      <c r="E769" s="97"/>
      <c r="F769" s="97"/>
    </row>
    <row r="770" spans="3:6" ht="13.2">
      <c r="C770" s="97"/>
      <c r="D770" s="97"/>
      <c r="E770" s="97"/>
      <c r="F770" s="97"/>
    </row>
    <row r="771" spans="3:6" ht="13.2">
      <c r="C771" s="97"/>
      <c r="D771" s="97"/>
      <c r="E771" s="97"/>
      <c r="F771" s="97"/>
    </row>
    <row r="772" spans="3:6" ht="13.2">
      <c r="C772" s="97"/>
      <c r="D772" s="97"/>
      <c r="E772" s="97"/>
      <c r="F772" s="97"/>
    </row>
    <row r="773" spans="3:6" ht="13.2">
      <c r="C773" s="97"/>
      <c r="D773" s="97"/>
      <c r="E773" s="97"/>
      <c r="F773" s="97"/>
    </row>
    <row r="774" spans="3:6" ht="13.2">
      <c r="C774" s="97"/>
      <c r="D774" s="97"/>
      <c r="E774" s="97"/>
      <c r="F774" s="97"/>
    </row>
    <row r="775" spans="3:6" ht="13.2">
      <c r="C775" s="97"/>
      <c r="D775" s="97"/>
      <c r="E775" s="97"/>
      <c r="F775" s="97"/>
    </row>
    <row r="776" spans="3:6" ht="13.2">
      <c r="C776" s="97"/>
      <c r="D776" s="97"/>
      <c r="E776" s="97"/>
      <c r="F776" s="97"/>
    </row>
    <row r="777" spans="3:6" ht="13.2">
      <c r="C777" s="97"/>
      <c r="D777" s="97"/>
      <c r="E777" s="97"/>
      <c r="F777" s="97"/>
    </row>
    <row r="778" spans="3:6" ht="13.2">
      <c r="C778" s="97"/>
      <c r="D778" s="97"/>
      <c r="E778" s="97"/>
      <c r="F778" s="97"/>
    </row>
    <row r="779" spans="3:6" ht="13.2">
      <c r="C779" s="97"/>
      <c r="D779" s="97"/>
      <c r="E779" s="97"/>
      <c r="F779" s="97"/>
    </row>
    <row r="780" spans="3:6" ht="13.2">
      <c r="C780" s="97"/>
      <c r="D780" s="97"/>
      <c r="E780" s="97"/>
      <c r="F780" s="97"/>
    </row>
    <row r="781" spans="3:6" ht="13.2">
      <c r="C781" s="97"/>
      <c r="D781" s="97"/>
      <c r="E781" s="97"/>
      <c r="F781" s="97"/>
    </row>
    <row r="782" spans="3:6" ht="13.2">
      <c r="C782" s="97"/>
      <c r="D782" s="97"/>
      <c r="E782" s="97"/>
      <c r="F782" s="97"/>
    </row>
    <row r="783" spans="3:6" ht="13.2">
      <c r="C783" s="97"/>
      <c r="D783" s="97"/>
      <c r="E783" s="97"/>
      <c r="F783" s="97"/>
    </row>
    <row r="784" spans="3:6" ht="13.2">
      <c r="C784" s="97"/>
      <c r="D784" s="97"/>
      <c r="E784" s="97"/>
      <c r="F784" s="97"/>
    </row>
    <row r="785" spans="3:6" ht="13.2">
      <c r="C785" s="97"/>
      <c r="D785" s="97"/>
      <c r="E785" s="97"/>
      <c r="F785" s="97"/>
    </row>
    <row r="786" spans="3:6" ht="13.2">
      <c r="C786" s="97"/>
      <c r="D786" s="97"/>
      <c r="E786" s="97"/>
      <c r="F786" s="97"/>
    </row>
    <row r="787" spans="3:6" ht="13.2">
      <c r="C787" s="97"/>
      <c r="D787" s="97"/>
      <c r="E787" s="97"/>
      <c r="F787" s="97"/>
    </row>
    <row r="788" spans="3:6" ht="13.2">
      <c r="C788" s="97"/>
      <c r="D788" s="97"/>
      <c r="E788" s="97"/>
      <c r="F788" s="97"/>
    </row>
    <row r="789" spans="3:6" ht="13.2">
      <c r="C789" s="97"/>
      <c r="D789" s="97"/>
      <c r="E789" s="97"/>
      <c r="F789" s="97"/>
    </row>
    <row r="790" spans="3:6" ht="13.2">
      <c r="C790" s="97"/>
      <c r="D790" s="97"/>
      <c r="E790" s="97"/>
      <c r="F790" s="97"/>
    </row>
    <row r="791" spans="3:6" ht="13.2">
      <c r="C791" s="97"/>
      <c r="D791" s="97"/>
      <c r="E791" s="97"/>
      <c r="F791" s="97"/>
    </row>
    <row r="792" spans="3:6" ht="13.2">
      <c r="C792" s="97"/>
      <c r="D792" s="97"/>
      <c r="E792" s="97"/>
      <c r="F792" s="97"/>
    </row>
    <row r="793" spans="3:6" ht="13.2">
      <c r="C793" s="97"/>
      <c r="D793" s="97"/>
      <c r="E793" s="97"/>
      <c r="F793" s="97"/>
    </row>
    <row r="794" spans="3:6" ht="13.2">
      <c r="C794" s="97"/>
      <c r="D794" s="97"/>
      <c r="E794" s="97"/>
      <c r="F794" s="97"/>
    </row>
    <row r="795" spans="3:6" ht="13.2">
      <c r="C795" s="97"/>
      <c r="D795" s="97"/>
      <c r="E795" s="97"/>
      <c r="F795" s="97"/>
    </row>
    <row r="796" spans="3:6" ht="13.2">
      <c r="C796" s="97"/>
      <c r="D796" s="97"/>
      <c r="E796" s="97"/>
      <c r="F796" s="97"/>
    </row>
    <row r="797" spans="3:6" ht="13.2">
      <c r="C797" s="97"/>
      <c r="D797" s="97"/>
      <c r="E797" s="97"/>
      <c r="F797" s="97"/>
    </row>
    <row r="798" spans="3:6" ht="13.2">
      <c r="C798" s="97"/>
      <c r="D798" s="97"/>
      <c r="E798" s="97"/>
      <c r="F798" s="97"/>
    </row>
    <row r="799" spans="3:6" ht="13.2">
      <c r="C799" s="97"/>
      <c r="D799" s="97"/>
      <c r="E799" s="97"/>
      <c r="F799" s="97"/>
    </row>
    <row r="800" spans="3:6" ht="13.2">
      <c r="C800" s="97"/>
      <c r="D800" s="97"/>
      <c r="E800" s="97"/>
      <c r="F800" s="97"/>
    </row>
    <row r="801" spans="3:6" ht="13.2">
      <c r="C801" s="97"/>
      <c r="D801" s="97"/>
      <c r="E801" s="97"/>
      <c r="F801" s="97"/>
    </row>
    <row r="802" spans="3:6" ht="13.2">
      <c r="C802" s="97"/>
      <c r="D802" s="97"/>
      <c r="E802" s="97"/>
      <c r="F802" s="97"/>
    </row>
    <row r="803" spans="3:6" ht="13.2">
      <c r="C803" s="97"/>
      <c r="D803" s="97"/>
      <c r="E803" s="97"/>
      <c r="F803" s="97"/>
    </row>
    <row r="804" spans="3:6" ht="13.2">
      <c r="C804" s="97"/>
      <c r="D804" s="97"/>
      <c r="E804" s="97"/>
      <c r="F804" s="97"/>
    </row>
    <row r="805" spans="3:6" ht="13.2">
      <c r="C805" s="97"/>
      <c r="D805" s="97"/>
      <c r="E805" s="97"/>
      <c r="F805" s="97"/>
    </row>
    <row r="806" spans="3:6" ht="13.2">
      <c r="C806" s="97"/>
      <c r="D806" s="97"/>
      <c r="E806" s="97"/>
      <c r="F806" s="97"/>
    </row>
    <row r="807" spans="3:6" ht="13.2">
      <c r="C807" s="97"/>
      <c r="D807" s="97"/>
      <c r="E807" s="97"/>
      <c r="F807" s="97"/>
    </row>
    <row r="808" spans="3:6" ht="13.2">
      <c r="C808" s="97"/>
      <c r="D808" s="97"/>
      <c r="E808" s="97"/>
      <c r="F808" s="97"/>
    </row>
    <row r="809" spans="3:6" ht="13.2">
      <c r="C809" s="97"/>
      <c r="D809" s="97"/>
      <c r="E809" s="97"/>
      <c r="F809" s="97"/>
    </row>
    <row r="810" spans="3:6" ht="13.2">
      <c r="C810" s="97"/>
      <c r="D810" s="97"/>
      <c r="E810" s="97"/>
      <c r="F810" s="97"/>
    </row>
    <row r="811" spans="3:6" ht="13.2">
      <c r="C811" s="97"/>
      <c r="D811" s="97"/>
      <c r="E811" s="97"/>
      <c r="F811" s="97"/>
    </row>
    <row r="812" spans="3:6" ht="13.2">
      <c r="C812" s="97"/>
      <c r="D812" s="97"/>
      <c r="E812" s="97"/>
      <c r="F812" s="97"/>
    </row>
    <row r="813" spans="3:6" ht="13.2">
      <c r="C813" s="97"/>
      <c r="D813" s="97"/>
      <c r="E813" s="97"/>
      <c r="F813" s="97"/>
    </row>
    <row r="814" spans="3:6" ht="13.2">
      <c r="C814" s="97"/>
      <c r="D814" s="97"/>
      <c r="E814" s="97"/>
      <c r="F814" s="97"/>
    </row>
    <row r="815" spans="3:6" ht="13.2">
      <c r="C815" s="97"/>
      <c r="D815" s="97"/>
      <c r="E815" s="97"/>
      <c r="F815" s="97"/>
    </row>
    <row r="816" spans="3:6" ht="13.2">
      <c r="C816" s="97"/>
      <c r="D816" s="97"/>
      <c r="E816" s="97"/>
      <c r="F816" s="97"/>
    </row>
    <row r="817" spans="3:6" ht="13.2">
      <c r="C817" s="97"/>
      <c r="D817" s="97"/>
      <c r="E817" s="97"/>
      <c r="F817" s="97"/>
    </row>
    <row r="818" spans="3:6" ht="13.2">
      <c r="C818" s="97"/>
      <c r="D818" s="97"/>
      <c r="E818" s="97"/>
      <c r="F818" s="97"/>
    </row>
    <row r="819" spans="3:6" ht="13.2">
      <c r="C819" s="97"/>
      <c r="D819" s="97"/>
      <c r="E819" s="97"/>
      <c r="F819" s="97"/>
    </row>
    <row r="820" spans="3:6" ht="13.2">
      <c r="C820" s="97"/>
      <c r="D820" s="97"/>
      <c r="E820" s="97"/>
      <c r="F820" s="97"/>
    </row>
    <row r="821" spans="3:6" ht="13.2">
      <c r="C821" s="97"/>
      <c r="D821" s="97"/>
      <c r="E821" s="97"/>
      <c r="F821" s="97"/>
    </row>
    <row r="822" spans="3:6" ht="13.2">
      <c r="C822" s="97"/>
      <c r="D822" s="97"/>
      <c r="E822" s="97"/>
      <c r="F822" s="97"/>
    </row>
    <row r="823" spans="3:6" ht="13.2">
      <c r="C823" s="97"/>
      <c r="D823" s="97"/>
      <c r="E823" s="97"/>
      <c r="F823" s="97"/>
    </row>
    <row r="824" spans="3:6" ht="13.2">
      <c r="C824" s="97"/>
      <c r="D824" s="97"/>
      <c r="E824" s="97"/>
      <c r="F824" s="97"/>
    </row>
    <row r="825" spans="3:6" ht="13.2">
      <c r="C825" s="97"/>
      <c r="D825" s="97"/>
      <c r="E825" s="97"/>
      <c r="F825" s="97"/>
    </row>
    <row r="826" spans="3:6" ht="13.2">
      <c r="C826" s="97"/>
      <c r="D826" s="97"/>
      <c r="E826" s="97"/>
      <c r="F826" s="97"/>
    </row>
    <row r="827" spans="3:6" ht="13.2">
      <c r="C827" s="97"/>
      <c r="D827" s="97"/>
      <c r="E827" s="97"/>
      <c r="F827" s="97"/>
    </row>
    <row r="828" spans="3:6" ht="13.2">
      <c r="C828" s="97"/>
      <c r="D828" s="97"/>
      <c r="E828" s="97"/>
      <c r="F828" s="97"/>
    </row>
    <row r="829" spans="3:6" ht="13.2">
      <c r="C829" s="97"/>
      <c r="D829" s="97"/>
      <c r="E829" s="97"/>
      <c r="F829" s="97"/>
    </row>
    <row r="830" spans="3:6" ht="13.2">
      <c r="C830" s="97"/>
      <c r="D830" s="97"/>
      <c r="E830" s="97"/>
      <c r="F830" s="97"/>
    </row>
    <row r="831" spans="3:6" ht="13.2">
      <c r="C831" s="97"/>
      <c r="D831" s="97"/>
      <c r="E831" s="97"/>
      <c r="F831" s="97"/>
    </row>
    <row r="832" spans="3:6" ht="13.2">
      <c r="C832" s="97"/>
      <c r="D832" s="97"/>
      <c r="E832" s="97"/>
      <c r="F832" s="97"/>
    </row>
    <row r="833" spans="3:6" ht="13.2">
      <c r="C833" s="97"/>
      <c r="D833" s="97"/>
      <c r="E833" s="97"/>
      <c r="F833" s="97"/>
    </row>
    <row r="834" spans="3:6" ht="13.2">
      <c r="C834" s="97"/>
      <c r="D834" s="97"/>
      <c r="E834" s="97"/>
      <c r="F834" s="97"/>
    </row>
    <row r="835" spans="3:6" ht="13.2">
      <c r="C835" s="97"/>
      <c r="D835" s="97"/>
      <c r="E835" s="97"/>
      <c r="F835" s="97"/>
    </row>
    <row r="836" spans="3:6" ht="13.2">
      <c r="C836" s="97"/>
      <c r="D836" s="97"/>
      <c r="E836" s="97"/>
      <c r="F836" s="97"/>
    </row>
    <row r="837" spans="3:6" ht="13.2">
      <c r="C837" s="97"/>
      <c r="D837" s="97"/>
      <c r="E837" s="97"/>
      <c r="F837" s="97"/>
    </row>
    <row r="838" spans="3:6" ht="13.2">
      <c r="C838" s="97"/>
      <c r="D838" s="97"/>
      <c r="E838" s="97"/>
      <c r="F838" s="97"/>
    </row>
    <row r="839" spans="3:6" ht="13.2">
      <c r="C839" s="97"/>
      <c r="D839" s="97"/>
      <c r="E839" s="97"/>
      <c r="F839" s="97"/>
    </row>
    <row r="840" spans="3:6" ht="13.2">
      <c r="C840" s="97"/>
      <c r="D840" s="97"/>
      <c r="E840" s="97"/>
      <c r="F840" s="97"/>
    </row>
    <row r="841" spans="3:6" ht="13.2">
      <c r="C841" s="97"/>
      <c r="D841" s="97"/>
      <c r="E841" s="97"/>
      <c r="F841" s="97"/>
    </row>
    <row r="842" spans="3:6" ht="13.2">
      <c r="C842" s="97"/>
      <c r="D842" s="97"/>
      <c r="E842" s="97"/>
      <c r="F842" s="97"/>
    </row>
    <row r="843" spans="3:6" ht="13.2">
      <c r="C843" s="97"/>
      <c r="D843" s="97"/>
      <c r="E843" s="97"/>
      <c r="F843" s="97"/>
    </row>
    <row r="844" spans="3:6" ht="13.2">
      <c r="C844" s="97"/>
      <c r="D844" s="97"/>
      <c r="E844" s="97"/>
      <c r="F844" s="97"/>
    </row>
    <row r="845" spans="3:6" ht="13.2">
      <c r="C845" s="97"/>
      <c r="D845" s="97"/>
      <c r="E845" s="97"/>
      <c r="F845" s="97"/>
    </row>
    <row r="846" spans="3:6" ht="13.2">
      <c r="C846" s="97"/>
      <c r="D846" s="97"/>
      <c r="E846" s="97"/>
      <c r="F846" s="97"/>
    </row>
    <row r="847" spans="3:6" ht="13.2">
      <c r="C847" s="97"/>
      <c r="D847" s="97"/>
      <c r="E847" s="97"/>
      <c r="F847" s="97"/>
    </row>
    <row r="848" spans="3:6" ht="13.2">
      <c r="C848" s="97"/>
      <c r="D848" s="97"/>
      <c r="E848" s="97"/>
      <c r="F848" s="97"/>
    </row>
    <row r="849" spans="3:6" ht="13.2">
      <c r="C849" s="97"/>
      <c r="D849" s="97"/>
      <c r="E849" s="97"/>
      <c r="F849" s="97"/>
    </row>
    <row r="850" spans="3:6" ht="13.2">
      <c r="C850" s="97"/>
      <c r="D850" s="97"/>
      <c r="E850" s="97"/>
      <c r="F850" s="97"/>
    </row>
    <row r="851" spans="3:6" ht="13.2">
      <c r="C851" s="97"/>
      <c r="D851" s="97"/>
      <c r="E851" s="97"/>
      <c r="F851" s="97"/>
    </row>
    <row r="852" spans="3:6" ht="13.2">
      <c r="C852" s="97"/>
      <c r="D852" s="97"/>
      <c r="E852" s="97"/>
      <c r="F852" s="97"/>
    </row>
    <row r="853" spans="3:6" ht="13.2">
      <c r="C853" s="97"/>
      <c r="D853" s="97"/>
      <c r="E853" s="97"/>
      <c r="F853" s="97"/>
    </row>
    <row r="854" spans="3:6" ht="13.2">
      <c r="C854" s="97"/>
      <c r="D854" s="97"/>
      <c r="E854" s="97"/>
      <c r="F854" s="97"/>
    </row>
    <row r="855" spans="3:6" ht="13.2">
      <c r="C855" s="97"/>
      <c r="D855" s="97"/>
      <c r="E855" s="97"/>
      <c r="F855" s="97"/>
    </row>
    <row r="856" spans="3:6" ht="13.2">
      <c r="C856" s="97"/>
      <c r="D856" s="97"/>
      <c r="E856" s="97"/>
      <c r="F856" s="97"/>
    </row>
    <row r="857" spans="3:6" ht="13.2">
      <c r="C857" s="97"/>
      <c r="D857" s="97"/>
      <c r="E857" s="97"/>
      <c r="F857" s="97"/>
    </row>
    <row r="858" spans="3:6" ht="13.2">
      <c r="C858" s="97"/>
      <c r="D858" s="97"/>
      <c r="E858" s="97"/>
      <c r="F858" s="97"/>
    </row>
    <row r="859" spans="3:6" ht="13.2">
      <c r="C859" s="97"/>
      <c r="D859" s="97"/>
      <c r="E859" s="97"/>
      <c r="F859" s="97"/>
    </row>
    <row r="860" spans="3:6" ht="13.2">
      <c r="C860" s="97"/>
      <c r="D860" s="97"/>
      <c r="E860" s="97"/>
      <c r="F860" s="97"/>
    </row>
    <row r="861" spans="3:6" ht="13.2">
      <c r="C861" s="97"/>
      <c r="D861" s="97"/>
      <c r="E861" s="97"/>
      <c r="F861" s="97"/>
    </row>
    <row r="862" spans="3:6" ht="13.2">
      <c r="C862" s="97"/>
      <c r="D862" s="97"/>
      <c r="E862" s="97"/>
      <c r="F862" s="97"/>
    </row>
    <row r="863" spans="3:6" ht="13.2">
      <c r="C863" s="97"/>
      <c r="D863" s="97"/>
      <c r="E863" s="97"/>
      <c r="F863" s="97"/>
    </row>
    <row r="864" spans="3:6" ht="13.2">
      <c r="C864" s="97"/>
      <c r="D864" s="97"/>
      <c r="E864" s="97"/>
      <c r="F864" s="97"/>
    </row>
    <row r="865" spans="3:6" ht="13.2">
      <c r="C865" s="97"/>
      <c r="D865" s="97"/>
      <c r="E865" s="97"/>
      <c r="F865" s="97"/>
    </row>
    <row r="866" spans="3:6" ht="13.2">
      <c r="C866" s="97"/>
      <c r="D866" s="97"/>
      <c r="E866" s="97"/>
      <c r="F866" s="97"/>
    </row>
    <row r="867" spans="3:6" ht="13.2">
      <c r="C867" s="97"/>
      <c r="D867" s="97"/>
      <c r="E867" s="97"/>
      <c r="F867" s="97"/>
    </row>
    <row r="868" spans="3:6" ht="13.2">
      <c r="C868" s="97"/>
      <c r="D868" s="97"/>
      <c r="E868" s="97"/>
      <c r="F868" s="97"/>
    </row>
    <row r="869" spans="3:6" ht="13.2">
      <c r="C869" s="97"/>
      <c r="D869" s="97"/>
      <c r="E869" s="97"/>
      <c r="F869" s="97"/>
    </row>
    <row r="870" spans="3:6" ht="13.2">
      <c r="C870" s="97"/>
      <c r="D870" s="97"/>
      <c r="E870" s="97"/>
      <c r="F870" s="97"/>
    </row>
    <row r="871" spans="3:6" ht="13.2">
      <c r="C871" s="97"/>
      <c r="D871" s="97"/>
      <c r="E871" s="97"/>
      <c r="F871" s="97"/>
    </row>
    <row r="872" spans="3:6" ht="13.2">
      <c r="C872" s="97"/>
      <c r="D872" s="97"/>
      <c r="E872" s="97"/>
      <c r="F872" s="97"/>
    </row>
    <row r="873" spans="3:6" ht="13.2">
      <c r="C873" s="97"/>
      <c r="D873" s="97"/>
      <c r="E873" s="97"/>
      <c r="F873" s="97"/>
    </row>
    <row r="874" spans="3:6" ht="13.2">
      <c r="C874" s="97"/>
      <c r="D874" s="97"/>
      <c r="E874" s="97"/>
      <c r="F874" s="97"/>
    </row>
    <row r="875" spans="3:6" ht="13.2">
      <c r="C875" s="97"/>
      <c r="D875" s="97"/>
      <c r="E875" s="97"/>
      <c r="F875" s="97"/>
    </row>
    <row r="876" spans="3:6" ht="13.2">
      <c r="C876" s="97"/>
      <c r="D876" s="97"/>
      <c r="E876" s="97"/>
      <c r="F876" s="97"/>
    </row>
    <row r="877" spans="3:6" ht="13.2">
      <c r="C877" s="97"/>
      <c r="D877" s="97"/>
      <c r="E877" s="97"/>
      <c r="F877" s="97"/>
    </row>
    <row r="878" spans="3:6" ht="13.2">
      <c r="C878" s="97"/>
      <c r="D878" s="97"/>
      <c r="E878" s="97"/>
      <c r="F878" s="97"/>
    </row>
    <row r="879" spans="3:6" ht="13.2">
      <c r="C879" s="97"/>
      <c r="D879" s="97"/>
      <c r="E879" s="97"/>
      <c r="F879" s="97"/>
    </row>
    <row r="880" spans="3:6" ht="13.2">
      <c r="C880" s="97"/>
      <c r="D880" s="97"/>
      <c r="E880" s="97"/>
      <c r="F880" s="97"/>
    </row>
    <row r="881" spans="3:6" ht="13.2">
      <c r="C881" s="97"/>
      <c r="D881" s="97"/>
      <c r="E881" s="97"/>
      <c r="F881" s="97"/>
    </row>
    <row r="882" spans="3:6" ht="13.2">
      <c r="C882" s="97"/>
      <c r="D882" s="97"/>
      <c r="E882" s="97"/>
      <c r="F882" s="97"/>
    </row>
    <row r="883" spans="3:6" ht="13.2">
      <c r="C883" s="97"/>
      <c r="D883" s="97"/>
      <c r="E883" s="97"/>
      <c r="F883" s="97"/>
    </row>
    <row r="884" spans="3:6" ht="13.2">
      <c r="C884" s="97"/>
      <c r="D884" s="97"/>
      <c r="E884" s="97"/>
      <c r="F884" s="97"/>
    </row>
    <row r="885" spans="3:6" ht="13.2">
      <c r="C885" s="97"/>
      <c r="D885" s="97"/>
      <c r="E885" s="97"/>
      <c r="F885" s="97"/>
    </row>
    <row r="886" spans="3:6" ht="13.2">
      <c r="C886" s="97"/>
      <c r="D886" s="97"/>
      <c r="E886" s="97"/>
      <c r="F886" s="97"/>
    </row>
    <row r="887" spans="3:6" ht="13.2">
      <c r="C887" s="97"/>
      <c r="D887" s="97"/>
      <c r="E887" s="97"/>
      <c r="F887" s="97"/>
    </row>
    <row r="888" spans="3:6" ht="13.2">
      <c r="C888" s="97"/>
      <c r="D888" s="97"/>
      <c r="E888" s="97"/>
      <c r="F888" s="97"/>
    </row>
    <row r="889" spans="3:6" ht="13.2">
      <c r="C889" s="97"/>
      <c r="D889" s="97"/>
      <c r="E889" s="97"/>
      <c r="F889" s="97"/>
    </row>
    <row r="890" spans="3:6" ht="13.2">
      <c r="C890" s="97"/>
      <c r="D890" s="97"/>
      <c r="E890" s="97"/>
      <c r="F890" s="97"/>
    </row>
    <row r="891" spans="3:6" ht="13.2">
      <c r="C891" s="97"/>
      <c r="D891" s="97"/>
      <c r="E891" s="97"/>
      <c r="F891" s="97"/>
    </row>
    <row r="892" spans="3:6" ht="13.2">
      <c r="C892" s="97"/>
      <c r="D892" s="97"/>
      <c r="E892" s="97"/>
      <c r="F892" s="97"/>
    </row>
    <row r="893" spans="3:6" ht="13.2">
      <c r="C893" s="97"/>
      <c r="D893" s="97"/>
      <c r="E893" s="97"/>
      <c r="F893" s="97"/>
    </row>
    <row r="894" spans="3:6" ht="13.2">
      <c r="C894" s="97"/>
      <c r="D894" s="97"/>
      <c r="E894" s="97"/>
      <c r="F894" s="97"/>
    </row>
    <row r="895" spans="3:6" ht="13.2">
      <c r="C895" s="97"/>
      <c r="D895" s="97"/>
      <c r="E895" s="97"/>
      <c r="F895" s="97"/>
    </row>
    <row r="896" spans="3:6" ht="13.2">
      <c r="C896" s="97"/>
      <c r="D896" s="97"/>
      <c r="E896" s="97"/>
      <c r="F896" s="97"/>
    </row>
    <row r="897" spans="3:6" ht="13.2">
      <c r="C897" s="97"/>
      <c r="D897" s="97"/>
      <c r="E897" s="97"/>
      <c r="F897" s="97"/>
    </row>
    <row r="898" spans="3:6" ht="13.2">
      <c r="C898" s="97"/>
      <c r="D898" s="97"/>
      <c r="E898" s="97"/>
      <c r="F898" s="97"/>
    </row>
    <row r="899" spans="3:6" ht="13.2">
      <c r="C899" s="97"/>
      <c r="D899" s="97"/>
      <c r="E899" s="97"/>
      <c r="F899" s="97"/>
    </row>
    <row r="900" spans="3:6" ht="13.2">
      <c r="C900" s="97"/>
      <c r="D900" s="97"/>
      <c r="E900" s="97"/>
      <c r="F900" s="97"/>
    </row>
    <row r="901" spans="3:6" ht="13.2">
      <c r="C901" s="97"/>
      <c r="D901" s="97"/>
      <c r="E901" s="97"/>
      <c r="F901" s="97"/>
    </row>
    <row r="902" spans="3:6" ht="13.2">
      <c r="C902" s="97"/>
      <c r="D902" s="97"/>
      <c r="E902" s="97"/>
      <c r="F902" s="97"/>
    </row>
    <row r="903" spans="3:6" ht="13.2">
      <c r="C903" s="97"/>
      <c r="D903" s="97"/>
      <c r="E903" s="97"/>
      <c r="F903" s="97"/>
    </row>
    <row r="904" spans="3:6" ht="13.2">
      <c r="C904" s="97"/>
      <c r="D904" s="97"/>
      <c r="E904" s="97"/>
      <c r="F904" s="97"/>
    </row>
    <row r="905" spans="3:6" ht="13.2">
      <c r="C905" s="97"/>
      <c r="D905" s="97"/>
      <c r="E905" s="97"/>
      <c r="F905" s="97"/>
    </row>
    <row r="906" spans="3:6" ht="13.2">
      <c r="C906" s="97"/>
      <c r="D906" s="97"/>
      <c r="E906" s="97"/>
      <c r="F906" s="97"/>
    </row>
    <row r="907" spans="3:6" ht="13.2">
      <c r="C907" s="97"/>
      <c r="D907" s="97"/>
      <c r="E907" s="97"/>
      <c r="F907" s="97"/>
    </row>
    <row r="908" spans="3:6" ht="13.2">
      <c r="C908" s="97"/>
      <c r="D908" s="97"/>
      <c r="E908" s="97"/>
      <c r="F908" s="97"/>
    </row>
    <row r="909" spans="3:6" ht="13.2">
      <c r="C909" s="97"/>
      <c r="D909" s="97"/>
      <c r="E909" s="97"/>
      <c r="F909" s="97"/>
    </row>
    <row r="910" spans="3:6" ht="13.2">
      <c r="C910" s="97"/>
      <c r="D910" s="97"/>
      <c r="E910" s="97"/>
      <c r="F910" s="97"/>
    </row>
    <row r="911" spans="3:6" ht="13.2">
      <c r="C911" s="97"/>
      <c r="D911" s="97"/>
      <c r="E911" s="97"/>
      <c r="F911" s="97"/>
    </row>
    <row r="912" spans="3:6" ht="13.2">
      <c r="C912" s="97"/>
      <c r="D912" s="97"/>
      <c r="E912" s="97"/>
      <c r="F912" s="97"/>
    </row>
    <row r="913" spans="3:6" ht="13.2">
      <c r="C913" s="97"/>
      <c r="D913" s="97"/>
      <c r="E913" s="97"/>
      <c r="F913" s="97"/>
    </row>
    <row r="914" spans="3:6" ht="13.2">
      <c r="C914" s="97"/>
      <c r="D914" s="97"/>
      <c r="E914" s="97"/>
      <c r="F914" s="97"/>
    </row>
    <row r="915" spans="3:6" ht="13.2">
      <c r="C915" s="97"/>
      <c r="D915" s="97"/>
      <c r="E915" s="97"/>
      <c r="F915" s="97"/>
    </row>
    <row r="916" spans="3:6" ht="13.2">
      <c r="C916" s="97"/>
      <c r="D916" s="97"/>
      <c r="E916" s="97"/>
      <c r="F916" s="97"/>
    </row>
    <row r="917" spans="3:6" ht="13.2">
      <c r="C917" s="97"/>
      <c r="D917" s="97"/>
      <c r="E917" s="97"/>
      <c r="F917" s="97"/>
    </row>
    <row r="918" spans="3:6" ht="13.2">
      <c r="C918" s="97"/>
      <c r="D918" s="97"/>
      <c r="E918" s="97"/>
      <c r="F918" s="97"/>
    </row>
    <row r="919" spans="3:6" ht="13.2">
      <c r="C919" s="97"/>
      <c r="D919" s="97"/>
      <c r="E919" s="97"/>
      <c r="F919" s="97"/>
    </row>
    <row r="920" spans="3:6" ht="13.2">
      <c r="C920" s="97"/>
      <c r="D920" s="97"/>
      <c r="E920" s="97"/>
      <c r="F920" s="97"/>
    </row>
    <row r="921" spans="3:6" ht="13.2">
      <c r="C921" s="97"/>
      <c r="D921" s="97"/>
      <c r="E921" s="97"/>
      <c r="F921" s="97"/>
    </row>
    <row r="922" spans="3:6" ht="13.2">
      <c r="C922" s="97"/>
      <c r="D922" s="97"/>
      <c r="E922" s="97"/>
      <c r="F922" s="97"/>
    </row>
    <row r="923" spans="3:6" ht="13.2">
      <c r="C923" s="97"/>
      <c r="D923" s="97"/>
      <c r="E923" s="97"/>
      <c r="F923" s="97"/>
    </row>
    <row r="924" spans="3:6" ht="13.2">
      <c r="C924" s="97"/>
      <c r="D924" s="97"/>
      <c r="E924" s="97"/>
      <c r="F924" s="97"/>
    </row>
    <row r="925" spans="3:6" ht="13.2">
      <c r="C925" s="97"/>
      <c r="D925" s="97"/>
      <c r="E925" s="97"/>
      <c r="F925" s="97"/>
    </row>
    <row r="926" spans="3:6" ht="13.2">
      <c r="C926" s="97"/>
      <c r="D926" s="97"/>
      <c r="E926" s="97"/>
      <c r="F926" s="97"/>
    </row>
    <row r="927" spans="3:6" ht="13.2">
      <c r="C927" s="97"/>
      <c r="D927" s="97"/>
      <c r="E927" s="97"/>
      <c r="F927" s="97"/>
    </row>
    <row r="928" spans="3:6" ht="13.2">
      <c r="C928" s="97"/>
      <c r="D928" s="97"/>
      <c r="E928" s="97"/>
      <c r="F928" s="97"/>
    </row>
    <row r="929" spans="3:6" ht="13.2">
      <c r="C929" s="97"/>
      <c r="D929" s="97"/>
      <c r="E929" s="97"/>
      <c r="F929" s="97"/>
    </row>
    <row r="930" spans="3:6" ht="13.2">
      <c r="C930" s="97"/>
      <c r="D930" s="97"/>
      <c r="E930" s="97"/>
      <c r="F930" s="97"/>
    </row>
    <row r="931" spans="3:6" ht="13.2">
      <c r="C931" s="97"/>
      <c r="D931" s="97"/>
      <c r="E931" s="97"/>
      <c r="F931" s="97"/>
    </row>
    <row r="932" spans="3:6" ht="13.2">
      <c r="C932" s="97"/>
      <c r="D932" s="97"/>
      <c r="E932" s="97"/>
      <c r="F932" s="97"/>
    </row>
    <row r="933" spans="3:6" ht="13.2">
      <c r="C933" s="97"/>
      <c r="D933" s="97"/>
      <c r="E933" s="97"/>
      <c r="F933" s="97"/>
    </row>
    <row r="934" spans="3:6" ht="13.2">
      <c r="C934" s="97"/>
      <c r="D934" s="97"/>
      <c r="E934" s="97"/>
      <c r="F934" s="97"/>
    </row>
    <row r="935" spans="3:6" ht="13.2">
      <c r="C935" s="97"/>
      <c r="D935" s="97"/>
      <c r="E935" s="97"/>
      <c r="F935" s="97"/>
    </row>
    <row r="936" spans="3:6" ht="13.2">
      <c r="C936" s="97"/>
      <c r="D936" s="97"/>
      <c r="E936" s="97"/>
      <c r="F936" s="97"/>
    </row>
    <row r="937" spans="3:6" ht="13.2">
      <c r="C937" s="97"/>
      <c r="D937" s="97"/>
      <c r="E937" s="97"/>
      <c r="F937" s="97"/>
    </row>
    <row r="938" spans="3:6" ht="13.2">
      <c r="C938" s="97"/>
      <c r="D938" s="97"/>
      <c r="E938" s="97"/>
      <c r="F938" s="97"/>
    </row>
    <row r="939" spans="3:6" ht="13.2">
      <c r="C939" s="97"/>
      <c r="D939" s="97"/>
      <c r="E939" s="97"/>
      <c r="F939" s="97"/>
    </row>
    <row r="940" spans="3:6" ht="13.2">
      <c r="C940" s="97"/>
      <c r="D940" s="97"/>
      <c r="E940" s="97"/>
      <c r="F940" s="97"/>
    </row>
    <row r="941" spans="3:6" ht="13.2">
      <c r="C941" s="97"/>
      <c r="D941" s="97"/>
      <c r="E941" s="97"/>
      <c r="F941" s="97"/>
    </row>
    <row r="942" spans="3:6" ht="13.2">
      <c r="C942" s="97"/>
      <c r="D942" s="97"/>
      <c r="E942" s="97"/>
      <c r="F942" s="97"/>
    </row>
    <row r="943" spans="3:6" ht="13.2">
      <c r="C943" s="97"/>
      <c r="D943" s="97"/>
      <c r="E943" s="97"/>
      <c r="F943" s="97"/>
    </row>
    <row r="944" spans="3:6" ht="13.2">
      <c r="C944" s="97"/>
      <c r="D944" s="97"/>
      <c r="E944" s="97"/>
      <c r="F944" s="97"/>
    </row>
    <row r="945" spans="3:6" ht="13.2">
      <c r="C945" s="97"/>
      <c r="D945" s="97"/>
      <c r="E945" s="97"/>
      <c r="F945" s="97"/>
    </row>
    <row r="946" spans="3:6" ht="13.2">
      <c r="C946" s="97"/>
      <c r="D946" s="97"/>
      <c r="E946" s="97"/>
      <c r="F946" s="97"/>
    </row>
    <row r="947" spans="3:6" ht="13.2">
      <c r="C947" s="97"/>
      <c r="D947" s="97"/>
      <c r="E947" s="97"/>
      <c r="F947" s="97"/>
    </row>
    <row r="948" spans="3:6" ht="13.2">
      <c r="C948" s="97"/>
      <c r="D948" s="97"/>
      <c r="E948" s="97"/>
      <c r="F948" s="97"/>
    </row>
    <row r="949" spans="3:6" ht="13.2">
      <c r="C949" s="97"/>
      <c r="D949" s="97"/>
      <c r="E949" s="97"/>
      <c r="F949" s="97"/>
    </row>
    <row r="950" spans="3:6" ht="13.2">
      <c r="C950" s="97"/>
      <c r="D950" s="97"/>
      <c r="E950" s="97"/>
      <c r="F950" s="97"/>
    </row>
    <row r="951" spans="3:6" ht="13.2">
      <c r="C951" s="97"/>
      <c r="D951" s="97"/>
      <c r="E951" s="97"/>
      <c r="F951" s="97"/>
    </row>
    <row r="952" spans="3:6" ht="13.2">
      <c r="C952" s="97"/>
      <c r="D952" s="97"/>
      <c r="E952" s="97"/>
      <c r="F952" s="97"/>
    </row>
    <row r="953" spans="3:6" ht="13.2">
      <c r="C953" s="97"/>
      <c r="D953" s="97"/>
      <c r="E953" s="97"/>
      <c r="F953" s="97"/>
    </row>
    <row r="954" spans="3:6" ht="13.2">
      <c r="C954" s="97"/>
      <c r="D954" s="97"/>
      <c r="E954" s="97"/>
      <c r="F954" s="97"/>
    </row>
    <row r="955" spans="3:6" ht="13.2">
      <c r="C955" s="97"/>
      <c r="D955" s="97"/>
      <c r="E955" s="97"/>
      <c r="F955" s="97"/>
    </row>
    <row r="956" spans="3:6" ht="13.2">
      <c r="C956" s="97"/>
      <c r="D956" s="97"/>
      <c r="E956" s="97"/>
      <c r="F956" s="97"/>
    </row>
    <row r="957" spans="3:6" ht="13.2">
      <c r="C957" s="97"/>
      <c r="D957" s="97"/>
      <c r="E957" s="97"/>
      <c r="F957" s="97"/>
    </row>
    <row r="958" spans="3:6" ht="13.2">
      <c r="C958" s="97"/>
      <c r="D958" s="97"/>
      <c r="E958" s="97"/>
      <c r="F958" s="97"/>
    </row>
    <row r="959" spans="3:6" ht="13.2">
      <c r="C959" s="97"/>
      <c r="D959" s="97"/>
      <c r="E959" s="97"/>
      <c r="F959" s="97"/>
    </row>
    <row r="960" spans="3:6" ht="13.2">
      <c r="C960" s="97"/>
      <c r="D960" s="97"/>
      <c r="E960" s="97"/>
      <c r="F960" s="97"/>
    </row>
    <row r="961" spans="3:6" ht="13.2">
      <c r="C961" s="97"/>
      <c r="D961" s="97"/>
      <c r="E961" s="97"/>
      <c r="F961" s="97"/>
    </row>
    <row r="962" spans="3:6" ht="13.2">
      <c r="C962" s="97"/>
      <c r="D962" s="97"/>
      <c r="E962" s="97"/>
      <c r="F962" s="97"/>
    </row>
    <row r="963" spans="3:6" ht="13.2">
      <c r="C963" s="97"/>
      <c r="D963" s="97"/>
      <c r="E963" s="97"/>
      <c r="F963" s="97"/>
    </row>
    <row r="964" spans="3:6" ht="13.2">
      <c r="C964" s="97"/>
      <c r="D964" s="97"/>
      <c r="E964" s="97"/>
      <c r="F964" s="97"/>
    </row>
    <row r="965" spans="3:6" ht="13.2">
      <c r="C965" s="97"/>
      <c r="D965" s="97"/>
      <c r="E965" s="97"/>
      <c r="F965" s="97"/>
    </row>
    <row r="966" spans="3:6" ht="13.2">
      <c r="C966" s="97"/>
      <c r="D966" s="97"/>
      <c r="E966" s="97"/>
      <c r="F966" s="97"/>
    </row>
    <row r="967" spans="3:6" ht="13.2">
      <c r="C967" s="97"/>
      <c r="D967" s="97"/>
      <c r="E967" s="97"/>
      <c r="F967" s="97"/>
    </row>
    <row r="968" spans="3:6" ht="13.2">
      <c r="C968" s="97"/>
      <c r="D968" s="97"/>
      <c r="E968" s="97"/>
      <c r="F968" s="97"/>
    </row>
    <row r="969" spans="3:6" ht="13.2">
      <c r="C969" s="97"/>
      <c r="D969" s="97"/>
      <c r="E969" s="97"/>
      <c r="F969" s="97"/>
    </row>
    <row r="970" spans="3:6" ht="13.2">
      <c r="C970" s="97"/>
      <c r="D970" s="97"/>
      <c r="E970" s="97"/>
      <c r="F970" s="97"/>
    </row>
    <row r="971" spans="3:6" ht="13.2">
      <c r="C971" s="97"/>
      <c r="D971" s="97"/>
      <c r="E971" s="97"/>
      <c r="F971" s="97"/>
    </row>
    <row r="972" spans="3:6" ht="13.2">
      <c r="C972" s="97"/>
      <c r="D972" s="97"/>
      <c r="E972" s="97"/>
      <c r="F972" s="97"/>
    </row>
    <row r="973" spans="3:6" ht="13.2">
      <c r="C973" s="97"/>
      <c r="D973" s="97"/>
      <c r="E973" s="97"/>
      <c r="F973" s="97"/>
    </row>
    <row r="974" spans="3:6" ht="13.2">
      <c r="C974" s="97"/>
      <c r="D974" s="97"/>
      <c r="E974" s="97"/>
      <c r="F974" s="97"/>
    </row>
    <row r="975" spans="3:6" ht="13.2">
      <c r="C975" s="97"/>
      <c r="D975" s="97"/>
      <c r="E975" s="97"/>
      <c r="F975" s="97"/>
    </row>
    <row r="976" spans="3:6" ht="13.2">
      <c r="C976" s="97"/>
      <c r="D976" s="97"/>
      <c r="E976" s="97"/>
      <c r="F976" s="97"/>
    </row>
    <row r="977" spans="3:6" ht="13.2">
      <c r="C977" s="97"/>
      <c r="D977" s="97"/>
      <c r="E977" s="97"/>
      <c r="F977" s="97"/>
    </row>
    <row r="978" spans="3:6" ht="13.2">
      <c r="C978" s="97"/>
      <c r="D978" s="97"/>
      <c r="E978" s="97"/>
      <c r="F978" s="97"/>
    </row>
    <row r="979" spans="3:6" ht="13.2">
      <c r="C979" s="97"/>
      <c r="D979" s="97"/>
      <c r="E979" s="97"/>
      <c r="F979" s="97"/>
    </row>
    <row r="980" spans="3:6" ht="13.2">
      <c r="C980" s="97"/>
      <c r="D980" s="97"/>
      <c r="E980" s="97"/>
      <c r="F980" s="97"/>
    </row>
    <row r="981" spans="3:6" ht="13.2">
      <c r="C981" s="97"/>
      <c r="D981" s="97"/>
      <c r="E981" s="97"/>
      <c r="F981" s="97"/>
    </row>
    <row r="982" spans="3:6" ht="13.2">
      <c r="C982" s="97"/>
      <c r="D982" s="97"/>
      <c r="E982" s="97"/>
      <c r="F982" s="97"/>
    </row>
    <row r="983" spans="3:6" ht="13.2">
      <c r="C983" s="97"/>
      <c r="D983" s="97"/>
      <c r="E983" s="97"/>
      <c r="F983" s="97"/>
    </row>
    <row r="984" spans="3:6" ht="13.2">
      <c r="C984" s="97"/>
      <c r="D984" s="97"/>
      <c r="E984" s="97"/>
      <c r="F984" s="97"/>
    </row>
    <row r="985" spans="3:6" ht="13.2">
      <c r="C985" s="97"/>
      <c r="D985" s="97"/>
      <c r="E985" s="97"/>
      <c r="F985" s="97"/>
    </row>
    <row r="986" spans="3:6" ht="13.2">
      <c r="C986" s="97"/>
      <c r="D986" s="97"/>
      <c r="E986" s="97"/>
      <c r="F986" s="97"/>
    </row>
    <row r="987" spans="3:6" ht="13.2">
      <c r="C987" s="97"/>
      <c r="D987" s="97"/>
      <c r="E987" s="97"/>
      <c r="F987" s="97"/>
    </row>
    <row r="988" spans="3:6" ht="13.2">
      <c r="C988" s="97"/>
      <c r="D988" s="97"/>
      <c r="E988" s="97"/>
      <c r="F988" s="97"/>
    </row>
    <row r="989" spans="3:6" ht="13.2">
      <c r="C989" s="97"/>
      <c r="D989" s="97"/>
      <c r="E989" s="97"/>
      <c r="F989" s="97"/>
    </row>
    <row r="990" spans="3:6" ht="13.2">
      <c r="C990" s="97"/>
      <c r="D990" s="97"/>
      <c r="E990" s="97"/>
      <c r="F990" s="97"/>
    </row>
    <row r="991" spans="3:6" ht="13.2">
      <c r="C991" s="97"/>
      <c r="D991" s="97"/>
      <c r="E991" s="97"/>
      <c r="F991" s="97"/>
    </row>
    <row r="992" spans="3:6" ht="13.2">
      <c r="C992" s="97"/>
      <c r="D992" s="97"/>
      <c r="E992" s="97"/>
      <c r="F992" s="97"/>
    </row>
    <row r="993" spans="3:6" ht="13.2">
      <c r="C993" s="97"/>
      <c r="D993" s="97"/>
      <c r="E993" s="97"/>
      <c r="F993" s="97"/>
    </row>
    <row r="994" spans="3:6" ht="13.2">
      <c r="C994" s="97"/>
      <c r="D994" s="97"/>
      <c r="E994" s="97"/>
      <c r="F994" s="97"/>
    </row>
    <row r="995" spans="3:6" ht="13.2">
      <c r="C995" s="97"/>
      <c r="D995" s="97"/>
      <c r="E995" s="97"/>
      <c r="F995" s="97"/>
    </row>
    <row r="996" spans="3:6" ht="13.2">
      <c r="C996" s="97"/>
      <c r="D996" s="97"/>
      <c r="E996" s="97"/>
      <c r="F996" s="97"/>
    </row>
    <row r="997" spans="3:6" ht="13.2">
      <c r="C997" s="97"/>
      <c r="D997" s="97"/>
      <c r="E997" s="97"/>
      <c r="F997" s="97"/>
    </row>
    <row r="998" spans="3:6" ht="13.2">
      <c r="C998" s="97"/>
      <c r="D998" s="97"/>
      <c r="E998" s="97"/>
      <c r="F998" s="97"/>
    </row>
    <row r="999" spans="3:6" ht="13.2">
      <c r="C999" s="97"/>
      <c r="D999" s="97"/>
      <c r="E999" s="97"/>
      <c r="F999" s="97"/>
    </row>
    <row r="1000" spans="3:6" ht="13.2">
      <c r="C1000" s="97"/>
      <c r="D1000" s="97"/>
      <c r="E1000" s="97"/>
      <c r="F1000" s="97"/>
    </row>
    <row r="1001" spans="3:6" ht="13.2">
      <c r="C1001" s="97"/>
      <c r="D1001" s="97"/>
      <c r="E1001" s="97"/>
      <c r="F1001" s="97"/>
    </row>
    <row r="1002" spans="3:6" ht="13.2">
      <c r="C1002" s="97"/>
      <c r="D1002" s="97"/>
      <c r="E1002" s="97"/>
      <c r="F1002" s="97"/>
    </row>
    <row r="1003" spans="3:6" ht="13.2">
      <c r="C1003" s="97"/>
      <c r="D1003" s="97"/>
      <c r="E1003" s="97"/>
      <c r="F1003" s="97"/>
    </row>
    <row r="1004" spans="3:6" ht="13.2">
      <c r="C1004" s="97"/>
      <c r="D1004" s="97"/>
      <c r="E1004" s="97"/>
      <c r="F1004" s="97"/>
    </row>
    <row r="1005" spans="3:6" ht="13.2">
      <c r="C1005" s="97"/>
      <c r="D1005" s="97"/>
      <c r="E1005" s="97"/>
      <c r="F1005" s="97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F1005"/>
  <sheetViews>
    <sheetView workbookViewId="0">
      <selection activeCell="D24" sqref="D24"/>
    </sheetView>
  </sheetViews>
  <sheetFormatPr defaultColWidth="14.44140625" defaultRowHeight="15.75" customHeight="1"/>
  <cols>
    <col min="1" max="1" width="69.33203125" style="7" customWidth="1"/>
    <col min="2" max="16384" width="14.44140625" style="7"/>
  </cols>
  <sheetData>
    <row r="1" spans="1:6" ht="54">
      <c r="A1" s="108" t="s">
        <v>335</v>
      </c>
      <c r="B1" s="99"/>
      <c r="C1" s="13" t="s">
        <v>220</v>
      </c>
      <c r="D1" s="13" t="s">
        <v>219</v>
      </c>
      <c r="E1" s="13" t="s">
        <v>218</v>
      </c>
      <c r="F1" s="13" t="s">
        <v>217</v>
      </c>
    </row>
    <row r="2" spans="1:6" ht="13.2">
      <c r="A2" s="99"/>
      <c r="B2" s="99"/>
      <c r="C2" s="13"/>
      <c r="D2" s="13"/>
      <c r="E2" s="13"/>
      <c r="F2" s="13"/>
    </row>
    <row r="3" spans="1:6" ht="13.2">
      <c r="A3" s="99"/>
      <c r="B3" s="99"/>
      <c r="C3" s="97"/>
      <c r="D3" s="97"/>
      <c r="E3" s="97"/>
      <c r="F3" s="97"/>
    </row>
    <row r="4" spans="1:6" ht="13.2">
      <c r="A4" s="101" t="s">
        <v>334</v>
      </c>
      <c r="B4" s="99"/>
      <c r="C4" s="97"/>
      <c r="D4" s="97"/>
      <c r="E4" s="97"/>
      <c r="F4" s="97"/>
    </row>
    <row r="5" spans="1:6" ht="13.2">
      <c r="A5" s="101" t="s">
        <v>333</v>
      </c>
      <c r="B5" s="99"/>
      <c r="C5" s="97"/>
      <c r="D5" s="97"/>
      <c r="E5" s="97"/>
      <c r="F5" s="97"/>
    </row>
    <row r="6" spans="1:6" ht="13.2">
      <c r="A6" s="100" t="s">
        <v>332</v>
      </c>
      <c r="B6" s="99"/>
      <c r="C6" s="97">
        <v>82049</v>
      </c>
      <c r="D6" s="97">
        <v>124820</v>
      </c>
      <c r="E6" s="97">
        <v>145538</v>
      </c>
      <c r="F6" s="97">
        <v>122332</v>
      </c>
    </row>
    <row r="7" spans="1:6" ht="13.2">
      <c r="A7" s="100" t="s">
        <v>331</v>
      </c>
      <c r="B7" s="99"/>
      <c r="C7" s="97"/>
      <c r="D7" s="97"/>
      <c r="E7" s="97"/>
      <c r="F7" s="97"/>
    </row>
    <row r="8" spans="1:6" ht="13.2">
      <c r="A8" s="100" t="s">
        <v>330</v>
      </c>
      <c r="B8" s="99"/>
      <c r="C8" s="97">
        <v>3931</v>
      </c>
      <c r="D8" s="97">
        <v>-20026</v>
      </c>
      <c r="E8" s="97">
        <v>-2576</v>
      </c>
      <c r="F8" s="97">
        <v>813</v>
      </c>
    </row>
    <row r="9" spans="1:6" ht="13.2">
      <c r="A9" s="100" t="s">
        <v>329</v>
      </c>
      <c r="B9" s="99"/>
      <c r="C9" s="97">
        <v>4862</v>
      </c>
      <c r="D9" s="97">
        <v>5101</v>
      </c>
      <c r="E9" s="97">
        <v>1156</v>
      </c>
      <c r="F9" s="97">
        <v>557</v>
      </c>
    </row>
    <row r="10" spans="1:6" ht="13.2">
      <c r="A10" s="100" t="s">
        <v>328</v>
      </c>
      <c r="C10" s="97">
        <v>3146</v>
      </c>
      <c r="D10" s="97">
        <v>3303</v>
      </c>
      <c r="E10" s="97">
        <v>3753</v>
      </c>
      <c r="F10" s="97">
        <v>2674</v>
      </c>
    </row>
    <row r="11" spans="1:6" ht="13.2">
      <c r="A11" s="100" t="s">
        <v>327</v>
      </c>
      <c r="C11" s="97">
        <v>1939</v>
      </c>
      <c r="D11" s="97">
        <v>-21641</v>
      </c>
      <c r="E11" s="97">
        <v>-131109</v>
      </c>
      <c r="F11" s="97">
        <v>-75660</v>
      </c>
    </row>
    <row r="12" spans="1:6" ht="13.2">
      <c r="A12" s="100" t="s">
        <v>326</v>
      </c>
      <c r="C12" s="97" t="s">
        <v>184</v>
      </c>
      <c r="D12" s="97" t="s">
        <v>184</v>
      </c>
      <c r="E12" s="97">
        <v>-28555</v>
      </c>
      <c r="F12" s="97">
        <v>-68160</v>
      </c>
    </row>
    <row r="13" spans="1:6" ht="13.2">
      <c r="A13" s="100" t="s">
        <v>325</v>
      </c>
      <c r="C13" s="97">
        <v>-23109</v>
      </c>
      <c r="D13" s="97">
        <v>-12524</v>
      </c>
      <c r="E13" s="97">
        <v>-11187</v>
      </c>
      <c r="F13" s="97">
        <v>-15564</v>
      </c>
    </row>
    <row r="14" spans="1:6" ht="13.2">
      <c r="A14" s="100" t="s">
        <v>324</v>
      </c>
      <c r="C14" s="97">
        <v>10</v>
      </c>
      <c r="D14" s="97">
        <v>-204</v>
      </c>
      <c r="E14" s="97">
        <v>-1</v>
      </c>
      <c r="F14" s="97">
        <v>-318</v>
      </c>
    </row>
    <row r="15" spans="1:6" ht="13.2">
      <c r="A15" s="100" t="s">
        <v>323</v>
      </c>
      <c r="C15" s="97">
        <v>993</v>
      </c>
      <c r="D15" s="97">
        <v>1079</v>
      </c>
      <c r="E15" s="97">
        <v>640</v>
      </c>
      <c r="F15" s="97">
        <v>1080</v>
      </c>
    </row>
    <row r="16" spans="1:6" ht="13.2">
      <c r="A16" s="100" t="s">
        <v>322</v>
      </c>
      <c r="C16" s="97">
        <v>-1</v>
      </c>
      <c r="D16" s="97" t="s">
        <v>184</v>
      </c>
      <c r="E16" s="97">
        <v>70</v>
      </c>
      <c r="F16" s="97">
        <v>-48</v>
      </c>
    </row>
    <row r="17" spans="1:6" ht="13.2">
      <c r="A17" s="100" t="s">
        <v>321</v>
      </c>
      <c r="C17" s="97">
        <v>20</v>
      </c>
      <c r="D17" s="97">
        <v>65</v>
      </c>
      <c r="E17" s="97">
        <v>11</v>
      </c>
      <c r="F17" s="97">
        <v>269</v>
      </c>
    </row>
    <row r="18" spans="1:6" ht="13.2">
      <c r="A18" s="100" t="s">
        <v>320</v>
      </c>
      <c r="C18" s="97">
        <v>90</v>
      </c>
      <c r="D18" s="97">
        <v>-95</v>
      </c>
      <c r="E18" s="97">
        <v>517</v>
      </c>
      <c r="F18" s="97">
        <v>-93</v>
      </c>
    </row>
    <row r="19" spans="1:6" ht="13.2">
      <c r="A19" s="100" t="s">
        <v>212</v>
      </c>
      <c r="C19" s="97">
        <v>-29553</v>
      </c>
      <c r="D19" s="97">
        <v>5302</v>
      </c>
      <c r="E19" s="97">
        <v>-2577</v>
      </c>
      <c r="F19" s="97">
        <v>6633</v>
      </c>
    </row>
    <row r="20" spans="1:6" ht="13.2">
      <c r="A20" s="100" t="s">
        <v>319</v>
      </c>
      <c r="C20" s="97">
        <v>2920</v>
      </c>
      <c r="D20" s="97">
        <v>-2971</v>
      </c>
      <c r="E20" s="97">
        <v>2582</v>
      </c>
      <c r="F20" s="97">
        <v>5204</v>
      </c>
    </row>
    <row r="21" spans="1:6" ht="13.2">
      <c r="A21" s="100" t="s">
        <v>318</v>
      </c>
      <c r="C21" s="97" t="s">
        <v>184</v>
      </c>
      <c r="D21" s="97" t="s">
        <v>184</v>
      </c>
      <c r="E21" s="97" t="s">
        <v>184</v>
      </c>
      <c r="F21" s="97">
        <v>-4430</v>
      </c>
    </row>
    <row r="22" spans="1:6" ht="13.2">
      <c r="A22" s="100" t="s">
        <v>213</v>
      </c>
      <c r="C22" s="97" t="s">
        <v>184</v>
      </c>
      <c r="D22" s="97">
        <v>-29559</v>
      </c>
      <c r="E22" s="97" t="s">
        <v>184</v>
      </c>
      <c r="F22" s="97" t="s">
        <v>184</v>
      </c>
    </row>
    <row r="23" spans="1:6" ht="13.2">
      <c r="A23" s="100" t="s">
        <v>317</v>
      </c>
      <c r="C23" s="97">
        <v>-1012</v>
      </c>
      <c r="D23" s="97">
        <v>3060</v>
      </c>
      <c r="E23" s="97">
        <v>-1960</v>
      </c>
      <c r="F23" s="97">
        <v>-448</v>
      </c>
    </row>
    <row r="24" spans="1:6" ht="13.2">
      <c r="A24" s="100" t="s">
        <v>316</v>
      </c>
      <c r="C24" s="97">
        <v>-512</v>
      </c>
      <c r="D24" s="97" t="s">
        <v>184</v>
      </c>
      <c r="E24" s="97" t="s">
        <v>184</v>
      </c>
      <c r="F24" s="97">
        <v>-2489</v>
      </c>
    </row>
    <row r="25" spans="1:6" ht="13.2">
      <c r="A25" s="100" t="s">
        <v>315</v>
      </c>
      <c r="C25" s="97" t="s">
        <v>184</v>
      </c>
      <c r="D25" s="97" t="s">
        <v>184</v>
      </c>
      <c r="E25" s="97">
        <v>8789</v>
      </c>
      <c r="F25" s="97" t="s">
        <v>184</v>
      </c>
    </row>
    <row r="26" spans="1:6" ht="13.2">
      <c r="A26" s="100" t="s">
        <v>210</v>
      </c>
      <c r="C26" s="97" t="s">
        <v>184</v>
      </c>
      <c r="D26" s="97" t="s">
        <v>184</v>
      </c>
      <c r="E26" s="97"/>
      <c r="F26" s="97">
        <v>9472</v>
      </c>
    </row>
    <row r="27" spans="1:6" ht="13.2">
      <c r="A27" s="100" t="s">
        <v>208</v>
      </c>
      <c r="C27" s="97" t="s">
        <v>184</v>
      </c>
      <c r="D27" s="97" t="s">
        <v>184</v>
      </c>
      <c r="E27" s="97">
        <v>10286</v>
      </c>
      <c r="F27" s="97" t="s">
        <v>184</v>
      </c>
    </row>
    <row r="28" spans="1:6" ht="13.2">
      <c r="A28" s="100" t="s">
        <v>314</v>
      </c>
      <c r="C28" s="97" t="s">
        <v>184</v>
      </c>
      <c r="D28" s="97">
        <v>-18975</v>
      </c>
      <c r="E28" s="97" t="s">
        <v>184</v>
      </c>
      <c r="F28" s="97" t="s">
        <v>184</v>
      </c>
    </row>
    <row r="29" spans="1:6" ht="13.2">
      <c r="A29" s="100" t="s">
        <v>313</v>
      </c>
      <c r="C29" s="37">
        <v>45773</v>
      </c>
      <c r="D29" s="37">
        <v>36735</v>
      </c>
      <c r="E29" s="37">
        <v>-4623</v>
      </c>
      <c r="F29" s="37">
        <v>-18176</v>
      </c>
    </row>
    <row r="30" spans="1:6" ht="13.2">
      <c r="A30" s="100"/>
      <c r="C30" s="97"/>
      <c r="D30" s="97"/>
      <c r="E30" s="97"/>
      <c r="F30" s="97"/>
    </row>
    <row r="31" spans="1:6" ht="13.2">
      <c r="A31" s="100" t="s">
        <v>312</v>
      </c>
      <c r="C31" s="97"/>
      <c r="D31" s="97"/>
      <c r="E31" s="97"/>
      <c r="F31" s="97"/>
    </row>
    <row r="32" spans="1:6" ht="13.2">
      <c r="A32" s="100" t="s">
        <v>311</v>
      </c>
      <c r="C32" s="97">
        <v>-226077</v>
      </c>
      <c r="D32" s="97">
        <v>-15303</v>
      </c>
      <c r="E32" s="97" t="s">
        <v>184</v>
      </c>
      <c r="F32" s="97" t="s">
        <v>184</v>
      </c>
    </row>
    <row r="33" spans="1:6" ht="13.2">
      <c r="A33" s="100" t="s">
        <v>310</v>
      </c>
      <c r="C33" s="97">
        <v>65</v>
      </c>
      <c r="D33" s="97">
        <v>-1110</v>
      </c>
      <c r="E33" s="97">
        <v>-13032</v>
      </c>
      <c r="F33" s="97">
        <v>6695</v>
      </c>
    </row>
    <row r="34" spans="1:6" ht="13.2">
      <c r="A34" s="100" t="s">
        <v>309</v>
      </c>
      <c r="C34" s="97">
        <v>1892</v>
      </c>
      <c r="D34" s="97">
        <v>575</v>
      </c>
      <c r="E34" s="97">
        <v>-1095</v>
      </c>
      <c r="F34" s="97">
        <v>441</v>
      </c>
    </row>
    <row r="35" spans="1:6" ht="13.2">
      <c r="A35" s="100" t="s">
        <v>308</v>
      </c>
      <c r="C35" s="102">
        <v>-3458</v>
      </c>
      <c r="D35" s="102">
        <v>19315</v>
      </c>
      <c r="E35" s="102">
        <v>20470</v>
      </c>
      <c r="F35" s="102">
        <v>-8008</v>
      </c>
    </row>
    <row r="36" spans="1:6" ht="13.2">
      <c r="A36" s="100" t="s">
        <v>307</v>
      </c>
      <c r="C36" s="97">
        <v>-181805</v>
      </c>
      <c r="D36" s="97">
        <v>40212</v>
      </c>
      <c r="E36" s="97">
        <v>1720</v>
      </c>
      <c r="F36" s="97">
        <v>-19048</v>
      </c>
    </row>
    <row r="37" spans="1:6" ht="13.2">
      <c r="A37" s="100"/>
      <c r="C37" s="97"/>
      <c r="D37" s="97"/>
      <c r="E37" s="97"/>
      <c r="F37" s="97"/>
    </row>
    <row r="38" spans="1:6" ht="13.2">
      <c r="A38" s="100" t="s">
        <v>306</v>
      </c>
      <c r="C38" s="97">
        <v>-4862</v>
      </c>
      <c r="D38" s="97">
        <v>-5101</v>
      </c>
      <c r="E38" s="97">
        <v>-1156</v>
      </c>
      <c r="F38" s="97">
        <v>-557</v>
      </c>
    </row>
    <row r="39" spans="1:6" ht="13.2">
      <c r="A39" s="100" t="s">
        <v>305</v>
      </c>
      <c r="C39" s="97">
        <v>12423</v>
      </c>
      <c r="D39" s="97">
        <v>5534</v>
      </c>
      <c r="E39" s="97">
        <v>3968</v>
      </c>
      <c r="F39" s="97">
        <v>8936</v>
      </c>
    </row>
    <row r="40" spans="1:6" ht="13.2">
      <c r="A40" s="100" t="s">
        <v>304</v>
      </c>
      <c r="C40" s="102">
        <v>-20212</v>
      </c>
      <c r="D40" s="102">
        <v>-10288</v>
      </c>
      <c r="E40" s="102">
        <v>-6689</v>
      </c>
      <c r="F40" s="102">
        <v>-5712</v>
      </c>
    </row>
    <row r="41" spans="1:6" ht="13.2">
      <c r="A41" s="100" t="s">
        <v>303</v>
      </c>
      <c r="C41" s="102">
        <v>-194456</v>
      </c>
      <c r="D41" s="102">
        <v>30357</v>
      </c>
      <c r="E41" s="102">
        <v>-2157</v>
      </c>
      <c r="F41" s="102">
        <v>-16381</v>
      </c>
    </row>
    <row r="42" spans="1:6" ht="13.2">
      <c r="A42" s="99"/>
      <c r="C42" s="97"/>
      <c r="D42" s="97"/>
      <c r="E42" s="97"/>
      <c r="F42" s="97"/>
    </row>
    <row r="43" spans="1:6" ht="13.2">
      <c r="A43" s="101" t="s">
        <v>302</v>
      </c>
      <c r="C43" s="97"/>
      <c r="D43" s="97"/>
      <c r="E43" s="97"/>
      <c r="F43" s="97"/>
    </row>
    <row r="44" spans="1:6" ht="13.2">
      <c r="A44" s="100" t="s">
        <v>301</v>
      </c>
      <c r="C44" s="97">
        <v>-3197</v>
      </c>
      <c r="D44" s="97">
        <v>-1542</v>
      </c>
      <c r="E44" s="97">
        <v>-14446</v>
      </c>
      <c r="F44" s="97">
        <v>-1792</v>
      </c>
    </row>
    <row r="45" spans="1:6" ht="13.2">
      <c r="A45" s="100" t="s">
        <v>300</v>
      </c>
      <c r="C45" s="97">
        <v>-154</v>
      </c>
      <c r="D45" s="97">
        <v>-7521</v>
      </c>
      <c r="E45" s="97" t="s">
        <v>184</v>
      </c>
      <c r="F45" s="97" t="s">
        <v>184</v>
      </c>
    </row>
    <row r="46" spans="1:6" ht="13.2">
      <c r="A46" s="100" t="s">
        <v>299</v>
      </c>
      <c r="C46" s="97" t="s">
        <v>184</v>
      </c>
      <c r="D46" s="97">
        <v>-24414</v>
      </c>
      <c r="E46" s="97" t="s">
        <v>184</v>
      </c>
      <c r="F46" s="97" t="s">
        <v>184</v>
      </c>
    </row>
    <row r="47" spans="1:6" ht="13.2">
      <c r="A47" s="100" t="s">
        <v>298</v>
      </c>
      <c r="B47" s="99"/>
      <c r="C47" s="97">
        <v>-3013</v>
      </c>
      <c r="D47" s="97">
        <v>-96226</v>
      </c>
      <c r="E47" s="97">
        <v>-992</v>
      </c>
      <c r="F47" s="97">
        <v>457</v>
      </c>
    </row>
    <row r="48" spans="1:6" ht="13.2">
      <c r="A48" s="100" t="s">
        <v>297</v>
      </c>
      <c r="C48" s="97">
        <v>-29608</v>
      </c>
      <c r="D48" s="97">
        <v>31392</v>
      </c>
      <c r="E48" s="97" t="s">
        <v>184</v>
      </c>
      <c r="F48" s="97" t="s">
        <v>184</v>
      </c>
    </row>
    <row r="49" spans="1:6" ht="13.2">
      <c r="A49" s="100" t="s">
        <v>296</v>
      </c>
      <c r="C49" s="97">
        <v>-930</v>
      </c>
      <c r="D49" s="97">
        <v>-64</v>
      </c>
      <c r="E49" s="97">
        <v>-23520</v>
      </c>
      <c r="F49" s="97">
        <v>-2321</v>
      </c>
    </row>
    <row r="50" spans="1:6" ht="13.2">
      <c r="A50" s="100" t="s">
        <v>295</v>
      </c>
      <c r="C50" s="97">
        <v>6</v>
      </c>
      <c r="D50" s="97">
        <v>208</v>
      </c>
      <c r="E50" s="97">
        <v>1</v>
      </c>
      <c r="F50" s="97">
        <v>329</v>
      </c>
    </row>
    <row r="51" spans="1:6" ht="13.2">
      <c r="A51" s="100" t="s">
        <v>294</v>
      </c>
      <c r="C51" s="97">
        <v>4341</v>
      </c>
      <c r="D51" s="97">
        <v>59410</v>
      </c>
      <c r="E51" s="97">
        <v>9618</v>
      </c>
      <c r="F51" s="97">
        <v>12079</v>
      </c>
    </row>
    <row r="52" spans="1:6" ht="13.2">
      <c r="A52" s="100" t="s">
        <v>293</v>
      </c>
      <c r="C52" s="97">
        <v>1760</v>
      </c>
      <c r="D52" s="97">
        <v>58</v>
      </c>
      <c r="E52" s="97" t="s">
        <v>184</v>
      </c>
      <c r="F52" s="97">
        <v>4974</v>
      </c>
    </row>
    <row r="53" spans="1:6" ht="13.2">
      <c r="A53" s="100" t="s">
        <v>292</v>
      </c>
      <c r="C53" s="97" t="s">
        <v>184</v>
      </c>
      <c r="D53" s="97" t="s">
        <v>184</v>
      </c>
      <c r="E53" s="97" t="s">
        <v>184</v>
      </c>
      <c r="F53" s="97">
        <v>60233</v>
      </c>
    </row>
    <row r="54" spans="1:6" ht="13.2">
      <c r="A54" s="100" t="s">
        <v>291</v>
      </c>
      <c r="C54" s="97" t="s">
        <v>184</v>
      </c>
      <c r="D54" s="97">
        <v>673</v>
      </c>
      <c r="E54" s="97" t="s">
        <v>184</v>
      </c>
      <c r="F54" s="97" t="s">
        <v>184</v>
      </c>
    </row>
    <row r="55" spans="1:6" ht="13.2">
      <c r="A55" s="100" t="s">
        <v>290</v>
      </c>
      <c r="C55" s="97" t="s">
        <v>184</v>
      </c>
      <c r="D55" s="97">
        <v>39460</v>
      </c>
      <c r="E55" s="97" t="s">
        <v>184</v>
      </c>
      <c r="F55" s="97" t="s">
        <v>184</v>
      </c>
    </row>
    <row r="56" spans="1:6" ht="13.2">
      <c r="A56" s="100" t="s">
        <v>289</v>
      </c>
      <c r="C56" s="97">
        <v>15248</v>
      </c>
      <c r="D56" s="97" t="s">
        <v>184</v>
      </c>
      <c r="E56" s="97" t="s">
        <v>184</v>
      </c>
      <c r="F56" s="97" t="s">
        <v>184</v>
      </c>
    </row>
    <row r="57" spans="1:6" ht="13.2">
      <c r="A57" s="100" t="s">
        <v>288</v>
      </c>
      <c r="C57" s="97">
        <v>-48000</v>
      </c>
      <c r="D57" s="97">
        <v>-2185</v>
      </c>
      <c r="E57" s="97">
        <v>-12004</v>
      </c>
      <c r="F57" s="97">
        <v>-31532</v>
      </c>
    </row>
    <row r="58" spans="1:6" ht="13.2">
      <c r="A58" s="100" t="s">
        <v>287</v>
      </c>
      <c r="C58" s="97" t="s">
        <v>184</v>
      </c>
      <c r="D58" s="97" t="s">
        <v>184</v>
      </c>
      <c r="E58" s="97" t="s">
        <v>184</v>
      </c>
      <c r="F58" s="97">
        <v>-2012</v>
      </c>
    </row>
    <row r="59" spans="1:6" ht="13.2">
      <c r="A59" s="100" t="s">
        <v>286</v>
      </c>
      <c r="C59" s="97" t="s">
        <v>184</v>
      </c>
      <c r="D59" s="97" t="s">
        <v>184</v>
      </c>
      <c r="E59" s="97">
        <v>108410</v>
      </c>
      <c r="F59" s="97">
        <v>-37276</v>
      </c>
    </row>
    <row r="60" spans="1:6" ht="13.2">
      <c r="A60" s="100" t="s">
        <v>285</v>
      </c>
      <c r="C60" s="97">
        <v>3586</v>
      </c>
      <c r="D60" s="97">
        <v>-46195</v>
      </c>
      <c r="E60" s="97">
        <v>42451</v>
      </c>
      <c r="F60" s="97">
        <v>2123</v>
      </c>
    </row>
    <row r="61" spans="1:6" ht="13.2">
      <c r="A61" s="100" t="s">
        <v>284</v>
      </c>
      <c r="C61" s="97">
        <v>-1121</v>
      </c>
      <c r="D61" s="97">
        <v>-2126</v>
      </c>
      <c r="E61" s="97">
        <v>-600</v>
      </c>
      <c r="F61" s="97">
        <v>75199</v>
      </c>
    </row>
    <row r="62" spans="1:6" ht="13.2">
      <c r="A62" s="100" t="s">
        <v>283</v>
      </c>
      <c r="C62" s="97">
        <v>4900</v>
      </c>
      <c r="D62" s="97" t="s">
        <v>184</v>
      </c>
      <c r="E62" s="97">
        <v>15456</v>
      </c>
      <c r="F62" s="97">
        <v>25703</v>
      </c>
    </row>
    <row r="63" spans="1:6" ht="13.2">
      <c r="A63" s="100" t="s">
        <v>282</v>
      </c>
      <c r="C63" s="97" t="s">
        <v>184</v>
      </c>
      <c r="D63" s="97" t="s">
        <v>184</v>
      </c>
      <c r="E63" s="97">
        <v>20830</v>
      </c>
      <c r="F63" s="97">
        <v>136919</v>
      </c>
    </row>
    <row r="64" spans="1:6" ht="13.2">
      <c r="A64" s="100" t="s">
        <v>281</v>
      </c>
      <c r="C64" s="97">
        <v>10686</v>
      </c>
      <c r="D64" s="97">
        <v>6990</v>
      </c>
      <c r="E64" s="97">
        <v>7219</v>
      </c>
      <c r="F64" s="97">
        <v>4091</v>
      </c>
    </row>
    <row r="65" spans="1:6" ht="13.2">
      <c r="A65" s="100" t="s">
        <v>280</v>
      </c>
      <c r="C65" s="97">
        <v>1025</v>
      </c>
      <c r="D65" s="97">
        <v>-4289</v>
      </c>
      <c r="E65" s="97">
        <v>4925</v>
      </c>
      <c r="F65" s="97">
        <v>28849</v>
      </c>
    </row>
    <row r="66" spans="1:6" ht="13.2">
      <c r="A66" s="100" t="s">
        <v>279</v>
      </c>
      <c r="C66" s="102" t="s">
        <v>184</v>
      </c>
      <c r="D66" s="102" t="s">
        <v>184</v>
      </c>
      <c r="E66" s="102" t="s">
        <v>184</v>
      </c>
      <c r="F66" s="102">
        <v>-1269</v>
      </c>
    </row>
    <row r="67" spans="1:6" ht="13.2">
      <c r="A67" s="100" t="s">
        <v>278</v>
      </c>
      <c r="C67" s="102">
        <v>-44471</v>
      </c>
      <c r="D67" s="102">
        <v>-46371</v>
      </c>
      <c r="E67" s="102">
        <v>157348</v>
      </c>
      <c r="F67" s="102">
        <v>274574</v>
      </c>
    </row>
    <row r="68" spans="1:6" ht="13.2">
      <c r="A68" s="99"/>
      <c r="B68" s="99"/>
      <c r="C68" s="97"/>
      <c r="D68" s="97"/>
      <c r="E68" s="97"/>
      <c r="F68" s="97"/>
    </row>
    <row r="69" spans="1:6" ht="13.2">
      <c r="A69" s="101" t="s">
        <v>277</v>
      </c>
      <c r="B69" s="99"/>
      <c r="C69" s="97"/>
      <c r="D69" s="97"/>
      <c r="E69" s="97"/>
      <c r="F69" s="97"/>
    </row>
    <row r="70" spans="1:6" ht="13.2">
      <c r="A70" s="100" t="s">
        <v>276</v>
      </c>
      <c r="C70" s="97">
        <v>108570</v>
      </c>
      <c r="D70" s="97">
        <v>10937</v>
      </c>
      <c r="E70" s="97" t="s">
        <v>184</v>
      </c>
      <c r="F70" s="97" t="s">
        <v>184</v>
      </c>
    </row>
    <row r="71" spans="1:6" ht="13.2">
      <c r="A71" s="100" t="s">
        <v>275</v>
      </c>
      <c r="C71" s="97">
        <v>-11208</v>
      </c>
      <c r="D71" s="97">
        <v>-16816</v>
      </c>
      <c r="E71" s="97">
        <v>-948</v>
      </c>
      <c r="F71" s="97">
        <v>-60357</v>
      </c>
    </row>
    <row r="72" spans="1:6" ht="13.2">
      <c r="A72" s="100" t="s">
        <v>274</v>
      </c>
      <c r="C72" s="97">
        <v>-49682</v>
      </c>
      <c r="D72" s="97">
        <v>-33121</v>
      </c>
      <c r="E72" s="97">
        <v>-49682</v>
      </c>
      <c r="F72" s="97">
        <v>-49682</v>
      </c>
    </row>
    <row r="73" spans="1:6" ht="13.2">
      <c r="A73" s="100" t="s">
        <v>273</v>
      </c>
      <c r="C73" s="102" t="s">
        <v>184</v>
      </c>
      <c r="D73" s="102" t="s">
        <v>184</v>
      </c>
      <c r="E73" s="102" t="s">
        <v>184</v>
      </c>
      <c r="F73" s="102">
        <v>918</v>
      </c>
    </row>
    <row r="74" spans="1:6" ht="13.2">
      <c r="A74" s="100" t="s">
        <v>272</v>
      </c>
      <c r="B74" s="99"/>
      <c r="C74" s="102">
        <v>47680</v>
      </c>
      <c r="D74" s="102">
        <v>-39000</v>
      </c>
      <c r="E74" s="102">
        <v>-50630</v>
      </c>
      <c r="F74" s="102">
        <v>-109121</v>
      </c>
    </row>
    <row r="75" spans="1:6" ht="13.2">
      <c r="A75" s="99"/>
      <c r="B75" s="99"/>
      <c r="C75" s="97"/>
      <c r="D75" s="97"/>
      <c r="E75" s="97"/>
      <c r="F75" s="97"/>
    </row>
    <row r="76" spans="1:6" ht="13.2">
      <c r="A76" s="101" t="s">
        <v>271</v>
      </c>
      <c r="C76" s="97">
        <v>-191247</v>
      </c>
      <c r="D76" s="97">
        <v>-55014</v>
      </c>
      <c r="E76" s="97">
        <v>104561</v>
      </c>
      <c r="F76" s="97">
        <v>149252</v>
      </c>
    </row>
    <row r="77" spans="1:6" ht="13.2">
      <c r="A77" s="100" t="s">
        <v>270</v>
      </c>
      <c r="C77" s="97">
        <v>-695</v>
      </c>
      <c r="D77" s="97">
        <v>1380</v>
      </c>
      <c r="E77" s="97">
        <v>7375</v>
      </c>
      <c r="F77" s="97">
        <v>-5633</v>
      </c>
    </row>
    <row r="78" spans="1:6" ht="13.2">
      <c r="A78" s="101" t="s">
        <v>269</v>
      </c>
      <c r="C78" s="102">
        <v>543547</v>
      </c>
      <c r="D78" s="102">
        <v>351605</v>
      </c>
      <c r="E78" s="102">
        <v>238051</v>
      </c>
      <c r="F78" s="102">
        <v>349987</v>
      </c>
    </row>
    <row r="79" spans="1:6" ht="13.2">
      <c r="A79" s="101" t="s">
        <v>268</v>
      </c>
      <c r="B79" s="99"/>
      <c r="C79" s="102">
        <v>351605</v>
      </c>
      <c r="D79" s="102">
        <v>297971</v>
      </c>
      <c r="E79" s="102">
        <v>349987</v>
      </c>
      <c r="F79" s="102">
        <v>493606</v>
      </c>
    </row>
    <row r="80" spans="1:6" ht="13.2">
      <c r="A80" s="99"/>
      <c r="B80" s="99"/>
      <c r="C80" s="97"/>
      <c r="D80" s="97"/>
      <c r="E80" s="97"/>
      <c r="F80" s="97"/>
    </row>
    <row r="81" spans="3:6" ht="13.2">
      <c r="C81" s="97"/>
      <c r="D81" s="97"/>
      <c r="E81" s="97"/>
      <c r="F81" s="97"/>
    </row>
    <row r="82" spans="3:6" ht="13.2">
      <c r="C82" s="97"/>
      <c r="D82" s="97"/>
      <c r="E82" s="97"/>
      <c r="F82" s="97"/>
    </row>
    <row r="83" spans="3:6" ht="13.2">
      <c r="C83" s="97"/>
      <c r="D83" s="97"/>
      <c r="E83" s="97"/>
      <c r="F83" s="97"/>
    </row>
    <row r="84" spans="3:6" ht="13.2">
      <c r="C84" s="97"/>
      <c r="D84" s="97"/>
      <c r="E84" s="97"/>
      <c r="F84" s="97"/>
    </row>
    <row r="85" spans="3:6" ht="13.2">
      <c r="C85" s="97"/>
      <c r="D85" s="97"/>
      <c r="E85" s="97"/>
      <c r="F85" s="97"/>
    </row>
    <row r="86" spans="3:6" ht="13.2">
      <c r="C86" s="97"/>
      <c r="D86" s="97"/>
      <c r="E86" s="97"/>
      <c r="F86" s="97"/>
    </row>
    <row r="87" spans="3:6" ht="13.2">
      <c r="C87" s="97"/>
      <c r="D87" s="97"/>
      <c r="E87" s="97"/>
      <c r="F87" s="97"/>
    </row>
    <row r="88" spans="3:6" ht="13.2">
      <c r="C88" s="97"/>
      <c r="D88" s="97"/>
      <c r="E88" s="97"/>
      <c r="F88" s="97"/>
    </row>
    <row r="89" spans="3:6" ht="13.2">
      <c r="C89" s="97"/>
      <c r="D89" s="97"/>
      <c r="E89" s="97"/>
      <c r="F89" s="97"/>
    </row>
    <row r="90" spans="3:6" ht="13.2">
      <c r="C90" s="97"/>
      <c r="D90" s="97"/>
      <c r="E90" s="97"/>
      <c r="F90" s="97"/>
    </row>
    <row r="91" spans="3:6" ht="13.2">
      <c r="C91" s="97"/>
      <c r="D91" s="97"/>
      <c r="E91" s="97"/>
      <c r="F91" s="97"/>
    </row>
    <row r="92" spans="3:6" ht="13.2">
      <c r="C92" s="97"/>
      <c r="D92" s="97"/>
      <c r="E92" s="97"/>
      <c r="F92" s="97"/>
    </row>
    <row r="93" spans="3:6" ht="13.2">
      <c r="C93" s="97"/>
      <c r="D93" s="97"/>
      <c r="E93" s="97"/>
      <c r="F93" s="97"/>
    </row>
    <row r="94" spans="3:6" ht="13.2">
      <c r="C94" s="97"/>
      <c r="D94" s="97"/>
      <c r="E94" s="97"/>
      <c r="F94" s="97"/>
    </row>
    <row r="95" spans="3:6" ht="13.2">
      <c r="C95" s="97"/>
      <c r="D95" s="97"/>
      <c r="E95" s="97"/>
      <c r="F95" s="97"/>
    </row>
    <row r="96" spans="3:6" ht="13.2">
      <c r="C96" s="97"/>
      <c r="D96" s="97"/>
      <c r="E96" s="97"/>
      <c r="F96" s="97"/>
    </row>
    <row r="97" spans="3:6" ht="13.2">
      <c r="C97" s="97"/>
      <c r="D97" s="97"/>
      <c r="E97" s="97"/>
      <c r="F97" s="97"/>
    </row>
    <row r="98" spans="3:6" ht="13.2">
      <c r="C98" s="97"/>
      <c r="D98" s="97"/>
      <c r="E98" s="97"/>
      <c r="F98" s="97"/>
    </row>
    <row r="99" spans="3:6" ht="13.2">
      <c r="C99" s="97"/>
      <c r="D99" s="97"/>
      <c r="E99" s="97"/>
      <c r="F99" s="97"/>
    </row>
    <row r="100" spans="3:6" ht="13.2">
      <c r="C100" s="97"/>
      <c r="D100" s="97"/>
      <c r="E100" s="97"/>
      <c r="F100" s="97"/>
    </row>
    <row r="101" spans="3:6" ht="13.2">
      <c r="C101" s="97"/>
      <c r="D101" s="97"/>
      <c r="E101" s="97"/>
      <c r="F101" s="97"/>
    </row>
    <row r="102" spans="3:6" ht="13.2">
      <c r="C102" s="97"/>
      <c r="D102" s="97"/>
      <c r="E102" s="97"/>
      <c r="F102" s="97"/>
    </row>
    <row r="103" spans="3:6" ht="13.2">
      <c r="C103" s="97"/>
      <c r="D103" s="97"/>
      <c r="E103" s="97"/>
      <c r="F103" s="97"/>
    </row>
    <row r="104" spans="3:6" ht="13.2">
      <c r="C104" s="97"/>
      <c r="D104" s="97"/>
      <c r="E104" s="97"/>
      <c r="F104" s="97"/>
    </row>
    <row r="105" spans="3:6" ht="13.2">
      <c r="C105" s="97"/>
      <c r="D105" s="97"/>
      <c r="E105" s="97"/>
      <c r="F105" s="97"/>
    </row>
    <row r="106" spans="3:6" ht="13.2">
      <c r="C106" s="97"/>
      <c r="D106" s="97"/>
      <c r="E106" s="97"/>
      <c r="F106" s="97"/>
    </row>
    <row r="107" spans="3:6" ht="13.2">
      <c r="C107" s="97"/>
      <c r="D107" s="97"/>
      <c r="E107" s="97"/>
      <c r="F107" s="97"/>
    </row>
    <row r="108" spans="3:6" ht="13.2">
      <c r="C108" s="97"/>
      <c r="D108" s="97"/>
      <c r="E108" s="97"/>
      <c r="F108" s="97"/>
    </row>
    <row r="109" spans="3:6" ht="13.2">
      <c r="C109" s="97"/>
      <c r="D109" s="97"/>
      <c r="E109" s="97"/>
      <c r="F109" s="97"/>
    </row>
    <row r="110" spans="3:6" ht="13.2">
      <c r="C110" s="97"/>
      <c r="D110" s="97"/>
      <c r="E110" s="97"/>
      <c r="F110" s="97"/>
    </row>
    <row r="111" spans="3:6" ht="13.2">
      <c r="C111" s="97"/>
      <c r="D111" s="97"/>
      <c r="E111" s="97"/>
      <c r="F111" s="97"/>
    </row>
    <row r="112" spans="3:6" ht="13.2">
      <c r="C112" s="97"/>
      <c r="D112" s="97"/>
      <c r="E112" s="97"/>
      <c r="F112" s="97"/>
    </row>
    <row r="113" spans="3:6" ht="13.2">
      <c r="C113" s="97"/>
      <c r="D113" s="97"/>
      <c r="E113" s="97"/>
      <c r="F113" s="97"/>
    </row>
    <row r="114" spans="3:6" ht="13.2">
      <c r="C114" s="97"/>
      <c r="D114" s="97"/>
      <c r="E114" s="97"/>
      <c r="F114" s="97"/>
    </row>
    <row r="115" spans="3:6" ht="13.2">
      <c r="C115" s="97"/>
      <c r="D115" s="97"/>
      <c r="E115" s="97"/>
      <c r="F115" s="97"/>
    </row>
    <row r="116" spans="3:6" ht="13.2">
      <c r="C116" s="97"/>
      <c r="D116" s="97"/>
      <c r="E116" s="97"/>
      <c r="F116" s="97"/>
    </row>
    <row r="117" spans="3:6" ht="13.2">
      <c r="C117" s="97"/>
      <c r="D117" s="97"/>
      <c r="E117" s="97"/>
      <c r="F117" s="97"/>
    </row>
    <row r="118" spans="3:6" ht="13.2">
      <c r="C118" s="97"/>
      <c r="D118" s="97"/>
      <c r="E118" s="97"/>
      <c r="F118" s="97"/>
    </row>
    <row r="119" spans="3:6" ht="13.2">
      <c r="C119" s="97"/>
      <c r="D119" s="97"/>
      <c r="E119" s="97"/>
      <c r="F119" s="97"/>
    </row>
    <row r="120" spans="3:6" ht="13.2">
      <c r="C120" s="97"/>
      <c r="D120" s="97"/>
      <c r="E120" s="97"/>
      <c r="F120" s="97"/>
    </row>
    <row r="121" spans="3:6" ht="13.2">
      <c r="C121" s="97"/>
      <c r="D121" s="97"/>
      <c r="E121" s="97"/>
      <c r="F121" s="97"/>
    </row>
    <row r="122" spans="3:6" ht="13.2">
      <c r="C122" s="97"/>
      <c r="D122" s="97"/>
      <c r="E122" s="97"/>
      <c r="F122" s="97"/>
    </row>
    <row r="123" spans="3:6" ht="13.2">
      <c r="C123" s="97"/>
      <c r="D123" s="97"/>
      <c r="E123" s="97"/>
      <c r="F123" s="97"/>
    </row>
    <row r="124" spans="3:6" ht="13.2">
      <c r="C124" s="97"/>
      <c r="D124" s="97"/>
      <c r="E124" s="97"/>
      <c r="F124" s="97"/>
    </row>
    <row r="125" spans="3:6" ht="13.2">
      <c r="C125" s="97"/>
      <c r="D125" s="97"/>
      <c r="E125" s="97"/>
      <c r="F125" s="97"/>
    </row>
    <row r="126" spans="3:6" ht="13.2">
      <c r="C126" s="97"/>
      <c r="D126" s="97"/>
      <c r="E126" s="97"/>
      <c r="F126" s="97"/>
    </row>
    <row r="127" spans="3:6" ht="13.2">
      <c r="C127" s="97"/>
      <c r="D127" s="97"/>
      <c r="E127" s="97"/>
      <c r="F127" s="97"/>
    </row>
    <row r="128" spans="3:6" ht="13.2">
      <c r="C128" s="97"/>
      <c r="D128" s="97"/>
      <c r="E128" s="97"/>
      <c r="F128" s="97"/>
    </row>
    <row r="129" spans="3:6" ht="13.2">
      <c r="C129" s="97"/>
      <c r="D129" s="97"/>
      <c r="E129" s="97"/>
      <c r="F129" s="97"/>
    </row>
    <row r="130" spans="3:6" ht="13.2">
      <c r="C130" s="97"/>
      <c r="D130" s="97"/>
      <c r="E130" s="97"/>
      <c r="F130" s="97"/>
    </row>
    <row r="131" spans="3:6" ht="13.2">
      <c r="C131" s="97"/>
      <c r="D131" s="97"/>
      <c r="E131" s="97"/>
      <c r="F131" s="97"/>
    </row>
    <row r="132" spans="3:6" ht="13.2">
      <c r="C132" s="97"/>
      <c r="D132" s="97"/>
      <c r="E132" s="97"/>
      <c r="F132" s="97"/>
    </row>
    <row r="133" spans="3:6" ht="13.2">
      <c r="C133" s="97"/>
      <c r="D133" s="97"/>
      <c r="E133" s="97"/>
      <c r="F133" s="97"/>
    </row>
    <row r="134" spans="3:6" ht="13.2">
      <c r="C134" s="97"/>
      <c r="D134" s="97"/>
      <c r="E134" s="97"/>
      <c r="F134" s="97"/>
    </row>
    <row r="135" spans="3:6" ht="13.2">
      <c r="C135" s="97"/>
      <c r="D135" s="97"/>
      <c r="E135" s="97"/>
      <c r="F135" s="97"/>
    </row>
    <row r="136" spans="3:6" ht="13.2">
      <c r="C136" s="97"/>
      <c r="D136" s="97"/>
      <c r="E136" s="97"/>
      <c r="F136" s="97"/>
    </row>
    <row r="137" spans="3:6" ht="13.2">
      <c r="C137" s="97"/>
      <c r="D137" s="97"/>
      <c r="E137" s="97"/>
      <c r="F137" s="97"/>
    </row>
    <row r="138" spans="3:6" ht="13.2">
      <c r="C138" s="97"/>
      <c r="D138" s="97"/>
      <c r="E138" s="97"/>
      <c r="F138" s="97"/>
    </row>
    <row r="139" spans="3:6" ht="13.2">
      <c r="C139" s="97"/>
      <c r="D139" s="97"/>
      <c r="E139" s="97"/>
      <c r="F139" s="97"/>
    </row>
    <row r="140" spans="3:6" ht="13.2">
      <c r="C140" s="97"/>
      <c r="D140" s="97"/>
      <c r="E140" s="97"/>
      <c r="F140" s="97"/>
    </row>
    <row r="141" spans="3:6" ht="13.2">
      <c r="C141" s="97"/>
      <c r="D141" s="97"/>
      <c r="E141" s="97"/>
      <c r="F141" s="97"/>
    </row>
    <row r="142" spans="3:6" ht="13.2">
      <c r="C142" s="97"/>
      <c r="D142" s="97"/>
      <c r="E142" s="97"/>
      <c r="F142" s="97"/>
    </row>
    <row r="143" spans="3:6" ht="13.2">
      <c r="C143" s="97"/>
      <c r="D143" s="97"/>
      <c r="E143" s="97"/>
      <c r="F143" s="97"/>
    </row>
    <row r="144" spans="3:6" ht="13.2">
      <c r="C144" s="97"/>
      <c r="D144" s="97"/>
      <c r="E144" s="97"/>
      <c r="F144" s="97"/>
    </row>
    <row r="145" spans="3:6" ht="13.2">
      <c r="C145" s="97"/>
      <c r="D145" s="97"/>
      <c r="E145" s="97"/>
      <c r="F145" s="97"/>
    </row>
    <row r="146" spans="3:6" ht="13.2">
      <c r="C146" s="97"/>
      <c r="D146" s="97"/>
      <c r="E146" s="97"/>
      <c r="F146" s="97"/>
    </row>
    <row r="147" spans="3:6" ht="13.2">
      <c r="C147" s="97"/>
      <c r="D147" s="97"/>
      <c r="E147" s="97"/>
      <c r="F147" s="97"/>
    </row>
    <row r="148" spans="3:6" ht="13.2">
      <c r="C148" s="97"/>
      <c r="D148" s="97"/>
      <c r="E148" s="97"/>
      <c r="F148" s="97"/>
    </row>
    <row r="149" spans="3:6" ht="13.2">
      <c r="C149" s="97"/>
      <c r="D149" s="97"/>
      <c r="E149" s="97"/>
      <c r="F149" s="97"/>
    </row>
    <row r="150" spans="3:6" ht="13.2">
      <c r="C150" s="97"/>
      <c r="D150" s="97"/>
      <c r="E150" s="97"/>
      <c r="F150" s="97"/>
    </row>
    <row r="151" spans="3:6" ht="13.2">
      <c r="C151" s="97"/>
      <c r="D151" s="97"/>
      <c r="E151" s="97"/>
      <c r="F151" s="97"/>
    </row>
    <row r="152" spans="3:6" ht="13.2">
      <c r="C152" s="97"/>
      <c r="D152" s="97"/>
      <c r="E152" s="97"/>
      <c r="F152" s="97"/>
    </row>
    <row r="153" spans="3:6" ht="13.2">
      <c r="C153" s="97"/>
      <c r="D153" s="97"/>
      <c r="E153" s="97"/>
      <c r="F153" s="97"/>
    </row>
    <row r="154" spans="3:6" ht="13.2">
      <c r="C154" s="97"/>
      <c r="D154" s="97"/>
      <c r="E154" s="97"/>
      <c r="F154" s="97"/>
    </row>
    <row r="155" spans="3:6" ht="13.2">
      <c r="C155" s="97"/>
      <c r="D155" s="97"/>
      <c r="E155" s="97"/>
      <c r="F155" s="97"/>
    </row>
    <row r="156" spans="3:6" ht="13.2">
      <c r="C156" s="97"/>
      <c r="D156" s="97"/>
      <c r="E156" s="97"/>
      <c r="F156" s="97"/>
    </row>
    <row r="157" spans="3:6" ht="13.2">
      <c r="C157" s="97"/>
      <c r="D157" s="97"/>
      <c r="E157" s="97"/>
      <c r="F157" s="97"/>
    </row>
    <row r="158" spans="3:6" ht="13.2">
      <c r="C158" s="97"/>
      <c r="D158" s="97"/>
      <c r="E158" s="97"/>
      <c r="F158" s="97"/>
    </row>
    <row r="159" spans="3:6" ht="13.2">
      <c r="C159" s="97"/>
      <c r="D159" s="97"/>
      <c r="E159" s="97"/>
      <c r="F159" s="97"/>
    </row>
    <row r="160" spans="3:6" ht="13.2">
      <c r="C160" s="97"/>
      <c r="D160" s="97"/>
      <c r="E160" s="97"/>
      <c r="F160" s="97"/>
    </row>
    <row r="161" spans="3:6" ht="13.2">
      <c r="C161" s="97"/>
      <c r="D161" s="97"/>
      <c r="E161" s="97"/>
      <c r="F161" s="97"/>
    </row>
    <row r="162" spans="3:6" ht="13.2">
      <c r="C162" s="97"/>
      <c r="D162" s="97"/>
      <c r="E162" s="97"/>
      <c r="F162" s="97"/>
    </row>
    <row r="163" spans="3:6" ht="13.2">
      <c r="C163" s="97"/>
      <c r="D163" s="97"/>
      <c r="E163" s="97"/>
      <c r="F163" s="97"/>
    </row>
    <row r="164" spans="3:6" ht="13.2">
      <c r="C164" s="97"/>
      <c r="D164" s="97"/>
      <c r="E164" s="97"/>
      <c r="F164" s="97"/>
    </row>
    <row r="165" spans="3:6" ht="13.2">
      <c r="C165" s="97"/>
      <c r="D165" s="97"/>
      <c r="E165" s="97"/>
      <c r="F165" s="97"/>
    </row>
    <row r="166" spans="3:6" ht="13.2">
      <c r="C166" s="97"/>
      <c r="D166" s="97"/>
      <c r="E166" s="97"/>
      <c r="F166" s="97"/>
    </row>
    <row r="167" spans="3:6" ht="13.2">
      <c r="C167" s="97"/>
      <c r="D167" s="97"/>
      <c r="E167" s="97"/>
      <c r="F167" s="97"/>
    </row>
    <row r="168" spans="3:6" ht="13.2">
      <c r="C168" s="97"/>
      <c r="D168" s="97"/>
      <c r="E168" s="97"/>
      <c r="F168" s="97"/>
    </row>
    <row r="169" spans="3:6" ht="13.2">
      <c r="C169" s="97"/>
      <c r="D169" s="97"/>
      <c r="E169" s="97"/>
      <c r="F169" s="97"/>
    </row>
    <row r="170" spans="3:6" ht="13.2">
      <c r="C170" s="97"/>
      <c r="D170" s="97"/>
      <c r="E170" s="97"/>
      <c r="F170" s="97"/>
    </row>
    <row r="171" spans="3:6" ht="13.2">
      <c r="C171" s="97"/>
      <c r="D171" s="97"/>
      <c r="E171" s="97"/>
      <c r="F171" s="97"/>
    </row>
    <row r="172" spans="3:6" ht="13.2">
      <c r="C172" s="97"/>
      <c r="D172" s="97"/>
      <c r="E172" s="97"/>
      <c r="F172" s="97"/>
    </row>
    <row r="173" spans="3:6" ht="13.2">
      <c r="C173" s="97"/>
      <c r="D173" s="97"/>
      <c r="E173" s="97"/>
      <c r="F173" s="97"/>
    </row>
    <row r="174" spans="3:6" ht="13.2">
      <c r="C174" s="97"/>
      <c r="D174" s="97"/>
      <c r="E174" s="97"/>
      <c r="F174" s="97"/>
    </row>
    <row r="175" spans="3:6" ht="13.2">
      <c r="C175" s="97"/>
      <c r="D175" s="97"/>
      <c r="E175" s="97"/>
      <c r="F175" s="97"/>
    </row>
    <row r="176" spans="3:6" ht="13.2">
      <c r="C176" s="97"/>
      <c r="D176" s="97"/>
      <c r="E176" s="97"/>
      <c r="F176" s="97"/>
    </row>
    <row r="177" spans="3:6" ht="13.2">
      <c r="C177" s="97"/>
      <c r="D177" s="97"/>
      <c r="E177" s="97"/>
      <c r="F177" s="97"/>
    </row>
    <row r="178" spans="3:6" ht="13.2">
      <c r="C178" s="97"/>
      <c r="D178" s="97"/>
      <c r="E178" s="97"/>
      <c r="F178" s="97"/>
    </row>
    <row r="179" spans="3:6" ht="13.2">
      <c r="C179" s="97"/>
      <c r="D179" s="97"/>
      <c r="E179" s="97"/>
      <c r="F179" s="97"/>
    </row>
    <row r="180" spans="3:6" ht="13.2">
      <c r="C180" s="97"/>
      <c r="D180" s="97"/>
      <c r="E180" s="97"/>
      <c r="F180" s="97"/>
    </row>
    <row r="181" spans="3:6" ht="13.2">
      <c r="C181" s="97"/>
      <c r="D181" s="97"/>
      <c r="E181" s="97"/>
      <c r="F181" s="97"/>
    </row>
    <row r="182" spans="3:6" ht="13.2">
      <c r="C182" s="97"/>
      <c r="D182" s="97"/>
      <c r="E182" s="97"/>
      <c r="F182" s="97"/>
    </row>
    <row r="183" spans="3:6" ht="13.2">
      <c r="C183" s="97"/>
      <c r="D183" s="97"/>
      <c r="E183" s="97"/>
      <c r="F183" s="97"/>
    </row>
    <row r="184" spans="3:6" ht="13.2">
      <c r="C184" s="97"/>
      <c r="D184" s="97"/>
      <c r="E184" s="97"/>
      <c r="F184" s="97"/>
    </row>
    <row r="185" spans="3:6" ht="13.2">
      <c r="C185" s="97"/>
      <c r="D185" s="97"/>
      <c r="E185" s="97"/>
      <c r="F185" s="97"/>
    </row>
    <row r="186" spans="3:6" ht="13.2">
      <c r="C186" s="97"/>
      <c r="D186" s="97"/>
      <c r="E186" s="97"/>
      <c r="F186" s="97"/>
    </row>
    <row r="187" spans="3:6" ht="13.2">
      <c r="C187" s="97"/>
      <c r="D187" s="97"/>
      <c r="E187" s="97"/>
      <c r="F187" s="97"/>
    </row>
    <row r="188" spans="3:6" ht="13.2">
      <c r="C188" s="97"/>
      <c r="D188" s="97"/>
      <c r="E188" s="97"/>
      <c r="F188" s="97"/>
    </row>
    <row r="189" spans="3:6" ht="13.2">
      <c r="C189" s="97"/>
      <c r="D189" s="97"/>
      <c r="E189" s="97"/>
      <c r="F189" s="97"/>
    </row>
    <row r="190" spans="3:6" ht="13.2">
      <c r="C190" s="97"/>
      <c r="D190" s="97"/>
      <c r="E190" s="97"/>
      <c r="F190" s="97"/>
    </row>
    <row r="191" spans="3:6" ht="13.2">
      <c r="C191" s="97"/>
      <c r="D191" s="97"/>
      <c r="E191" s="97"/>
      <c r="F191" s="97"/>
    </row>
    <row r="192" spans="3:6" ht="13.2">
      <c r="C192" s="97"/>
      <c r="D192" s="97"/>
      <c r="E192" s="97"/>
      <c r="F192" s="97"/>
    </row>
    <row r="193" spans="3:6" ht="13.2">
      <c r="C193" s="97"/>
      <c r="D193" s="97"/>
      <c r="E193" s="97"/>
      <c r="F193" s="97"/>
    </row>
    <row r="194" spans="3:6" ht="13.2">
      <c r="C194" s="97"/>
      <c r="D194" s="97"/>
      <c r="E194" s="97"/>
      <c r="F194" s="97"/>
    </row>
    <row r="195" spans="3:6" ht="13.2">
      <c r="C195" s="97"/>
      <c r="D195" s="97"/>
      <c r="E195" s="97"/>
      <c r="F195" s="97"/>
    </row>
    <row r="196" spans="3:6" ht="13.2">
      <c r="C196" s="97"/>
      <c r="D196" s="97"/>
      <c r="E196" s="97"/>
      <c r="F196" s="97"/>
    </row>
    <row r="197" spans="3:6" ht="13.2">
      <c r="C197" s="97"/>
      <c r="D197" s="97"/>
      <c r="E197" s="97"/>
      <c r="F197" s="97"/>
    </row>
    <row r="198" spans="3:6" ht="13.2">
      <c r="C198" s="97"/>
      <c r="D198" s="97"/>
      <c r="E198" s="97"/>
      <c r="F198" s="97"/>
    </row>
    <row r="199" spans="3:6" ht="13.2">
      <c r="C199" s="97"/>
      <c r="D199" s="97"/>
      <c r="E199" s="97"/>
      <c r="F199" s="97"/>
    </row>
    <row r="200" spans="3:6" ht="13.2">
      <c r="C200" s="97"/>
      <c r="D200" s="97"/>
      <c r="E200" s="97"/>
      <c r="F200" s="97"/>
    </row>
    <row r="201" spans="3:6" ht="13.2">
      <c r="C201" s="97"/>
      <c r="D201" s="97"/>
      <c r="E201" s="97"/>
      <c r="F201" s="97"/>
    </row>
    <row r="202" spans="3:6" ht="13.2">
      <c r="C202" s="97"/>
      <c r="D202" s="97"/>
      <c r="E202" s="97"/>
      <c r="F202" s="97"/>
    </row>
    <row r="203" spans="3:6" ht="13.2">
      <c r="C203" s="97"/>
      <c r="D203" s="97"/>
      <c r="E203" s="97"/>
      <c r="F203" s="97"/>
    </row>
    <row r="204" spans="3:6" ht="13.2">
      <c r="C204" s="97"/>
      <c r="D204" s="97"/>
      <c r="E204" s="97"/>
      <c r="F204" s="97"/>
    </row>
    <row r="205" spans="3:6" ht="13.2">
      <c r="C205" s="97"/>
      <c r="D205" s="97"/>
      <c r="E205" s="97"/>
      <c r="F205" s="97"/>
    </row>
    <row r="206" spans="3:6" ht="13.2">
      <c r="C206" s="97"/>
      <c r="D206" s="97"/>
      <c r="E206" s="97"/>
      <c r="F206" s="97"/>
    </row>
    <row r="207" spans="3:6" ht="13.2">
      <c r="C207" s="97"/>
      <c r="D207" s="97"/>
      <c r="E207" s="97"/>
      <c r="F207" s="97"/>
    </row>
    <row r="208" spans="3:6" ht="13.2">
      <c r="C208" s="97"/>
      <c r="D208" s="97"/>
      <c r="E208" s="97"/>
      <c r="F208" s="97"/>
    </row>
    <row r="209" spans="3:6" ht="13.2">
      <c r="C209" s="97"/>
      <c r="D209" s="97"/>
      <c r="E209" s="97"/>
      <c r="F209" s="97"/>
    </row>
    <row r="210" spans="3:6" ht="13.2">
      <c r="C210" s="97"/>
      <c r="D210" s="97"/>
      <c r="E210" s="97"/>
      <c r="F210" s="97"/>
    </row>
    <row r="211" spans="3:6" ht="13.2">
      <c r="C211" s="97"/>
      <c r="D211" s="97"/>
      <c r="E211" s="97"/>
      <c r="F211" s="97"/>
    </row>
    <row r="212" spans="3:6" ht="13.2">
      <c r="C212" s="97"/>
      <c r="D212" s="97"/>
      <c r="E212" s="97"/>
      <c r="F212" s="97"/>
    </row>
    <row r="213" spans="3:6" ht="13.2">
      <c r="C213" s="97"/>
      <c r="D213" s="97"/>
      <c r="E213" s="97"/>
      <c r="F213" s="97"/>
    </row>
    <row r="214" spans="3:6" ht="13.2">
      <c r="C214" s="97"/>
      <c r="D214" s="97"/>
      <c r="E214" s="97"/>
      <c r="F214" s="97"/>
    </row>
    <row r="215" spans="3:6" ht="13.2">
      <c r="C215" s="97"/>
      <c r="D215" s="97"/>
      <c r="E215" s="97"/>
      <c r="F215" s="97"/>
    </row>
    <row r="216" spans="3:6" ht="13.2">
      <c r="C216" s="97"/>
      <c r="D216" s="97"/>
      <c r="E216" s="97"/>
      <c r="F216" s="97"/>
    </row>
    <row r="217" spans="3:6" ht="13.2">
      <c r="C217" s="97"/>
      <c r="D217" s="97"/>
      <c r="E217" s="97"/>
      <c r="F217" s="97"/>
    </row>
    <row r="218" spans="3:6" ht="13.2">
      <c r="C218" s="97"/>
      <c r="D218" s="97"/>
      <c r="E218" s="97"/>
      <c r="F218" s="97"/>
    </row>
    <row r="219" spans="3:6" ht="13.2">
      <c r="C219" s="97"/>
      <c r="D219" s="97"/>
      <c r="E219" s="97"/>
      <c r="F219" s="97"/>
    </row>
    <row r="220" spans="3:6" ht="13.2">
      <c r="C220" s="97"/>
      <c r="D220" s="97"/>
      <c r="E220" s="97"/>
      <c r="F220" s="97"/>
    </row>
    <row r="221" spans="3:6" ht="13.2">
      <c r="C221" s="97"/>
      <c r="D221" s="97"/>
      <c r="E221" s="97"/>
      <c r="F221" s="97"/>
    </row>
    <row r="222" spans="3:6" ht="13.2">
      <c r="C222" s="97"/>
      <c r="D222" s="97"/>
      <c r="E222" s="97"/>
      <c r="F222" s="97"/>
    </row>
    <row r="223" spans="3:6" ht="13.2">
      <c r="C223" s="97"/>
      <c r="D223" s="97"/>
      <c r="E223" s="97"/>
      <c r="F223" s="97"/>
    </row>
    <row r="224" spans="3:6" ht="13.2">
      <c r="C224" s="97"/>
      <c r="D224" s="97"/>
      <c r="E224" s="97"/>
      <c r="F224" s="97"/>
    </row>
    <row r="225" spans="3:6" ht="13.2">
      <c r="C225" s="97"/>
      <c r="D225" s="97"/>
      <c r="E225" s="97"/>
      <c r="F225" s="97"/>
    </row>
    <row r="226" spans="3:6" ht="13.2">
      <c r="C226" s="97"/>
      <c r="D226" s="97"/>
      <c r="E226" s="97"/>
      <c r="F226" s="97"/>
    </row>
    <row r="227" spans="3:6" ht="13.2">
      <c r="C227" s="97"/>
      <c r="D227" s="97"/>
      <c r="E227" s="97"/>
      <c r="F227" s="97"/>
    </row>
    <row r="228" spans="3:6" ht="13.2">
      <c r="C228" s="97"/>
      <c r="D228" s="97"/>
      <c r="E228" s="97"/>
      <c r="F228" s="97"/>
    </row>
    <row r="229" spans="3:6" ht="13.2">
      <c r="C229" s="97"/>
      <c r="D229" s="97"/>
      <c r="E229" s="97"/>
      <c r="F229" s="97"/>
    </row>
    <row r="230" spans="3:6" ht="13.2">
      <c r="C230" s="97"/>
      <c r="D230" s="97"/>
      <c r="E230" s="97"/>
      <c r="F230" s="97"/>
    </row>
    <row r="231" spans="3:6" ht="13.2">
      <c r="C231" s="97"/>
      <c r="D231" s="97"/>
      <c r="E231" s="97"/>
      <c r="F231" s="97"/>
    </row>
    <row r="232" spans="3:6" ht="13.2">
      <c r="C232" s="97"/>
      <c r="D232" s="97"/>
      <c r="E232" s="97"/>
      <c r="F232" s="97"/>
    </row>
    <row r="233" spans="3:6" ht="13.2">
      <c r="C233" s="97"/>
      <c r="D233" s="97"/>
      <c r="E233" s="97"/>
      <c r="F233" s="97"/>
    </row>
    <row r="234" spans="3:6" ht="13.2">
      <c r="C234" s="97"/>
      <c r="D234" s="97"/>
      <c r="E234" s="97"/>
      <c r="F234" s="97"/>
    </row>
    <row r="235" spans="3:6" ht="13.2">
      <c r="C235" s="97"/>
      <c r="D235" s="97"/>
      <c r="E235" s="97"/>
      <c r="F235" s="97"/>
    </row>
    <row r="236" spans="3:6" ht="13.2">
      <c r="C236" s="97"/>
      <c r="D236" s="97"/>
      <c r="E236" s="97"/>
      <c r="F236" s="97"/>
    </row>
    <row r="237" spans="3:6" ht="13.2">
      <c r="C237" s="97"/>
      <c r="D237" s="97"/>
      <c r="E237" s="97"/>
      <c r="F237" s="97"/>
    </row>
    <row r="238" spans="3:6" ht="13.2">
      <c r="C238" s="97"/>
      <c r="D238" s="97"/>
      <c r="E238" s="97"/>
      <c r="F238" s="97"/>
    </row>
    <row r="239" spans="3:6" ht="13.2">
      <c r="C239" s="97"/>
      <c r="D239" s="97"/>
      <c r="E239" s="97"/>
      <c r="F239" s="97"/>
    </row>
    <row r="240" spans="3:6" ht="13.2">
      <c r="C240" s="97"/>
      <c r="D240" s="97"/>
      <c r="E240" s="97"/>
      <c r="F240" s="97"/>
    </row>
    <row r="241" spans="3:6" ht="13.2">
      <c r="C241" s="97"/>
      <c r="D241" s="97"/>
      <c r="E241" s="97"/>
      <c r="F241" s="97"/>
    </row>
    <row r="242" spans="3:6" ht="13.2">
      <c r="C242" s="97"/>
      <c r="D242" s="97"/>
      <c r="E242" s="97"/>
      <c r="F242" s="97"/>
    </row>
    <row r="243" spans="3:6" ht="13.2">
      <c r="C243" s="97"/>
      <c r="D243" s="97"/>
      <c r="E243" s="97"/>
      <c r="F243" s="97"/>
    </row>
    <row r="244" spans="3:6" ht="13.2">
      <c r="C244" s="97"/>
      <c r="D244" s="97"/>
      <c r="E244" s="97"/>
      <c r="F244" s="97"/>
    </row>
    <row r="245" spans="3:6" ht="13.2">
      <c r="C245" s="97"/>
      <c r="D245" s="97"/>
      <c r="E245" s="97"/>
      <c r="F245" s="97"/>
    </row>
    <row r="246" spans="3:6" ht="13.2">
      <c r="C246" s="97"/>
      <c r="D246" s="97"/>
      <c r="E246" s="97"/>
      <c r="F246" s="97"/>
    </row>
    <row r="247" spans="3:6" ht="13.2">
      <c r="C247" s="97"/>
      <c r="D247" s="97"/>
      <c r="E247" s="97"/>
      <c r="F247" s="97"/>
    </row>
    <row r="248" spans="3:6" ht="13.2">
      <c r="C248" s="97"/>
      <c r="D248" s="97"/>
      <c r="E248" s="97"/>
      <c r="F248" s="97"/>
    </row>
    <row r="249" spans="3:6" ht="13.2">
      <c r="C249" s="97"/>
      <c r="D249" s="97"/>
      <c r="E249" s="97"/>
      <c r="F249" s="97"/>
    </row>
    <row r="250" spans="3:6" ht="13.2">
      <c r="C250" s="97"/>
      <c r="D250" s="97"/>
      <c r="E250" s="97"/>
      <c r="F250" s="97"/>
    </row>
    <row r="251" spans="3:6" ht="13.2">
      <c r="C251" s="97"/>
      <c r="D251" s="97"/>
      <c r="E251" s="97"/>
      <c r="F251" s="97"/>
    </row>
    <row r="252" spans="3:6" ht="13.2">
      <c r="C252" s="97"/>
      <c r="D252" s="97"/>
      <c r="E252" s="97"/>
      <c r="F252" s="97"/>
    </row>
    <row r="253" spans="3:6" ht="13.2">
      <c r="C253" s="97"/>
      <c r="D253" s="97"/>
      <c r="E253" s="97"/>
      <c r="F253" s="97"/>
    </row>
    <row r="254" spans="3:6" ht="13.2">
      <c r="C254" s="97"/>
      <c r="D254" s="97"/>
      <c r="E254" s="97"/>
      <c r="F254" s="97"/>
    </row>
    <row r="255" spans="3:6" ht="13.2">
      <c r="C255" s="97"/>
      <c r="D255" s="97"/>
      <c r="E255" s="97"/>
      <c r="F255" s="97"/>
    </row>
    <row r="256" spans="3:6" ht="13.2">
      <c r="C256" s="97"/>
      <c r="D256" s="97"/>
      <c r="E256" s="97"/>
      <c r="F256" s="97"/>
    </row>
    <row r="257" spans="3:6" ht="13.2">
      <c r="C257" s="97"/>
      <c r="D257" s="97"/>
      <c r="E257" s="97"/>
      <c r="F257" s="97"/>
    </row>
    <row r="258" spans="3:6" ht="13.2">
      <c r="C258" s="97"/>
      <c r="D258" s="97"/>
      <c r="E258" s="97"/>
      <c r="F258" s="97"/>
    </row>
    <row r="259" spans="3:6" ht="13.2">
      <c r="C259" s="97"/>
      <c r="D259" s="97"/>
      <c r="E259" s="97"/>
      <c r="F259" s="97"/>
    </row>
    <row r="260" spans="3:6" ht="13.2">
      <c r="C260" s="97"/>
      <c r="D260" s="97"/>
      <c r="E260" s="97"/>
      <c r="F260" s="97"/>
    </row>
    <row r="261" spans="3:6" ht="13.2">
      <c r="C261" s="97"/>
      <c r="D261" s="97"/>
      <c r="E261" s="97"/>
      <c r="F261" s="97"/>
    </row>
    <row r="262" spans="3:6" ht="13.2">
      <c r="C262" s="97"/>
      <c r="D262" s="97"/>
      <c r="E262" s="97"/>
      <c r="F262" s="97"/>
    </row>
    <row r="263" spans="3:6" ht="13.2">
      <c r="C263" s="97"/>
      <c r="D263" s="97"/>
      <c r="E263" s="97"/>
      <c r="F263" s="97"/>
    </row>
    <row r="264" spans="3:6" ht="13.2">
      <c r="C264" s="97"/>
      <c r="D264" s="97"/>
      <c r="E264" s="97"/>
      <c r="F264" s="97"/>
    </row>
    <row r="265" spans="3:6" ht="13.2">
      <c r="C265" s="97"/>
      <c r="D265" s="97"/>
      <c r="E265" s="97"/>
      <c r="F265" s="97"/>
    </row>
    <row r="266" spans="3:6" ht="13.2">
      <c r="C266" s="97"/>
      <c r="D266" s="97"/>
      <c r="E266" s="97"/>
      <c r="F266" s="97"/>
    </row>
    <row r="267" spans="3:6" ht="13.2">
      <c r="C267" s="97"/>
      <c r="D267" s="97"/>
      <c r="E267" s="97"/>
      <c r="F267" s="97"/>
    </row>
    <row r="268" spans="3:6" ht="13.2">
      <c r="C268" s="97"/>
      <c r="D268" s="97"/>
      <c r="E268" s="97"/>
      <c r="F268" s="97"/>
    </row>
    <row r="269" spans="3:6" ht="13.2">
      <c r="C269" s="97"/>
      <c r="D269" s="97"/>
      <c r="E269" s="97"/>
      <c r="F269" s="97"/>
    </row>
    <row r="270" spans="3:6" ht="13.2">
      <c r="C270" s="97"/>
      <c r="D270" s="97"/>
      <c r="E270" s="97"/>
      <c r="F270" s="97"/>
    </row>
    <row r="271" spans="3:6" ht="13.2">
      <c r="C271" s="97"/>
      <c r="D271" s="97"/>
      <c r="E271" s="97"/>
      <c r="F271" s="97"/>
    </row>
    <row r="272" spans="3:6" ht="13.2">
      <c r="C272" s="97"/>
      <c r="D272" s="97"/>
      <c r="E272" s="97"/>
      <c r="F272" s="97"/>
    </row>
    <row r="273" spans="3:6" ht="13.2">
      <c r="C273" s="97"/>
      <c r="D273" s="97"/>
      <c r="E273" s="97"/>
      <c r="F273" s="97"/>
    </row>
    <row r="274" spans="3:6" ht="13.2">
      <c r="C274" s="97"/>
      <c r="D274" s="97"/>
      <c r="E274" s="97"/>
      <c r="F274" s="97"/>
    </row>
    <row r="275" spans="3:6" ht="13.2">
      <c r="C275" s="97"/>
      <c r="D275" s="97"/>
      <c r="E275" s="97"/>
      <c r="F275" s="97"/>
    </row>
    <row r="276" spans="3:6" ht="13.2">
      <c r="C276" s="97"/>
      <c r="D276" s="97"/>
      <c r="E276" s="97"/>
      <c r="F276" s="97"/>
    </row>
    <row r="277" spans="3:6" ht="13.2">
      <c r="C277" s="97"/>
      <c r="D277" s="97"/>
      <c r="E277" s="97"/>
      <c r="F277" s="97"/>
    </row>
    <row r="278" spans="3:6" ht="13.2">
      <c r="C278" s="97"/>
      <c r="D278" s="97"/>
      <c r="E278" s="97"/>
      <c r="F278" s="97"/>
    </row>
    <row r="279" spans="3:6" ht="13.2">
      <c r="C279" s="97"/>
      <c r="D279" s="97"/>
      <c r="E279" s="97"/>
      <c r="F279" s="97"/>
    </row>
    <row r="280" spans="3:6" ht="13.2">
      <c r="C280" s="97"/>
      <c r="D280" s="97"/>
      <c r="E280" s="97"/>
      <c r="F280" s="97"/>
    </row>
    <row r="281" spans="3:6" ht="13.2">
      <c r="C281" s="97"/>
      <c r="D281" s="97"/>
      <c r="E281" s="97"/>
      <c r="F281" s="97"/>
    </row>
    <row r="282" spans="3:6" ht="13.2">
      <c r="C282" s="97"/>
      <c r="D282" s="97"/>
      <c r="E282" s="97"/>
      <c r="F282" s="97"/>
    </row>
    <row r="283" spans="3:6" ht="13.2">
      <c r="C283" s="97"/>
      <c r="D283" s="97"/>
      <c r="E283" s="97"/>
      <c r="F283" s="97"/>
    </row>
    <row r="284" spans="3:6" ht="13.2">
      <c r="C284" s="97"/>
      <c r="D284" s="97"/>
      <c r="E284" s="97"/>
      <c r="F284" s="97"/>
    </row>
    <row r="285" spans="3:6" ht="13.2">
      <c r="C285" s="97"/>
      <c r="D285" s="97"/>
      <c r="E285" s="97"/>
      <c r="F285" s="97"/>
    </row>
    <row r="286" spans="3:6" ht="13.2">
      <c r="C286" s="97"/>
      <c r="D286" s="97"/>
      <c r="E286" s="97"/>
      <c r="F286" s="97"/>
    </row>
    <row r="287" spans="3:6" ht="13.2">
      <c r="C287" s="97"/>
      <c r="D287" s="97"/>
      <c r="E287" s="97"/>
      <c r="F287" s="97"/>
    </row>
    <row r="288" spans="3:6" ht="13.2">
      <c r="C288" s="97"/>
      <c r="D288" s="97"/>
      <c r="E288" s="97"/>
      <c r="F288" s="97"/>
    </row>
    <row r="289" spans="3:6" ht="13.2">
      <c r="C289" s="97"/>
      <c r="D289" s="97"/>
      <c r="E289" s="97"/>
      <c r="F289" s="97"/>
    </row>
    <row r="290" spans="3:6" ht="13.2">
      <c r="C290" s="97"/>
      <c r="D290" s="97"/>
      <c r="E290" s="97"/>
      <c r="F290" s="97"/>
    </row>
    <row r="291" spans="3:6" ht="13.2">
      <c r="C291" s="97"/>
      <c r="D291" s="97"/>
      <c r="E291" s="97"/>
      <c r="F291" s="97"/>
    </row>
    <row r="292" spans="3:6" ht="13.2">
      <c r="C292" s="97"/>
      <c r="D292" s="97"/>
      <c r="E292" s="97"/>
      <c r="F292" s="97"/>
    </row>
    <row r="293" spans="3:6" ht="13.2">
      <c r="C293" s="97"/>
      <c r="D293" s="97"/>
      <c r="E293" s="97"/>
      <c r="F293" s="97"/>
    </row>
    <row r="294" spans="3:6" ht="13.2">
      <c r="C294" s="97"/>
      <c r="D294" s="97"/>
      <c r="E294" s="97"/>
      <c r="F294" s="97"/>
    </row>
    <row r="295" spans="3:6" ht="13.2">
      <c r="C295" s="97"/>
      <c r="D295" s="97"/>
      <c r="E295" s="97"/>
      <c r="F295" s="97"/>
    </row>
    <row r="296" spans="3:6" ht="13.2">
      <c r="C296" s="97"/>
      <c r="D296" s="97"/>
      <c r="E296" s="97"/>
      <c r="F296" s="97"/>
    </row>
    <row r="297" spans="3:6" ht="13.2">
      <c r="C297" s="97"/>
      <c r="D297" s="97"/>
      <c r="E297" s="97"/>
      <c r="F297" s="97"/>
    </row>
    <row r="298" spans="3:6" ht="13.2">
      <c r="C298" s="97"/>
      <c r="D298" s="97"/>
      <c r="E298" s="97"/>
      <c r="F298" s="97"/>
    </row>
    <row r="299" spans="3:6" ht="13.2">
      <c r="C299" s="97"/>
      <c r="D299" s="97"/>
      <c r="E299" s="97"/>
      <c r="F299" s="97"/>
    </row>
    <row r="300" spans="3:6" ht="13.2">
      <c r="C300" s="97"/>
      <c r="D300" s="97"/>
      <c r="E300" s="97"/>
      <c r="F300" s="97"/>
    </row>
    <row r="301" spans="3:6" ht="13.2">
      <c r="C301" s="97"/>
      <c r="D301" s="97"/>
      <c r="E301" s="97"/>
      <c r="F301" s="97"/>
    </row>
    <row r="302" spans="3:6" ht="13.2">
      <c r="C302" s="97"/>
      <c r="D302" s="97"/>
      <c r="E302" s="97"/>
      <c r="F302" s="97"/>
    </row>
    <row r="303" spans="3:6" ht="13.2">
      <c r="C303" s="97"/>
      <c r="D303" s="97"/>
      <c r="E303" s="97"/>
      <c r="F303" s="97"/>
    </row>
    <row r="304" spans="3:6" ht="13.2">
      <c r="C304" s="97"/>
      <c r="D304" s="97"/>
      <c r="E304" s="97"/>
      <c r="F304" s="97"/>
    </row>
    <row r="305" spans="3:6" ht="13.2">
      <c r="C305" s="97"/>
      <c r="D305" s="97"/>
      <c r="E305" s="97"/>
      <c r="F305" s="97"/>
    </row>
    <row r="306" spans="3:6" ht="13.2">
      <c r="C306" s="97"/>
      <c r="D306" s="97"/>
      <c r="E306" s="97"/>
      <c r="F306" s="97"/>
    </row>
    <row r="307" spans="3:6" ht="13.2">
      <c r="C307" s="97"/>
      <c r="D307" s="97"/>
      <c r="E307" s="97"/>
      <c r="F307" s="97"/>
    </row>
    <row r="308" spans="3:6" ht="13.2">
      <c r="C308" s="97"/>
      <c r="D308" s="97"/>
      <c r="E308" s="97"/>
      <c r="F308" s="97"/>
    </row>
    <row r="309" spans="3:6" ht="13.2">
      <c r="C309" s="97"/>
      <c r="D309" s="97"/>
      <c r="E309" s="97"/>
      <c r="F309" s="97"/>
    </row>
    <row r="310" spans="3:6" ht="13.2">
      <c r="C310" s="97"/>
      <c r="D310" s="97"/>
      <c r="E310" s="97"/>
      <c r="F310" s="97"/>
    </row>
    <row r="311" spans="3:6" ht="13.2">
      <c r="C311" s="97"/>
      <c r="D311" s="97"/>
      <c r="E311" s="97"/>
      <c r="F311" s="97"/>
    </row>
    <row r="312" spans="3:6" ht="13.2">
      <c r="C312" s="97"/>
      <c r="D312" s="97"/>
      <c r="E312" s="97"/>
      <c r="F312" s="97"/>
    </row>
    <row r="313" spans="3:6" ht="13.2">
      <c r="C313" s="97"/>
      <c r="D313" s="97"/>
      <c r="E313" s="97"/>
      <c r="F313" s="97"/>
    </row>
    <row r="314" spans="3:6" ht="13.2">
      <c r="C314" s="97"/>
      <c r="D314" s="97"/>
      <c r="E314" s="97"/>
      <c r="F314" s="97"/>
    </row>
    <row r="315" spans="3:6" ht="13.2">
      <c r="C315" s="97"/>
      <c r="D315" s="97"/>
      <c r="E315" s="97"/>
      <c r="F315" s="97"/>
    </row>
    <row r="316" spans="3:6" ht="13.2">
      <c r="C316" s="97"/>
      <c r="D316" s="97"/>
      <c r="E316" s="97"/>
      <c r="F316" s="97"/>
    </row>
    <row r="317" spans="3:6" ht="13.2">
      <c r="C317" s="97"/>
      <c r="D317" s="97"/>
      <c r="E317" s="97"/>
      <c r="F317" s="97"/>
    </row>
    <row r="318" spans="3:6" ht="13.2">
      <c r="C318" s="97"/>
      <c r="D318" s="97"/>
      <c r="E318" s="97"/>
      <c r="F318" s="97"/>
    </row>
    <row r="319" spans="3:6" ht="13.2">
      <c r="C319" s="97"/>
      <c r="D319" s="97"/>
      <c r="E319" s="97"/>
      <c r="F319" s="97"/>
    </row>
    <row r="320" spans="3:6" ht="13.2">
      <c r="C320" s="97"/>
      <c r="D320" s="97"/>
      <c r="E320" s="97"/>
      <c r="F320" s="97"/>
    </row>
    <row r="321" spans="3:6" ht="13.2">
      <c r="C321" s="97"/>
      <c r="D321" s="97"/>
      <c r="E321" s="97"/>
      <c r="F321" s="97"/>
    </row>
    <row r="322" spans="3:6" ht="13.2">
      <c r="C322" s="97"/>
      <c r="D322" s="97"/>
      <c r="E322" s="97"/>
      <c r="F322" s="97"/>
    </row>
    <row r="323" spans="3:6" ht="13.2">
      <c r="C323" s="97"/>
      <c r="D323" s="97"/>
      <c r="E323" s="97"/>
      <c r="F323" s="97"/>
    </row>
    <row r="324" spans="3:6" ht="13.2">
      <c r="C324" s="97"/>
      <c r="D324" s="97"/>
      <c r="E324" s="97"/>
      <c r="F324" s="97"/>
    </row>
    <row r="325" spans="3:6" ht="13.2">
      <c r="C325" s="97"/>
      <c r="D325" s="97"/>
      <c r="E325" s="97"/>
      <c r="F325" s="97"/>
    </row>
    <row r="326" spans="3:6" ht="13.2">
      <c r="C326" s="97"/>
      <c r="D326" s="97"/>
      <c r="E326" s="97"/>
      <c r="F326" s="97"/>
    </row>
    <row r="327" spans="3:6" ht="13.2">
      <c r="C327" s="97"/>
      <c r="D327" s="97"/>
      <c r="E327" s="97"/>
      <c r="F327" s="97"/>
    </row>
    <row r="328" spans="3:6" ht="13.2">
      <c r="C328" s="97"/>
      <c r="D328" s="97"/>
      <c r="E328" s="97"/>
      <c r="F328" s="97"/>
    </row>
    <row r="329" spans="3:6" ht="13.2">
      <c r="C329" s="97"/>
      <c r="D329" s="97"/>
      <c r="E329" s="97"/>
      <c r="F329" s="97"/>
    </row>
    <row r="330" spans="3:6" ht="13.2">
      <c r="C330" s="97"/>
      <c r="D330" s="97"/>
      <c r="E330" s="97"/>
      <c r="F330" s="97"/>
    </row>
    <row r="331" spans="3:6" ht="13.2">
      <c r="C331" s="97"/>
      <c r="D331" s="97"/>
      <c r="E331" s="97"/>
      <c r="F331" s="97"/>
    </row>
    <row r="332" spans="3:6" ht="13.2">
      <c r="C332" s="97"/>
      <c r="D332" s="97"/>
      <c r="E332" s="97"/>
      <c r="F332" s="97"/>
    </row>
    <row r="333" spans="3:6" ht="13.2">
      <c r="C333" s="97"/>
      <c r="D333" s="97"/>
      <c r="E333" s="97"/>
      <c r="F333" s="97"/>
    </row>
    <row r="334" spans="3:6" ht="13.2">
      <c r="C334" s="97"/>
      <c r="D334" s="97"/>
      <c r="E334" s="97"/>
      <c r="F334" s="97"/>
    </row>
    <row r="335" spans="3:6" ht="13.2">
      <c r="C335" s="97"/>
      <c r="D335" s="97"/>
      <c r="E335" s="97"/>
      <c r="F335" s="97"/>
    </row>
    <row r="336" spans="3:6" ht="13.2">
      <c r="C336" s="97"/>
      <c r="D336" s="97"/>
      <c r="E336" s="97"/>
      <c r="F336" s="97"/>
    </row>
    <row r="337" spans="3:6" ht="13.2">
      <c r="C337" s="97"/>
      <c r="D337" s="97"/>
      <c r="E337" s="97"/>
      <c r="F337" s="97"/>
    </row>
    <row r="338" spans="3:6" ht="13.2">
      <c r="C338" s="97"/>
      <c r="D338" s="97"/>
      <c r="E338" s="97"/>
      <c r="F338" s="97"/>
    </row>
    <row r="339" spans="3:6" ht="13.2">
      <c r="C339" s="97"/>
      <c r="D339" s="97"/>
      <c r="E339" s="97"/>
      <c r="F339" s="97"/>
    </row>
    <row r="340" spans="3:6" ht="13.2">
      <c r="C340" s="97"/>
      <c r="D340" s="97"/>
      <c r="E340" s="97"/>
      <c r="F340" s="97"/>
    </row>
    <row r="341" spans="3:6" ht="13.2">
      <c r="C341" s="97"/>
      <c r="D341" s="97"/>
      <c r="E341" s="97"/>
      <c r="F341" s="97"/>
    </row>
    <row r="342" spans="3:6" ht="13.2">
      <c r="C342" s="97"/>
      <c r="D342" s="97"/>
      <c r="E342" s="97"/>
      <c r="F342" s="97"/>
    </row>
    <row r="343" spans="3:6" ht="13.2">
      <c r="C343" s="97"/>
      <c r="D343" s="97"/>
      <c r="E343" s="97"/>
      <c r="F343" s="97"/>
    </row>
    <row r="344" spans="3:6" ht="13.2">
      <c r="C344" s="97"/>
      <c r="D344" s="97"/>
      <c r="E344" s="97"/>
      <c r="F344" s="97"/>
    </row>
    <row r="345" spans="3:6" ht="13.2">
      <c r="C345" s="97"/>
      <c r="D345" s="97"/>
      <c r="E345" s="97"/>
      <c r="F345" s="97"/>
    </row>
    <row r="346" spans="3:6" ht="13.2">
      <c r="C346" s="97"/>
      <c r="D346" s="97"/>
      <c r="E346" s="97"/>
      <c r="F346" s="97"/>
    </row>
    <row r="347" spans="3:6" ht="13.2">
      <c r="C347" s="97"/>
      <c r="D347" s="97"/>
      <c r="E347" s="97"/>
      <c r="F347" s="97"/>
    </row>
    <row r="348" spans="3:6" ht="13.2">
      <c r="C348" s="97"/>
      <c r="D348" s="97"/>
      <c r="E348" s="97"/>
      <c r="F348" s="97"/>
    </row>
    <row r="349" spans="3:6" ht="13.2">
      <c r="C349" s="97"/>
      <c r="D349" s="97"/>
      <c r="E349" s="97"/>
      <c r="F349" s="97"/>
    </row>
    <row r="350" spans="3:6" ht="13.2">
      <c r="C350" s="97"/>
      <c r="D350" s="97"/>
      <c r="E350" s="97"/>
      <c r="F350" s="97"/>
    </row>
    <row r="351" spans="3:6" ht="13.2">
      <c r="C351" s="97"/>
      <c r="D351" s="97"/>
      <c r="E351" s="97"/>
      <c r="F351" s="97"/>
    </row>
    <row r="352" spans="3:6" ht="13.2">
      <c r="C352" s="97"/>
      <c r="D352" s="97"/>
      <c r="E352" s="97"/>
      <c r="F352" s="97"/>
    </row>
    <row r="353" spans="3:6" ht="13.2">
      <c r="C353" s="97"/>
      <c r="D353" s="97"/>
      <c r="E353" s="97"/>
      <c r="F353" s="97"/>
    </row>
    <row r="354" spans="3:6" ht="13.2">
      <c r="C354" s="97"/>
      <c r="D354" s="97"/>
      <c r="E354" s="97"/>
      <c r="F354" s="97"/>
    </row>
    <row r="355" spans="3:6" ht="13.2">
      <c r="C355" s="97"/>
      <c r="D355" s="97"/>
      <c r="E355" s="97"/>
      <c r="F355" s="97"/>
    </row>
    <row r="356" spans="3:6" ht="13.2">
      <c r="C356" s="97"/>
      <c r="D356" s="97"/>
      <c r="E356" s="97"/>
      <c r="F356" s="97"/>
    </row>
    <row r="357" spans="3:6" ht="13.2">
      <c r="C357" s="97"/>
      <c r="D357" s="97"/>
      <c r="E357" s="97"/>
      <c r="F357" s="97"/>
    </row>
    <row r="358" spans="3:6" ht="13.2">
      <c r="C358" s="97"/>
      <c r="D358" s="97"/>
      <c r="E358" s="97"/>
      <c r="F358" s="97"/>
    </row>
    <row r="359" spans="3:6" ht="13.2">
      <c r="C359" s="97"/>
      <c r="D359" s="97"/>
      <c r="E359" s="97"/>
      <c r="F359" s="97"/>
    </row>
    <row r="360" spans="3:6" ht="13.2">
      <c r="C360" s="97"/>
      <c r="D360" s="97"/>
      <c r="E360" s="97"/>
      <c r="F360" s="97"/>
    </row>
    <row r="361" spans="3:6" ht="13.2">
      <c r="C361" s="97"/>
      <c r="D361" s="97"/>
      <c r="E361" s="97"/>
      <c r="F361" s="97"/>
    </row>
    <row r="362" spans="3:6" ht="13.2">
      <c r="C362" s="97"/>
      <c r="D362" s="97"/>
      <c r="E362" s="97"/>
      <c r="F362" s="97"/>
    </row>
    <row r="363" spans="3:6" ht="13.2">
      <c r="C363" s="97"/>
      <c r="D363" s="97"/>
      <c r="E363" s="97"/>
      <c r="F363" s="97"/>
    </row>
    <row r="364" spans="3:6" ht="13.2">
      <c r="C364" s="97"/>
      <c r="D364" s="97"/>
      <c r="E364" s="97"/>
      <c r="F364" s="97"/>
    </row>
    <row r="365" spans="3:6" ht="13.2">
      <c r="C365" s="97"/>
      <c r="D365" s="97"/>
      <c r="E365" s="97"/>
      <c r="F365" s="97"/>
    </row>
    <row r="366" spans="3:6" ht="13.2">
      <c r="C366" s="97"/>
      <c r="D366" s="97"/>
      <c r="E366" s="97"/>
      <c r="F366" s="97"/>
    </row>
    <row r="367" spans="3:6" ht="13.2">
      <c r="C367" s="97"/>
      <c r="D367" s="97"/>
      <c r="E367" s="97"/>
      <c r="F367" s="97"/>
    </row>
    <row r="368" spans="3:6" ht="13.2">
      <c r="C368" s="97"/>
      <c r="D368" s="97"/>
      <c r="E368" s="97"/>
      <c r="F368" s="97"/>
    </row>
    <row r="369" spans="3:6" ht="13.2">
      <c r="C369" s="97"/>
      <c r="D369" s="97"/>
      <c r="E369" s="97"/>
      <c r="F369" s="97"/>
    </row>
    <row r="370" spans="3:6" ht="13.2">
      <c r="C370" s="97"/>
      <c r="D370" s="97"/>
      <c r="E370" s="97"/>
      <c r="F370" s="97"/>
    </row>
    <row r="371" spans="3:6" ht="13.2">
      <c r="C371" s="97"/>
      <c r="D371" s="97"/>
      <c r="E371" s="97"/>
      <c r="F371" s="97"/>
    </row>
    <row r="372" spans="3:6" ht="13.2">
      <c r="C372" s="97"/>
      <c r="D372" s="97"/>
      <c r="E372" s="97"/>
      <c r="F372" s="97"/>
    </row>
    <row r="373" spans="3:6" ht="13.2">
      <c r="C373" s="97"/>
      <c r="D373" s="97"/>
      <c r="E373" s="97"/>
      <c r="F373" s="97"/>
    </row>
    <row r="374" spans="3:6" ht="13.2">
      <c r="C374" s="97"/>
      <c r="D374" s="97"/>
      <c r="E374" s="97"/>
      <c r="F374" s="97"/>
    </row>
    <row r="375" spans="3:6" ht="13.2">
      <c r="C375" s="97"/>
      <c r="D375" s="97"/>
      <c r="E375" s="97"/>
      <c r="F375" s="97"/>
    </row>
    <row r="376" spans="3:6" ht="13.2">
      <c r="C376" s="97"/>
      <c r="D376" s="97"/>
      <c r="E376" s="97"/>
      <c r="F376" s="97"/>
    </row>
    <row r="377" spans="3:6" ht="13.2">
      <c r="C377" s="97"/>
      <c r="D377" s="97"/>
      <c r="E377" s="97"/>
      <c r="F377" s="97"/>
    </row>
    <row r="378" spans="3:6" ht="13.2">
      <c r="C378" s="97"/>
      <c r="D378" s="97"/>
      <c r="E378" s="97"/>
      <c r="F378" s="97"/>
    </row>
    <row r="379" spans="3:6" ht="13.2">
      <c r="C379" s="97"/>
      <c r="D379" s="97"/>
      <c r="E379" s="97"/>
      <c r="F379" s="97"/>
    </row>
    <row r="380" spans="3:6" ht="13.2">
      <c r="C380" s="97"/>
      <c r="D380" s="97"/>
      <c r="E380" s="97"/>
      <c r="F380" s="97"/>
    </row>
    <row r="381" spans="3:6" ht="13.2">
      <c r="C381" s="97"/>
      <c r="D381" s="97"/>
      <c r="E381" s="97"/>
      <c r="F381" s="97"/>
    </row>
    <row r="382" spans="3:6" ht="13.2">
      <c r="C382" s="97"/>
      <c r="D382" s="97"/>
      <c r="E382" s="97"/>
      <c r="F382" s="97"/>
    </row>
    <row r="383" spans="3:6" ht="13.2">
      <c r="C383" s="97"/>
      <c r="D383" s="97"/>
      <c r="E383" s="97"/>
      <c r="F383" s="97"/>
    </row>
    <row r="384" spans="3:6" ht="13.2">
      <c r="C384" s="97"/>
      <c r="D384" s="97"/>
      <c r="E384" s="97"/>
      <c r="F384" s="97"/>
    </row>
    <row r="385" spans="3:6" ht="13.2">
      <c r="C385" s="97"/>
      <c r="D385" s="97"/>
      <c r="E385" s="97"/>
      <c r="F385" s="97"/>
    </row>
    <row r="386" spans="3:6" ht="13.2">
      <c r="C386" s="97"/>
      <c r="D386" s="97"/>
      <c r="E386" s="97"/>
      <c r="F386" s="97"/>
    </row>
    <row r="387" spans="3:6" ht="13.2">
      <c r="C387" s="97"/>
      <c r="D387" s="97"/>
      <c r="E387" s="97"/>
      <c r="F387" s="97"/>
    </row>
    <row r="388" spans="3:6" ht="13.2">
      <c r="C388" s="97"/>
      <c r="D388" s="97"/>
      <c r="E388" s="97"/>
      <c r="F388" s="97"/>
    </row>
    <row r="389" spans="3:6" ht="13.2">
      <c r="C389" s="97"/>
      <c r="D389" s="97"/>
      <c r="E389" s="97"/>
      <c r="F389" s="97"/>
    </row>
    <row r="390" spans="3:6" ht="13.2">
      <c r="C390" s="97"/>
      <c r="D390" s="97"/>
      <c r="E390" s="97"/>
      <c r="F390" s="97"/>
    </row>
    <row r="391" spans="3:6" ht="13.2">
      <c r="C391" s="97"/>
      <c r="D391" s="97"/>
      <c r="E391" s="97"/>
      <c r="F391" s="97"/>
    </row>
    <row r="392" spans="3:6" ht="13.2">
      <c r="C392" s="97"/>
      <c r="D392" s="97"/>
      <c r="E392" s="97"/>
      <c r="F392" s="97"/>
    </row>
    <row r="393" spans="3:6" ht="13.2">
      <c r="C393" s="97"/>
      <c r="D393" s="97"/>
      <c r="E393" s="97"/>
      <c r="F393" s="97"/>
    </row>
    <row r="394" spans="3:6" ht="13.2">
      <c r="C394" s="97"/>
      <c r="D394" s="97"/>
      <c r="E394" s="97"/>
      <c r="F394" s="97"/>
    </row>
    <row r="395" spans="3:6" ht="13.2">
      <c r="C395" s="97"/>
      <c r="D395" s="97"/>
      <c r="E395" s="97"/>
      <c r="F395" s="97"/>
    </row>
    <row r="396" spans="3:6" ht="13.2">
      <c r="C396" s="97"/>
      <c r="D396" s="97"/>
      <c r="E396" s="97"/>
      <c r="F396" s="97"/>
    </row>
    <row r="397" spans="3:6" ht="13.2">
      <c r="C397" s="97"/>
      <c r="D397" s="97"/>
      <c r="E397" s="97"/>
      <c r="F397" s="97"/>
    </row>
    <row r="398" spans="3:6" ht="13.2">
      <c r="C398" s="97"/>
      <c r="D398" s="97"/>
      <c r="E398" s="97"/>
      <c r="F398" s="97"/>
    </row>
    <row r="399" spans="3:6" ht="13.2">
      <c r="C399" s="97"/>
      <c r="D399" s="97"/>
      <c r="E399" s="97"/>
      <c r="F399" s="97"/>
    </row>
    <row r="400" spans="3:6" ht="13.2">
      <c r="C400" s="97"/>
      <c r="D400" s="97"/>
      <c r="E400" s="97"/>
      <c r="F400" s="97"/>
    </row>
    <row r="401" spans="3:6" ht="13.2">
      <c r="C401" s="97"/>
      <c r="D401" s="97"/>
      <c r="E401" s="97"/>
      <c r="F401" s="97"/>
    </row>
    <row r="402" spans="3:6" ht="13.2">
      <c r="C402" s="97"/>
      <c r="D402" s="97"/>
      <c r="E402" s="97"/>
      <c r="F402" s="97"/>
    </row>
    <row r="403" spans="3:6" ht="13.2">
      <c r="C403" s="97"/>
      <c r="D403" s="97"/>
      <c r="E403" s="97"/>
      <c r="F403" s="97"/>
    </row>
    <row r="404" spans="3:6" ht="13.2">
      <c r="C404" s="97"/>
      <c r="D404" s="97"/>
      <c r="E404" s="97"/>
      <c r="F404" s="97"/>
    </row>
    <row r="405" spans="3:6" ht="13.2">
      <c r="C405" s="97"/>
      <c r="D405" s="97"/>
      <c r="E405" s="97"/>
      <c r="F405" s="97"/>
    </row>
    <row r="406" spans="3:6" ht="13.2">
      <c r="C406" s="97"/>
      <c r="D406" s="97"/>
      <c r="E406" s="97"/>
      <c r="F406" s="97"/>
    </row>
    <row r="407" spans="3:6" ht="13.2">
      <c r="C407" s="97"/>
      <c r="D407" s="97"/>
      <c r="E407" s="97"/>
      <c r="F407" s="97"/>
    </row>
    <row r="408" spans="3:6" ht="13.2">
      <c r="C408" s="97"/>
      <c r="D408" s="97"/>
      <c r="E408" s="97"/>
      <c r="F408" s="97"/>
    </row>
    <row r="409" spans="3:6" ht="13.2">
      <c r="C409" s="97"/>
      <c r="D409" s="97"/>
      <c r="E409" s="97"/>
      <c r="F409" s="97"/>
    </row>
    <row r="410" spans="3:6" ht="13.2">
      <c r="C410" s="97"/>
      <c r="D410" s="97"/>
      <c r="E410" s="97"/>
      <c r="F410" s="97"/>
    </row>
    <row r="411" spans="3:6" ht="13.2">
      <c r="C411" s="97"/>
      <c r="D411" s="97"/>
      <c r="E411" s="97"/>
      <c r="F411" s="97"/>
    </row>
    <row r="412" spans="3:6" ht="13.2">
      <c r="C412" s="97"/>
      <c r="D412" s="97"/>
      <c r="E412" s="97"/>
      <c r="F412" s="97"/>
    </row>
    <row r="413" spans="3:6" ht="13.2">
      <c r="C413" s="97"/>
      <c r="D413" s="97"/>
      <c r="E413" s="97"/>
      <c r="F413" s="97"/>
    </row>
    <row r="414" spans="3:6" ht="13.2">
      <c r="C414" s="97"/>
      <c r="D414" s="97"/>
      <c r="E414" s="97"/>
      <c r="F414" s="97"/>
    </row>
    <row r="415" spans="3:6" ht="13.2">
      <c r="C415" s="97"/>
      <c r="D415" s="97"/>
      <c r="E415" s="97"/>
      <c r="F415" s="97"/>
    </row>
    <row r="416" spans="3:6" ht="13.2">
      <c r="C416" s="97"/>
      <c r="D416" s="97"/>
      <c r="E416" s="97"/>
      <c r="F416" s="97"/>
    </row>
    <row r="417" spans="3:6" ht="13.2">
      <c r="C417" s="97"/>
      <c r="D417" s="97"/>
      <c r="E417" s="97"/>
      <c r="F417" s="97"/>
    </row>
    <row r="418" spans="3:6" ht="13.2">
      <c r="C418" s="97"/>
      <c r="D418" s="97"/>
      <c r="E418" s="97"/>
      <c r="F418" s="97"/>
    </row>
    <row r="419" spans="3:6" ht="13.2">
      <c r="C419" s="97"/>
      <c r="D419" s="97"/>
      <c r="E419" s="97"/>
      <c r="F419" s="97"/>
    </row>
    <row r="420" spans="3:6" ht="13.2">
      <c r="C420" s="97"/>
      <c r="D420" s="97"/>
      <c r="E420" s="97"/>
      <c r="F420" s="97"/>
    </row>
    <row r="421" spans="3:6" ht="13.2">
      <c r="C421" s="97"/>
      <c r="D421" s="97"/>
      <c r="E421" s="97"/>
      <c r="F421" s="97"/>
    </row>
    <row r="422" spans="3:6" ht="13.2">
      <c r="C422" s="97"/>
      <c r="D422" s="97"/>
      <c r="E422" s="97"/>
      <c r="F422" s="97"/>
    </row>
    <row r="423" spans="3:6" ht="13.2">
      <c r="C423" s="97"/>
      <c r="D423" s="97"/>
      <c r="E423" s="97"/>
      <c r="F423" s="97"/>
    </row>
    <row r="424" spans="3:6" ht="13.2">
      <c r="C424" s="97"/>
      <c r="D424" s="97"/>
      <c r="E424" s="97"/>
      <c r="F424" s="97"/>
    </row>
    <row r="425" spans="3:6" ht="13.2">
      <c r="C425" s="97"/>
      <c r="D425" s="97"/>
      <c r="E425" s="97"/>
      <c r="F425" s="97"/>
    </row>
    <row r="426" spans="3:6" ht="13.2">
      <c r="C426" s="97"/>
      <c r="D426" s="97"/>
      <c r="E426" s="97"/>
      <c r="F426" s="97"/>
    </row>
    <row r="427" spans="3:6" ht="13.2">
      <c r="C427" s="97"/>
      <c r="D427" s="97"/>
      <c r="E427" s="97"/>
      <c r="F427" s="97"/>
    </row>
    <row r="428" spans="3:6" ht="13.2">
      <c r="C428" s="97"/>
      <c r="D428" s="97"/>
      <c r="E428" s="97"/>
      <c r="F428" s="97"/>
    </row>
    <row r="429" spans="3:6" ht="13.2">
      <c r="C429" s="97"/>
      <c r="D429" s="97"/>
      <c r="E429" s="97"/>
      <c r="F429" s="97"/>
    </row>
    <row r="430" spans="3:6" ht="13.2">
      <c r="C430" s="97"/>
      <c r="D430" s="97"/>
      <c r="E430" s="97"/>
      <c r="F430" s="97"/>
    </row>
    <row r="431" spans="3:6" ht="13.2">
      <c r="C431" s="97"/>
      <c r="D431" s="97"/>
      <c r="E431" s="97"/>
      <c r="F431" s="97"/>
    </row>
    <row r="432" spans="3:6" ht="13.2">
      <c r="C432" s="97"/>
      <c r="D432" s="97"/>
      <c r="E432" s="97"/>
      <c r="F432" s="97"/>
    </row>
    <row r="433" spans="3:6" ht="13.2">
      <c r="C433" s="97"/>
      <c r="D433" s="97"/>
      <c r="E433" s="97"/>
      <c r="F433" s="97"/>
    </row>
    <row r="434" spans="3:6" ht="13.2">
      <c r="C434" s="97"/>
      <c r="D434" s="97"/>
      <c r="E434" s="97"/>
      <c r="F434" s="97"/>
    </row>
    <row r="435" spans="3:6" ht="13.2">
      <c r="C435" s="97"/>
      <c r="D435" s="97"/>
      <c r="E435" s="97"/>
      <c r="F435" s="97"/>
    </row>
    <row r="436" spans="3:6" ht="13.2">
      <c r="C436" s="97"/>
      <c r="D436" s="97"/>
      <c r="E436" s="97"/>
      <c r="F436" s="97"/>
    </row>
    <row r="437" spans="3:6" ht="13.2">
      <c r="C437" s="97"/>
      <c r="D437" s="97"/>
      <c r="E437" s="97"/>
      <c r="F437" s="97"/>
    </row>
    <row r="438" spans="3:6" ht="13.2">
      <c r="C438" s="97"/>
      <c r="D438" s="97"/>
      <c r="E438" s="97"/>
      <c r="F438" s="97"/>
    </row>
    <row r="439" spans="3:6" ht="13.2">
      <c r="C439" s="97"/>
      <c r="D439" s="97"/>
      <c r="E439" s="97"/>
      <c r="F439" s="97"/>
    </row>
    <row r="440" spans="3:6" ht="13.2">
      <c r="C440" s="97"/>
      <c r="D440" s="97"/>
      <c r="E440" s="97"/>
      <c r="F440" s="97"/>
    </row>
    <row r="441" spans="3:6" ht="13.2">
      <c r="C441" s="97"/>
      <c r="D441" s="97"/>
      <c r="E441" s="97"/>
      <c r="F441" s="97"/>
    </row>
    <row r="442" spans="3:6" ht="13.2">
      <c r="C442" s="97"/>
      <c r="D442" s="97"/>
      <c r="E442" s="97"/>
      <c r="F442" s="97"/>
    </row>
    <row r="443" spans="3:6" ht="13.2">
      <c r="C443" s="97"/>
      <c r="D443" s="97"/>
      <c r="E443" s="97"/>
      <c r="F443" s="97"/>
    </row>
    <row r="444" spans="3:6" ht="13.2">
      <c r="C444" s="97"/>
      <c r="D444" s="97"/>
      <c r="E444" s="97"/>
      <c r="F444" s="97"/>
    </row>
    <row r="445" spans="3:6" ht="13.2">
      <c r="C445" s="97"/>
      <c r="D445" s="97"/>
      <c r="E445" s="97"/>
      <c r="F445" s="97"/>
    </row>
    <row r="446" spans="3:6" ht="13.2">
      <c r="C446" s="97"/>
      <c r="D446" s="97"/>
      <c r="E446" s="97"/>
      <c r="F446" s="97"/>
    </row>
    <row r="447" spans="3:6" ht="13.2">
      <c r="C447" s="97"/>
      <c r="D447" s="97"/>
      <c r="E447" s="97"/>
      <c r="F447" s="97"/>
    </row>
    <row r="448" spans="3:6" ht="13.2">
      <c r="C448" s="97"/>
      <c r="D448" s="97"/>
      <c r="E448" s="97"/>
      <c r="F448" s="97"/>
    </row>
    <row r="449" spans="3:6" ht="13.2">
      <c r="C449" s="97"/>
      <c r="D449" s="97"/>
      <c r="E449" s="97"/>
      <c r="F449" s="97"/>
    </row>
    <row r="450" spans="3:6" ht="13.2">
      <c r="C450" s="97"/>
      <c r="D450" s="97"/>
      <c r="E450" s="97"/>
      <c r="F450" s="97"/>
    </row>
    <row r="451" spans="3:6" ht="13.2">
      <c r="C451" s="97"/>
      <c r="D451" s="97"/>
      <c r="E451" s="97"/>
      <c r="F451" s="97"/>
    </row>
    <row r="452" spans="3:6" ht="13.2">
      <c r="C452" s="97"/>
      <c r="D452" s="97"/>
      <c r="E452" s="97"/>
      <c r="F452" s="97"/>
    </row>
    <row r="453" spans="3:6" ht="13.2">
      <c r="C453" s="97"/>
      <c r="D453" s="97"/>
      <c r="E453" s="97"/>
      <c r="F453" s="97"/>
    </row>
    <row r="454" spans="3:6" ht="13.2">
      <c r="C454" s="97"/>
      <c r="D454" s="97"/>
      <c r="E454" s="97"/>
      <c r="F454" s="97"/>
    </row>
    <row r="455" spans="3:6" ht="13.2">
      <c r="C455" s="97"/>
      <c r="D455" s="97"/>
      <c r="E455" s="97"/>
      <c r="F455" s="97"/>
    </row>
    <row r="456" spans="3:6" ht="13.2">
      <c r="C456" s="97"/>
      <c r="D456" s="97"/>
      <c r="E456" s="97"/>
      <c r="F456" s="97"/>
    </row>
    <row r="457" spans="3:6" ht="13.2">
      <c r="C457" s="97"/>
      <c r="D457" s="97"/>
      <c r="E457" s="97"/>
      <c r="F457" s="97"/>
    </row>
    <row r="458" spans="3:6" ht="13.2">
      <c r="C458" s="97"/>
      <c r="D458" s="97"/>
      <c r="E458" s="97"/>
      <c r="F458" s="97"/>
    </row>
    <row r="459" spans="3:6" ht="13.2">
      <c r="C459" s="97"/>
      <c r="D459" s="97"/>
      <c r="E459" s="97"/>
      <c r="F459" s="97"/>
    </row>
    <row r="460" spans="3:6" ht="13.2">
      <c r="C460" s="97"/>
      <c r="D460" s="97"/>
      <c r="E460" s="97"/>
      <c r="F460" s="97"/>
    </row>
    <row r="461" spans="3:6" ht="13.2">
      <c r="C461" s="97"/>
      <c r="D461" s="97"/>
      <c r="E461" s="97"/>
      <c r="F461" s="97"/>
    </row>
    <row r="462" spans="3:6" ht="13.2">
      <c r="C462" s="97"/>
      <c r="D462" s="97"/>
      <c r="E462" s="97"/>
      <c r="F462" s="97"/>
    </row>
    <row r="463" spans="3:6" ht="13.2">
      <c r="C463" s="97"/>
      <c r="D463" s="97"/>
      <c r="E463" s="97"/>
      <c r="F463" s="97"/>
    </row>
    <row r="464" spans="3:6" ht="13.2">
      <c r="C464" s="97"/>
      <c r="D464" s="97"/>
      <c r="E464" s="97"/>
      <c r="F464" s="97"/>
    </row>
    <row r="465" spans="3:6" ht="13.2">
      <c r="C465" s="97"/>
      <c r="D465" s="97"/>
      <c r="E465" s="97"/>
      <c r="F465" s="97"/>
    </row>
    <row r="466" spans="3:6" ht="13.2">
      <c r="C466" s="97"/>
      <c r="D466" s="97"/>
      <c r="E466" s="97"/>
      <c r="F466" s="97"/>
    </row>
    <row r="467" spans="3:6" ht="13.2">
      <c r="C467" s="97"/>
      <c r="D467" s="97"/>
      <c r="E467" s="97"/>
      <c r="F467" s="97"/>
    </row>
    <row r="468" spans="3:6" ht="13.2">
      <c r="C468" s="97"/>
      <c r="D468" s="97"/>
      <c r="E468" s="97"/>
      <c r="F468" s="97"/>
    </row>
    <row r="469" spans="3:6" ht="13.2">
      <c r="C469" s="97"/>
      <c r="D469" s="97"/>
      <c r="E469" s="97"/>
      <c r="F469" s="97"/>
    </row>
    <row r="470" spans="3:6" ht="13.2">
      <c r="C470" s="97"/>
      <c r="D470" s="97"/>
      <c r="E470" s="97"/>
      <c r="F470" s="97"/>
    </row>
    <row r="471" spans="3:6" ht="13.2">
      <c r="C471" s="97"/>
      <c r="D471" s="97"/>
      <c r="E471" s="97"/>
      <c r="F471" s="97"/>
    </row>
    <row r="472" spans="3:6" ht="13.2">
      <c r="C472" s="97"/>
      <c r="D472" s="97"/>
      <c r="E472" s="97"/>
      <c r="F472" s="97"/>
    </row>
    <row r="473" spans="3:6" ht="13.2">
      <c r="C473" s="97"/>
      <c r="D473" s="97"/>
      <c r="E473" s="97"/>
      <c r="F473" s="97"/>
    </row>
    <row r="474" spans="3:6" ht="13.2">
      <c r="C474" s="97"/>
      <c r="D474" s="97"/>
      <c r="E474" s="97"/>
      <c r="F474" s="97"/>
    </row>
    <row r="475" spans="3:6" ht="13.2">
      <c r="C475" s="97"/>
      <c r="D475" s="97"/>
      <c r="E475" s="97"/>
      <c r="F475" s="97"/>
    </row>
    <row r="476" spans="3:6" ht="13.2">
      <c r="C476" s="97"/>
      <c r="D476" s="97"/>
      <c r="E476" s="97"/>
      <c r="F476" s="97"/>
    </row>
    <row r="477" spans="3:6" ht="13.2">
      <c r="C477" s="97"/>
      <c r="D477" s="97"/>
      <c r="E477" s="97"/>
      <c r="F477" s="97"/>
    </row>
    <row r="478" spans="3:6" ht="13.2">
      <c r="C478" s="97"/>
      <c r="D478" s="97"/>
      <c r="E478" s="97"/>
      <c r="F478" s="97"/>
    </row>
    <row r="479" spans="3:6" ht="13.2">
      <c r="C479" s="97"/>
      <c r="D479" s="97"/>
      <c r="E479" s="97"/>
      <c r="F479" s="97"/>
    </row>
    <row r="480" spans="3:6" ht="13.2">
      <c r="C480" s="97"/>
      <c r="D480" s="97"/>
      <c r="E480" s="97"/>
      <c r="F480" s="97"/>
    </row>
    <row r="481" spans="3:6" ht="13.2">
      <c r="C481" s="97"/>
      <c r="D481" s="97"/>
      <c r="E481" s="97"/>
      <c r="F481" s="97"/>
    </row>
    <row r="482" spans="3:6" ht="13.2">
      <c r="C482" s="97"/>
      <c r="D482" s="97"/>
      <c r="E482" s="97"/>
      <c r="F482" s="97"/>
    </row>
    <row r="483" spans="3:6" ht="13.2">
      <c r="C483" s="97"/>
      <c r="D483" s="97"/>
      <c r="E483" s="97"/>
      <c r="F483" s="97"/>
    </row>
    <row r="484" spans="3:6" ht="13.2">
      <c r="C484" s="97"/>
      <c r="D484" s="97"/>
      <c r="E484" s="97"/>
      <c r="F484" s="97"/>
    </row>
    <row r="485" spans="3:6" ht="13.2">
      <c r="C485" s="97"/>
      <c r="D485" s="97"/>
      <c r="E485" s="97"/>
      <c r="F485" s="97"/>
    </row>
    <row r="486" spans="3:6" ht="13.2">
      <c r="C486" s="97"/>
      <c r="D486" s="97"/>
      <c r="E486" s="97"/>
      <c r="F486" s="97"/>
    </row>
    <row r="487" spans="3:6" ht="13.2">
      <c r="C487" s="97"/>
      <c r="D487" s="97"/>
      <c r="E487" s="97"/>
      <c r="F487" s="97"/>
    </row>
    <row r="488" spans="3:6" ht="13.2">
      <c r="C488" s="97"/>
      <c r="D488" s="97"/>
      <c r="E488" s="97"/>
      <c r="F488" s="97"/>
    </row>
    <row r="489" spans="3:6" ht="13.2">
      <c r="C489" s="97"/>
      <c r="D489" s="97"/>
      <c r="E489" s="97"/>
      <c r="F489" s="97"/>
    </row>
    <row r="490" spans="3:6" ht="13.2">
      <c r="C490" s="97"/>
      <c r="D490" s="97"/>
      <c r="E490" s="97"/>
      <c r="F490" s="97"/>
    </row>
    <row r="491" spans="3:6" ht="13.2">
      <c r="C491" s="97"/>
      <c r="D491" s="97"/>
      <c r="E491" s="97"/>
      <c r="F491" s="97"/>
    </row>
    <row r="492" spans="3:6" ht="13.2">
      <c r="C492" s="97"/>
      <c r="D492" s="97"/>
      <c r="E492" s="97"/>
      <c r="F492" s="97"/>
    </row>
    <row r="493" spans="3:6" ht="13.2">
      <c r="C493" s="97"/>
      <c r="D493" s="97"/>
      <c r="E493" s="97"/>
      <c r="F493" s="97"/>
    </row>
    <row r="494" spans="3:6" ht="13.2">
      <c r="C494" s="97"/>
      <c r="D494" s="97"/>
      <c r="E494" s="97"/>
      <c r="F494" s="97"/>
    </row>
    <row r="495" spans="3:6" ht="13.2">
      <c r="C495" s="97"/>
      <c r="D495" s="97"/>
      <c r="E495" s="97"/>
      <c r="F495" s="97"/>
    </row>
    <row r="496" spans="3:6" ht="13.2">
      <c r="C496" s="97"/>
      <c r="D496" s="97"/>
      <c r="E496" s="97"/>
      <c r="F496" s="97"/>
    </row>
    <row r="497" spans="3:6" ht="13.2">
      <c r="C497" s="97"/>
      <c r="D497" s="97"/>
      <c r="E497" s="97"/>
      <c r="F497" s="97"/>
    </row>
    <row r="498" spans="3:6" ht="13.2">
      <c r="C498" s="97"/>
      <c r="D498" s="97"/>
      <c r="E498" s="97"/>
      <c r="F498" s="97"/>
    </row>
    <row r="499" spans="3:6" ht="13.2">
      <c r="C499" s="97"/>
      <c r="D499" s="97"/>
      <c r="E499" s="97"/>
      <c r="F499" s="97"/>
    </row>
    <row r="500" spans="3:6" ht="13.2">
      <c r="C500" s="97"/>
      <c r="D500" s="97"/>
      <c r="E500" s="97"/>
      <c r="F500" s="97"/>
    </row>
    <row r="501" spans="3:6" ht="13.2">
      <c r="C501" s="97"/>
      <c r="D501" s="97"/>
      <c r="E501" s="97"/>
      <c r="F501" s="97"/>
    </row>
    <row r="502" spans="3:6" ht="13.2">
      <c r="C502" s="97"/>
      <c r="D502" s="97"/>
      <c r="E502" s="97"/>
      <c r="F502" s="97"/>
    </row>
    <row r="503" spans="3:6" ht="13.2">
      <c r="C503" s="97"/>
      <c r="D503" s="97"/>
      <c r="E503" s="97"/>
      <c r="F503" s="97"/>
    </row>
    <row r="504" spans="3:6" ht="13.2">
      <c r="C504" s="97"/>
      <c r="D504" s="97"/>
      <c r="E504" s="97"/>
      <c r="F504" s="97"/>
    </row>
    <row r="505" spans="3:6" ht="13.2">
      <c r="C505" s="97"/>
      <c r="D505" s="97"/>
      <c r="E505" s="97"/>
      <c r="F505" s="97"/>
    </row>
    <row r="506" spans="3:6" ht="13.2">
      <c r="C506" s="97"/>
      <c r="D506" s="97"/>
      <c r="E506" s="97"/>
      <c r="F506" s="97"/>
    </row>
    <row r="507" spans="3:6" ht="13.2">
      <c r="C507" s="97"/>
      <c r="D507" s="97"/>
      <c r="E507" s="97"/>
      <c r="F507" s="97"/>
    </row>
    <row r="508" spans="3:6" ht="13.2">
      <c r="C508" s="97"/>
      <c r="D508" s="97"/>
      <c r="E508" s="97"/>
      <c r="F508" s="97"/>
    </row>
    <row r="509" spans="3:6" ht="13.2">
      <c r="C509" s="97"/>
      <c r="D509" s="97"/>
      <c r="E509" s="97"/>
      <c r="F509" s="97"/>
    </row>
    <row r="510" spans="3:6" ht="13.2">
      <c r="C510" s="97"/>
      <c r="D510" s="97"/>
      <c r="E510" s="97"/>
      <c r="F510" s="97"/>
    </row>
    <row r="511" spans="3:6" ht="13.2">
      <c r="C511" s="97"/>
      <c r="D511" s="97"/>
      <c r="E511" s="97"/>
      <c r="F511" s="97"/>
    </row>
    <row r="512" spans="3:6" ht="13.2">
      <c r="C512" s="97"/>
      <c r="D512" s="97"/>
      <c r="E512" s="97"/>
      <c r="F512" s="97"/>
    </row>
    <row r="513" spans="3:6" ht="13.2">
      <c r="C513" s="97"/>
      <c r="D513" s="97"/>
      <c r="E513" s="97"/>
      <c r="F513" s="97"/>
    </row>
    <row r="514" spans="3:6" ht="13.2">
      <c r="C514" s="97"/>
      <c r="D514" s="97"/>
      <c r="E514" s="97"/>
      <c r="F514" s="97"/>
    </row>
    <row r="515" spans="3:6" ht="13.2">
      <c r="C515" s="97"/>
      <c r="D515" s="97"/>
      <c r="E515" s="97"/>
      <c r="F515" s="97"/>
    </row>
    <row r="516" spans="3:6" ht="13.2">
      <c r="C516" s="97"/>
      <c r="D516" s="97"/>
      <c r="E516" s="97"/>
      <c r="F516" s="97"/>
    </row>
    <row r="517" spans="3:6" ht="13.2">
      <c r="C517" s="97"/>
      <c r="D517" s="97"/>
      <c r="E517" s="97"/>
      <c r="F517" s="97"/>
    </row>
    <row r="518" spans="3:6" ht="13.2">
      <c r="C518" s="97"/>
      <c r="D518" s="97"/>
      <c r="E518" s="97"/>
      <c r="F518" s="97"/>
    </row>
    <row r="519" spans="3:6" ht="13.2">
      <c r="C519" s="97"/>
      <c r="D519" s="97"/>
      <c r="E519" s="97"/>
      <c r="F519" s="97"/>
    </row>
    <row r="520" spans="3:6" ht="13.2">
      <c r="C520" s="97"/>
      <c r="D520" s="97"/>
      <c r="E520" s="97"/>
      <c r="F520" s="97"/>
    </row>
    <row r="521" spans="3:6" ht="13.2">
      <c r="C521" s="97"/>
      <c r="D521" s="97"/>
      <c r="E521" s="97"/>
      <c r="F521" s="97"/>
    </row>
    <row r="522" spans="3:6" ht="13.2">
      <c r="C522" s="97"/>
      <c r="D522" s="97"/>
      <c r="E522" s="97"/>
      <c r="F522" s="97"/>
    </row>
    <row r="523" spans="3:6" ht="13.2">
      <c r="C523" s="97"/>
      <c r="D523" s="97"/>
      <c r="E523" s="97"/>
      <c r="F523" s="97"/>
    </row>
    <row r="524" spans="3:6" ht="13.2">
      <c r="C524" s="97"/>
      <c r="D524" s="97"/>
      <c r="E524" s="97"/>
      <c r="F524" s="97"/>
    </row>
    <row r="525" spans="3:6" ht="13.2">
      <c r="C525" s="97"/>
      <c r="D525" s="97"/>
      <c r="E525" s="97"/>
      <c r="F525" s="97"/>
    </row>
    <row r="526" spans="3:6" ht="13.2">
      <c r="C526" s="97"/>
      <c r="D526" s="97"/>
      <c r="E526" s="97"/>
      <c r="F526" s="97"/>
    </row>
    <row r="527" spans="3:6" ht="13.2">
      <c r="C527" s="97"/>
      <c r="D527" s="97"/>
      <c r="E527" s="97"/>
      <c r="F527" s="97"/>
    </row>
    <row r="528" spans="3:6" ht="13.2">
      <c r="C528" s="97"/>
      <c r="D528" s="97"/>
      <c r="E528" s="97"/>
      <c r="F528" s="97"/>
    </row>
    <row r="529" spans="3:6" ht="13.2">
      <c r="C529" s="97"/>
      <c r="D529" s="97"/>
      <c r="E529" s="97"/>
      <c r="F529" s="97"/>
    </row>
    <row r="530" spans="3:6" ht="13.2">
      <c r="C530" s="97"/>
      <c r="D530" s="97"/>
      <c r="E530" s="97"/>
      <c r="F530" s="97"/>
    </row>
    <row r="531" spans="3:6" ht="13.2">
      <c r="C531" s="97"/>
      <c r="D531" s="97"/>
      <c r="E531" s="97"/>
      <c r="F531" s="97"/>
    </row>
    <row r="532" spans="3:6" ht="13.2">
      <c r="C532" s="97"/>
      <c r="D532" s="97"/>
      <c r="E532" s="97"/>
      <c r="F532" s="97"/>
    </row>
    <row r="533" spans="3:6" ht="13.2">
      <c r="C533" s="97"/>
      <c r="D533" s="97"/>
      <c r="E533" s="97"/>
      <c r="F533" s="97"/>
    </row>
    <row r="534" spans="3:6" ht="13.2">
      <c r="C534" s="97"/>
      <c r="D534" s="97"/>
      <c r="E534" s="97"/>
      <c r="F534" s="97"/>
    </row>
    <row r="535" spans="3:6" ht="13.2">
      <c r="C535" s="97"/>
      <c r="D535" s="97"/>
      <c r="E535" s="97"/>
      <c r="F535" s="97"/>
    </row>
    <row r="536" spans="3:6" ht="13.2">
      <c r="C536" s="97"/>
      <c r="D536" s="97"/>
      <c r="E536" s="97"/>
      <c r="F536" s="97"/>
    </row>
    <row r="537" spans="3:6" ht="13.2">
      <c r="C537" s="97"/>
      <c r="D537" s="97"/>
      <c r="E537" s="97"/>
      <c r="F537" s="97"/>
    </row>
    <row r="538" spans="3:6" ht="13.2">
      <c r="C538" s="97"/>
      <c r="D538" s="97"/>
      <c r="E538" s="97"/>
      <c r="F538" s="97"/>
    </row>
    <row r="539" spans="3:6" ht="13.2">
      <c r="C539" s="97"/>
      <c r="D539" s="97"/>
      <c r="E539" s="97"/>
      <c r="F539" s="97"/>
    </row>
    <row r="540" spans="3:6" ht="13.2">
      <c r="C540" s="97"/>
      <c r="D540" s="97"/>
      <c r="E540" s="97"/>
      <c r="F540" s="97"/>
    </row>
    <row r="541" spans="3:6" ht="13.2">
      <c r="C541" s="97"/>
      <c r="D541" s="97"/>
      <c r="E541" s="97"/>
      <c r="F541" s="97"/>
    </row>
    <row r="542" spans="3:6" ht="13.2">
      <c r="C542" s="97"/>
      <c r="D542" s="97"/>
      <c r="E542" s="97"/>
      <c r="F542" s="97"/>
    </row>
    <row r="543" spans="3:6" ht="13.2">
      <c r="C543" s="97"/>
      <c r="D543" s="97"/>
      <c r="E543" s="97"/>
      <c r="F543" s="97"/>
    </row>
    <row r="544" spans="3:6" ht="13.2">
      <c r="C544" s="97"/>
      <c r="D544" s="97"/>
      <c r="E544" s="97"/>
      <c r="F544" s="97"/>
    </row>
    <row r="545" spans="3:6" ht="13.2">
      <c r="C545" s="97"/>
      <c r="D545" s="97"/>
      <c r="E545" s="97"/>
      <c r="F545" s="97"/>
    </row>
    <row r="546" spans="3:6" ht="13.2">
      <c r="C546" s="97"/>
      <c r="D546" s="97"/>
      <c r="E546" s="97"/>
      <c r="F546" s="97"/>
    </row>
    <row r="547" spans="3:6" ht="13.2">
      <c r="C547" s="97"/>
      <c r="D547" s="97"/>
      <c r="E547" s="97"/>
      <c r="F547" s="97"/>
    </row>
    <row r="548" spans="3:6" ht="13.2">
      <c r="C548" s="97"/>
      <c r="D548" s="97"/>
      <c r="E548" s="97"/>
      <c r="F548" s="97"/>
    </row>
    <row r="549" spans="3:6" ht="13.2">
      <c r="C549" s="97"/>
      <c r="D549" s="97"/>
      <c r="E549" s="97"/>
      <c r="F549" s="97"/>
    </row>
    <row r="550" spans="3:6" ht="13.2">
      <c r="C550" s="97"/>
      <c r="D550" s="97"/>
      <c r="E550" s="97"/>
      <c r="F550" s="97"/>
    </row>
    <row r="551" spans="3:6" ht="13.2">
      <c r="C551" s="97"/>
      <c r="D551" s="97"/>
      <c r="E551" s="97"/>
      <c r="F551" s="97"/>
    </row>
    <row r="552" spans="3:6" ht="13.2">
      <c r="C552" s="97"/>
      <c r="D552" s="97"/>
      <c r="E552" s="97"/>
      <c r="F552" s="97"/>
    </row>
    <row r="553" spans="3:6" ht="13.2">
      <c r="C553" s="97"/>
      <c r="D553" s="97"/>
      <c r="E553" s="97"/>
      <c r="F553" s="97"/>
    </row>
    <row r="554" spans="3:6" ht="13.2">
      <c r="C554" s="97"/>
      <c r="D554" s="97"/>
      <c r="E554" s="97"/>
      <c r="F554" s="97"/>
    </row>
    <row r="555" spans="3:6" ht="13.2">
      <c r="C555" s="97"/>
      <c r="D555" s="97"/>
      <c r="E555" s="97"/>
      <c r="F555" s="97"/>
    </row>
    <row r="556" spans="3:6" ht="13.2">
      <c r="C556" s="97"/>
      <c r="D556" s="97"/>
      <c r="E556" s="97"/>
      <c r="F556" s="97"/>
    </row>
    <row r="557" spans="3:6" ht="13.2">
      <c r="C557" s="97"/>
      <c r="D557" s="97"/>
      <c r="E557" s="97"/>
      <c r="F557" s="97"/>
    </row>
    <row r="558" spans="3:6" ht="13.2">
      <c r="C558" s="97"/>
      <c r="D558" s="97"/>
      <c r="E558" s="97"/>
      <c r="F558" s="97"/>
    </row>
    <row r="559" spans="3:6" ht="13.2">
      <c r="C559" s="97"/>
      <c r="D559" s="97"/>
      <c r="E559" s="97"/>
      <c r="F559" s="97"/>
    </row>
    <row r="560" spans="3:6" ht="13.2">
      <c r="C560" s="97"/>
      <c r="D560" s="97"/>
      <c r="E560" s="97"/>
      <c r="F560" s="97"/>
    </row>
    <row r="561" spans="3:6" ht="13.2">
      <c r="C561" s="97"/>
      <c r="D561" s="97"/>
      <c r="E561" s="97"/>
      <c r="F561" s="97"/>
    </row>
    <row r="562" spans="3:6" ht="13.2">
      <c r="C562" s="97"/>
      <c r="D562" s="97"/>
      <c r="E562" s="97"/>
      <c r="F562" s="97"/>
    </row>
    <row r="563" spans="3:6" ht="13.2">
      <c r="C563" s="97"/>
      <c r="D563" s="97"/>
      <c r="E563" s="97"/>
      <c r="F563" s="97"/>
    </row>
    <row r="564" spans="3:6" ht="13.2">
      <c r="C564" s="97"/>
      <c r="D564" s="97"/>
      <c r="E564" s="97"/>
      <c r="F564" s="97"/>
    </row>
    <row r="565" spans="3:6" ht="13.2">
      <c r="C565" s="97"/>
      <c r="D565" s="97"/>
      <c r="E565" s="97"/>
      <c r="F565" s="97"/>
    </row>
    <row r="566" spans="3:6" ht="13.2">
      <c r="C566" s="97"/>
      <c r="D566" s="97"/>
      <c r="E566" s="97"/>
      <c r="F566" s="97"/>
    </row>
    <row r="567" spans="3:6" ht="13.2">
      <c r="C567" s="97"/>
      <c r="D567" s="97"/>
      <c r="E567" s="97"/>
      <c r="F567" s="97"/>
    </row>
    <row r="568" spans="3:6" ht="13.2">
      <c r="C568" s="97"/>
      <c r="D568" s="97"/>
      <c r="E568" s="97"/>
      <c r="F568" s="97"/>
    </row>
    <row r="569" spans="3:6" ht="13.2">
      <c r="C569" s="97"/>
      <c r="D569" s="97"/>
      <c r="E569" s="97"/>
      <c r="F569" s="97"/>
    </row>
    <row r="570" spans="3:6" ht="13.2">
      <c r="C570" s="97"/>
      <c r="D570" s="97"/>
      <c r="E570" s="97"/>
      <c r="F570" s="97"/>
    </row>
    <row r="571" spans="3:6" ht="13.2">
      <c r="C571" s="97"/>
      <c r="D571" s="97"/>
      <c r="E571" s="97"/>
      <c r="F571" s="97"/>
    </row>
    <row r="572" spans="3:6" ht="13.2">
      <c r="C572" s="97"/>
      <c r="D572" s="97"/>
      <c r="E572" s="97"/>
      <c r="F572" s="97"/>
    </row>
    <row r="573" spans="3:6" ht="13.2">
      <c r="C573" s="97"/>
      <c r="D573" s="97"/>
      <c r="E573" s="97"/>
      <c r="F573" s="97"/>
    </row>
    <row r="574" spans="3:6" ht="13.2">
      <c r="C574" s="97"/>
      <c r="D574" s="97"/>
      <c r="E574" s="97"/>
      <c r="F574" s="97"/>
    </row>
    <row r="575" spans="3:6" ht="13.2">
      <c r="C575" s="97"/>
      <c r="D575" s="97"/>
      <c r="E575" s="97"/>
      <c r="F575" s="97"/>
    </row>
    <row r="576" spans="3:6" ht="13.2">
      <c r="C576" s="97"/>
      <c r="D576" s="97"/>
      <c r="E576" s="97"/>
      <c r="F576" s="97"/>
    </row>
    <row r="577" spans="3:6" ht="13.2">
      <c r="C577" s="97"/>
      <c r="D577" s="97"/>
      <c r="E577" s="97"/>
      <c r="F577" s="97"/>
    </row>
    <row r="578" spans="3:6" ht="13.2">
      <c r="C578" s="97"/>
      <c r="D578" s="97"/>
      <c r="E578" s="97"/>
      <c r="F578" s="97"/>
    </row>
    <row r="579" spans="3:6" ht="13.2">
      <c r="C579" s="97"/>
      <c r="D579" s="97"/>
      <c r="E579" s="97"/>
      <c r="F579" s="97"/>
    </row>
    <row r="580" spans="3:6" ht="13.2">
      <c r="C580" s="97"/>
      <c r="D580" s="97"/>
      <c r="E580" s="97"/>
      <c r="F580" s="97"/>
    </row>
    <row r="581" spans="3:6" ht="13.2">
      <c r="C581" s="97"/>
      <c r="D581" s="97"/>
      <c r="E581" s="97"/>
      <c r="F581" s="97"/>
    </row>
    <row r="582" spans="3:6" ht="13.2">
      <c r="C582" s="97"/>
      <c r="D582" s="97"/>
      <c r="E582" s="97"/>
      <c r="F582" s="97"/>
    </row>
    <row r="583" spans="3:6" ht="13.2">
      <c r="C583" s="97"/>
      <c r="D583" s="97"/>
      <c r="E583" s="97"/>
      <c r="F583" s="97"/>
    </row>
    <row r="584" spans="3:6" ht="13.2">
      <c r="C584" s="97"/>
      <c r="D584" s="97"/>
      <c r="E584" s="97"/>
      <c r="F584" s="97"/>
    </row>
    <row r="585" spans="3:6" ht="13.2">
      <c r="C585" s="97"/>
      <c r="D585" s="97"/>
      <c r="E585" s="97"/>
      <c r="F585" s="97"/>
    </row>
    <row r="586" spans="3:6" ht="13.2">
      <c r="C586" s="97"/>
      <c r="D586" s="97"/>
      <c r="E586" s="97"/>
      <c r="F586" s="97"/>
    </row>
    <row r="587" spans="3:6" ht="13.2">
      <c r="C587" s="97"/>
      <c r="D587" s="97"/>
      <c r="E587" s="97"/>
      <c r="F587" s="97"/>
    </row>
    <row r="588" spans="3:6" ht="13.2">
      <c r="C588" s="97"/>
      <c r="D588" s="97"/>
      <c r="E588" s="97"/>
      <c r="F588" s="97"/>
    </row>
    <row r="589" spans="3:6" ht="13.2">
      <c r="C589" s="97"/>
      <c r="D589" s="97"/>
      <c r="E589" s="97"/>
      <c r="F589" s="97"/>
    </row>
    <row r="590" spans="3:6" ht="13.2">
      <c r="C590" s="97"/>
      <c r="D590" s="97"/>
      <c r="E590" s="97"/>
      <c r="F590" s="97"/>
    </row>
    <row r="591" spans="3:6" ht="13.2">
      <c r="C591" s="97"/>
      <c r="D591" s="97"/>
      <c r="E591" s="97"/>
      <c r="F591" s="97"/>
    </row>
    <row r="592" spans="3:6" ht="13.2">
      <c r="C592" s="97"/>
      <c r="D592" s="97"/>
      <c r="E592" s="97"/>
      <c r="F592" s="97"/>
    </row>
    <row r="593" spans="3:6" ht="13.2">
      <c r="C593" s="97"/>
      <c r="D593" s="97"/>
      <c r="E593" s="97"/>
      <c r="F593" s="97"/>
    </row>
    <row r="594" spans="3:6" ht="13.2">
      <c r="C594" s="97"/>
      <c r="D594" s="97"/>
      <c r="E594" s="97"/>
      <c r="F594" s="97"/>
    </row>
    <row r="595" spans="3:6" ht="13.2">
      <c r="C595" s="97"/>
      <c r="D595" s="97"/>
      <c r="E595" s="97"/>
      <c r="F595" s="97"/>
    </row>
    <row r="596" spans="3:6" ht="13.2">
      <c r="C596" s="97"/>
      <c r="D596" s="97"/>
      <c r="E596" s="97"/>
      <c r="F596" s="97"/>
    </row>
    <row r="597" spans="3:6" ht="13.2">
      <c r="C597" s="97"/>
      <c r="D597" s="97"/>
      <c r="E597" s="97"/>
      <c r="F597" s="97"/>
    </row>
    <row r="598" spans="3:6" ht="13.2">
      <c r="C598" s="97"/>
      <c r="D598" s="97"/>
      <c r="E598" s="97"/>
      <c r="F598" s="97"/>
    </row>
    <row r="599" spans="3:6" ht="13.2">
      <c r="C599" s="97"/>
      <c r="D599" s="97"/>
      <c r="E599" s="97"/>
      <c r="F599" s="97"/>
    </row>
    <row r="600" spans="3:6" ht="13.2">
      <c r="C600" s="97"/>
      <c r="D600" s="97"/>
      <c r="E600" s="97"/>
      <c r="F600" s="97"/>
    </row>
    <row r="601" spans="3:6" ht="13.2">
      <c r="C601" s="97"/>
      <c r="D601" s="97"/>
      <c r="E601" s="97"/>
      <c r="F601" s="97"/>
    </row>
    <row r="602" spans="3:6" ht="13.2">
      <c r="C602" s="97"/>
      <c r="D602" s="97"/>
      <c r="E602" s="97"/>
      <c r="F602" s="97"/>
    </row>
    <row r="603" spans="3:6" ht="13.2">
      <c r="C603" s="97"/>
      <c r="D603" s="97"/>
      <c r="E603" s="97"/>
      <c r="F603" s="97"/>
    </row>
    <row r="604" spans="3:6" ht="13.2">
      <c r="C604" s="97"/>
      <c r="D604" s="97"/>
      <c r="E604" s="97"/>
      <c r="F604" s="97"/>
    </row>
    <row r="605" spans="3:6" ht="13.2">
      <c r="C605" s="97"/>
      <c r="D605" s="97"/>
      <c r="E605" s="97"/>
      <c r="F605" s="97"/>
    </row>
    <row r="606" spans="3:6" ht="13.2">
      <c r="C606" s="97"/>
      <c r="D606" s="97"/>
      <c r="E606" s="97"/>
      <c r="F606" s="97"/>
    </row>
    <row r="607" spans="3:6" ht="13.2">
      <c r="C607" s="97"/>
      <c r="D607" s="97"/>
      <c r="E607" s="97"/>
      <c r="F607" s="97"/>
    </row>
    <row r="608" spans="3:6" ht="13.2">
      <c r="C608" s="97"/>
      <c r="D608" s="97"/>
      <c r="E608" s="97"/>
      <c r="F608" s="97"/>
    </row>
    <row r="609" spans="3:6" ht="13.2">
      <c r="C609" s="97"/>
      <c r="D609" s="97"/>
      <c r="E609" s="97"/>
      <c r="F609" s="97"/>
    </row>
    <row r="610" spans="3:6" ht="13.2">
      <c r="C610" s="97"/>
      <c r="D610" s="97"/>
      <c r="E610" s="97"/>
      <c r="F610" s="97"/>
    </row>
    <row r="611" spans="3:6" ht="13.2">
      <c r="C611" s="97"/>
      <c r="D611" s="97"/>
      <c r="E611" s="97"/>
      <c r="F611" s="97"/>
    </row>
    <row r="612" spans="3:6" ht="13.2">
      <c r="C612" s="97"/>
      <c r="D612" s="97"/>
      <c r="E612" s="97"/>
      <c r="F612" s="97"/>
    </row>
    <row r="613" spans="3:6" ht="13.2">
      <c r="C613" s="97"/>
      <c r="D613" s="97"/>
      <c r="E613" s="97"/>
      <c r="F613" s="97"/>
    </row>
    <row r="614" spans="3:6" ht="13.2">
      <c r="C614" s="97"/>
      <c r="D614" s="97"/>
      <c r="E614" s="97"/>
      <c r="F614" s="97"/>
    </row>
    <row r="615" spans="3:6" ht="13.2">
      <c r="C615" s="97"/>
      <c r="D615" s="97"/>
      <c r="E615" s="97"/>
      <c r="F615" s="97"/>
    </row>
    <row r="616" spans="3:6" ht="13.2">
      <c r="C616" s="97"/>
      <c r="D616" s="97"/>
      <c r="E616" s="97"/>
      <c r="F616" s="97"/>
    </row>
    <row r="617" spans="3:6" ht="13.2">
      <c r="C617" s="97"/>
      <c r="D617" s="97"/>
      <c r="E617" s="97"/>
      <c r="F617" s="97"/>
    </row>
    <row r="618" spans="3:6" ht="13.2">
      <c r="C618" s="97"/>
      <c r="D618" s="97"/>
      <c r="E618" s="97"/>
      <c r="F618" s="97"/>
    </row>
    <row r="619" spans="3:6" ht="13.2">
      <c r="C619" s="97"/>
      <c r="D619" s="97"/>
      <c r="E619" s="97"/>
      <c r="F619" s="97"/>
    </row>
    <row r="620" spans="3:6" ht="13.2">
      <c r="C620" s="97"/>
      <c r="D620" s="97"/>
      <c r="E620" s="97"/>
      <c r="F620" s="97"/>
    </row>
    <row r="621" spans="3:6" ht="13.2">
      <c r="C621" s="97"/>
      <c r="D621" s="97"/>
      <c r="E621" s="97"/>
      <c r="F621" s="97"/>
    </row>
    <row r="622" spans="3:6" ht="13.2">
      <c r="C622" s="97"/>
      <c r="D622" s="97"/>
      <c r="E622" s="97"/>
      <c r="F622" s="97"/>
    </row>
    <row r="623" spans="3:6" ht="13.2">
      <c r="C623" s="97"/>
      <c r="D623" s="97"/>
      <c r="E623" s="97"/>
      <c r="F623" s="97"/>
    </row>
    <row r="624" spans="3:6" ht="13.2">
      <c r="C624" s="97"/>
      <c r="D624" s="97"/>
      <c r="E624" s="97"/>
      <c r="F624" s="97"/>
    </row>
    <row r="625" spans="3:6" ht="13.2">
      <c r="C625" s="97"/>
      <c r="D625" s="97"/>
      <c r="E625" s="97"/>
      <c r="F625" s="97"/>
    </row>
    <row r="626" spans="3:6" ht="13.2">
      <c r="C626" s="97"/>
      <c r="D626" s="97"/>
      <c r="E626" s="97"/>
      <c r="F626" s="97"/>
    </row>
    <row r="627" spans="3:6" ht="13.2">
      <c r="C627" s="97"/>
      <c r="D627" s="97"/>
      <c r="E627" s="97"/>
      <c r="F627" s="97"/>
    </row>
    <row r="628" spans="3:6" ht="13.2">
      <c r="C628" s="97"/>
      <c r="D628" s="97"/>
      <c r="E628" s="97"/>
      <c r="F628" s="97"/>
    </row>
    <row r="629" spans="3:6" ht="13.2">
      <c r="C629" s="97"/>
      <c r="D629" s="97"/>
      <c r="E629" s="97"/>
      <c r="F629" s="97"/>
    </row>
    <row r="630" spans="3:6" ht="13.2">
      <c r="C630" s="97"/>
      <c r="D630" s="97"/>
      <c r="E630" s="97"/>
      <c r="F630" s="97"/>
    </row>
    <row r="631" spans="3:6" ht="13.2">
      <c r="C631" s="97"/>
      <c r="D631" s="97"/>
      <c r="E631" s="97"/>
      <c r="F631" s="97"/>
    </row>
    <row r="632" spans="3:6" ht="13.2">
      <c r="C632" s="97"/>
      <c r="D632" s="97"/>
      <c r="E632" s="97"/>
      <c r="F632" s="97"/>
    </row>
    <row r="633" spans="3:6" ht="13.2">
      <c r="C633" s="97"/>
      <c r="D633" s="97"/>
      <c r="E633" s="97"/>
      <c r="F633" s="97"/>
    </row>
    <row r="634" spans="3:6" ht="13.2">
      <c r="C634" s="97"/>
      <c r="D634" s="97"/>
      <c r="E634" s="97"/>
      <c r="F634" s="97"/>
    </row>
    <row r="635" spans="3:6" ht="13.2">
      <c r="C635" s="97"/>
      <c r="D635" s="97"/>
      <c r="E635" s="97"/>
      <c r="F635" s="97"/>
    </row>
    <row r="636" spans="3:6" ht="13.2">
      <c r="C636" s="97"/>
      <c r="D636" s="97"/>
      <c r="E636" s="97"/>
      <c r="F636" s="97"/>
    </row>
    <row r="637" spans="3:6" ht="13.2">
      <c r="C637" s="97"/>
      <c r="D637" s="97"/>
      <c r="E637" s="97"/>
      <c r="F637" s="97"/>
    </row>
    <row r="638" spans="3:6" ht="13.2">
      <c r="C638" s="97"/>
      <c r="D638" s="97"/>
      <c r="E638" s="97"/>
      <c r="F638" s="97"/>
    </row>
    <row r="639" spans="3:6" ht="13.2">
      <c r="C639" s="97"/>
      <c r="D639" s="97"/>
      <c r="E639" s="97"/>
      <c r="F639" s="97"/>
    </row>
    <row r="640" spans="3:6" ht="13.2">
      <c r="C640" s="97"/>
      <c r="D640" s="97"/>
      <c r="E640" s="97"/>
      <c r="F640" s="97"/>
    </row>
    <row r="641" spans="3:6" ht="13.2">
      <c r="C641" s="97"/>
      <c r="D641" s="97"/>
      <c r="E641" s="97"/>
      <c r="F641" s="97"/>
    </row>
    <row r="642" spans="3:6" ht="13.2">
      <c r="C642" s="97"/>
      <c r="D642" s="97"/>
      <c r="E642" s="97"/>
      <c r="F642" s="97"/>
    </row>
    <row r="643" spans="3:6" ht="13.2">
      <c r="C643" s="97"/>
      <c r="D643" s="97"/>
      <c r="E643" s="97"/>
      <c r="F643" s="97"/>
    </row>
    <row r="644" spans="3:6" ht="13.2">
      <c r="C644" s="97"/>
      <c r="D644" s="97"/>
      <c r="E644" s="97"/>
      <c r="F644" s="97"/>
    </row>
    <row r="645" spans="3:6" ht="13.2">
      <c r="C645" s="97"/>
      <c r="D645" s="97"/>
      <c r="E645" s="97"/>
      <c r="F645" s="97"/>
    </row>
    <row r="646" spans="3:6" ht="13.2">
      <c r="C646" s="97"/>
      <c r="D646" s="97"/>
      <c r="E646" s="97"/>
      <c r="F646" s="97"/>
    </row>
    <row r="647" spans="3:6" ht="13.2">
      <c r="C647" s="97"/>
      <c r="D647" s="97"/>
      <c r="E647" s="97"/>
      <c r="F647" s="97"/>
    </row>
    <row r="648" spans="3:6" ht="13.2">
      <c r="C648" s="97"/>
      <c r="D648" s="97"/>
      <c r="E648" s="97"/>
      <c r="F648" s="97"/>
    </row>
    <row r="649" spans="3:6" ht="13.2">
      <c r="C649" s="97"/>
      <c r="D649" s="97"/>
      <c r="E649" s="97"/>
      <c r="F649" s="97"/>
    </row>
    <row r="650" spans="3:6" ht="13.2">
      <c r="C650" s="97"/>
      <c r="D650" s="97"/>
      <c r="E650" s="97"/>
      <c r="F650" s="97"/>
    </row>
    <row r="651" spans="3:6" ht="13.2">
      <c r="C651" s="97"/>
      <c r="D651" s="97"/>
      <c r="E651" s="97"/>
      <c r="F651" s="97"/>
    </row>
    <row r="652" spans="3:6" ht="13.2">
      <c r="C652" s="97"/>
      <c r="D652" s="97"/>
      <c r="E652" s="97"/>
      <c r="F652" s="97"/>
    </row>
    <row r="653" spans="3:6" ht="13.2">
      <c r="C653" s="97"/>
      <c r="D653" s="97"/>
      <c r="E653" s="97"/>
      <c r="F653" s="97"/>
    </row>
    <row r="654" spans="3:6" ht="13.2">
      <c r="C654" s="97"/>
      <c r="D654" s="97"/>
      <c r="E654" s="97"/>
      <c r="F654" s="97"/>
    </row>
    <row r="655" spans="3:6" ht="13.2">
      <c r="C655" s="97"/>
      <c r="D655" s="97"/>
      <c r="E655" s="97"/>
      <c r="F655" s="97"/>
    </row>
    <row r="656" spans="3:6" ht="13.2">
      <c r="C656" s="97"/>
      <c r="D656" s="97"/>
      <c r="E656" s="97"/>
      <c r="F656" s="97"/>
    </row>
    <row r="657" spans="3:6" ht="13.2">
      <c r="C657" s="97"/>
      <c r="D657" s="97"/>
      <c r="E657" s="97"/>
      <c r="F657" s="97"/>
    </row>
    <row r="658" spans="3:6" ht="13.2">
      <c r="C658" s="97"/>
      <c r="D658" s="97"/>
      <c r="E658" s="97"/>
      <c r="F658" s="97"/>
    </row>
    <row r="659" spans="3:6" ht="13.2">
      <c r="C659" s="97"/>
      <c r="D659" s="97"/>
      <c r="E659" s="97"/>
      <c r="F659" s="97"/>
    </row>
    <row r="660" spans="3:6" ht="13.2">
      <c r="C660" s="97"/>
      <c r="D660" s="97"/>
      <c r="E660" s="97"/>
      <c r="F660" s="97"/>
    </row>
    <row r="661" spans="3:6" ht="13.2">
      <c r="C661" s="97"/>
      <c r="D661" s="97"/>
      <c r="E661" s="97"/>
      <c r="F661" s="97"/>
    </row>
    <row r="662" spans="3:6" ht="13.2">
      <c r="C662" s="97"/>
      <c r="D662" s="97"/>
      <c r="E662" s="97"/>
      <c r="F662" s="97"/>
    </row>
    <row r="663" spans="3:6" ht="13.2">
      <c r="C663" s="97"/>
      <c r="D663" s="97"/>
      <c r="E663" s="97"/>
      <c r="F663" s="97"/>
    </row>
    <row r="664" spans="3:6" ht="13.2">
      <c r="C664" s="97"/>
      <c r="D664" s="97"/>
      <c r="E664" s="97"/>
      <c r="F664" s="97"/>
    </row>
    <row r="665" spans="3:6" ht="13.2">
      <c r="C665" s="97"/>
      <c r="D665" s="97"/>
      <c r="E665" s="97"/>
      <c r="F665" s="97"/>
    </row>
    <row r="666" spans="3:6" ht="13.2">
      <c r="C666" s="97"/>
      <c r="D666" s="97"/>
      <c r="E666" s="97"/>
      <c r="F666" s="97"/>
    </row>
    <row r="667" spans="3:6" ht="13.2">
      <c r="C667" s="97"/>
      <c r="D667" s="97"/>
      <c r="E667" s="97"/>
      <c r="F667" s="97"/>
    </row>
    <row r="668" spans="3:6" ht="13.2">
      <c r="C668" s="97"/>
      <c r="D668" s="97"/>
      <c r="E668" s="97"/>
      <c r="F668" s="97"/>
    </row>
    <row r="669" spans="3:6" ht="13.2">
      <c r="C669" s="97"/>
      <c r="D669" s="97"/>
      <c r="E669" s="97"/>
      <c r="F669" s="97"/>
    </row>
    <row r="670" spans="3:6" ht="13.2">
      <c r="C670" s="97"/>
      <c r="D670" s="97"/>
      <c r="E670" s="97"/>
      <c r="F670" s="97"/>
    </row>
    <row r="671" spans="3:6" ht="13.2">
      <c r="C671" s="97"/>
      <c r="D671" s="97"/>
      <c r="E671" s="97"/>
      <c r="F671" s="97"/>
    </row>
    <row r="672" spans="3:6" ht="13.2">
      <c r="C672" s="97"/>
      <c r="D672" s="97"/>
      <c r="E672" s="97"/>
      <c r="F672" s="97"/>
    </row>
    <row r="673" spans="3:6" ht="13.2">
      <c r="C673" s="97"/>
      <c r="D673" s="97"/>
      <c r="E673" s="97"/>
      <c r="F673" s="97"/>
    </row>
    <row r="674" spans="3:6" ht="13.2">
      <c r="C674" s="97"/>
      <c r="D674" s="97"/>
      <c r="E674" s="97"/>
      <c r="F674" s="97"/>
    </row>
    <row r="675" spans="3:6" ht="13.2">
      <c r="C675" s="97"/>
      <c r="D675" s="97"/>
      <c r="E675" s="97"/>
      <c r="F675" s="97"/>
    </row>
    <row r="676" spans="3:6" ht="13.2">
      <c r="C676" s="97"/>
      <c r="D676" s="97"/>
      <c r="E676" s="97"/>
      <c r="F676" s="97"/>
    </row>
    <row r="677" spans="3:6" ht="13.2">
      <c r="C677" s="97"/>
      <c r="D677" s="97"/>
      <c r="E677" s="97"/>
      <c r="F677" s="97"/>
    </row>
    <row r="678" spans="3:6" ht="13.2">
      <c r="C678" s="97"/>
      <c r="D678" s="97"/>
      <c r="E678" s="97"/>
      <c r="F678" s="97"/>
    </row>
    <row r="679" spans="3:6" ht="13.2">
      <c r="C679" s="97"/>
      <c r="D679" s="97"/>
      <c r="E679" s="97"/>
      <c r="F679" s="97"/>
    </row>
    <row r="680" spans="3:6" ht="13.2">
      <c r="C680" s="97"/>
      <c r="D680" s="97"/>
      <c r="E680" s="97"/>
      <c r="F680" s="97"/>
    </row>
    <row r="681" spans="3:6" ht="13.2">
      <c r="C681" s="97"/>
      <c r="D681" s="97"/>
      <c r="E681" s="97"/>
      <c r="F681" s="97"/>
    </row>
    <row r="682" spans="3:6" ht="13.2">
      <c r="C682" s="97"/>
      <c r="D682" s="97"/>
      <c r="E682" s="97"/>
      <c r="F682" s="97"/>
    </row>
    <row r="683" spans="3:6" ht="13.2">
      <c r="C683" s="97"/>
      <c r="D683" s="97"/>
      <c r="E683" s="97"/>
      <c r="F683" s="97"/>
    </row>
    <row r="684" spans="3:6" ht="13.2">
      <c r="C684" s="97"/>
      <c r="D684" s="97"/>
      <c r="E684" s="97"/>
      <c r="F684" s="97"/>
    </row>
    <row r="685" spans="3:6" ht="13.2">
      <c r="C685" s="97"/>
      <c r="D685" s="97"/>
      <c r="E685" s="97"/>
      <c r="F685" s="97"/>
    </row>
    <row r="686" spans="3:6" ht="13.2">
      <c r="C686" s="97"/>
      <c r="D686" s="97"/>
      <c r="E686" s="97"/>
      <c r="F686" s="97"/>
    </row>
    <row r="687" spans="3:6" ht="13.2">
      <c r="C687" s="97"/>
      <c r="D687" s="97"/>
      <c r="E687" s="97"/>
      <c r="F687" s="97"/>
    </row>
    <row r="688" spans="3:6" ht="13.2">
      <c r="C688" s="97"/>
      <c r="D688" s="97"/>
      <c r="E688" s="97"/>
      <c r="F688" s="97"/>
    </row>
    <row r="689" spans="3:6" ht="13.2">
      <c r="C689" s="97"/>
      <c r="D689" s="97"/>
      <c r="E689" s="97"/>
      <c r="F689" s="97"/>
    </row>
    <row r="690" spans="3:6" ht="13.2">
      <c r="C690" s="97"/>
      <c r="D690" s="97"/>
      <c r="E690" s="97"/>
      <c r="F690" s="97"/>
    </row>
    <row r="691" spans="3:6" ht="13.2">
      <c r="C691" s="97"/>
      <c r="D691" s="97"/>
      <c r="E691" s="97"/>
      <c r="F691" s="97"/>
    </row>
    <row r="692" spans="3:6" ht="13.2">
      <c r="C692" s="97"/>
      <c r="D692" s="97"/>
      <c r="E692" s="97"/>
      <c r="F692" s="97"/>
    </row>
    <row r="693" spans="3:6" ht="13.2">
      <c r="C693" s="97"/>
      <c r="D693" s="97"/>
      <c r="E693" s="97"/>
      <c r="F693" s="97"/>
    </row>
    <row r="694" spans="3:6" ht="13.2">
      <c r="C694" s="97"/>
      <c r="D694" s="97"/>
      <c r="E694" s="97"/>
      <c r="F694" s="97"/>
    </row>
    <row r="695" spans="3:6" ht="13.2">
      <c r="C695" s="97"/>
      <c r="D695" s="97"/>
      <c r="E695" s="97"/>
      <c r="F695" s="97"/>
    </row>
    <row r="696" spans="3:6" ht="13.2">
      <c r="C696" s="97"/>
      <c r="D696" s="97"/>
      <c r="E696" s="97"/>
      <c r="F696" s="97"/>
    </row>
    <row r="697" spans="3:6" ht="13.2">
      <c r="C697" s="97"/>
      <c r="D697" s="97"/>
      <c r="E697" s="97"/>
      <c r="F697" s="97"/>
    </row>
    <row r="698" spans="3:6" ht="13.2">
      <c r="C698" s="97"/>
      <c r="D698" s="97"/>
      <c r="E698" s="97"/>
      <c r="F698" s="97"/>
    </row>
    <row r="699" spans="3:6" ht="13.2">
      <c r="C699" s="97"/>
      <c r="D699" s="97"/>
      <c r="E699" s="97"/>
      <c r="F699" s="97"/>
    </row>
    <row r="700" spans="3:6" ht="13.2">
      <c r="C700" s="97"/>
      <c r="D700" s="97"/>
      <c r="E700" s="97"/>
      <c r="F700" s="97"/>
    </row>
    <row r="701" spans="3:6" ht="13.2">
      <c r="C701" s="97"/>
      <c r="D701" s="97"/>
      <c r="E701" s="97"/>
      <c r="F701" s="97"/>
    </row>
    <row r="702" spans="3:6" ht="13.2">
      <c r="C702" s="97"/>
      <c r="D702" s="97"/>
      <c r="E702" s="97"/>
      <c r="F702" s="97"/>
    </row>
    <row r="703" spans="3:6" ht="13.2">
      <c r="C703" s="97"/>
      <c r="D703" s="97"/>
      <c r="E703" s="97"/>
      <c r="F703" s="97"/>
    </row>
    <row r="704" spans="3:6" ht="13.2">
      <c r="C704" s="97"/>
      <c r="D704" s="97"/>
      <c r="E704" s="97"/>
      <c r="F704" s="97"/>
    </row>
    <row r="705" spans="3:6" ht="13.2">
      <c r="C705" s="97"/>
      <c r="D705" s="97"/>
      <c r="E705" s="97"/>
      <c r="F705" s="97"/>
    </row>
    <row r="706" spans="3:6" ht="13.2">
      <c r="C706" s="97"/>
      <c r="D706" s="97"/>
      <c r="E706" s="97"/>
      <c r="F706" s="97"/>
    </row>
    <row r="707" spans="3:6" ht="13.2">
      <c r="C707" s="97"/>
      <c r="D707" s="97"/>
      <c r="E707" s="97"/>
      <c r="F707" s="97"/>
    </row>
    <row r="708" spans="3:6" ht="13.2">
      <c r="C708" s="97"/>
      <c r="D708" s="97"/>
      <c r="E708" s="97"/>
      <c r="F708" s="97"/>
    </row>
    <row r="709" spans="3:6" ht="13.2">
      <c r="C709" s="97"/>
      <c r="D709" s="97"/>
      <c r="E709" s="97"/>
      <c r="F709" s="97"/>
    </row>
    <row r="710" spans="3:6" ht="13.2">
      <c r="C710" s="97"/>
      <c r="D710" s="97"/>
      <c r="E710" s="97"/>
      <c r="F710" s="97"/>
    </row>
    <row r="711" spans="3:6" ht="13.2">
      <c r="C711" s="97"/>
      <c r="D711" s="97"/>
      <c r="E711" s="97"/>
      <c r="F711" s="97"/>
    </row>
    <row r="712" spans="3:6" ht="13.2">
      <c r="C712" s="97"/>
      <c r="D712" s="97"/>
      <c r="E712" s="97"/>
      <c r="F712" s="97"/>
    </row>
    <row r="713" spans="3:6" ht="13.2">
      <c r="C713" s="97"/>
      <c r="D713" s="97"/>
      <c r="E713" s="97"/>
      <c r="F713" s="97"/>
    </row>
    <row r="714" spans="3:6" ht="13.2">
      <c r="C714" s="97"/>
      <c r="D714" s="97"/>
      <c r="E714" s="97"/>
      <c r="F714" s="97"/>
    </row>
    <row r="715" spans="3:6" ht="13.2">
      <c r="C715" s="97"/>
      <c r="D715" s="97"/>
      <c r="E715" s="97"/>
      <c r="F715" s="97"/>
    </row>
    <row r="716" spans="3:6" ht="13.2">
      <c r="C716" s="97"/>
      <c r="D716" s="97"/>
      <c r="E716" s="97"/>
      <c r="F716" s="97"/>
    </row>
    <row r="717" spans="3:6" ht="13.2">
      <c r="C717" s="97"/>
      <c r="D717" s="97"/>
      <c r="E717" s="97"/>
      <c r="F717" s="97"/>
    </row>
    <row r="718" spans="3:6" ht="13.2">
      <c r="C718" s="97"/>
      <c r="D718" s="97"/>
      <c r="E718" s="97"/>
      <c r="F718" s="97"/>
    </row>
    <row r="719" spans="3:6" ht="13.2">
      <c r="C719" s="97"/>
      <c r="D719" s="97"/>
      <c r="E719" s="97"/>
      <c r="F719" s="97"/>
    </row>
    <row r="720" spans="3:6" ht="13.2">
      <c r="C720" s="97"/>
      <c r="D720" s="97"/>
      <c r="E720" s="97"/>
      <c r="F720" s="97"/>
    </row>
    <row r="721" spans="3:6" ht="13.2">
      <c r="C721" s="97"/>
      <c r="D721" s="97"/>
      <c r="E721" s="97"/>
      <c r="F721" s="97"/>
    </row>
    <row r="722" spans="3:6" ht="13.2">
      <c r="C722" s="97"/>
      <c r="D722" s="97"/>
      <c r="E722" s="97"/>
      <c r="F722" s="97"/>
    </row>
    <row r="723" spans="3:6" ht="13.2">
      <c r="C723" s="97"/>
      <c r="D723" s="97"/>
      <c r="E723" s="97"/>
      <c r="F723" s="97"/>
    </row>
    <row r="724" spans="3:6" ht="13.2">
      <c r="C724" s="97"/>
      <c r="D724" s="97"/>
      <c r="E724" s="97"/>
      <c r="F724" s="97"/>
    </row>
    <row r="725" spans="3:6" ht="13.2">
      <c r="C725" s="97"/>
      <c r="D725" s="97"/>
      <c r="E725" s="97"/>
      <c r="F725" s="97"/>
    </row>
    <row r="726" spans="3:6" ht="13.2">
      <c r="C726" s="97"/>
      <c r="D726" s="97"/>
      <c r="E726" s="97"/>
      <c r="F726" s="97"/>
    </row>
    <row r="727" spans="3:6" ht="13.2">
      <c r="C727" s="97"/>
      <c r="D727" s="97"/>
      <c r="E727" s="97"/>
      <c r="F727" s="97"/>
    </row>
    <row r="728" spans="3:6" ht="13.2">
      <c r="C728" s="97"/>
      <c r="D728" s="97"/>
      <c r="E728" s="97"/>
      <c r="F728" s="97"/>
    </row>
    <row r="729" spans="3:6" ht="13.2">
      <c r="C729" s="97"/>
      <c r="D729" s="97"/>
      <c r="E729" s="97"/>
      <c r="F729" s="97"/>
    </row>
    <row r="730" spans="3:6" ht="13.2">
      <c r="C730" s="97"/>
      <c r="D730" s="97"/>
      <c r="E730" s="97"/>
      <c r="F730" s="97"/>
    </row>
    <row r="731" spans="3:6" ht="13.2">
      <c r="C731" s="97"/>
      <c r="D731" s="97"/>
      <c r="E731" s="97"/>
      <c r="F731" s="97"/>
    </row>
    <row r="732" spans="3:6" ht="13.2">
      <c r="C732" s="97"/>
      <c r="D732" s="97"/>
      <c r="E732" s="97"/>
      <c r="F732" s="97"/>
    </row>
    <row r="733" spans="3:6" ht="13.2">
      <c r="C733" s="97"/>
      <c r="D733" s="97"/>
      <c r="E733" s="97"/>
      <c r="F733" s="97"/>
    </row>
    <row r="734" spans="3:6" ht="13.2">
      <c r="C734" s="97"/>
      <c r="D734" s="97"/>
      <c r="E734" s="97"/>
      <c r="F734" s="97"/>
    </row>
    <row r="735" spans="3:6" ht="13.2">
      <c r="C735" s="97"/>
      <c r="D735" s="97"/>
      <c r="E735" s="97"/>
      <c r="F735" s="97"/>
    </row>
    <row r="736" spans="3:6" ht="13.2">
      <c r="C736" s="97"/>
      <c r="D736" s="97"/>
      <c r="E736" s="97"/>
      <c r="F736" s="97"/>
    </row>
    <row r="737" spans="3:6" ht="13.2">
      <c r="C737" s="97"/>
      <c r="D737" s="97"/>
      <c r="E737" s="97"/>
      <c r="F737" s="97"/>
    </row>
    <row r="738" spans="3:6" ht="13.2">
      <c r="C738" s="97"/>
      <c r="D738" s="97"/>
      <c r="E738" s="97"/>
      <c r="F738" s="97"/>
    </row>
    <row r="739" spans="3:6" ht="13.2">
      <c r="C739" s="97"/>
      <c r="D739" s="97"/>
      <c r="E739" s="97"/>
      <c r="F739" s="97"/>
    </row>
    <row r="740" spans="3:6" ht="13.2">
      <c r="C740" s="97"/>
      <c r="D740" s="97"/>
      <c r="E740" s="97"/>
      <c r="F740" s="97"/>
    </row>
    <row r="741" spans="3:6" ht="13.2">
      <c r="C741" s="97"/>
      <c r="D741" s="97"/>
      <c r="E741" s="97"/>
      <c r="F741" s="97"/>
    </row>
    <row r="742" spans="3:6" ht="13.2">
      <c r="C742" s="97"/>
      <c r="D742" s="97"/>
      <c r="E742" s="97"/>
      <c r="F742" s="97"/>
    </row>
    <row r="743" spans="3:6" ht="13.2">
      <c r="C743" s="97"/>
      <c r="D743" s="97"/>
      <c r="E743" s="97"/>
      <c r="F743" s="97"/>
    </row>
    <row r="744" spans="3:6" ht="13.2">
      <c r="C744" s="97"/>
      <c r="D744" s="97"/>
      <c r="E744" s="97"/>
      <c r="F744" s="97"/>
    </row>
    <row r="745" spans="3:6" ht="13.2">
      <c r="C745" s="97"/>
      <c r="D745" s="97"/>
      <c r="E745" s="97"/>
      <c r="F745" s="97"/>
    </row>
    <row r="746" spans="3:6" ht="13.2">
      <c r="C746" s="97"/>
      <c r="D746" s="97"/>
      <c r="E746" s="97"/>
      <c r="F746" s="97"/>
    </row>
    <row r="747" spans="3:6" ht="13.2">
      <c r="C747" s="97"/>
      <c r="D747" s="97"/>
      <c r="E747" s="97"/>
      <c r="F747" s="97"/>
    </row>
    <row r="748" spans="3:6" ht="13.2">
      <c r="C748" s="97"/>
      <c r="D748" s="97"/>
      <c r="E748" s="97"/>
      <c r="F748" s="97"/>
    </row>
    <row r="749" spans="3:6" ht="13.2">
      <c r="C749" s="97"/>
      <c r="D749" s="97"/>
      <c r="E749" s="97"/>
      <c r="F749" s="97"/>
    </row>
    <row r="750" spans="3:6" ht="13.2">
      <c r="C750" s="97"/>
      <c r="D750" s="97"/>
      <c r="E750" s="97"/>
      <c r="F750" s="97"/>
    </row>
    <row r="751" spans="3:6" ht="13.2">
      <c r="C751" s="97"/>
      <c r="D751" s="97"/>
      <c r="E751" s="97"/>
      <c r="F751" s="97"/>
    </row>
    <row r="752" spans="3:6" ht="13.2">
      <c r="C752" s="97"/>
      <c r="D752" s="97"/>
      <c r="E752" s="97"/>
      <c r="F752" s="97"/>
    </row>
    <row r="753" spans="3:6" ht="13.2">
      <c r="C753" s="97"/>
      <c r="D753" s="97"/>
      <c r="E753" s="97"/>
      <c r="F753" s="97"/>
    </row>
    <row r="754" spans="3:6" ht="13.2">
      <c r="C754" s="97"/>
      <c r="D754" s="97"/>
      <c r="E754" s="97"/>
      <c r="F754" s="97"/>
    </row>
    <row r="755" spans="3:6" ht="13.2">
      <c r="C755" s="97"/>
      <c r="D755" s="97"/>
      <c r="E755" s="97"/>
      <c r="F755" s="97"/>
    </row>
    <row r="756" spans="3:6" ht="13.2">
      <c r="C756" s="97"/>
      <c r="D756" s="97"/>
      <c r="E756" s="97"/>
      <c r="F756" s="97"/>
    </row>
    <row r="757" spans="3:6" ht="13.2">
      <c r="C757" s="97"/>
      <c r="D757" s="97"/>
      <c r="E757" s="97"/>
      <c r="F757" s="97"/>
    </row>
    <row r="758" spans="3:6" ht="13.2">
      <c r="C758" s="97"/>
      <c r="D758" s="97"/>
      <c r="E758" s="97"/>
      <c r="F758" s="97"/>
    </row>
    <row r="759" spans="3:6" ht="13.2">
      <c r="C759" s="97"/>
      <c r="D759" s="97"/>
      <c r="E759" s="97"/>
      <c r="F759" s="97"/>
    </row>
    <row r="760" spans="3:6" ht="13.2">
      <c r="C760" s="97"/>
      <c r="D760" s="97"/>
      <c r="E760" s="97"/>
      <c r="F760" s="97"/>
    </row>
    <row r="761" spans="3:6" ht="13.2">
      <c r="C761" s="97"/>
      <c r="D761" s="97"/>
      <c r="E761" s="97"/>
      <c r="F761" s="97"/>
    </row>
    <row r="762" spans="3:6" ht="13.2">
      <c r="C762" s="97"/>
      <c r="D762" s="97"/>
      <c r="E762" s="97"/>
      <c r="F762" s="97"/>
    </row>
    <row r="763" spans="3:6" ht="13.2">
      <c r="C763" s="97"/>
      <c r="D763" s="97"/>
      <c r="E763" s="97"/>
      <c r="F763" s="97"/>
    </row>
    <row r="764" spans="3:6" ht="13.2">
      <c r="C764" s="97"/>
      <c r="D764" s="97"/>
      <c r="E764" s="97"/>
      <c r="F764" s="97"/>
    </row>
    <row r="765" spans="3:6" ht="13.2">
      <c r="C765" s="97"/>
      <c r="D765" s="97"/>
      <c r="E765" s="97"/>
      <c r="F765" s="97"/>
    </row>
    <row r="766" spans="3:6" ht="13.2">
      <c r="C766" s="97"/>
      <c r="D766" s="97"/>
      <c r="E766" s="97"/>
      <c r="F766" s="97"/>
    </row>
    <row r="767" spans="3:6" ht="13.2">
      <c r="C767" s="97"/>
      <c r="D767" s="97"/>
      <c r="E767" s="97"/>
      <c r="F767" s="97"/>
    </row>
    <row r="768" spans="3:6" ht="13.2">
      <c r="C768" s="97"/>
      <c r="D768" s="97"/>
      <c r="E768" s="97"/>
      <c r="F768" s="97"/>
    </row>
    <row r="769" spans="3:6" ht="13.2">
      <c r="C769" s="97"/>
      <c r="D769" s="97"/>
      <c r="E769" s="97"/>
      <c r="F769" s="97"/>
    </row>
    <row r="770" spans="3:6" ht="13.2">
      <c r="C770" s="97"/>
      <c r="D770" s="97"/>
      <c r="E770" s="97"/>
      <c r="F770" s="97"/>
    </row>
    <row r="771" spans="3:6" ht="13.2">
      <c r="C771" s="97"/>
      <c r="D771" s="97"/>
      <c r="E771" s="97"/>
      <c r="F771" s="97"/>
    </row>
    <row r="772" spans="3:6" ht="13.2">
      <c r="C772" s="97"/>
      <c r="D772" s="97"/>
      <c r="E772" s="97"/>
      <c r="F772" s="97"/>
    </row>
    <row r="773" spans="3:6" ht="13.2">
      <c r="C773" s="97"/>
      <c r="D773" s="97"/>
      <c r="E773" s="97"/>
      <c r="F773" s="97"/>
    </row>
    <row r="774" spans="3:6" ht="13.2">
      <c r="C774" s="97"/>
      <c r="D774" s="97"/>
      <c r="E774" s="97"/>
      <c r="F774" s="97"/>
    </row>
    <row r="775" spans="3:6" ht="13.2">
      <c r="C775" s="97"/>
      <c r="D775" s="97"/>
      <c r="E775" s="97"/>
      <c r="F775" s="97"/>
    </row>
    <row r="776" spans="3:6" ht="13.2">
      <c r="C776" s="97"/>
      <c r="D776" s="97"/>
      <c r="E776" s="97"/>
      <c r="F776" s="97"/>
    </row>
    <row r="777" spans="3:6" ht="13.2">
      <c r="C777" s="97"/>
      <c r="D777" s="97"/>
      <c r="E777" s="97"/>
      <c r="F777" s="97"/>
    </row>
    <row r="778" spans="3:6" ht="13.2">
      <c r="C778" s="97"/>
      <c r="D778" s="97"/>
      <c r="E778" s="97"/>
      <c r="F778" s="97"/>
    </row>
    <row r="779" spans="3:6" ht="13.2">
      <c r="C779" s="97"/>
      <c r="D779" s="97"/>
      <c r="E779" s="97"/>
      <c r="F779" s="97"/>
    </row>
    <row r="780" spans="3:6" ht="13.2">
      <c r="C780" s="97"/>
      <c r="D780" s="97"/>
      <c r="E780" s="97"/>
      <c r="F780" s="97"/>
    </row>
    <row r="781" spans="3:6" ht="13.2">
      <c r="C781" s="97"/>
      <c r="D781" s="97"/>
      <c r="E781" s="97"/>
      <c r="F781" s="97"/>
    </row>
    <row r="782" spans="3:6" ht="13.2">
      <c r="C782" s="97"/>
      <c r="D782" s="97"/>
      <c r="E782" s="97"/>
      <c r="F782" s="97"/>
    </row>
    <row r="783" spans="3:6" ht="13.2">
      <c r="C783" s="97"/>
      <c r="D783" s="97"/>
      <c r="E783" s="97"/>
      <c r="F783" s="97"/>
    </row>
    <row r="784" spans="3:6" ht="13.2">
      <c r="C784" s="97"/>
      <c r="D784" s="97"/>
      <c r="E784" s="97"/>
      <c r="F784" s="97"/>
    </row>
    <row r="785" spans="3:6" ht="13.2">
      <c r="C785" s="97"/>
      <c r="D785" s="97"/>
      <c r="E785" s="97"/>
      <c r="F785" s="97"/>
    </row>
    <row r="786" spans="3:6" ht="13.2">
      <c r="C786" s="97"/>
      <c r="D786" s="97"/>
      <c r="E786" s="97"/>
      <c r="F786" s="97"/>
    </row>
    <row r="787" spans="3:6" ht="13.2">
      <c r="C787" s="97"/>
      <c r="D787" s="97"/>
      <c r="E787" s="97"/>
      <c r="F787" s="97"/>
    </row>
    <row r="788" spans="3:6" ht="13.2">
      <c r="C788" s="97"/>
      <c r="D788" s="97"/>
      <c r="E788" s="97"/>
      <c r="F788" s="97"/>
    </row>
    <row r="789" spans="3:6" ht="13.2">
      <c r="C789" s="97"/>
      <c r="D789" s="97"/>
      <c r="E789" s="97"/>
      <c r="F789" s="97"/>
    </row>
    <row r="790" spans="3:6" ht="13.2">
      <c r="C790" s="97"/>
      <c r="D790" s="97"/>
      <c r="E790" s="97"/>
      <c r="F790" s="97"/>
    </row>
    <row r="791" spans="3:6" ht="13.2">
      <c r="C791" s="97"/>
      <c r="D791" s="97"/>
      <c r="E791" s="97"/>
      <c r="F791" s="97"/>
    </row>
    <row r="792" spans="3:6" ht="13.2">
      <c r="C792" s="97"/>
      <c r="D792" s="97"/>
      <c r="E792" s="97"/>
      <c r="F792" s="97"/>
    </row>
    <row r="793" spans="3:6" ht="13.2">
      <c r="C793" s="97"/>
      <c r="D793" s="97"/>
      <c r="E793" s="97"/>
      <c r="F793" s="97"/>
    </row>
    <row r="794" spans="3:6" ht="13.2">
      <c r="C794" s="97"/>
      <c r="D794" s="97"/>
      <c r="E794" s="97"/>
      <c r="F794" s="97"/>
    </row>
    <row r="795" spans="3:6" ht="13.2">
      <c r="C795" s="97"/>
      <c r="D795" s="97"/>
      <c r="E795" s="97"/>
      <c r="F795" s="97"/>
    </row>
    <row r="796" spans="3:6" ht="13.2">
      <c r="C796" s="97"/>
      <c r="D796" s="97"/>
      <c r="E796" s="97"/>
      <c r="F796" s="97"/>
    </row>
    <row r="797" spans="3:6" ht="13.2">
      <c r="C797" s="97"/>
      <c r="D797" s="97"/>
      <c r="E797" s="97"/>
      <c r="F797" s="97"/>
    </row>
    <row r="798" spans="3:6" ht="13.2">
      <c r="C798" s="97"/>
      <c r="D798" s="97"/>
      <c r="E798" s="97"/>
      <c r="F798" s="97"/>
    </row>
    <row r="799" spans="3:6" ht="13.2">
      <c r="C799" s="97"/>
      <c r="D799" s="97"/>
      <c r="E799" s="97"/>
      <c r="F799" s="97"/>
    </row>
    <row r="800" spans="3:6" ht="13.2">
      <c r="C800" s="97"/>
      <c r="D800" s="97"/>
      <c r="E800" s="97"/>
      <c r="F800" s="97"/>
    </row>
    <row r="801" spans="3:6" ht="13.2">
      <c r="C801" s="97"/>
      <c r="D801" s="97"/>
      <c r="E801" s="97"/>
      <c r="F801" s="97"/>
    </row>
    <row r="802" spans="3:6" ht="13.2">
      <c r="C802" s="97"/>
      <c r="D802" s="97"/>
      <c r="E802" s="97"/>
      <c r="F802" s="97"/>
    </row>
    <row r="803" spans="3:6" ht="13.2">
      <c r="C803" s="97"/>
      <c r="D803" s="97"/>
      <c r="E803" s="97"/>
      <c r="F803" s="97"/>
    </row>
    <row r="804" spans="3:6" ht="13.2">
      <c r="C804" s="97"/>
      <c r="D804" s="97"/>
      <c r="E804" s="97"/>
      <c r="F804" s="97"/>
    </row>
    <row r="805" spans="3:6" ht="13.2">
      <c r="C805" s="97"/>
      <c r="D805" s="97"/>
      <c r="E805" s="97"/>
      <c r="F805" s="97"/>
    </row>
    <row r="806" spans="3:6" ht="13.2">
      <c r="C806" s="97"/>
      <c r="D806" s="97"/>
      <c r="E806" s="97"/>
      <c r="F806" s="97"/>
    </row>
    <row r="807" spans="3:6" ht="13.2">
      <c r="C807" s="97"/>
      <c r="D807" s="97"/>
      <c r="E807" s="97"/>
      <c r="F807" s="97"/>
    </row>
    <row r="808" spans="3:6" ht="13.2">
      <c r="C808" s="97"/>
      <c r="D808" s="97"/>
      <c r="E808" s="97"/>
      <c r="F808" s="97"/>
    </row>
    <row r="809" spans="3:6" ht="13.2">
      <c r="C809" s="97"/>
      <c r="D809" s="97"/>
      <c r="E809" s="97"/>
      <c r="F809" s="97"/>
    </row>
    <row r="810" spans="3:6" ht="13.2">
      <c r="C810" s="97"/>
      <c r="D810" s="97"/>
      <c r="E810" s="97"/>
      <c r="F810" s="97"/>
    </row>
    <row r="811" spans="3:6" ht="13.2">
      <c r="C811" s="97"/>
      <c r="D811" s="97"/>
      <c r="E811" s="97"/>
      <c r="F811" s="97"/>
    </row>
    <row r="812" spans="3:6" ht="13.2">
      <c r="C812" s="97"/>
      <c r="D812" s="97"/>
      <c r="E812" s="97"/>
      <c r="F812" s="97"/>
    </row>
    <row r="813" spans="3:6" ht="13.2">
      <c r="C813" s="97"/>
      <c r="D813" s="97"/>
      <c r="E813" s="97"/>
      <c r="F813" s="97"/>
    </row>
    <row r="814" spans="3:6" ht="13.2">
      <c r="C814" s="97"/>
      <c r="D814" s="97"/>
      <c r="E814" s="97"/>
      <c r="F814" s="97"/>
    </row>
    <row r="815" spans="3:6" ht="13.2">
      <c r="C815" s="97"/>
      <c r="D815" s="97"/>
      <c r="E815" s="97"/>
      <c r="F815" s="97"/>
    </row>
    <row r="816" spans="3:6" ht="13.2">
      <c r="C816" s="97"/>
      <c r="D816" s="97"/>
      <c r="E816" s="97"/>
      <c r="F816" s="97"/>
    </row>
    <row r="817" spans="3:6" ht="13.2">
      <c r="C817" s="97"/>
      <c r="D817" s="97"/>
      <c r="E817" s="97"/>
      <c r="F817" s="97"/>
    </row>
    <row r="818" spans="3:6" ht="13.2">
      <c r="C818" s="97"/>
      <c r="D818" s="97"/>
      <c r="E818" s="97"/>
      <c r="F818" s="97"/>
    </row>
    <row r="819" spans="3:6" ht="13.2">
      <c r="C819" s="97"/>
      <c r="D819" s="97"/>
      <c r="E819" s="97"/>
      <c r="F819" s="97"/>
    </row>
    <row r="820" spans="3:6" ht="13.2">
      <c r="C820" s="97"/>
      <c r="D820" s="97"/>
      <c r="E820" s="97"/>
      <c r="F820" s="97"/>
    </row>
    <row r="821" spans="3:6" ht="13.2">
      <c r="C821" s="97"/>
      <c r="D821" s="97"/>
      <c r="E821" s="97"/>
      <c r="F821" s="97"/>
    </row>
    <row r="822" spans="3:6" ht="13.2">
      <c r="C822" s="97"/>
      <c r="D822" s="97"/>
      <c r="E822" s="97"/>
      <c r="F822" s="97"/>
    </row>
    <row r="823" spans="3:6" ht="13.2">
      <c r="C823" s="97"/>
      <c r="D823" s="97"/>
      <c r="E823" s="97"/>
      <c r="F823" s="97"/>
    </row>
    <row r="824" spans="3:6" ht="13.2">
      <c r="C824" s="97"/>
      <c r="D824" s="97"/>
      <c r="E824" s="97"/>
      <c r="F824" s="97"/>
    </row>
    <row r="825" spans="3:6" ht="13.2">
      <c r="C825" s="97"/>
      <c r="D825" s="97"/>
      <c r="E825" s="97"/>
      <c r="F825" s="97"/>
    </row>
    <row r="826" spans="3:6" ht="13.2">
      <c r="C826" s="97"/>
      <c r="D826" s="97"/>
      <c r="E826" s="97"/>
      <c r="F826" s="97"/>
    </row>
    <row r="827" spans="3:6" ht="13.2">
      <c r="C827" s="97"/>
      <c r="D827" s="97"/>
      <c r="E827" s="97"/>
      <c r="F827" s="97"/>
    </row>
    <row r="828" spans="3:6" ht="13.2">
      <c r="C828" s="97"/>
      <c r="D828" s="97"/>
      <c r="E828" s="97"/>
      <c r="F828" s="97"/>
    </row>
    <row r="829" spans="3:6" ht="13.2">
      <c r="C829" s="97"/>
      <c r="D829" s="97"/>
      <c r="E829" s="97"/>
      <c r="F829" s="97"/>
    </row>
    <row r="830" spans="3:6" ht="13.2">
      <c r="C830" s="97"/>
      <c r="D830" s="97"/>
      <c r="E830" s="97"/>
      <c r="F830" s="97"/>
    </row>
    <row r="831" spans="3:6" ht="13.2">
      <c r="C831" s="97"/>
      <c r="D831" s="97"/>
      <c r="E831" s="97"/>
      <c r="F831" s="97"/>
    </row>
    <row r="832" spans="3:6" ht="13.2">
      <c r="C832" s="97"/>
      <c r="D832" s="97"/>
      <c r="E832" s="97"/>
      <c r="F832" s="97"/>
    </row>
    <row r="833" spans="3:6" ht="13.2">
      <c r="C833" s="97"/>
      <c r="D833" s="97"/>
      <c r="E833" s="97"/>
      <c r="F833" s="97"/>
    </row>
    <row r="834" spans="3:6" ht="13.2">
      <c r="C834" s="97"/>
      <c r="D834" s="97"/>
      <c r="E834" s="97"/>
      <c r="F834" s="97"/>
    </row>
    <row r="835" spans="3:6" ht="13.2">
      <c r="C835" s="97"/>
      <c r="D835" s="97"/>
      <c r="E835" s="97"/>
      <c r="F835" s="97"/>
    </row>
    <row r="836" spans="3:6" ht="13.2">
      <c r="C836" s="97"/>
      <c r="D836" s="97"/>
      <c r="E836" s="97"/>
      <c r="F836" s="97"/>
    </row>
    <row r="837" spans="3:6" ht="13.2">
      <c r="C837" s="97"/>
      <c r="D837" s="97"/>
      <c r="E837" s="97"/>
      <c r="F837" s="97"/>
    </row>
    <row r="838" spans="3:6" ht="13.2">
      <c r="C838" s="97"/>
      <c r="D838" s="97"/>
      <c r="E838" s="97"/>
      <c r="F838" s="97"/>
    </row>
    <row r="839" spans="3:6" ht="13.2">
      <c r="C839" s="97"/>
      <c r="D839" s="97"/>
      <c r="E839" s="97"/>
      <c r="F839" s="97"/>
    </row>
    <row r="840" spans="3:6" ht="13.2">
      <c r="C840" s="97"/>
      <c r="D840" s="97"/>
      <c r="E840" s="97"/>
      <c r="F840" s="97"/>
    </row>
    <row r="841" spans="3:6" ht="13.2">
      <c r="C841" s="97"/>
      <c r="D841" s="97"/>
      <c r="E841" s="97"/>
      <c r="F841" s="97"/>
    </row>
    <row r="842" spans="3:6" ht="13.2">
      <c r="C842" s="97"/>
      <c r="D842" s="97"/>
      <c r="E842" s="97"/>
      <c r="F842" s="97"/>
    </row>
    <row r="843" spans="3:6" ht="13.2">
      <c r="C843" s="97"/>
      <c r="D843" s="97"/>
      <c r="E843" s="97"/>
      <c r="F843" s="97"/>
    </row>
    <row r="844" spans="3:6" ht="13.2">
      <c r="C844" s="97"/>
      <c r="D844" s="97"/>
      <c r="E844" s="97"/>
      <c r="F844" s="97"/>
    </row>
    <row r="845" spans="3:6" ht="13.2">
      <c r="C845" s="97"/>
      <c r="D845" s="97"/>
      <c r="E845" s="97"/>
      <c r="F845" s="97"/>
    </row>
    <row r="846" spans="3:6" ht="13.2">
      <c r="C846" s="97"/>
      <c r="D846" s="97"/>
      <c r="E846" s="97"/>
      <c r="F846" s="97"/>
    </row>
    <row r="847" spans="3:6" ht="13.2">
      <c r="C847" s="97"/>
      <c r="D847" s="97"/>
      <c r="E847" s="97"/>
      <c r="F847" s="97"/>
    </row>
    <row r="848" spans="3:6" ht="13.2">
      <c r="C848" s="97"/>
      <c r="D848" s="97"/>
      <c r="E848" s="97"/>
      <c r="F848" s="97"/>
    </row>
    <row r="849" spans="3:6" ht="13.2">
      <c r="C849" s="97"/>
      <c r="D849" s="97"/>
      <c r="E849" s="97"/>
      <c r="F849" s="97"/>
    </row>
    <row r="850" spans="3:6" ht="13.2">
      <c r="C850" s="97"/>
      <c r="D850" s="97"/>
      <c r="E850" s="97"/>
      <c r="F850" s="97"/>
    </row>
    <row r="851" spans="3:6" ht="13.2">
      <c r="C851" s="97"/>
      <c r="D851" s="97"/>
      <c r="E851" s="97"/>
      <c r="F851" s="97"/>
    </row>
    <row r="852" spans="3:6" ht="13.2">
      <c r="C852" s="97"/>
      <c r="D852" s="97"/>
      <c r="E852" s="97"/>
      <c r="F852" s="97"/>
    </row>
    <row r="853" spans="3:6" ht="13.2">
      <c r="C853" s="97"/>
      <c r="D853" s="97"/>
      <c r="E853" s="97"/>
      <c r="F853" s="97"/>
    </row>
    <row r="854" spans="3:6" ht="13.2">
      <c r="C854" s="97"/>
      <c r="D854" s="97"/>
      <c r="E854" s="97"/>
      <c r="F854" s="97"/>
    </row>
    <row r="855" spans="3:6" ht="13.2">
      <c r="C855" s="97"/>
      <c r="D855" s="97"/>
      <c r="E855" s="97"/>
      <c r="F855" s="97"/>
    </row>
    <row r="856" spans="3:6" ht="13.2">
      <c r="C856" s="97"/>
      <c r="D856" s="97"/>
      <c r="E856" s="97"/>
      <c r="F856" s="97"/>
    </row>
    <row r="857" spans="3:6" ht="13.2">
      <c r="C857" s="97"/>
      <c r="D857" s="97"/>
      <c r="E857" s="97"/>
      <c r="F857" s="97"/>
    </row>
    <row r="858" spans="3:6" ht="13.2">
      <c r="C858" s="97"/>
      <c r="D858" s="97"/>
      <c r="E858" s="97"/>
      <c r="F858" s="97"/>
    </row>
    <row r="859" spans="3:6" ht="13.2">
      <c r="C859" s="97"/>
      <c r="D859" s="97"/>
      <c r="E859" s="97"/>
      <c r="F859" s="97"/>
    </row>
    <row r="860" spans="3:6" ht="13.2">
      <c r="C860" s="97"/>
      <c r="D860" s="97"/>
      <c r="E860" s="97"/>
      <c r="F860" s="97"/>
    </row>
    <row r="861" spans="3:6" ht="13.2">
      <c r="C861" s="97"/>
      <c r="D861" s="97"/>
      <c r="E861" s="97"/>
      <c r="F861" s="97"/>
    </row>
    <row r="862" spans="3:6" ht="13.2">
      <c r="C862" s="97"/>
      <c r="D862" s="97"/>
      <c r="E862" s="97"/>
      <c r="F862" s="97"/>
    </row>
    <row r="863" spans="3:6" ht="13.2">
      <c r="C863" s="97"/>
      <c r="D863" s="97"/>
      <c r="E863" s="97"/>
      <c r="F863" s="97"/>
    </row>
    <row r="864" spans="3:6" ht="13.2">
      <c r="C864" s="97"/>
      <c r="D864" s="97"/>
      <c r="E864" s="97"/>
      <c r="F864" s="97"/>
    </row>
    <row r="865" spans="3:6" ht="13.2">
      <c r="C865" s="97"/>
      <c r="D865" s="97"/>
      <c r="E865" s="97"/>
      <c r="F865" s="97"/>
    </row>
    <row r="866" spans="3:6" ht="13.2">
      <c r="C866" s="97"/>
      <c r="D866" s="97"/>
      <c r="E866" s="97"/>
      <c r="F866" s="97"/>
    </row>
    <row r="867" spans="3:6" ht="13.2">
      <c r="C867" s="97"/>
      <c r="D867" s="97"/>
      <c r="E867" s="97"/>
      <c r="F867" s="97"/>
    </row>
    <row r="868" spans="3:6" ht="13.2">
      <c r="C868" s="97"/>
      <c r="D868" s="97"/>
      <c r="E868" s="97"/>
      <c r="F868" s="97"/>
    </row>
    <row r="869" spans="3:6" ht="13.2">
      <c r="C869" s="97"/>
      <c r="D869" s="97"/>
      <c r="E869" s="97"/>
      <c r="F869" s="97"/>
    </row>
    <row r="870" spans="3:6" ht="13.2">
      <c r="C870" s="97"/>
      <c r="D870" s="97"/>
      <c r="E870" s="97"/>
      <c r="F870" s="97"/>
    </row>
    <row r="871" spans="3:6" ht="13.2">
      <c r="C871" s="97"/>
      <c r="D871" s="97"/>
      <c r="E871" s="97"/>
      <c r="F871" s="97"/>
    </row>
    <row r="872" spans="3:6" ht="13.2">
      <c r="C872" s="97"/>
      <c r="D872" s="97"/>
      <c r="E872" s="97"/>
      <c r="F872" s="97"/>
    </row>
    <row r="873" spans="3:6" ht="13.2">
      <c r="C873" s="97"/>
      <c r="D873" s="97"/>
      <c r="E873" s="97"/>
      <c r="F873" s="97"/>
    </row>
    <row r="874" spans="3:6" ht="13.2">
      <c r="C874" s="97"/>
      <c r="D874" s="97"/>
      <c r="E874" s="97"/>
      <c r="F874" s="97"/>
    </row>
    <row r="875" spans="3:6" ht="13.2">
      <c r="C875" s="97"/>
      <c r="D875" s="97"/>
      <c r="E875" s="97"/>
      <c r="F875" s="97"/>
    </row>
    <row r="876" spans="3:6" ht="13.2">
      <c r="C876" s="97"/>
      <c r="D876" s="97"/>
      <c r="E876" s="97"/>
      <c r="F876" s="97"/>
    </row>
    <row r="877" spans="3:6" ht="13.2">
      <c r="C877" s="97"/>
      <c r="D877" s="97"/>
      <c r="E877" s="97"/>
      <c r="F877" s="97"/>
    </row>
    <row r="878" spans="3:6" ht="13.2">
      <c r="C878" s="97"/>
      <c r="D878" s="97"/>
      <c r="E878" s="97"/>
      <c r="F878" s="97"/>
    </row>
    <row r="879" spans="3:6" ht="13.2">
      <c r="C879" s="97"/>
      <c r="D879" s="97"/>
      <c r="E879" s="97"/>
      <c r="F879" s="97"/>
    </row>
    <row r="880" spans="3:6" ht="13.2">
      <c r="C880" s="97"/>
      <c r="D880" s="97"/>
      <c r="E880" s="97"/>
      <c r="F880" s="97"/>
    </row>
    <row r="881" spans="3:6" ht="13.2">
      <c r="C881" s="97"/>
      <c r="D881" s="97"/>
      <c r="E881" s="97"/>
      <c r="F881" s="97"/>
    </row>
    <row r="882" spans="3:6" ht="13.2">
      <c r="C882" s="97"/>
      <c r="D882" s="97"/>
      <c r="E882" s="97"/>
      <c r="F882" s="97"/>
    </row>
    <row r="883" spans="3:6" ht="13.2">
      <c r="C883" s="97"/>
      <c r="D883" s="97"/>
      <c r="E883" s="97"/>
      <c r="F883" s="97"/>
    </row>
    <row r="884" spans="3:6" ht="13.2">
      <c r="C884" s="97"/>
      <c r="D884" s="97"/>
      <c r="E884" s="97"/>
      <c r="F884" s="97"/>
    </row>
    <row r="885" spans="3:6" ht="13.2">
      <c r="C885" s="97"/>
      <c r="D885" s="97"/>
      <c r="E885" s="97"/>
      <c r="F885" s="97"/>
    </row>
    <row r="886" spans="3:6" ht="13.2">
      <c r="C886" s="97"/>
      <c r="D886" s="97"/>
      <c r="E886" s="97"/>
      <c r="F886" s="97"/>
    </row>
    <row r="887" spans="3:6" ht="13.2">
      <c r="C887" s="97"/>
      <c r="D887" s="97"/>
      <c r="E887" s="97"/>
      <c r="F887" s="97"/>
    </row>
    <row r="888" spans="3:6" ht="13.2">
      <c r="C888" s="97"/>
      <c r="D888" s="97"/>
      <c r="E888" s="97"/>
      <c r="F888" s="97"/>
    </row>
    <row r="889" spans="3:6" ht="13.2">
      <c r="C889" s="97"/>
      <c r="D889" s="97"/>
      <c r="E889" s="97"/>
      <c r="F889" s="97"/>
    </row>
    <row r="890" spans="3:6" ht="13.2">
      <c r="C890" s="97"/>
      <c r="D890" s="97"/>
      <c r="E890" s="97"/>
      <c r="F890" s="97"/>
    </row>
    <row r="891" spans="3:6" ht="13.2">
      <c r="C891" s="97"/>
      <c r="D891" s="97"/>
      <c r="E891" s="97"/>
      <c r="F891" s="97"/>
    </row>
    <row r="892" spans="3:6" ht="13.2">
      <c r="C892" s="97"/>
      <c r="D892" s="97"/>
      <c r="E892" s="97"/>
      <c r="F892" s="97"/>
    </row>
    <row r="893" spans="3:6" ht="13.2">
      <c r="C893" s="97"/>
      <c r="D893" s="97"/>
      <c r="E893" s="97"/>
      <c r="F893" s="97"/>
    </row>
    <row r="894" spans="3:6" ht="13.2">
      <c r="C894" s="97"/>
      <c r="D894" s="97"/>
      <c r="E894" s="97"/>
      <c r="F894" s="97"/>
    </row>
    <row r="895" spans="3:6" ht="13.2">
      <c r="C895" s="97"/>
      <c r="D895" s="97"/>
      <c r="E895" s="97"/>
      <c r="F895" s="97"/>
    </row>
    <row r="896" spans="3:6" ht="13.2">
      <c r="C896" s="97"/>
      <c r="D896" s="97"/>
      <c r="E896" s="97"/>
      <c r="F896" s="97"/>
    </row>
    <row r="897" spans="3:6" ht="13.2">
      <c r="C897" s="97"/>
      <c r="D897" s="97"/>
      <c r="E897" s="97"/>
      <c r="F897" s="97"/>
    </row>
    <row r="898" spans="3:6" ht="13.2">
      <c r="C898" s="97"/>
      <c r="D898" s="97"/>
      <c r="E898" s="97"/>
      <c r="F898" s="97"/>
    </row>
    <row r="899" spans="3:6" ht="13.2">
      <c r="C899" s="97"/>
      <c r="D899" s="97"/>
      <c r="E899" s="97"/>
      <c r="F899" s="97"/>
    </row>
    <row r="900" spans="3:6" ht="13.2">
      <c r="C900" s="97"/>
      <c r="D900" s="97"/>
      <c r="E900" s="97"/>
      <c r="F900" s="97"/>
    </row>
    <row r="901" spans="3:6" ht="13.2">
      <c r="C901" s="97"/>
      <c r="D901" s="97"/>
      <c r="E901" s="97"/>
      <c r="F901" s="97"/>
    </row>
    <row r="902" spans="3:6" ht="13.2">
      <c r="C902" s="97"/>
      <c r="D902" s="97"/>
      <c r="E902" s="97"/>
      <c r="F902" s="97"/>
    </row>
    <row r="903" spans="3:6" ht="13.2">
      <c r="C903" s="97"/>
      <c r="D903" s="97"/>
      <c r="E903" s="97"/>
      <c r="F903" s="97"/>
    </row>
    <row r="904" spans="3:6" ht="13.2">
      <c r="C904" s="97"/>
      <c r="D904" s="97"/>
      <c r="E904" s="97"/>
      <c r="F904" s="97"/>
    </row>
    <row r="905" spans="3:6" ht="13.2">
      <c r="C905" s="97"/>
      <c r="D905" s="97"/>
      <c r="E905" s="97"/>
      <c r="F905" s="97"/>
    </row>
    <row r="906" spans="3:6" ht="13.2">
      <c r="C906" s="97"/>
      <c r="D906" s="97"/>
      <c r="E906" s="97"/>
      <c r="F906" s="97"/>
    </row>
    <row r="907" spans="3:6" ht="13.2">
      <c r="C907" s="97"/>
      <c r="D907" s="97"/>
      <c r="E907" s="97"/>
      <c r="F907" s="97"/>
    </row>
    <row r="908" spans="3:6" ht="13.2">
      <c r="C908" s="97"/>
      <c r="D908" s="97"/>
      <c r="E908" s="97"/>
      <c r="F908" s="97"/>
    </row>
    <row r="909" spans="3:6" ht="13.2">
      <c r="C909" s="97"/>
      <c r="D909" s="97"/>
      <c r="E909" s="97"/>
      <c r="F909" s="97"/>
    </row>
    <row r="910" spans="3:6" ht="13.2">
      <c r="C910" s="97"/>
      <c r="D910" s="97"/>
      <c r="E910" s="97"/>
      <c r="F910" s="97"/>
    </row>
    <row r="911" spans="3:6" ht="13.2">
      <c r="C911" s="97"/>
      <c r="D911" s="97"/>
      <c r="E911" s="97"/>
      <c r="F911" s="97"/>
    </row>
    <row r="912" spans="3:6" ht="13.2">
      <c r="C912" s="97"/>
      <c r="D912" s="97"/>
      <c r="E912" s="97"/>
      <c r="F912" s="97"/>
    </row>
    <row r="913" spans="3:6" ht="13.2">
      <c r="C913" s="97"/>
      <c r="D913" s="97"/>
      <c r="E913" s="97"/>
      <c r="F913" s="97"/>
    </row>
    <row r="914" spans="3:6" ht="13.2">
      <c r="C914" s="97"/>
      <c r="D914" s="97"/>
      <c r="E914" s="97"/>
      <c r="F914" s="97"/>
    </row>
    <row r="915" spans="3:6" ht="13.2">
      <c r="C915" s="97"/>
      <c r="D915" s="97"/>
      <c r="E915" s="97"/>
      <c r="F915" s="97"/>
    </row>
    <row r="916" spans="3:6" ht="13.2">
      <c r="C916" s="97"/>
      <c r="D916" s="97"/>
      <c r="E916" s="97"/>
      <c r="F916" s="97"/>
    </row>
    <row r="917" spans="3:6" ht="13.2">
      <c r="C917" s="97"/>
      <c r="D917" s="97"/>
      <c r="E917" s="97"/>
      <c r="F917" s="97"/>
    </row>
    <row r="918" spans="3:6" ht="13.2">
      <c r="C918" s="97"/>
      <c r="D918" s="97"/>
      <c r="E918" s="97"/>
      <c r="F918" s="97"/>
    </row>
    <row r="919" spans="3:6" ht="13.2">
      <c r="C919" s="97"/>
      <c r="D919" s="97"/>
      <c r="E919" s="97"/>
      <c r="F919" s="97"/>
    </row>
    <row r="920" spans="3:6" ht="13.2">
      <c r="C920" s="97"/>
      <c r="D920" s="97"/>
      <c r="E920" s="97"/>
      <c r="F920" s="97"/>
    </row>
    <row r="921" spans="3:6" ht="13.2">
      <c r="C921" s="97"/>
      <c r="D921" s="97"/>
      <c r="E921" s="97"/>
      <c r="F921" s="97"/>
    </row>
    <row r="922" spans="3:6" ht="13.2">
      <c r="C922" s="97"/>
      <c r="D922" s="97"/>
      <c r="E922" s="97"/>
      <c r="F922" s="97"/>
    </row>
    <row r="923" spans="3:6" ht="13.2">
      <c r="C923" s="97"/>
      <c r="D923" s="97"/>
      <c r="E923" s="97"/>
      <c r="F923" s="97"/>
    </row>
    <row r="924" spans="3:6" ht="13.2">
      <c r="C924" s="97"/>
      <c r="D924" s="97"/>
      <c r="E924" s="97"/>
      <c r="F924" s="97"/>
    </row>
    <row r="925" spans="3:6" ht="13.2">
      <c r="C925" s="97"/>
      <c r="D925" s="97"/>
      <c r="E925" s="97"/>
      <c r="F925" s="97"/>
    </row>
    <row r="926" spans="3:6" ht="13.2">
      <c r="C926" s="97"/>
      <c r="D926" s="97"/>
      <c r="E926" s="97"/>
      <c r="F926" s="97"/>
    </row>
    <row r="927" spans="3:6" ht="13.2">
      <c r="C927" s="97"/>
      <c r="D927" s="97"/>
      <c r="E927" s="97"/>
      <c r="F927" s="97"/>
    </row>
    <row r="928" spans="3:6" ht="13.2">
      <c r="C928" s="97"/>
      <c r="D928" s="97"/>
      <c r="E928" s="97"/>
      <c r="F928" s="97"/>
    </row>
    <row r="929" spans="3:6" ht="13.2">
      <c r="C929" s="97"/>
      <c r="D929" s="97"/>
      <c r="E929" s="97"/>
      <c r="F929" s="97"/>
    </row>
    <row r="930" spans="3:6" ht="13.2">
      <c r="C930" s="97"/>
      <c r="D930" s="97"/>
      <c r="E930" s="97"/>
      <c r="F930" s="97"/>
    </row>
    <row r="931" spans="3:6" ht="13.2">
      <c r="C931" s="97"/>
      <c r="D931" s="97"/>
      <c r="E931" s="97"/>
      <c r="F931" s="97"/>
    </row>
    <row r="932" spans="3:6" ht="13.2">
      <c r="C932" s="97"/>
      <c r="D932" s="97"/>
      <c r="E932" s="97"/>
      <c r="F932" s="97"/>
    </row>
    <row r="933" spans="3:6" ht="13.2">
      <c r="C933" s="97"/>
      <c r="D933" s="97"/>
      <c r="E933" s="97"/>
      <c r="F933" s="97"/>
    </row>
    <row r="934" spans="3:6" ht="13.2">
      <c r="C934" s="97"/>
      <c r="D934" s="97"/>
      <c r="E934" s="97"/>
      <c r="F934" s="97"/>
    </row>
    <row r="935" spans="3:6" ht="13.2">
      <c r="C935" s="97"/>
      <c r="D935" s="97"/>
      <c r="E935" s="97"/>
      <c r="F935" s="97"/>
    </row>
    <row r="936" spans="3:6" ht="13.2">
      <c r="C936" s="97"/>
      <c r="D936" s="97"/>
      <c r="E936" s="97"/>
      <c r="F936" s="97"/>
    </row>
    <row r="937" spans="3:6" ht="13.2">
      <c r="C937" s="97"/>
      <c r="D937" s="97"/>
      <c r="E937" s="97"/>
      <c r="F937" s="97"/>
    </row>
    <row r="938" spans="3:6" ht="13.2">
      <c r="C938" s="97"/>
      <c r="D938" s="97"/>
      <c r="E938" s="97"/>
      <c r="F938" s="97"/>
    </row>
    <row r="939" spans="3:6" ht="13.2">
      <c r="C939" s="97"/>
      <c r="D939" s="97"/>
      <c r="E939" s="97"/>
      <c r="F939" s="97"/>
    </row>
    <row r="940" spans="3:6" ht="13.2">
      <c r="C940" s="97"/>
      <c r="D940" s="97"/>
      <c r="E940" s="97"/>
      <c r="F940" s="97"/>
    </row>
    <row r="941" spans="3:6" ht="13.2">
      <c r="C941" s="97"/>
      <c r="D941" s="97"/>
      <c r="E941" s="97"/>
      <c r="F941" s="97"/>
    </row>
    <row r="942" spans="3:6" ht="13.2">
      <c r="C942" s="97"/>
      <c r="D942" s="97"/>
      <c r="E942" s="97"/>
      <c r="F942" s="97"/>
    </row>
    <row r="943" spans="3:6" ht="13.2">
      <c r="C943" s="97"/>
      <c r="D943" s="97"/>
      <c r="E943" s="97"/>
      <c r="F943" s="97"/>
    </row>
    <row r="944" spans="3:6" ht="13.2">
      <c r="C944" s="97"/>
      <c r="D944" s="97"/>
      <c r="E944" s="97"/>
      <c r="F944" s="97"/>
    </row>
    <row r="945" spans="3:6" ht="13.2">
      <c r="C945" s="97"/>
      <c r="D945" s="97"/>
      <c r="E945" s="97"/>
      <c r="F945" s="97"/>
    </row>
    <row r="946" spans="3:6" ht="13.2">
      <c r="C946" s="97"/>
      <c r="D946" s="97"/>
      <c r="E946" s="97"/>
      <c r="F946" s="97"/>
    </row>
    <row r="947" spans="3:6" ht="13.2">
      <c r="C947" s="97"/>
      <c r="D947" s="97"/>
      <c r="E947" s="97"/>
      <c r="F947" s="97"/>
    </row>
    <row r="948" spans="3:6" ht="13.2">
      <c r="C948" s="97"/>
      <c r="D948" s="97"/>
      <c r="E948" s="97"/>
      <c r="F948" s="97"/>
    </row>
    <row r="949" spans="3:6" ht="13.2">
      <c r="C949" s="97"/>
      <c r="D949" s="97"/>
      <c r="E949" s="97"/>
      <c r="F949" s="97"/>
    </row>
    <row r="950" spans="3:6" ht="13.2">
      <c r="C950" s="97"/>
      <c r="D950" s="97"/>
      <c r="E950" s="97"/>
      <c r="F950" s="97"/>
    </row>
    <row r="951" spans="3:6" ht="13.2">
      <c r="C951" s="97"/>
      <c r="D951" s="97"/>
      <c r="E951" s="97"/>
      <c r="F951" s="97"/>
    </row>
    <row r="952" spans="3:6" ht="13.2">
      <c r="C952" s="97"/>
      <c r="D952" s="97"/>
      <c r="E952" s="97"/>
      <c r="F952" s="97"/>
    </row>
    <row r="953" spans="3:6" ht="13.2">
      <c r="C953" s="97"/>
      <c r="D953" s="97"/>
      <c r="E953" s="97"/>
      <c r="F953" s="97"/>
    </row>
    <row r="954" spans="3:6" ht="13.2">
      <c r="C954" s="97"/>
      <c r="D954" s="97"/>
      <c r="E954" s="97"/>
      <c r="F954" s="97"/>
    </row>
    <row r="955" spans="3:6" ht="13.2">
      <c r="C955" s="97"/>
      <c r="D955" s="97"/>
      <c r="E955" s="97"/>
      <c r="F955" s="97"/>
    </row>
    <row r="956" spans="3:6" ht="13.2">
      <c r="C956" s="97"/>
      <c r="D956" s="97"/>
      <c r="E956" s="97"/>
      <c r="F956" s="97"/>
    </row>
    <row r="957" spans="3:6" ht="13.2">
      <c r="C957" s="97"/>
      <c r="D957" s="97"/>
      <c r="E957" s="97"/>
      <c r="F957" s="97"/>
    </row>
    <row r="958" spans="3:6" ht="13.2">
      <c r="C958" s="97"/>
      <c r="D958" s="97"/>
      <c r="E958" s="97"/>
      <c r="F958" s="97"/>
    </row>
    <row r="959" spans="3:6" ht="13.2">
      <c r="C959" s="97"/>
      <c r="D959" s="97"/>
      <c r="E959" s="97"/>
      <c r="F959" s="97"/>
    </row>
    <row r="960" spans="3:6" ht="13.2">
      <c r="C960" s="97"/>
      <c r="D960" s="97"/>
      <c r="E960" s="97"/>
      <c r="F960" s="97"/>
    </row>
    <row r="961" spans="3:6" ht="13.2">
      <c r="C961" s="97"/>
      <c r="D961" s="97"/>
      <c r="E961" s="97"/>
      <c r="F961" s="97"/>
    </row>
    <row r="962" spans="3:6" ht="13.2">
      <c r="C962" s="97"/>
      <c r="D962" s="97"/>
      <c r="E962" s="97"/>
      <c r="F962" s="97"/>
    </row>
    <row r="963" spans="3:6" ht="13.2">
      <c r="C963" s="97"/>
      <c r="D963" s="97"/>
      <c r="E963" s="97"/>
      <c r="F963" s="97"/>
    </row>
    <row r="964" spans="3:6" ht="13.2">
      <c r="C964" s="97"/>
      <c r="D964" s="97"/>
      <c r="E964" s="97"/>
      <c r="F964" s="97"/>
    </row>
    <row r="965" spans="3:6" ht="13.2">
      <c r="C965" s="97"/>
      <c r="D965" s="97"/>
      <c r="E965" s="97"/>
      <c r="F965" s="97"/>
    </row>
    <row r="966" spans="3:6" ht="13.2">
      <c r="C966" s="97"/>
      <c r="D966" s="97"/>
      <c r="E966" s="97"/>
      <c r="F966" s="97"/>
    </row>
    <row r="967" spans="3:6" ht="13.2">
      <c r="C967" s="97"/>
      <c r="D967" s="97"/>
      <c r="E967" s="97"/>
      <c r="F967" s="97"/>
    </row>
    <row r="968" spans="3:6" ht="13.2">
      <c r="C968" s="97"/>
      <c r="D968" s="97"/>
      <c r="E968" s="97"/>
      <c r="F968" s="97"/>
    </row>
    <row r="969" spans="3:6" ht="13.2">
      <c r="C969" s="97"/>
      <c r="D969" s="97"/>
      <c r="E969" s="97"/>
      <c r="F969" s="97"/>
    </row>
    <row r="970" spans="3:6" ht="13.2">
      <c r="C970" s="97"/>
      <c r="D970" s="97"/>
      <c r="E970" s="97"/>
      <c r="F970" s="97"/>
    </row>
    <row r="971" spans="3:6" ht="13.2">
      <c r="C971" s="97"/>
      <c r="D971" s="97"/>
      <c r="E971" s="97"/>
      <c r="F971" s="97"/>
    </row>
    <row r="972" spans="3:6" ht="13.2">
      <c r="C972" s="97"/>
      <c r="D972" s="97"/>
      <c r="E972" s="97"/>
      <c r="F972" s="97"/>
    </row>
    <row r="973" spans="3:6" ht="13.2">
      <c r="C973" s="97"/>
      <c r="D973" s="97"/>
      <c r="E973" s="97"/>
      <c r="F973" s="97"/>
    </row>
    <row r="974" spans="3:6" ht="13.2">
      <c r="C974" s="97"/>
      <c r="D974" s="97"/>
      <c r="E974" s="97"/>
      <c r="F974" s="97"/>
    </row>
    <row r="975" spans="3:6" ht="13.2">
      <c r="C975" s="97"/>
      <c r="D975" s="97"/>
      <c r="E975" s="97"/>
      <c r="F975" s="97"/>
    </row>
    <row r="976" spans="3:6" ht="13.2">
      <c r="C976" s="97"/>
      <c r="D976" s="97"/>
      <c r="E976" s="97"/>
      <c r="F976" s="97"/>
    </row>
    <row r="977" spans="3:6" ht="13.2">
      <c r="C977" s="97"/>
      <c r="D977" s="97"/>
      <c r="E977" s="97"/>
      <c r="F977" s="97"/>
    </row>
    <row r="978" spans="3:6" ht="13.2">
      <c r="C978" s="97"/>
      <c r="D978" s="97"/>
      <c r="E978" s="97"/>
      <c r="F978" s="97"/>
    </row>
    <row r="979" spans="3:6" ht="13.2">
      <c r="C979" s="97"/>
      <c r="D979" s="97"/>
      <c r="E979" s="97"/>
      <c r="F979" s="97"/>
    </row>
    <row r="980" spans="3:6" ht="13.2">
      <c r="C980" s="97"/>
      <c r="D980" s="97"/>
      <c r="E980" s="97"/>
      <c r="F980" s="97"/>
    </row>
    <row r="981" spans="3:6" ht="13.2">
      <c r="C981" s="97"/>
      <c r="D981" s="97"/>
      <c r="E981" s="97"/>
      <c r="F981" s="97"/>
    </row>
    <row r="982" spans="3:6" ht="13.2">
      <c r="C982" s="97"/>
      <c r="D982" s="97"/>
      <c r="E982" s="97"/>
      <c r="F982" s="97"/>
    </row>
    <row r="983" spans="3:6" ht="13.2">
      <c r="C983" s="97"/>
      <c r="D983" s="97"/>
      <c r="E983" s="97"/>
      <c r="F983" s="97"/>
    </row>
    <row r="984" spans="3:6" ht="13.2">
      <c r="C984" s="97"/>
      <c r="D984" s="97"/>
      <c r="E984" s="97"/>
      <c r="F984" s="97"/>
    </row>
    <row r="985" spans="3:6" ht="13.2">
      <c r="C985" s="97"/>
      <c r="D985" s="97"/>
      <c r="E985" s="97"/>
      <c r="F985" s="97"/>
    </row>
    <row r="986" spans="3:6" ht="13.2">
      <c r="C986" s="97"/>
      <c r="D986" s="97"/>
      <c r="E986" s="97"/>
      <c r="F986" s="97"/>
    </row>
    <row r="987" spans="3:6" ht="13.2">
      <c r="C987" s="97"/>
      <c r="D987" s="97"/>
      <c r="E987" s="97"/>
      <c r="F987" s="97"/>
    </row>
    <row r="988" spans="3:6" ht="13.2">
      <c r="C988" s="97"/>
      <c r="D988" s="97"/>
      <c r="E988" s="97"/>
      <c r="F988" s="97"/>
    </row>
    <row r="989" spans="3:6" ht="13.2">
      <c r="C989" s="97"/>
      <c r="D989" s="97"/>
      <c r="E989" s="97"/>
      <c r="F989" s="97"/>
    </row>
    <row r="990" spans="3:6" ht="13.2">
      <c r="C990" s="97"/>
      <c r="D990" s="97"/>
      <c r="E990" s="97"/>
      <c r="F990" s="97"/>
    </row>
    <row r="991" spans="3:6" ht="13.2">
      <c r="C991" s="97"/>
      <c r="D991" s="97"/>
      <c r="E991" s="97"/>
      <c r="F991" s="97"/>
    </row>
    <row r="992" spans="3:6" ht="13.2">
      <c r="C992" s="97"/>
      <c r="D992" s="97"/>
      <c r="E992" s="97"/>
      <c r="F992" s="97"/>
    </row>
    <row r="993" spans="3:6" ht="13.2">
      <c r="C993" s="97"/>
      <c r="D993" s="97"/>
      <c r="E993" s="97"/>
      <c r="F993" s="97"/>
    </row>
    <row r="994" spans="3:6" ht="13.2">
      <c r="C994" s="97"/>
      <c r="D994" s="97"/>
      <c r="E994" s="97"/>
      <c r="F994" s="97"/>
    </row>
    <row r="995" spans="3:6" ht="13.2">
      <c r="C995" s="97"/>
      <c r="D995" s="97"/>
      <c r="E995" s="97"/>
      <c r="F995" s="97"/>
    </row>
    <row r="996" spans="3:6" ht="13.2">
      <c r="C996" s="97"/>
      <c r="D996" s="97"/>
      <c r="E996" s="97"/>
      <c r="F996" s="97"/>
    </row>
    <row r="997" spans="3:6" ht="13.2">
      <c r="C997" s="97"/>
      <c r="D997" s="97"/>
      <c r="E997" s="97"/>
      <c r="F997" s="97"/>
    </row>
    <row r="998" spans="3:6" ht="13.2">
      <c r="C998" s="97"/>
      <c r="D998" s="97"/>
      <c r="E998" s="97"/>
      <c r="F998" s="97"/>
    </row>
    <row r="999" spans="3:6" ht="13.2">
      <c r="C999" s="97"/>
      <c r="D999" s="97"/>
      <c r="E999" s="97"/>
      <c r="F999" s="97"/>
    </row>
    <row r="1000" spans="3:6" ht="13.2">
      <c r="C1000" s="97"/>
      <c r="D1000" s="97"/>
      <c r="E1000" s="97"/>
      <c r="F1000" s="97"/>
    </row>
    <row r="1001" spans="3:6" ht="13.2">
      <c r="C1001" s="97"/>
      <c r="D1001" s="97"/>
      <c r="E1001" s="97"/>
      <c r="F1001" s="97"/>
    </row>
    <row r="1002" spans="3:6" ht="13.2">
      <c r="C1002" s="97"/>
      <c r="D1002" s="97"/>
      <c r="E1002" s="97"/>
      <c r="F1002" s="97"/>
    </row>
    <row r="1003" spans="3:6" ht="13.2">
      <c r="C1003" s="97"/>
      <c r="D1003" s="97"/>
      <c r="E1003" s="97"/>
      <c r="F1003" s="97"/>
    </row>
    <row r="1004" spans="3:6" ht="13.2">
      <c r="C1004" s="97"/>
      <c r="D1004" s="97"/>
      <c r="E1004" s="97"/>
      <c r="F1004" s="97"/>
    </row>
    <row r="1005" spans="3:6" ht="13.2">
      <c r="C1005" s="97"/>
      <c r="D1005" s="97"/>
      <c r="E1005" s="97"/>
      <c r="F1005" s="9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139</vt:i4>
      </vt:variant>
    </vt:vector>
  </HeadingPairs>
  <TitlesOfParts>
    <vt:vector size="175" baseType="lpstr">
      <vt:lpstr>LLH</vt:lpstr>
      <vt:lpstr>Answer Report 1</vt:lpstr>
      <vt:lpstr>Sensitivity Report 1</vt:lpstr>
      <vt:lpstr>Home</vt:lpstr>
      <vt:lpstr>Users</vt:lpstr>
      <vt:lpstr>Input</vt:lpstr>
      <vt:lpstr>Isetan Home</vt:lpstr>
      <vt:lpstr>Comparison Home</vt:lpstr>
      <vt:lpstr>CDashboard CF Danny</vt:lpstr>
      <vt:lpstr>CControl CF Danny</vt:lpstr>
      <vt:lpstr>CData CF Danny</vt:lpstr>
      <vt:lpstr>Dashboard CF Danny</vt:lpstr>
      <vt:lpstr>Control CF Danny</vt:lpstr>
      <vt:lpstr>Data CF Danny</vt:lpstr>
      <vt:lpstr>CDashboard IS Phone</vt:lpstr>
      <vt:lpstr>CControl IS Phone</vt:lpstr>
      <vt:lpstr>CData IS Phone</vt:lpstr>
      <vt:lpstr>Dashboard IS Phone</vt:lpstr>
      <vt:lpstr>Control IS Phone</vt:lpstr>
      <vt:lpstr>Dashboard BS Yk</vt:lpstr>
      <vt:lpstr>CDashboard BS Yk</vt:lpstr>
      <vt:lpstr>Control BS YK</vt:lpstr>
      <vt:lpstr>Data BS Yk</vt:lpstr>
      <vt:lpstr>CDashboard LQ Suganya</vt:lpstr>
      <vt:lpstr>Control LQ Suganya</vt:lpstr>
      <vt:lpstr>Data LQ Suganya</vt:lpstr>
      <vt:lpstr>Dashboard Profitability Prisca</vt:lpstr>
      <vt:lpstr>Dashboard Explanation Prisca</vt:lpstr>
      <vt:lpstr>Control Profitability Prisca</vt:lpstr>
      <vt:lpstr>Financial Ratios</vt:lpstr>
      <vt:lpstr>ISETAN IS</vt:lpstr>
      <vt:lpstr>ISETAN BS</vt:lpstr>
      <vt:lpstr>ISETAN CF</vt:lpstr>
      <vt:lpstr>METRO IS</vt:lpstr>
      <vt:lpstr>METRO BS</vt:lpstr>
      <vt:lpstr>METRO CF</vt:lpstr>
      <vt:lpstr>ActFull</vt:lpstr>
      <vt:lpstr>ActiFull</vt:lpstr>
      <vt:lpstr>ActiShort</vt:lpstr>
      <vt:lpstr>ActivFull</vt:lpstr>
      <vt:lpstr>ActivShort</vt:lpstr>
      <vt:lpstr>ActShort</vt:lpstr>
      <vt:lpstr>assets_name</vt:lpstr>
      <vt:lpstr>AXNAM</vt:lpstr>
      <vt:lpstr>Cashflow_Link</vt:lpstr>
      <vt:lpstr>Cashfull</vt:lpstr>
      <vt:lpstr>Cashfulll</vt:lpstr>
      <vt:lpstr>Cashfulll_Link</vt:lpstr>
      <vt:lpstr>CAssets</vt:lpstr>
      <vt:lpstr>Catagory</vt:lpstr>
      <vt:lpstr>CCEY_Name</vt:lpstr>
      <vt:lpstr>Cffull</vt:lpstr>
      <vt:lpstr>Cffull_Link</vt:lpstr>
      <vt:lpstr>Change</vt:lpstr>
      <vt:lpstr>Change_chosen</vt:lpstr>
      <vt:lpstr>Change_chosen1</vt:lpstr>
      <vt:lpstr>CLiabilities</vt:lpstr>
      <vt:lpstr>compare_npm</vt:lpstr>
      <vt:lpstr>comparison_npm</vt:lpstr>
      <vt:lpstr>D_choose1</vt:lpstr>
      <vt:lpstr>D_choosen</vt:lpstr>
      <vt:lpstr>D_name</vt:lpstr>
      <vt:lpstr>D_row</vt:lpstr>
      <vt:lpstr>D_Row1</vt:lpstr>
      <vt:lpstr>Dac</vt:lpstr>
      <vt:lpstr>data_npm1</vt:lpstr>
      <vt:lpstr>Data_ROA1</vt:lpstr>
      <vt:lpstr>data_ROE1</vt:lpstr>
      <vt:lpstr>DCCEY_Name</vt:lpstr>
      <vt:lpstr>DFY_Name</vt:lpstr>
      <vt:lpstr>Dhc</vt:lpstr>
      <vt:lpstr>diff_amt</vt:lpstr>
      <vt:lpstr>diff_amt2</vt:lpstr>
      <vt:lpstr>diff_amt3</vt:lpstr>
      <vt:lpstr>diff_npm1</vt:lpstr>
      <vt:lpstr>diff3</vt:lpstr>
      <vt:lpstr>difference</vt:lpstr>
      <vt:lpstr>difference2</vt:lpstr>
      <vt:lpstr>DIY_Name</vt:lpstr>
      <vt:lpstr>Dlc</vt:lpstr>
      <vt:lpstr>DName</vt:lpstr>
      <vt:lpstr>DOCF_Name</vt:lpstr>
      <vt:lpstr>DOY_Name</vt:lpstr>
      <vt:lpstr>DPBT_Name</vt:lpstr>
      <vt:lpstr>EPS</vt:lpstr>
      <vt:lpstr>Exp_chosen</vt:lpstr>
      <vt:lpstr>Exp_Chosen1</vt:lpstr>
      <vt:lpstr>FS_diff</vt:lpstr>
      <vt:lpstr>FY_Name</vt:lpstr>
      <vt:lpstr>I_Equity</vt:lpstr>
      <vt:lpstr>I_Income</vt:lpstr>
      <vt:lpstr>I_Income1</vt:lpstr>
      <vt:lpstr>I_INCOME2</vt:lpstr>
      <vt:lpstr>I_P</vt:lpstr>
      <vt:lpstr>I_R</vt:lpstr>
      <vt:lpstr>I_R13</vt:lpstr>
      <vt:lpstr>I_ROA</vt:lpstr>
      <vt:lpstr>I_ROE</vt:lpstr>
      <vt:lpstr>I_TA</vt:lpstr>
      <vt:lpstr>income_name</vt:lpstr>
      <vt:lpstr>IS_name</vt:lpstr>
      <vt:lpstr>IS_NPM</vt:lpstr>
      <vt:lpstr>Ise</vt:lpstr>
      <vt:lpstr>IseExp</vt:lpstr>
      <vt:lpstr>Isetan_LQ</vt:lpstr>
      <vt:lpstr>Isetan_quickratio</vt:lpstr>
      <vt:lpstr>IY_Name</vt:lpstr>
      <vt:lpstr>liquidity_row</vt:lpstr>
      <vt:lpstr>M_Equity</vt:lpstr>
      <vt:lpstr>M_Income</vt:lpstr>
      <vt:lpstr>M_Income2</vt:lpstr>
      <vt:lpstr>M_Name</vt:lpstr>
      <vt:lpstr>M_NPM</vt:lpstr>
      <vt:lpstr>M_P</vt:lpstr>
      <vt:lpstr>M_R</vt:lpstr>
      <vt:lpstr>M_R13</vt:lpstr>
      <vt:lpstr>M_ROA</vt:lpstr>
      <vt:lpstr>M_ROE</vt:lpstr>
      <vt:lpstr>M_TA</vt:lpstr>
      <vt:lpstr>Metro_currentratio</vt:lpstr>
      <vt:lpstr>Metro_LQ</vt:lpstr>
      <vt:lpstr>mm_choosen</vt:lpstr>
      <vt:lpstr>Mm_Income</vt:lpstr>
      <vt:lpstr>mm_row</vt:lpstr>
      <vt:lpstr>NCAssets</vt:lpstr>
      <vt:lpstr>NCLiabilities</vt:lpstr>
      <vt:lpstr>NetProfit</vt:lpstr>
      <vt:lpstr>NPM_choosen1</vt:lpstr>
      <vt:lpstr>NPM_IDiff</vt:lpstr>
      <vt:lpstr>NPM_IS</vt:lpstr>
      <vt:lpstr>NPM_Mdiff</vt:lpstr>
      <vt:lpstr>NPM_Metro</vt:lpstr>
      <vt:lpstr>NPM_Row1</vt:lpstr>
      <vt:lpstr>OCF_Name</vt:lpstr>
      <vt:lpstr>OY_Name</vt:lpstr>
      <vt:lpstr>pass</vt:lpstr>
      <vt:lpstr>PBT_Name</vt:lpstr>
      <vt:lpstr>Revenue</vt:lpstr>
      <vt:lpstr>ROA_choose</vt:lpstr>
      <vt:lpstr>roa_comparison</vt:lpstr>
      <vt:lpstr>ROA_IS</vt:lpstr>
      <vt:lpstr>ROA_M</vt:lpstr>
      <vt:lpstr>ROA_row</vt:lpstr>
      <vt:lpstr>roa_total_i</vt:lpstr>
      <vt:lpstr>roa_total_m</vt:lpstr>
      <vt:lpstr>ROE_amt</vt:lpstr>
      <vt:lpstr>ROE_choose1</vt:lpstr>
      <vt:lpstr>ROE_diffs</vt:lpstr>
      <vt:lpstr>ROE_M</vt:lpstr>
      <vt:lpstr>ROE_Row1</vt:lpstr>
      <vt:lpstr>Row_Cat</vt:lpstr>
      <vt:lpstr>Row_Change</vt:lpstr>
      <vt:lpstr>Row_change1</vt:lpstr>
      <vt:lpstr>Row_exp</vt:lpstr>
      <vt:lpstr>Row_Exp1</vt:lpstr>
      <vt:lpstr>Row_Ise2</vt:lpstr>
      <vt:lpstr>Row_Year</vt:lpstr>
      <vt:lpstr>Row_Year1</vt:lpstr>
      <vt:lpstr>std_row</vt:lpstr>
      <vt:lpstr>Total_I_NPM</vt:lpstr>
      <vt:lpstr>total_M_NPM</vt:lpstr>
      <vt:lpstr>total_roe_I</vt:lpstr>
      <vt:lpstr>total_roe_M</vt:lpstr>
      <vt:lpstr>TotalAssets</vt:lpstr>
      <vt:lpstr>TotalCI_Loss</vt:lpstr>
      <vt:lpstr>TotalLiabilities</vt:lpstr>
      <vt:lpstr>users</vt:lpstr>
      <vt:lpstr>Year</vt:lpstr>
      <vt:lpstr>Year_Choosen1</vt:lpstr>
      <vt:lpstr>Year_Chosen</vt:lpstr>
      <vt:lpstr>Year_chosen1</vt:lpstr>
      <vt:lpstr>year_row</vt:lpstr>
      <vt:lpstr>Year_Roww</vt:lpstr>
      <vt:lpstr>Year1</vt:lpstr>
      <vt:lpstr>Year2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 You Hua</dc:creator>
  <cp:lastModifiedBy>Pris</cp:lastModifiedBy>
  <dcterms:created xsi:type="dcterms:W3CDTF">2018-02-07T10:36:05Z</dcterms:created>
  <dcterms:modified xsi:type="dcterms:W3CDTF">2022-08-31T10:50:34Z</dcterms:modified>
</cp:coreProperties>
</file>