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Автоматизированный расчет" sheetId="1" r:id="rId1"/>
    <sheet name="Соответствие" sheetId="2" r:id="rId2"/>
    <sheet name="SummaryReport" sheetId="3" r:id="rId3"/>
    <sheet name="Результаты всех тестов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N2" authorId="0">
      <text>
        <r>
          <rPr>
            <sz val="10"/>
            <rFont val="SimSun"/>
            <charset val="134"/>
          </rPr>
          <t>======
ID#AAABT0kpuO8
Microsoft Office User    (2024-10-16 19:01:30)
Duration - заполняется на основе данных после выполнения итерации соотвествующего скрипта в Vugen'е</t>
        </r>
      </text>
    </comment>
    <comment ref="R2" authorId="0">
      <text>
        <r>
          <rPr>
            <sz val="10"/>
            <rFont val="SimSun"/>
            <charset val="134"/>
          </rPr>
          <t>======
ID#AAABT0kpuPA
Microsoft Office User    (2024-10-16 19:01:30)
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>
      <text>
        <r>
          <rPr>
            <sz val="10"/>
            <rFont val="SimSun"/>
            <charset val="134"/>
          </rPr>
          <t>======
ID#AAABT0kpuO0
Microsoft Office User    (2024-10-16 19:01:30)
1. Отображение состояния скриптов
2. Расчёт интенсивности
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<sst xmlns="http://schemas.openxmlformats.org/spreadsheetml/2006/main" count="319" uniqueCount="110">
  <si>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</si>
  <si>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</si>
  <si>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</si>
  <si>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</si>
  <si>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</si>
  <si>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</si>
  <si>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</si>
  <si>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</si>
  <si>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</si>
  <si>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</si>
  <si>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</si>
  <si>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</si>
  <si>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Think_time</t>
  </si>
  <si>
    <t>Pacing</t>
  </si>
  <si>
    <t>% Распределения пользователей</t>
  </si>
  <si>
    <t>Jmeter, throughput per minute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</si>
  <si>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</si>
  <si>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</si>
  <si>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</si>
  <si>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</si>
  <si>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</si>
  <si>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</si>
  <si>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</si>
  <si>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</si>
  <si>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</si>
  <si>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</si>
  <si>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новых пользователей</t>
  </si>
  <si>
    <t xml:space="preserve">Заполнение полей для поиска билета </t>
  </si>
  <si>
    <t>Поиск билета без покупки</t>
  </si>
  <si>
    <t>Ознакомление с путевым листом</t>
  </si>
  <si>
    <t>Оплата билета</t>
  </si>
  <si>
    <t>Заполнение полей регистарции</t>
  </si>
  <si>
    <t>Логин</t>
  </si>
  <si>
    <t xml:space="preserve">Отмена бронирования </t>
  </si>
  <si>
    <t>Переход на следуюущий эран после регистарции</t>
  </si>
  <si>
    <t>Просмотр квитанций</t>
  </si>
  <si>
    <t>Перход на страницу регистрации</t>
  </si>
  <si>
    <t>Общий итог</t>
  </si>
  <si>
    <t>Статистика с ПРОДа</t>
  </si>
  <si>
    <t>Профиль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</si>
  <si>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</si>
  <si>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</si>
  <si>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</si>
  <si>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</si>
  <si>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</si>
  <si>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</si>
  <si>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</si>
  <si>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</si>
  <si>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</si>
  <si>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Имя в статистике</t>
  </si>
  <si>
    <t>Имя в скрипте</t>
  </si>
  <si>
    <t>HomePage</t>
  </si>
  <si>
    <t>Login</t>
  </si>
  <si>
    <t>FlightsPage</t>
  </si>
  <si>
    <t>FindFlight</t>
  </si>
  <si>
    <t>ChooseFlight</t>
  </si>
  <si>
    <t>FillThePaymentDetails</t>
  </si>
  <si>
    <t>Itinerary</t>
  </si>
  <si>
    <t>CancelReservation</t>
  </si>
  <si>
    <t>SignOff</t>
  </si>
  <si>
    <t>SignUp</t>
  </si>
  <si>
    <t>FillTheregistrationForm</t>
  </si>
  <si>
    <t>Continue</t>
  </si>
  <si>
    <t>Transaction Name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</si>
  <si>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</si>
  <si>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</si>
  <si>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</si>
  <si>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</si>
  <si>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</si>
  <si>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</si>
  <si>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</si>
  <si>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</si>
  <si>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r>
      <rPr>
        <u/>
        <sz val="11"/>
        <color rgb="FF1155CC"/>
        <rFont val="Arial"/>
        <charset val="134"/>
      </rPr>
      <t>Action_Transaction</t>
    </r>
  </si>
  <si>
    <r>
      <rPr>
        <u/>
        <sz val="11"/>
        <color rgb="FF1155CC"/>
        <rFont val="Arial"/>
        <charset val="134"/>
      </rPr>
      <t>CancelReservation</t>
    </r>
  </si>
  <si>
    <r>
      <rPr>
        <u/>
        <sz val="11"/>
        <color rgb="FF1155CC"/>
        <rFont val="Arial"/>
        <charset val="134"/>
      </rPr>
      <t>ChooseFlight</t>
    </r>
  </si>
  <si>
    <r>
      <rPr>
        <u/>
        <sz val="11"/>
        <color rgb="FF1155CC"/>
        <rFont val="Arial"/>
        <charset val="134"/>
      </rPr>
      <t>Continue</t>
    </r>
  </si>
  <si>
    <r>
      <rPr>
        <u/>
        <sz val="11"/>
        <color rgb="FF1155CC"/>
        <rFont val="Arial"/>
        <charset val="134"/>
      </rPr>
      <t>FillThePaymentDetails</t>
    </r>
  </si>
  <si>
    <r>
      <rPr>
        <u/>
        <sz val="11"/>
        <color rgb="FF1155CC"/>
        <rFont val="Arial"/>
        <charset val="134"/>
      </rPr>
      <t>FillTheRegistrationForm</t>
    </r>
  </si>
  <si>
    <r>
      <rPr>
        <u/>
        <sz val="11"/>
        <color rgb="FF1155CC"/>
        <rFont val="Arial"/>
        <charset val="134"/>
      </rPr>
      <t>FindFlight</t>
    </r>
  </si>
  <si>
    <r>
      <rPr>
        <u/>
        <sz val="11"/>
        <color rgb="FF1155CC"/>
        <rFont val="Arial"/>
        <charset val="134"/>
      </rPr>
      <t>FlightsPage</t>
    </r>
  </si>
  <si>
    <r>
      <rPr>
        <u/>
        <sz val="11"/>
        <color rgb="FF1155CC"/>
        <rFont val="Arial"/>
        <charset val="134"/>
      </rPr>
      <t>HomePage</t>
    </r>
  </si>
  <si>
    <r>
      <rPr>
        <u/>
        <sz val="11"/>
        <color rgb="FF1155CC"/>
        <rFont val="Arial"/>
        <charset val="134"/>
      </rPr>
      <t>Itinerary</t>
    </r>
  </si>
  <si>
    <r>
      <rPr>
        <u/>
        <sz val="11"/>
        <color rgb="FF1155CC"/>
        <rFont val="Arial"/>
        <charset val="134"/>
      </rPr>
      <t>Login</t>
    </r>
  </si>
  <si>
    <r>
      <rPr>
        <u/>
        <sz val="11"/>
        <color rgb="FF1155CC"/>
        <rFont val="Arial"/>
        <charset val="134"/>
      </rPr>
      <t>SignOff</t>
    </r>
  </si>
  <si>
    <r>
      <rPr>
        <u/>
        <sz val="11"/>
        <color rgb="FF1155CC"/>
        <rFont val="Arial"/>
        <charset val="134"/>
      </rPr>
      <t>SignUp</t>
    </r>
  </si>
  <si>
    <r>
      <rPr>
        <u/>
        <sz val="11"/>
        <color rgb="FF1155CC"/>
        <rFont val="Arial"/>
        <charset val="134"/>
      </rPr>
      <t>UC02_SearchForTicketWithNoPayment</t>
    </r>
  </si>
  <si>
    <r>
      <rPr>
        <u/>
        <sz val="11"/>
        <color rgb="FF1155CC"/>
        <rFont val="Arial"/>
        <charset val="134"/>
      </rPr>
      <t>UC03_TicketBooking</t>
    </r>
  </si>
  <si>
    <r>
      <rPr>
        <u/>
        <sz val="11"/>
        <color rgb="FF1155CC"/>
        <rFont val="Arial"/>
        <charset val="134"/>
      </rPr>
      <t>UC04_ItinenaryChecking</t>
    </r>
  </si>
  <si>
    <r>
      <rPr>
        <u/>
        <sz val="11"/>
        <color rgb="FF1155CC"/>
        <rFont val="Arial"/>
        <charset val="134"/>
      </rPr>
      <t>UC05_ReservationCancel</t>
    </r>
  </si>
  <si>
    <r>
      <rPr>
        <u/>
        <sz val="11"/>
        <color rgb="FF1155CC"/>
        <rFont val="Arial"/>
        <charset val="134"/>
      </rPr>
      <t>UC06_Registration</t>
    </r>
  </si>
  <si>
    <t>Профиль для 10 пользавотелей(отладочный тест)</t>
  </si>
  <si>
    <t>Профиль для 10 пользавотелей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</si>
  <si>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</si>
  <si>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</si>
  <si>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</si>
  <si>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</si>
  <si>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</si>
  <si>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</si>
  <si>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Заполнение полей для поиска билета</t>
  </si>
  <si>
    <t>fing_flight</t>
  </si>
  <si>
    <t>Выбор рейса из найденных</t>
  </si>
  <si>
    <t>select_ticket</t>
  </si>
  <si>
    <t>payment_details</t>
  </si>
  <si>
    <t>Просмотр квитанции</t>
  </si>
  <si>
    <t>Check_ticket</t>
  </si>
  <si>
    <t>Отмена бронирования билета</t>
  </si>
  <si>
    <t>Cancel_reservation</t>
  </si>
  <si>
    <t>logout</t>
  </si>
  <si>
    <t>Поиск максимума 3 ступень</t>
  </si>
  <si>
    <t>Подтверждение максимума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</si>
</sst>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1"/>
      <color theme="1"/>
      <name val="Calibri"/>
      <charset val="134"/>
    </font>
    <font>
      <sz val="11"/>
      <color rgb="FF212529"/>
      <name val="Arial"/>
      <charset val="134"/>
    </font>
    <font>
      <b/>
      <sz val="11"/>
      <color rgb="FF6C6C6C"/>
      <name val="Arial"/>
      <charset val="134"/>
    </font>
    <font>
      <u/>
      <sz val="11"/>
      <color rgb="FF0000FF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4"/>
      <color theme="1"/>
      <name val="Calibri"/>
      <charset val="134"/>
    </font>
    <font>
      <sz val="14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BFBFBF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1155CC"/>
      <name val="Arial"/>
      <charset val="134"/>
    </font>
    <font>
      <sz val="10"/>
      <name val="SimSun"/>
      <charset val="134"/>
    </font>
  </fonts>
  <fills count="44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EE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3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36" applyNumberFormat="0" applyAlignment="0" applyProtection="0">
      <alignment vertical="center"/>
    </xf>
    <xf numFmtId="0" fontId="24" fillId="15" borderId="37" applyNumberFormat="0" applyAlignment="0" applyProtection="0">
      <alignment vertical="center"/>
    </xf>
    <xf numFmtId="0" fontId="25" fillId="15" borderId="36" applyNumberFormat="0" applyAlignment="0" applyProtection="0">
      <alignment vertical="center"/>
    </xf>
    <xf numFmtId="0" fontId="26" fillId="16" borderId="38" applyNumberFormat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</cellStyleXfs>
  <cellXfs count="99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3" fillId="3" borderId="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0" borderId="2" xfId="0" applyFont="1" applyBorder="1"/>
    <xf numFmtId="0" fontId="3" fillId="3" borderId="2" xfId="0" applyFont="1" applyFill="1" applyBorder="1" applyAlignment="1">
      <alignment horizontal="center" vertical="top" wrapText="1"/>
    </xf>
    <xf numFmtId="0" fontId="1" fillId="0" borderId="2" xfId="0" applyFont="1" applyBorder="1" applyAlignment="1"/>
    <xf numFmtId="0" fontId="0" fillId="0" borderId="2" xfId="0" applyFont="1" applyBorder="1" applyAlignment="1"/>
    <xf numFmtId="10" fontId="0" fillId="0" borderId="2" xfId="0" applyNumberFormat="1" applyFont="1" applyBorder="1" applyAlignment="1"/>
    <xf numFmtId="10" fontId="3" fillId="0" borderId="2" xfId="0" applyNumberFormat="1" applyFont="1" applyBorder="1" applyAlignment="1">
      <alignment horizontal="center" vertical="top"/>
    </xf>
    <xf numFmtId="0" fontId="0" fillId="0" borderId="0" xfId="0" applyNumberFormat="1" applyFont="1" applyAlignment="1"/>
    <xf numFmtId="10" fontId="3" fillId="0" borderId="2" xfId="0" applyNumberFormat="1" applyFont="1" applyBorder="1" applyAlignment="1">
      <alignment horizontal="left" vertical="top"/>
    </xf>
    <xf numFmtId="0" fontId="6" fillId="4" borderId="0" xfId="0" applyFont="1" applyFill="1" applyAlignment="1">
      <alignment horizontal="center"/>
    </xf>
    <xf numFmtId="0" fontId="1" fillId="0" borderId="0" xfId="0" applyNumberFormat="1" applyFont="1"/>
    <xf numFmtId="0" fontId="1" fillId="4" borderId="2" xfId="0" applyFont="1" applyFill="1" applyBorder="1" applyAlignment="1">
      <alignment horizontal="center"/>
    </xf>
    <xf numFmtId="0" fontId="7" fillId="4" borderId="0" xfId="0" applyFont="1" applyFill="1" applyAlignment="1"/>
    <xf numFmtId="0" fontId="7" fillId="4" borderId="0" xfId="0" applyFont="1" applyFill="1" applyAlignment="1">
      <alignment horizontal="center"/>
    </xf>
    <xf numFmtId="0" fontId="8" fillId="0" borderId="6" xfId="0" applyFont="1" applyBorder="1" applyAlignment="1"/>
    <xf numFmtId="0" fontId="6" fillId="4" borderId="6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" fillId="5" borderId="2" xfId="0" applyFont="1" applyFill="1" applyBorder="1"/>
    <xf numFmtId="0" fontId="0" fillId="0" borderId="0" xfId="0" applyFont="1"/>
    <xf numFmtId="0" fontId="1" fillId="6" borderId="2" xfId="0" applyFont="1" applyFill="1" applyBorder="1"/>
    <xf numFmtId="0" fontId="1" fillId="6" borderId="3" xfId="0" applyFont="1" applyFill="1" applyBorder="1"/>
    <xf numFmtId="0" fontId="1" fillId="0" borderId="7" xfId="0" applyFont="1" applyBorder="1"/>
    <xf numFmtId="1" fontId="0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8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 applyAlignment="1"/>
    <xf numFmtId="0" fontId="1" fillId="0" borderId="11" xfId="0" applyFont="1" applyBorder="1"/>
    <xf numFmtId="0" fontId="1" fillId="0" borderId="12" xfId="0" applyFont="1" applyBorder="1"/>
    <xf numFmtId="0" fontId="1" fillId="6" borderId="2" xfId="0" applyFont="1" applyFill="1" applyBorder="1" applyAlignment="1"/>
    <xf numFmtId="0" fontId="1" fillId="0" borderId="13" xfId="0" applyFont="1" applyBorder="1"/>
    <xf numFmtId="0" fontId="1" fillId="6" borderId="10" xfId="0" applyFont="1" applyFill="1" applyBorder="1" applyAlignment="1"/>
    <xf numFmtId="0" fontId="1" fillId="0" borderId="14" xfId="0" applyFont="1" applyBorder="1"/>
    <xf numFmtId="0" fontId="1" fillId="7" borderId="15" xfId="0" applyFont="1" applyFill="1" applyBorder="1" applyAlignment="1">
      <alignment horizontal="center"/>
    </xf>
    <xf numFmtId="0" fontId="2" fillId="0" borderId="16" xfId="0" applyFont="1" applyBorder="1"/>
    <xf numFmtId="0" fontId="1" fillId="7" borderId="17" xfId="0" applyFont="1" applyFill="1" applyBorder="1" applyAlignment="1">
      <alignment horizontal="center"/>
    </xf>
    <xf numFmtId="0" fontId="2" fillId="0" borderId="11" xfId="0" applyFont="1" applyBorder="1"/>
    <xf numFmtId="0" fontId="11" fillId="5" borderId="18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wrapText="1"/>
    </xf>
    <xf numFmtId="0" fontId="12" fillId="5" borderId="3" xfId="0" applyFont="1" applyFill="1" applyBorder="1" applyAlignment="1">
      <alignment horizontal="center" vertical="center" wrapText="1"/>
    </xf>
    <xf numFmtId="1" fontId="1" fillId="0" borderId="2" xfId="0" applyNumberFormat="1" applyFont="1" applyBorder="1"/>
    <xf numFmtId="9" fontId="1" fillId="0" borderId="2" xfId="0" applyNumberFormat="1" applyFont="1" applyBorder="1"/>
    <xf numFmtId="9" fontId="1" fillId="0" borderId="0" xfId="0" applyNumberFormat="1" applyFont="1"/>
    <xf numFmtId="1" fontId="1" fillId="8" borderId="2" xfId="0" applyNumberFormat="1" applyFont="1" applyFill="1" applyBorder="1"/>
    <xf numFmtId="0" fontId="12" fillId="5" borderId="18" xfId="0" applyFont="1" applyFill="1" applyBorder="1" applyAlignment="1">
      <alignment horizontal="left" vertical="center" wrapText="1"/>
    </xf>
    <xf numFmtId="0" fontId="12" fillId="9" borderId="18" xfId="0" applyFont="1" applyFill="1" applyBorder="1" applyAlignment="1">
      <alignment horizontal="left" vertical="center" wrapText="1"/>
    </xf>
    <xf numFmtId="0" fontId="13" fillId="5" borderId="19" xfId="0" applyFont="1" applyFill="1" applyBorder="1" applyAlignment="1">
      <alignment horizontal="left" vertical="center" wrapText="1"/>
    </xf>
    <xf numFmtId="0" fontId="12" fillId="5" borderId="20" xfId="0" applyFont="1" applyFill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1" fillId="0" borderId="17" xfId="0" applyFont="1" applyBorder="1"/>
    <xf numFmtId="0" fontId="1" fillId="0" borderId="21" xfId="0" applyFont="1" applyBorder="1"/>
    <xf numFmtId="0" fontId="1" fillId="0" borderId="21" xfId="0" applyFont="1" applyBorder="1" applyAlignment="1">
      <alignment horizont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1" fillId="0" borderId="24" xfId="0" applyFont="1" applyBorder="1"/>
    <xf numFmtId="0" fontId="1" fillId="10" borderId="2" xfId="0" applyFont="1" applyFill="1" applyBorder="1" applyAlignment="1"/>
    <xf numFmtId="1" fontId="1" fillId="10" borderId="2" xfId="0" applyNumberFormat="1" applyFont="1" applyFill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1" fontId="1" fillId="10" borderId="2" xfId="0" applyNumberFormat="1" applyFont="1" applyFill="1" applyBorder="1"/>
    <xf numFmtId="1" fontId="1" fillId="10" borderId="9" xfId="0" applyNumberFormat="1" applyFont="1" applyFill="1" applyBorder="1" applyAlignment="1"/>
    <xf numFmtId="0" fontId="1" fillId="0" borderId="27" xfId="0" applyFont="1" applyBorder="1"/>
    <xf numFmtId="0" fontId="1" fillId="0" borderId="28" xfId="0" applyFont="1" applyBorder="1"/>
    <xf numFmtId="0" fontId="0" fillId="0" borderId="29" xfId="0" applyFont="1" applyBorder="1" applyAlignment="1"/>
    <xf numFmtId="0" fontId="0" fillId="0" borderId="30" xfId="0" applyFont="1" applyBorder="1" applyAlignment="1"/>
    <xf numFmtId="9" fontId="1" fillId="11" borderId="2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31" xfId="0" applyFont="1" applyBorder="1"/>
    <xf numFmtId="0" fontId="1" fillId="12" borderId="21" xfId="0" applyFont="1" applyFill="1" applyBorder="1"/>
    <xf numFmtId="0" fontId="14" fillId="0" borderId="21" xfId="0" applyFont="1" applyBorder="1"/>
    <xf numFmtId="1" fontId="1" fillId="9" borderId="2" xfId="0" applyNumberFormat="1" applyFont="1" applyFill="1" applyBorder="1"/>
    <xf numFmtId="0" fontId="1" fillId="9" borderId="3" xfId="0" applyFont="1" applyFill="1" applyBorder="1" applyAlignment="1"/>
    <xf numFmtId="2" fontId="1" fillId="12" borderId="2" xfId="0" applyNumberFormat="1" applyFont="1" applyFill="1" applyBorder="1"/>
    <xf numFmtId="0" fontId="14" fillId="0" borderId="0" xfId="0" applyFont="1"/>
    <xf numFmtId="1" fontId="14" fillId="0" borderId="0" xfId="0" applyNumberFormat="1" applyFont="1"/>
    <xf numFmtId="9" fontId="1" fillId="0" borderId="32" xfId="0" applyNumberFormat="1" applyFont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92.757337963" refreshedBy="Алсу" recordCount="32">
  <cacheSource type="worksheet">
    <worksheetSource ref="A1:H33" sheet="Автоматизированный расчет"/>
  </cacheSource>
  <cacheFields count="8">
    <cacheField name="Script name" numFmtId="0">
      <sharedItems count="6">
        <s v="Покупка билета"/>
        <s v="Удаление бронирования "/>
        <s v="Регистрация новых пользователей"/>
        <s v="Логин"/>
        <s v="Поиск билета без покупки"/>
        <s v="Ознакомление с путевым листом"/>
      </sharedItems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 count="2">
        <n v="1"/>
        <n v="0"/>
      </sharedItems>
    </cacheField>
    <cacheField name="VU" numFmtId="0">
      <sharedItems containsSemiMixedTypes="0" containsString="0" containsNumber="1" containsInteger="1" minValue="1" maxValue="3" count="3">
        <n v="3"/>
        <n v="1"/>
        <n v="2"/>
      </sharedItems>
    </cacheField>
    <cacheField name="pacing" numFmtId="1">
      <sharedItems containsSemiMixedTypes="0" containsString="0" containsNumber="1" minValue="48.60038" maxValue="481.359" count="6">
        <n v="63.3618"/>
        <n v="48.60038"/>
        <n v="77.79361"/>
        <n v="481.359"/>
        <n v="60.929114"/>
        <n v="50.78773"/>
      </sharedItems>
    </cacheField>
    <cacheField name="одним пользователем в минуту" numFmtId="2">
      <sharedItems containsSemiMixedTypes="0" containsString="0" containsNumber="1" minValue="0" maxValue="1.23455824830999" count="7">
        <n v="0.946942795185743"/>
        <n v="1.23455824830999"/>
        <n v="0.771271573590684"/>
        <n v="0.124647092918175"/>
        <n v="0.984750902499583"/>
        <n v="0"/>
        <n v="1.18138770919669"/>
      </sharedItems>
    </cacheField>
    <cacheField name="Длительность ступени" numFmtId="0">
      <sharedItems containsSemiMixedTypes="0" containsString="0" containsNumber="1" containsInteger="1" minValue="20" maxValue="20" count="1">
        <n v="20"/>
      </sharedItems>
    </cacheField>
    <cacheField name="Итого" numFmtId="1">
      <sharedItems containsSemiMixedTypes="0" containsString="0" containsNumber="1" minValue="0" maxValue="56.8165677111446" count="7">
        <n v="56.8165677111446"/>
        <n v="24.6911649661999"/>
        <n v="30.8508629436274"/>
        <n v="2.49294185836351"/>
        <n v="39.3900360999833"/>
        <n v="0"/>
        <n v="23.627754183933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  <x v="0"/>
  </r>
  <r>
    <x v="0"/>
    <x v="1"/>
    <x v="0"/>
    <x v="0"/>
    <x v="0"/>
    <x v="0"/>
    <x v="0"/>
    <x v="0"/>
  </r>
  <r>
    <x v="0"/>
    <x v="2"/>
    <x v="0"/>
    <x v="0"/>
    <x v="0"/>
    <x v="0"/>
    <x v="0"/>
    <x v="0"/>
  </r>
  <r>
    <x v="0"/>
    <x v="3"/>
    <x v="0"/>
    <x v="0"/>
    <x v="0"/>
    <x v="0"/>
    <x v="0"/>
    <x v="0"/>
  </r>
  <r>
    <x v="0"/>
    <x v="4"/>
    <x v="0"/>
    <x v="0"/>
    <x v="0"/>
    <x v="0"/>
    <x v="0"/>
    <x v="0"/>
  </r>
  <r>
    <x v="0"/>
    <x v="5"/>
    <x v="0"/>
    <x v="0"/>
    <x v="0"/>
    <x v="0"/>
    <x v="0"/>
    <x v="0"/>
  </r>
  <r>
    <x v="0"/>
    <x v="6"/>
    <x v="0"/>
    <x v="0"/>
    <x v="0"/>
    <x v="0"/>
    <x v="0"/>
    <x v="0"/>
  </r>
  <r>
    <x v="1"/>
    <x v="0"/>
    <x v="0"/>
    <x v="1"/>
    <x v="1"/>
    <x v="1"/>
    <x v="0"/>
    <x v="1"/>
  </r>
  <r>
    <x v="1"/>
    <x v="1"/>
    <x v="0"/>
    <x v="1"/>
    <x v="1"/>
    <x v="1"/>
    <x v="0"/>
    <x v="1"/>
  </r>
  <r>
    <x v="1"/>
    <x v="7"/>
    <x v="0"/>
    <x v="1"/>
    <x v="1"/>
    <x v="1"/>
    <x v="0"/>
    <x v="1"/>
  </r>
  <r>
    <x v="1"/>
    <x v="8"/>
    <x v="0"/>
    <x v="1"/>
    <x v="1"/>
    <x v="1"/>
    <x v="0"/>
    <x v="1"/>
  </r>
  <r>
    <x v="1"/>
    <x v="6"/>
    <x v="0"/>
    <x v="1"/>
    <x v="1"/>
    <x v="1"/>
    <x v="0"/>
    <x v="1"/>
  </r>
  <r>
    <x v="2"/>
    <x v="0"/>
    <x v="0"/>
    <x v="2"/>
    <x v="2"/>
    <x v="2"/>
    <x v="0"/>
    <x v="2"/>
  </r>
  <r>
    <x v="2"/>
    <x v="9"/>
    <x v="0"/>
    <x v="2"/>
    <x v="2"/>
    <x v="2"/>
    <x v="0"/>
    <x v="2"/>
  </r>
  <r>
    <x v="2"/>
    <x v="10"/>
    <x v="0"/>
    <x v="2"/>
    <x v="2"/>
    <x v="2"/>
    <x v="0"/>
    <x v="2"/>
  </r>
  <r>
    <x v="2"/>
    <x v="11"/>
    <x v="0"/>
    <x v="2"/>
    <x v="2"/>
    <x v="2"/>
    <x v="0"/>
    <x v="2"/>
  </r>
  <r>
    <x v="2"/>
    <x v="6"/>
    <x v="0"/>
    <x v="2"/>
    <x v="2"/>
    <x v="2"/>
    <x v="0"/>
    <x v="2"/>
  </r>
  <r>
    <x v="3"/>
    <x v="0"/>
    <x v="0"/>
    <x v="1"/>
    <x v="3"/>
    <x v="3"/>
    <x v="0"/>
    <x v="3"/>
  </r>
  <r>
    <x v="3"/>
    <x v="1"/>
    <x v="0"/>
    <x v="1"/>
    <x v="3"/>
    <x v="3"/>
    <x v="0"/>
    <x v="3"/>
  </r>
  <r>
    <x v="3"/>
    <x v="7"/>
    <x v="0"/>
    <x v="1"/>
    <x v="3"/>
    <x v="3"/>
    <x v="0"/>
    <x v="3"/>
  </r>
  <r>
    <x v="3"/>
    <x v="6"/>
    <x v="0"/>
    <x v="1"/>
    <x v="3"/>
    <x v="3"/>
    <x v="0"/>
    <x v="3"/>
  </r>
  <r>
    <x v="4"/>
    <x v="0"/>
    <x v="0"/>
    <x v="2"/>
    <x v="4"/>
    <x v="4"/>
    <x v="0"/>
    <x v="4"/>
  </r>
  <r>
    <x v="4"/>
    <x v="1"/>
    <x v="0"/>
    <x v="2"/>
    <x v="4"/>
    <x v="4"/>
    <x v="0"/>
    <x v="4"/>
  </r>
  <r>
    <x v="4"/>
    <x v="2"/>
    <x v="0"/>
    <x v="2"/>
    <x v="4"/>
    <x v="4"/>
    <x v="0"/>
    <x v="4"/>
  </r>
  <r>
    <x v="4"/>
    <x v="3"/>
    <x v="0"/>
    <x v="2"/>
    <x v="4"/>
    <x v="4"/>
    <x v="0"/>
    <x v="4"/>
  </r>
  <r>
    <x v="4"/>
    <x v="4"/>
    <x v="0"/>
    <x v="2"/>
    <x v="4"/>
    <x v="4"/>
    <x v="0"/>
    <x v="4"/>
  </r>
  <r>
    <x v="4"/>
    <x v="7"/>
    <x v="0"/>
    <x v="2"/>
    <x v="4"/>
    <x v="4"/>
    <x v="0"/>
    <x v="4"/>
  </r>
  <r>
    <x v="4"/>
    <x v="6"/>
    <x v="1"/>
    <x v="2"/>
    <x v="4"/>
    <x v="5"/>
    <x v="0"/>
    <x v="5"/>
  </r>
  <r>
    <x v="5"/>
    <x v="0"/>
    <x v="0"/>
    <x v="1"/>
    <x v="5"/>
    <x v="6"/>
    <x v="0"/>
    <x v="6"/>
  </r>
  <r>
    <x v="5"/>
    <x v="1"/>
    <x v="0"/>
    <x v="1"/>
    <x v="5"/>
    <x v="6"/>
    <x v="0"/>
    <x v="6"/>
  </r>
  <r>
    <x v="5"/>
    <x v="7"/>
    <x v="0"/>
    <x v="1"/>
    <x v="5"/>
    <x v="6"/>
    <x v="0"/>
    <x v="6"/>
  </r>
  <r>
    <x v="5"/>
    <x v="6"/>
    <x v="1"/>
    <x v="1"/>
    <x v="5"/>
    <x v="5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autoFormatId="1" applyNumberFormats="0" applyBorderFormats="0" applyFontFormats="0" applyPatternFormats="0" applyAlignmentFormats="0" applyWidthHeightFormats="1" dataCaption="" updatedVersion="5" compact="0" compactData="0" showDrill="1">
  <location ref="I1:J14" firstHeaderRow="1" firstDataRow="1" firstDataCol="1"/>
  <pivotFields count="8">
    <pivotField compact="0" outline="0" multipleItemSelectionAllowed="1" showAll="0">
      <items count="7">
        <item x="3"/>
        <item x="5"/>
        <item x="4"/>
        <item x="0"/>
        <item x="2"/>
        <item x="1"/>
        <item t="default"/>
      </items>
    </pivotField>
    <pivotField axis="axisRow" compact="0" outline="0" multipleItemSelectionAllowed="1" showAll="0">
      <items count="13">
        <item x="1"/>
        <item x="4"/>
        <item x="6"/>
        <item x="0"/>
        <item x="3"/>
        <item x="10"/>
        <item x="5"/>
        <item x="8"/>
        <item x="11"/>
        <item x="2"/>
        <item x="9"/>
        <item x="7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numFmtId="1" showAll="0"/>
    <pivotField compact="0" outline="0" multipleItemSelectionAllowed="1" numFmtId="2" showAll="0"/>
    <pivotField compact="0" outline="0" multipleItemSelectionAllowed="1" showAll="0"/>
    <pivotField dataField="1" compact="0" outline="0" multipleItemSelectionAllowed="1" numFmtId="1" showAll="0">
      <items count="8">
        <item x="5"/>
        <item x="3"/>
        <item x="6"/>
        <item x="1"/>
        <item x="2"/>
        <item x="4"/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tabSelected="1" topLeftCell="A34" workbookViewId="0">
      <selection activeCell="B42" sqref="B42"/>
    </sheetView>
  </sheetViews>
  <sheetFormatPr defaultColWidth="14.4259259259259" defaultRowHeight="15" customHeight="1"/>
  <cols>
    <col min="1" max="1" width="31.712962962963" customWidth="1"/>
    <col min="2" max="2" width="31.4259259259259" customWidth="1"/>
    <col min="3" max="3" width="18.1388888888889" customWidth="1"/>
    <col min="4" max="4" width="17.8611111111111" customWidth="1"/>
    <col min="5" max="5" width="19.1388888888889" customWidth="1"/>
    <col min="6" max="6" width="28.287037037037" customWidth="1"/>
    <col min="7" max="7" width="18.712962962963" customWidth="1"/>
    <col min="8" max="8" width="17" customWidth="1"/>
    <col min="9" max="9" width="41.287037037037" customWidth="1"/>
    <col min="10" max="10" width="19" customWidth="1"/>
    <col min="11" max="11" width="18.1388888888889" customWidth="1"/>
    <col min="12" max="12" width="26.712962962963" customWidth="1"/>
    <col min="13" max="13" width="35.1388888888889" customWidth="1"/>
    <col min="14" max="14" width="17.8611111111111" customWidth="1"/>
    <col min="15" max="15" width="23.8611111111111" customWidth="1"/>
    <col min="16" max="16" width="23.4259259259259" customWidth="1"/>
    <col min="17" max="17" width="26" customWidth="1"/>
    <col min="18" max="18" width="10.4259259259259" customWidth="1"/>
    <col min="19" max="19" width="34.1388888888889" customWidth="1"/>
    <col min="20" max="20" width="53.712962962963" customWidth="1"/>
    <col min="21" max="26" width="11.4259259259259" customWidth="1"/>
  </cols>
  <sheetData>
    <row r="1" spans="1:23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75" t="s">
        <v>1</v>
      </c>
      <c r="J1" s="76" t="s">
        <v>8</v>
      </c>
      <c r="M1" s="72" t="s">
        <v>9</v>
      </c>
      <c r="N1" s="73" t="s">
        <v>10</v>
      </c>
      <c r="O1" s="73" t="s">
        <v>11</v>
      </c>
      <c r="P1" s="73" t="s">
        <v>12</v>
      </c>
      <c r="Q1" s="73" t="s">
        <v>13</v>
      </c>
      <c r="R1" s="73" t="s">
        <v>3</v>
      </c>
      <c r="S1" s="90" t="s">
        <v>14</v>
      </c>
      <c r="T1" s="91" t="s">
        <v>15</v>
      </c>
      <c r="U1" s="92" t="s">
        <v>16</v>
      </c>
      <c r="V1" s="92" t="s">
        <v>17</v>
      </c>
      <c r="W1" s="47" t="s">
        <v>18</v>
      </c>
    </row>
    <row r="2" spans="1:23">
      <c r="A2" s="37" t="s">
        <v>19</v>
      </c>
      <c r="B2" s="37" t="s">
        <v>20</v>
      </c>
      <c r="C2" s="38">
        <v>1</v>
      </c>
      <c r="D2" s="39">
        <f t="shared" ref="D2:D3" si="0">VLOOKUP(A2,$M$1:$X$8,6,FALSE)</f>
        <v>3</v>
      </c>
      <c r="E2" s="40">
        <f t="shared" ref="E2:E3" si="1">VLOOKUP(A2,$M$1:$X$8,5,FALSE)</f>
        <v>63.3618</v>
      </c>
      <c r="F2" s="41">
        <f t="shared" ref="F2:F33" si="2">60/E2*C2</f>
        <v>0.946942795185743</v>
      </c>
      <c r="G2" s="36">
        <f t="shared" ref="G2:G33" si="3">VLOOKUP(A2,$M$1:$X$8,9,FALSE)</f>
        <v>20</v>
      </c>
      <c r="H2" s="42">
        <f t="shared" ref="H2:H33" si="4">D2*F2*G2</f>
        <v>56.8165677111446</v>
      </c>
      <c r="I2" s="75" t="s">
        <v>21</v>
      </c>
      <c r="J2" s="76">
        <v>147.018464819625</v>
      </c>
      <c r="M2" s="77" t="s">
        <v>19</v>
      </c>
      <c r="N2" s="78">
        <v>0</v>
      </c>
      <c r="O2" s="79">
        <v>31.6809</v>
      </c>
      <c r="P2" s="63">
        <f>O2+N2</f>
        <v>31.6809</v>
      </c>
      <c r="Q2" s="93">
        <f>2*P2</f>
        <v>63.3618</v>
      </c>
      <c r="R2" s="94">
        <v>3</v>
      </c>
      <c r="S2" s="64">
        <f t="shared" ref="S2:S7" si="5">R2/W$2</f>
        <v>0.3</v>
      </c>
      <c r="T2" s="95">
        <f t="shared" ref="T2:T7" si="6">60/(Q2)</f>
        <v>0.946942795185743</v>
      </c>
      <c r="U2" s="96">
        <v>20</v>
      </c>
      <c r="V2" s="97">
        <f t="shared" ref="V2:V6" si="7">ROUND(R2*T2*U2,0)</f>
        <v>57</v>
      </c>
      <c r="W2" s="48">
        <f>SUM(R2:R7)</f>
        <v>10</v>
      </c>
    </row>
    <row r="3" spans="1:23">
      <c r="A3" s="37" t="s">
        <v>19</v>
      </c>
      <c r="B3" s="37" t="s">
        <v>21</v>
      </c>
      <c r="C3" s="38">
        <v>1</v>
      </c>
      <c r="D3" s="43">
        <f t="shared" si="0"/>
        <v>3</v>
      </c>
      <c r="E3" s="40">
        <f t="shared" si="1"/>
        <v>63.3618</v>
      </c>
      <c r="F3" s="41">
        <f t="shared" si="2"/>
        <v>0.946942795185743</v>
      </c>
      <c r="G3" s="36">
        <f t="shared" si="3"/>
        <v>20</v>
      </c>
      <c r="H3" s="42">
        <f t="shared" si="4"/>
        <v>56.8165677111446</v>
      </c>
      <c r="I3" s="80" t="s">
        <v>22</v>
      </c>
      <c r="J3" s="81">
        <v>96.2066038111279</v>
      </c>
      <c r="M3" s="77" t="s">
        <v>23</v>
      </c>
      <c r="N3" s="78">
        <v>0</v>
      </c>
      <c r="O3" s="79">
        <v>21.1306</v>
      </c>
      <c r="P3" s="63">
        <f>N3+O3</f>
        <v>21.1306</v>
      </c>
      <c r="Q3" s="93">
        <f>2.3*P3</f>
        <v>48.60038</v>
      </c>
      <c r="R3" s="94">
        <v>1</v>
      </c>
      <c r="S3" s="64">
        <f t="shared" si="5"/>
        <v>0.1</v>
      </c>
      <c r="T3" s="95">
        <f t="shared" si="6"/>
        <v>1.23455824830999</v>
      </c>
      <c r="U3" s="96">
        <v>20</v>
      </c>
      <c r="V3" s="97">
        <f t="shared" si="7"/>
        <v>25</v>
      </c>
      <c r="W3" s="48"/>
    </row>
    <row r="4" spans="1:23">
      <c r="A4" s="37" t="s">
        <v>19</v>
      </c>
      <c r="B4" s="37" t="s">
        <v>24</v>
      </c>
      <c r="C4" s="38">
        <v>1</v>
      </c>
      <c r="D4" s="43">
        <f t="shared" ref="D4:D5" si="8">VLOOKUP(A5,$M$1:$X$8,6,FALSE)</f>
        <v>3</v>
      </c>
      <c r="E4" s="40">
        <f t="shared" ref="E4:E5" si="9">VLOOKUP(A5,$M$1:$X$8,5,FALSE)</f>
        <v>63.3618</v>
      </c>
      <c r="F4" s="41">
        <f t="shared" si="2"/>
        <v>0.946942795185743</v>
      </c>
      <c r="G4" s="36">
        <f t="shared" si="3"/>
        <v>20</v>
      </c>
      <c r="H4" s="42">
        <f t="shared" si="4"/>
        <v>56.8165677111446</v>
      </c>
      <c r="I4" s="80" t="s">
        <v>25</v>
      </c>
      <c r="J4" s="81">
        <v>114.851537479335</v>
      </c>
      <c r="M4" s="77" t="s">
        <v>26</v>
      </c>
      <c r="N4" s="78">
        <v>0</v>
      </c>
      <c r="O4" s="79">
        <v>21.0253</v>
      </c>
      <c r="P4" s="40">
        <f>O4+N4</f>
        <v>21.0253</v>
      </c>
      <c r="Q4" s="93">
        <f>3.7*P4</f>
        <v>77.79361</v>
      </c>
      <c r="R4" s="94">
        <v>2</v>
      </c>
      <c r="S4" s="64">
        <f t="shared" si="5"/>
        <v>0.2</v>
      </c>
      <c r="T4" s="95">
        <f t="shared" si="6"/>
        <v>0.771271573590684</v>
      </c>
      <c r="U4" s="96">
        <v>20</v>
      </c>
      <c r="V4" s="97">
        <f t="shared" si="7"/>
        <v>31</v>
      </c>
      <c r="W4" s="48"/>
    </row>
    <row r="5" spans="1:23">
      <c r="A5" s="37" t="s">
        <v>19</v>
      </c>
      <c r="B5" s="37" t="s">
        <v>27</v>
      </c>
      <c r="C5" s="38">
        <v>1</v>
      </c>
      <c r="D5" s="43">
        <f t="shared" si="8"/>
        <v>3</v>
      </c>
      <c r="E5" s="40">
        <f t="shared" si="9"/>
        <v>63.3618</v>
      </c>
      <c r="F5" s="41">
        <f t="shared" si="2"/>
        <v>0.946942795185743</v>
      </c>
      <c r="G5" s="36">
        <f t="shared" si="3"/>
        <v>20</v>
      </c>
      <c r="H5" s="42">
        <f t="shared" si="4"/>
        <v>56.8165677111446</v>
      </c>
      <c r="I5" s="80" t="s">
        <v>20</v>
      </c>
      <c r="J5" s="81">
        <v>177.869327763253</v>
      </c>
      <c r="M5" s="77" t="s">
        <v>28</v>
      </c>
      <c r="N5" s="78">
        <v>0</v>
      </c>
      <c r="O5" s="82">
        <f>26.6066</f>
        <v>26.6066</v>
      </c>
      <c r="P5" s="63">
        <f t="shared" ref="P5:P7" si="10">N5+O5</f>
        <v>26.6066</v>
      </c>
      <c r="Q5" s="93">
        <f>2.29*P5</f>
        <v>60.929114</v>
      </c>
      <c r="R5" s="94">
        <v>2</v>
      </c>
      <c r="S5" s="64">
        <f t="shared" si="5"/>
        <v>0.2</v>
      </c>
      <c r="T5" s="95">
        <f t="shared" si="6"/>
        <v>0.984750902499583</v>
      </c>
      <c r="U5" s="96">
        <v>20</v>
      </c>
      <c r="V5" s="97">
        <f t="shared" si="7"/>
        <v>39</v>
      </c>
      <c r="W5" s="48"/>
    </row>
    <row r="6" spans="1:23">
      <c r="A6" s="37" t="s">
        <v>19</v>
      </c>
      <c r="B6" s="37" t="s">
        <v>22</v>
      </c>
      <c r="C6" s="38">
        <v>1</v>
      </c>
      <c r="D6" s="43">
        <f t="shared" ref="D6:D33" si="11">VLOOKUP(A6,$M$1:$X$8,6,FALSE)</f>
        <v>3</v>
      </c>
      <c r="E6" s="40">
        <f t="shared" ref="E6:E33" si="12">VLOOKUP(A6,$M$1:$X$8,5,FALSE)</f>
        <v>63.3618</v>
      </c>
      <c r="F6" s="41">
        <f t="shared" si="2"/>
        <v>0.946942795185743</v>
      </c>
      <c r="G6" s="36">
        <f t="shared" si="3"/>
        <v>20</v>
      </c>
      <c r="H6" s="42">
        <f t="shared" si="4"/>
        <v>56.8165677111446</v>
      </c>
      <c r="I6" s="80" t="s">
        <v>27</v>
      </c>
      <c r="J6" s="81">
        <v>96.2066038111279</v>
      </c>
      <c r="M6" s="77" t="s">
        <v>29</v>
      </c>
      <c r="N6" s="78">
        <v>0</v>
      </c>
      <c r="O6" s="79">
        <v>10.8059</v>
      </c>
      <c r="P6" s="63">
        <f t="shared" si="10"/>
        <v>10.8059</v>
      </c>
      <c r="Q6" s="93">
        <f>4.7*P6</f>
        <v>50.78773</v>
      </c>
      <c r="R6" s="94">
        <v>1</v>
      </c>
      <c r="S6" s="64">
        <f t="shared" si="5"/>
        <v>0.1</v>
      </c>
      <c r="T6" s="95">
        <f t="shared" si="6"/>
        <v>1.18138770919669</v>
      </c>
      <c r="U6" s="96">
        <v>20</v>
      </c>
      <c r="V6" s="97">
        <f t="shared" si="7"/>
        <v>24</v>
      </c>
      <c r="W6" s="48"/>
    </row>
    <row r="7" spans="1:23">
      <c r="A7" s="44" t="s">
        <v>19</v>
      </c>
      <c r="B7" s="37" t="s">
        <v>30</v>
      </c>
      <c r="C7" s="45">
        <v>1</v>
      </c>
      <c r="D7" s="43">
        <f t="shared" si="11"/>
        <v>3</v>
      </c>
      <c r="E7" s="40">
        <f t="shared" si="12"/>
        <v>63.3618</v>
      </c>
      <c r="F7" s="41">
        <f t="shared" si="2"/>
        <v>0.946942795185743</v>
      </c>
      <c r="G7" s="36">
        <f t="shared" si="3"/>
        <v>20</v>
      </c>
      <c r="H7" s="42">
        <f t="shared" si="4"/>
        <v>56.8165677111446</v>
      </c>
      <c r="I7" s="80" t="s">
        <v>31</v>
      </c>
      <c r="J7" s="81">
        <v>30.8508629436274</v>
      </c>
      <c r="M7" s="77" t="s">
        <v>32</v>
      </c>
      <c r="N7" s="78">
        <v>0</v>
      </c>
      <c r="O7" s="83">
        <v>16.0453</v>
      </c>
      <c r="P7" s="63">
        <f t="shared" si="10"/>
        <v>16.0453</v>
      </c>
      <c r="Q7" s="93">
        <f>30*P7</f>
        <v>481.359</v>
      </c>
      <c r="R7" s="94">
        <v>1</v>
      </c>
      <c r="S7" s="64">
        <f t="shared" si="5"/>
        <v>0.1</v>
      </c>
      <c r="T7" s="95">
        <f t="shared" si="6"/>
        <v>0.124647092918175</v>
      </c>
      <c r="U7" s="96">
        <v>20</v>
      </c>
      <c r="V7" s="97">
        <f>SUM(V2:V6)</f>
        <v>176</v>
      </c>
      <c r="W7" s="48"/>
    </row>
    <row r="8" spans="1:23">
      <c r="A8" s="37" t="s">
        <v>19</v>
      </c>
      <c r="B8" s="37" t="s">
        <v>25</v>
      </c>
      <c r="C8" s="46">
        <v>1</v>
      </c>
      <c r="D8" s="43">
        <f t="shared" si="11"/>
        <v>3</v>
      </c>
      <c r="E8" s="40">
        <f t="shared" si="12"/>
        <v>63.3618</v>
      </c>
      <c r="F8" s="41">
        <f t="shared" si="2"/>
        <v>0.946942795185743</v>
      </c>
      <c r="G8" s="36">
        <f t="shared" si="3"/>
        <v>20</v>
      </c>
      <c r="H8" s="42">
        <f t="shared" si="4"/>
        <v>56.8165677111446</v>
      </c>
      <c r="I8" s="80" t="s">
        <v>30</v>
      </c>
      <c r="J8" s="81">
        <v>56.8165677111446</v>
      </c>
      <c r="M8" s="84"/>
      <c r="N8" s="85"/>
      <c r="O8" s="85"/>
      <c r="P8" s="85"/>
      <c r="Q8" s="85"/>
      <c r="R8" s="85"/>
      <c r="S8" s="98">
        <f>SUM(S2:S7)</f>
        <v>1</v>
      </c>
      <c r="T8" s="85"/>
      <c r="U8" s="85"/>
      <c r="V8" s="85"/>
      <c r="W8" s="50"/>
    </row>
    <row r="9" spans="1:10">
      <c r="A9" s="37" t="s">
        <v>23</v>
      </c>
      <c r="B9" s="37" t="s">
        <v>20</v>
      </c>
      <c r="C9" s="37">
        <v>1</v>
      </c>
      <c r="D9" s="47">
        <f t="shared" si="11"/>
        <v>1</v>
      </c>
      <c r="E9" s="42">
        <f t="shared" si="12"/>
        <v>48.60038</v>
      </c>
      <c r="F9" s="41">
        <f t="shared" si="2"/>
        <v>1.23455824830999</v>
      </c>
      <c r="G9" s="36">
        <f t="shared" si="3"/>
        <v>20</v>
      </c>
      <c r="H9" s="42">
        <f t="shared" si="4"/>
        <v>24.6911649661999</v>
      </c>
      <c r="I9" s="80" t="s">
        <v>33</v>
      </c>
      <c r="J9" s="81">
        <v>24.6911649661999</v>
      </c>
    </row>
    <row r="10" spans="1:10">
      <c r="A10" s="37" t="s">
        <v>23</v>
      </c>
      <c r="B10" s="37" t="s">
        <v>21</v>
      </c>
      <c r="C10" s="37">
        <v>1</v>
      </c>
      <c r="D10" s="48">
        <f t="shared" si="11"/>
        <v>1</v>
      </c>
      <c r="E10" s="42">
        <f t="shared" si="12"/>
        <v>48.60038</v>
      </c>
      <c r="F10" s="41">
        <f t="shared" si="2"/>
        <v>1.23455824830999</v>
      </c>
      <c r="G10" s="36">
        <f t="shared" si="3"/>
        <v>20</v>
      </c>
      <c r="H10" s="42">
        <f t="shared" si="4"/>
        <v>24.6911649661999</v>
      </c>
      <c r="I10" s="80" t="s">
        <v>34</v>
      </c>
      <c r="J10" s="81">
        <v>30.8508629436274</v>
      </c>
    </row>
    <row r="11" spans="1:10">
      <c r="A11" s="37" t="s">
        <v>23</v>
      </c>
      <c r="B11" s="37" t="s">
        <v>35</v>
      </c>
      <c r="C11" s="37">
        <v>1</v>
      </c>
      <c r="D11" s="48">
        <f t="shared" si="11"/>
        <v>1</v>
      </c>
      <c r="E11" s="42">
        <f t="shared" si="12"/>
        <v>48.60038</v>
      </c>
      <c r="F11" s="41">
        <f t="shared" si="2"/>
        <v>1.23455824830999</v>
      </c>
      <c r="G11" s="36">
        <f t="shared" si="3"/>
        <v>20</v>
      </c>
      <c r="H11" s="42">
        <f t="shared" si="4"/>
        <v>24.6911649661999</v>
      </c>
      <c r="I11" s="80" t="s">
        <v>24</v>
      </c>
      <c r="J11" s="81">
        <v>96.2066038111279</v>
      </c>
    </row>
    <row r="12" spans="1:10">
      <c r="A12" s="37" t="s">
        <v>23</v>
      </c>
      <c r="B12" s="37" t="s">
        <v>33</v>
      </c>
      <c r="C12" s="37">
        <v>1</v>
      </c>
      <c r="D12" s="48">
        <f t="shared" si="11"/>
        <v>1</v>
      </c>
      <c r="E12" s="42">
        <f t="shared" si="12"/>
        <v>48.60038</v>
      </c>
      <c r="F12" s="41">
        <f t="shared" si="2"/>
        <v>1.23455824830999</v>
      </c>
      <c r="G12" s="36">
        <f t="shared" si="3"/>
        <v>20</v>
      </c>
      <c r="H12" s="42">
        <f t="shared" si="4"/>
        <v>24.6911649661999</v>
      </c>
      <c r="I12" s="80" t="s">
        <v>36</v>
      </c>
      <c r="J12" s="81">
        <v>30.8508629436274</v>
      </c>
    </row>
    <row r="13" spans="1:10">
      <c r="A13" s="37" t="s">
        <v>23</v>
      </c>
      <c r="B13" s="37" t="s">
        <v>25</v>
      </c>
      <c r="C13" s="49">
        <v>1</v>
      </c>
      <c r="D13" s="50">
        <f t="shared" si="11"/>
        <v>1</v>
      </c>
      <c r="E13" s="42">
        <f t="shared" si="12"/>
        <v>48.60038</v>
      </c>
      <c r="F13" s="41">
        <f t="shared" si="2"/>
        <v>1.23455824830999</v>
      </c>
      <c r="G13" s="36">
        <f t="shared" si="3"/>
        <v>20</v>
      </c>
      <c r="H13" s="42">
        <f t="shared" si="4"/>
        <v>24.6911649661999</v>
      </c>
      <c r="I13" s="80" t="s">
        <v>35</v>
      </c>
      <c r="J13" s="81">
        <v>90.2018971084805</v>
      </c>
    </row>
    <row r="14" spans="1:10">
      <c r="A14" s="37" t="s">
        <v>26</v>
      </c>
      <c r="B14" s="37" t="s">
        <v>20</v>
      </c>
      <c r="C14" s="37">
        <v>1</v>
      </c>
      <c r="D14" s="47">
        <f t="shared" si="11"/>
        <v>2</v>
      </c>
      <c r="E14" s="42">
        <f t="shared" si="12"/>
        <v>77.79361</v>
      </c>
      <c r="F14" s="41">
        <f t="shared" si="2"/>
        <v>0.771271573590684</v>
      </c>
      <c r="G14" s="36">
        <f t="shared" si="3"/>
        <v>20</v>
      </c>
      <c r="H14" s="42">
        <f t="shared" si="4"/>
        <v>30.8508629436274</v>
      </c>
      <c r="I14" s="86" t="s">
        <v>37</v>
      </c>
      <c r="J14" s="87">
        <v>992.621360112304</v>
      </c>
    </row>
    <row r="15" spans="1:8">
      <c r="A15" s="37" t="s">
        <v>26</v>
      </c>
      <c r="B15" s="37" t="s">
        <v>36</v>
      </c>
      <c r="C15" s="37">
        <v>1</v>
      </c>
      <c r="D15" s="48">
        <f t="shared" si="11"/>
        <v>2</v>
      </c>
      <c r="E15" s="42">
        <f t="shared" si="12"/>
        <v>77.79361</v>
      </c>
      <c r="F15" s="41">
        <f t="shared" si="2"/>
        <v>0.771271573590684</v>
      </c>
      <c r="G15" s="36">
        <f t="shared" si="3"/>
        <v>20</v>
      </c>
      <c r="H15" s="42">
        <f t="shared" si="4"/>
        <v>30.8508629436274</v>
      </c>
    </row>
    <row r="16" ht="14.4" spans="1:8">
      <c r="A16" s="37" t="s">
        <v>26</v>
      </c>
      <c r="B16" s="37" t="s">
        <v>31</v>
      </c>
      <c r="C16" s="37">
        <v>1</v>
      </c>
      <c r="D16" s="48">
        <f t="shared" si="11"/>
        <v>2</v>
      </c>
      <c r="E16" s="42">
        <f t="shared" si="12"/>
        <v>77.79361</v>
      </c>
      <c r="F16" s="41">
        <f t="shared" si="2"/>
        <v>0.771271573590684</v>
      </c>
      <c r="G16" s="36">
        <f t="shared" si="3"/>
        <v>20</v>
      </c>
      <c r="H16" s="42">
        <f t="shared" si="4"/>
        <v>30.8508629436274</v>
      </c>
    </row>
    <row r="17" ht="14.4" spans="1:8">
      <c r="A17" s="37" t="s">
        <v>26</v>
      </c>
      <c r="B17" s="37" t="s">
        <v>34</v>
      </c>
      <c r="C17" s="37">
        <v>1</v>
      </c>
      <c r="D17" s="48">
        <f t="shared" si="11"/>
        <v>2</v>
      </c>
      <c r="E17" s="42">
        <f t="shared" si="12"/>
        <v>77.79361</v>
      </c>
      <c r="F17" s="41">
        <f t="shared" si="2"/>
        <v>0.771271573590684</v>
      </c>
      <c r="G17" s="36">
        <f t="shared" si="3"/>
        <v>20</v>
      </c>
      <c r="H17" s="42">
        <f t="shared" si="4"/>
        <v>30.8508629436274</v>
      </c>
    </row>
    <row r="18" ht="15.15" spans="1:8">
      <c r="A18" s="37" t="s">
        <v>26</v>
      </c>
      <c r="B18" s="37" t="s">
        <v>25</v>
      </c>
      <c r="C18" s="49">
        <v>1</v>
      </c>
      <c r="D18" s="48">
        <f t="shared" si="11"/>
        <v>2</v>
      </c>
      <c r="E18" s="42">
        <f t="shared" si="12"/>
        <v>77.79361</v>
      </c>
      <c r="F18" s="41">
        <f t="shared" si="2"/>
        <v>0.771271573590684</v>
      </c>
      <c r="G18" s="36">
        <f t="shared" si="3"/>
        <v>20</v>
      </c>
      <c r="H18" s="42">
        <f t="shared" si="4"/>
        <v>30.8508629436274</v>
      </c>
    </row>
    <row r="19" ht="14.4" spans="1:8">
      <c r="A19" s="37" t="s">
        <v>32</v>
      </c>
      <c r="B19" s="37" t="s">
        <v>20</v>
      </c>
      <c r="C19" s="38">
        <v>1</v>
      </c>
      <c r="D19" s="39">
        <f t="shared" si="11"/>
        <v>1</v>
      </c>
      <c r="E19" s="40">
        <f t="shared" si="12"/>
        <v>481.359</v>
      </c>
      <c r="F19" s="41">
        <f t="shared" si="2"/>
        <v>0.124647092918175</v>
      </c>
      <c r="G19" s="36">
        <f t="shared" si="3"/>
        <v>20</v>
      </c>
      <c r="H19" s="42">
        <f t="shared" si="4"/>
        <v>2.49294185836351</v>
      </c>
    </row>
    <row r="20" ht="14.4" spans="1:8">
      <c r="A20" s="37" t="s">
        <v>32</v>
      </c>
      <c r="B20" s="37" t="s">
        <v>21</v>
      </c>
      <c r="C20" s="38">
        <v>1</v>
      </c>
      <c r="D20" s="43">
        <f t="shared" si="11"/>
        <v>1</v>
      </c>
      <c r="E20" s="40">
        <f t="shared" si="12"/>
        <v>481.359</v>
      </c>
      <c r="F20" s="41">
        <f t="shared" si="2"/>
        <v>0.124647092918175</v>
      </c>
      <c r="G20" s="36">
        <f t="shared" si="3"/>
        <v>20</v>
      </c>
      <c r="H20" s="42">
        <f t="shared" si="4"/>
        <v>2.49294185836351</v>
      </c>
    </row>
    <row r="21" ht="15.75" customHeight="1" spans="1:13">
      <c r="A21" s="37" t="s">
        <v>32</v>
      </c>
      <c r="B21" s="37" t="s">
        <v>35</v>
      </c>
      <c r="C21" s="51">
        <v>1</v>
      </c>
      <c r="D21" s="43">
        <f t="shared" si="11"/>
        <v>1</v>
      </c>
      <c r="E21" s="40">
        <f t="shared" si="12"/>
        <v>481.359</v>
      </c>
      <c r="F21" s="41">
        <f t="shared" si="2"/>
        <v>0.124647092918175</v>
      </c>
      <c r="G21" s="36">
        <f t="shared" si="3"/>
        <v>20</v>
      </c>
      <c r="H21" s="42">
        <f t="shared" si="4"/>
        <v>2.49294185836351</v>
      </c>
      <c r="M21"/>
    </row>
    <row r="22" ht="15.75" customHeight="1" spans="1:8">
      <c r="A22" s="37" t="s">
        <v>32</v>
      </c>
      <c r="B22" s="37" t="s">
        <v>25</v>
      </c>
      <c r="C22" s="46">
        <v>1</v>
      </c>
      <c r="D22" s="52">
        <f t="shared" si="11"/>
        <v>1</v>
      </c>
      <c r="E22" s="40">
        <f t="shared" si="12"/>
        <v>481.359</v>
      </c>
      <c r="F22" s="41">
        <f t="shared" si="2"/>
        <v>0.124647092918175</v>
      </c>
      <c r="G22" s="36">
        <f t="shared" si="3"/>
        <v>20</v>
      </c>
      <c r="H22" s="42">
        <f t="shared" si="4"/>
        <v>2.49294185836351</v>
      </c>
    </row>
    <row r="23" ht="15.75" customHeight="1" spans="1:8">
      <c r="A23" s="37" t="s">
        <v>28</v>
      </c>
      <c r="B23" s="37" t="s">
        <v>20</v>
      </c>
      <c r="C23" s="37">
        <v>1</v>
      </c>
      <c r="D23" s="48">
        <f t="shared" si="11"/>
        <v>2</v>
      </c>
      <c r="E23" s="40">
        <f t="shared" si="12"/>
        <v>60.929114</v>
      </c>
      <c r="F23" s="41">
        <f t="shared" si="2"/>
        <v>0.984750902499583</v>
      </c>
      <c r="G23" s="36">
        <f t="shared" si="3"/>
        <v>20</v>
      </c>
      <c r="H23" s="42">
        <f t="shared" si="4"/>
        <v>39.3900360999833</v>
      </c>
    </row>
    <row r="24" ht="15.75" customHeight="1" spans="1:8">
      <c r="A24" s="37" t="s">
        <v>28</v>
      </c>
      <c r="B24" s="37" t="s">
        <v>21</v>
      </c>
      <c r="C24" s="37">
        <v>1</v>
      </c>
      <c r="D24" s="48">
        <f t="shared" si="11"/>
        <v>2</v>
      </c>
      <c r="E24" s="40">
        <f t="shared" si="12"/>
        <v>60.929114</v>
      </c>
      <c r="F24" s="41">
        <f t="shared" si="2"/>
        <v>0.984750902499583</v>
      </c>
      <c r="G24" s="36">
        <f t="shared" si="3"/>
        <v>20</v>
      </c>
      <c r="H24" s="42">
        <f t="shared" si="4"/>
        <v>39.3900360999833</v>
      </c>
    </row>
    <row r="25" ht="15.75" customHeight="1" spans="1:8">
      <c r="A25" s="37" t="s">
        <v>28</v>
      </c>
      <c r="B25" s="36" t="s">
        <v>24</v>
      </c>
      <c r="C25" s="45">
        <v>1</v>
      </c>
      <c r="D25" s="48">
        <f t="shared" si="11"/>
        <v>2</v>
      </c>
      <c r="E25" s="40">
        <f t="shared" si="12"/>
        <v>60.929114</v>
      </c>
      <c r="F25" s="41">
        <f t="shared" si="2"/>
        <v>0.984750902499583</v>
      </c>
      <c r="G25" s="36">
        <f t="shared" si="3"/>
        <v>20</v>
      </c>
      <c r="H25" s="42">
        <f t="shared" si="4"/>
        <v>39.3900360999833</v>
      </c>
    </row>
    <row r="26" ht="15.75" customHeight="1" spans="1:8">
      <c r="A26" s="37" t="s">
        <v>28</v>
      </c>
      <c r="B26" s="37" t="s">
        <v>27</v>
      </c>
      <c r="C26" s="37">
        <v>1</v>
      </c>
      <c r="D26" s="48">
        <f t="shared" si="11"/>
        <v>2</v>
      </c>
      <c r="E26" s="40">
        <f t="shared" si="12"/>
        <v>60.929114</v>
      </c>
      <c r="F26" s="41">
        <f t="shared" si="2"/>
        <v>0.984750902499583</v>
      </c>
      <c r="G26" s="36">
        <f t="shared" si="3"/>
        <v>20</v>
      </c>
      <c r="H26" s="42">
        <f t="shared" si="4"/>
        <v>39.3900360999833</v>
      </c>
    </row>
    <row r="27" ht="15.75" customHeight="1" spans="1:8">
      <c r="A27" s="37" t="s">
        <v>28</v>
      </c>
      <c r="B27" s="37" t="s">
        <v>22</v>
      </c>
      <c r="C27" s="49">
        <v>1</v>
      </c>
      <c r="D27" s="48">
        <f t="shared" si="11"/>
        <v>2</v>
      </c>
      <c r="E27" s="40">
        <f t="shared" si="12"/>
        <v>60.929114</v>
      </c>
      <c r="F27" s="41">
        <f t="shared" si="2"/>
        <v>0.984750902499583</v>
      </c>
      <c r="G27" s="36">
        <f t="shared" si="3"/>
        <v>20</v>
      </c>
      <c r="H27" s="42">
        <f t="shared" si="4"/>
        <v>39.3900360999833</v>
      </c>
    </row>
    <row r="28" ht="15.75" customHeight="1" spans="1:8">
      <c r="A28" s="37" t="s">
        <v>28</v>
      </c>
      <c r="B28" s="37" t="s">
        <v>35</v>
      </c>
      <c r="C28" s="51">
        <v>1</v>
      </c>
      <c r="D28" s="48">
        <f t="shared" si="11"/>
        <v>2</v>
      </c>
      <c r="E28" s="40">
        <f t="shared" si="12"/>
        <v>60.929114</v>
      </c>
      <c r="F28" s="41">
        <f t="shared" si="2"/>
        <v>0.984750902499583</v>
      </c>
      <c r="G28" s="36">
        <f t="shared" si="3"/>
        <v>20</v>
      </c>
      <c r="H28" s="42">
        <f t="shared" si="4"/>
        <v>39.3900360999833</v>
      </c>
    </row>
    <row r="29" ht="15.75" customHeight="1" spans="1:8">
      <c r="A29" s="37" t="s">
        <v>28</v>
      </c>
      <c r="B29" s="37" t="s">
        <v>25</v>
      </c>
      <c r="C29" s="49">
        <v>0</v>
      </c>
      <c r="D29" s="48">
        <f t="shared" si="11"/>
        <v>2</v>
      </c>
      <c r="E29" s="40">
        <f t="shared" si="12"/>
        <v>60.929114</v>
      </c>
      <c r="F29" s="41">
        <f t="shared" si="2"/>
        <v>0</v>
      </c>
      <c r="G29" s="36">
        <f t="shared" si="3"/>
        <v>20</v>
      </c>
      <c r="H29" s="42">
        <f t="shared" si="4"/>
        <v>0</v>
      </c>
    </row>
    <row r="30" ht="15.75" customHeight="1" spans="1:8">
      <c r="A30" s="37" t="s">
        <v>29</v>
      </c>
      <c r="B30" s="37" t="s">
        <v>20</v>
      </c>
      <c r="C30" s="49">
        <v>1</v>
      </c>
      <c r="D30" s="47">
        <f t="shared" si="11"/>
        <v>1</v>
      </c>
      <c r="E30" s="40">
        <f t="shared" si="12"/>
        <v>50.78773</v>
      </c>
      <c r="F30" s="41">
        <f t="shared" si="2"/>
        <v>1.18138770919669</v>
      </c>
      <c r="G30" s="36">
        <f t="shared" si="3"/>
        <v>20</v>
      </c>
      <c r="H30" s="42">
        <f t="shared" si="4"/>
        <v>23.6277541839338</v>
      </c>
    </row>
    <row r="31" ht="15.75" customHeight="1" spans="1:8">
      <c r="A31" s="37" t="s">
        <v>29</v>
      </c>
      <c r="B31" s="37" t="s">
        <v>21</v>
      </c>
      <c r="C31" s="49">
        <v>1</v>
      </c>
      <c r="D31" s="48">
        <f t="shared" si="11"/>
        <v>1</v>
      </c>
      <c r="E31" s="40">
        <f t="shared" si="12"/>
        <v>50.78773</v>
      </c>
      <c r="F31" s="41">
        <f t="shared" si="2"/>
        <v>1.18138770919669</v>
      </c>
      <c r="G31" s="36">
        <f t="shared" si="3"/>
        <v>20</v>
      </c>
      <c r="H31" s="42">
        <f t="shared" si="4"/>
        <v>23.6277541839338</v>
      </c>
    </row>
    <row r="32" ht="15.75" customHeight="1" spans="1:8">
      <c r="A32" s="37" t="s">
        <v>29</v>
      </c>
      <c r="B32" s="37" t="s">
        <v>35</v>
      </c>
      <c r="C32" s="49">
        <v>1</v>
      </c>
      <c r="D32" s="48">
        <f t="shared" si="11"/>
        <v>1</v>
      </c>
      <c r="E32" s="40">
        <f t="shared" si="12"/>
        <v>50.78773</v>
      </c>
      <c r="F32" s="41">
        <f t="shared" si="2"/>
        <v>1.18138770919669</v>
      </c>
      <c r="G32" s="36">
        <f t="shared" si="3"/>
        <v>20</v>
      </c>
      <c r="H32" s="42">
        <f t="shared" si="4"/>
        <v>23.6277541839338</v>
      </c>
    </row>
    <row r="33" ht="15.75" customHeight="1" spans="1:8">
      <c r="A33" s="37" t="s">
        <v>29</v>
      </c>
      <c r="B33" s="37" t="s">
        <v>25</v>
      </c>
      <c r="C33" s="49">
        <v>0</v>
      </c>
      <c r="D33" s="50">
        <f t="shared" si="11"/>
        <v>1</v>
      </c>
      <c r="E33" s="40">
        <f t="shared" si="12"/>
        <v>50.78773</v>
      </c>
      <c r="F33" s="41">
        <f t="shared" si="2"/>
        <v>0</v>
      </c>
      <c r="G33" s="36">
        <f t="shared" si="3"/>
        <v>20</v>
      </c>
      <c r="H33" s="42">
        <f t="shared" si="4"/>
        <v>0</v>
      </c>
    </row>
    <row r="34" ht="15.75" customHeight="1"/>
    <row r="35" ht="15.75" customHeight="1"/>
    <row r="36" ht="15.75" customHeight="1" spans="1:4">
      <c r="A36" s="53" t="s">
        <v>38</v>
      </c>
      <c r="B36" s="54"/>
      <c r="C36" s="55" t="s">
        <v>39</v>
      </c>
      <c r="D36" s="56"/>
    </row>
    <row r="37" ht="15.75" customHeight="1" spans="1:9">
      <c r="A37" s="57" t="s">
        <v>40</v>
      </c>
      <c r="B37" s="58" t="s">
        <v>41</v>
      </c>
      <c r="C37" s="59" t="s">
        <v>42</v>
      </c>
      <c r="D37" s="59" t="s">
        <v>43</v>
      </c>
      <c r="E37" s="60"/>
      <c r="F37" s="61" t="s">
        <v>44</v>
      </c>
      <c r="G37" s="59" t="s">
        <v>45</v>
      </c>
      <c r="H37" s="59" t="s">
        <v>46</v>
      </c>
      <c r="I37" t="s">
        <v>47</v>
      </c>
    </row>
    <row r="38" ht="15.75" customHeight="1" spans="1:9">
      <c r="A38" s="57" t="s">
        <v>20</v>
      </c>
      <c r="B38" s="62">
        <v>520</v>
      </c>
      <c r="C38" s="63">
        <f ca="1" t="shared" ref="C38:C49" si="13">GETPIVOTDATA("Итого",$I$1,"transaction rq",A38)*3</f>
        <v>533.607983289759</v>
      </c>
      <c r="D38" s="64">
        <f ca="1" t="shared" ref="D38:D50" si="14">1-B38/C38</f>
        <v>0.0255018360217628</v>
      </c>
      <c r="E38" s="65"/>
      <c r="F38" s="11" t="str">
        <f>VLOOKUP(A38,Соответствие!A:B,2,FALSE)</f>
        <v>HomePage</v>
      </c>
      <c r="G38" s="66">
        <f ca="1" t="shared" ref="G38:G49" si="15">C38/3</f>
        <v>177.869327763253</v>
      </c>
      <c r="H38" s="37">
        <f>VLOOKUP(F38,SummaryReport!A:J,7,FALSE)</f>
        <v>175</v>
      </c>
      <c r="I38" s="88">
        <f ca="1" t="shared" ref="I38:I49" si="16">1-G38/H38</f>
        <v>-0.0163961586471599</v>
      </c>
    </row>
    <row r="39" ht="15.75" customHeight="1" spans="1:9">
      <c r="A39" s="67" t="s">
        <v>21</v>
      </c>
      <c r="B39" s="62">
        <v>422</v>
      </c>
      <c r="C39" s="63">
        <f ca="1" t="shared" si="13"/>
        <v>441.055394458875</v>
      </c>
      <c r="D39" s="64">
        <f ca="1" t="shared" si="14"/>
        <v>0.0432040843356054</v>
      </c>
      <c r="E39" s="65"/>
      <c r="F39" s="11" t="str">
        <f>VLOOKUP(A39,Соответствие!A:B,2,FALSE)</f>
        <v>Login</v>
      </c>
      <c r="G39" s="66">
        <f ca="1" t="shared" si="15"/>
        <v>147.018464819625</v>
      </c>
      <c r="H39" s="37">
        <f>VLOOKUP(F39,SummaryReport!A:J,7,FALSE)</f>
        <v>143</v>
      </c>
      <c r="I39" s="88">
        <f ca="1" t="shared" si="16"/>
        <v>-0.0281011525847901</v>
      </c>
    </row>
    <row r="40" ht="15.75" customHeight="1" spans="1:9">
      <c r="A40" s="68" t="s">
        <v>24</v>
      </c>
      <c r="B40" s="62">
        <v>305</v>
      </c>
      <c r="C40" s="63">
        <f ca="1" t="shared" si="13"/>
        <v>288.619811433384</v>
      </c>
      <c r="D40" s="64">
        <f ca="1" t="shared" si="14"/>
        <v>-0.0567535142001054</v>
      </c>
      <c r="E40" s="65"/>
      <c r="F40" s="11" t="str">
        <f>VLOOKUP(A40,Соответствие!A:B,2,FALSE)</f>
        <v>FlightsPage</v>
      </c>
      <c r="G40" s="66">
        <f ca="1" t="shared" si="15"/>
        <v>96.2066038111279</v>
      </c>
      <c r="H40" s="37">
        <f>VLOOKUP(F40,SummaryReport!A:J,7,FALSE)</f>
        <v>97</v>
      </c>
      <c r="I40" s="88">
        <f ca="1" t="shared" si="16"/>
        <v>0.00817934215332072</v>
      </c>
    </row>
    <row r="41" ht="15.75" customHeight="1" spans="1:9">
      <c r="A41" s="67" t="s">
        <v>27</v>
      </c>
      <c r="B41" s="62">
        <v>282</v>
      </c>
      <c r="C41" s="63">
        <f ca="1" t="shared" si="13"/>
        <v>288.619811433384</v>
      </c>
      <c r="D41" s="64">
        <f ca="1" t="shared" si="14"/>
        <v>0.0229360950674434</v>
      </c>
      <c r="E41" s="65"/>
      <c r="F41" s="11" t="str">
        <f>VLOOKUP(A41,Соответствие!A:B,2,FALSE)</f>
        <v>FindFlight</v>
      </c>
      <c r="G41" s="66">
        <f ca="1" t="shared" si="15"/>
        <v>96.2066038111279</v>
      </c>
      <c r="H41" s="37">
        <f>VLOOKUP(F41,SummaryReport!A:J,7,FALSE)</f>
        <v>97</v>
      </c>
      <c r="I41" s="88">
        <f ca="1" t="shared" si="16"/>
        <v>0.00817934215332072</v>
      </c>
    </row>
    <row r="42" ht="15.75" customHeight="1" spans="1:9">
      <c r="A42" s="67" t="s">
        <v>22</v>
      </c>
      <c r="B42" s="62">
        <v>270</v>
      </c>
      <c r="C42" s="63">
        <f ca="1" t="shared" si="13"/>
        <v>288.619811433384</v>
      </c>
      <c r="D42" s="64">
        <f ca="1" t="shared" si="14"/>
        <v>0.064513282511382</v>
      </c>
      <c r="E42" s="65"/>
      <c r="F42" s="11" t="str">
        <f>VLOOKUP(A42,Соответствие!A:B,2,FALSE)</f>
        <v>ChooseFlight</v>
      </c>
      <c r="G42" s="66">
        <f ca="1" t="shared" si="15"/>
        <v>96.2066038111279</v>
      </c>
      <c r="H42" s="37">
        <f>VLOOKUP(F42,SummaryReport!A:J,7,FALSE)</f>
        <v>97</v>
      </c>
      <c r="I42" s="88">
        <f ca="1" t="shared" si="16"/>
        <v>0.00817934215332072</v>
      </c>
    </row>
    <row r="43" ht="15.75" customHeight="1" spans="1:9">
      <c r="A43" s="67" t="s">
        <v>30</v>
      </c>
      <c r="B43" s="62">
        <v>175</v>
      </c>
      <c r="C43" s="63">
        <f ca="1" t="shared" si="13"/>
        <v>170.449703133434</v>
      </c>
      <c r="D43" s="64">
        <f ca="1" t="shared" si="14"/>
        <v>-0.0266958333333329</v>
      </c>
      <c r="E43" s="65"/>
      <c r="F43" s="11" t="str">
        <f>VLOOKUP(A43,Соответствие!A:B,2,FALSE)</f>
        <v>FillThePaymentDetails</v>
      </c>
      <c r="G43" s="66">
        <f ca="1" t="shared" si="15"/>
        <v>56.8165677111446</v>
      </c>
      <c r="H43" s="37">
        <f>VLOOKUP(F43,SummaryReport!A:J,7,FALSE)</f>
        <v>57</v>
      </c>
      <c r="I43" s="88">
        <f ca="1" t="shared" si="16"/>
        <v>0.00321811033079666</v>
      </c>
    </row>
    <row r="44" ht="15.75" customHeight="1" spans="1:9">
      <c r="A44" s="67" t="s">
        <v>35</v>
      </c>
      <c r="B44" s="62">
        <v>280</v>
      </c>
      <c r="C44" s="63">
        <f ca="1" t="shared" si="13"/>
        <v>270.605691325442</v>
      </c>
      <c r="D44" s="64">
        <f ca="1" t="shared" si="14"/>
        <v>-0.0347158577062612</v>
      </c>
      <c r="E44" s="41"/>
      <c r="F44" s="11" t="str">
        <f>VLOOKUP(A44,Соответствие!A:B,2,FALSE)</f>
        <v>Itinerary</v>
      </c>
      <c r="G44" s="66">
        <f ca="1" t="shared" si="15"/>
        <v>90.2018971084805</v>
      </c>
      <c r="H44" s="37">
        <f>VLOOKUP(F44,SummaryReport!A:J,7,FALSE)</f>
        <v>87</v>
      </c>
      <c r="I44" s="88">
        <f ca="1" t="shared" si="16"/>
        <v>-0.0368034150400058</v>
      </c>
    </row>
    <row r="45" ht="15.75" customHeight="1" spans="1:9">
      <c r="A45" s="67" t="s">
        <v>33</v>
      </c>
      <c r="B45" s="62">
        <v>73</v>
      </c>
      <c r="C45" s="63">
        <f ca="1" t="shared" si="13"/>
        <v>74.0734948985997</v>
      </c>
      <c r="D45" s="64">
        <f ca="1" t="shared" si="14"/>
        <v>0.0144922944444464</v>
      </c>
      <c r="E45" s="65"/>
      <c r="F45" s="11" t="str">
        <f>VLOOKUP(A45,Соответствие!A:B,2,FALSE)</f>
        <v>CancelReservation</v>
      </c>
      <c r="G45" s="66">
        <f ca="1" t="shared" si="15"/>
        <v>24.6911649661999</v>
      </c>
      <c r="H45" s="37">
        <f>VLOOKUP(F45,SummaryReport!A:J,7,FALSE)</f>
        <v>24</v>
      </c>
      <c r="I45" s="88">
        <f ca="1" t="shared" si="16"/>
        <v>-0.0287985402583293</v>
      </c>
    </row>
    <row r="46" ht="15.75" customHeight="1" spans="1:9">
      <c r="A46" s="67" t="s">
        <v>25</v>
      </c>
      <c r="B46" s="62">
        <v>326</v>
      </c>
      <c r="C46" s="63">
        <f ca="1" t="shared" si="13"/>
        <v>344.554612438005</v>
      </c>
      <c r="D46" s="64">
        <f ca="1" t="shared" si="14"/>
        <v>0.0538510058150607</v>
      </c>
      <c r="E46" s="65"/>
      <c r="F46" s="11" t="str">
        <f>VLOOKUP(A46,Соответствие!A:B,2,FALSE)</f>
        <v>SignOff</v>
      </c>
      <c r="G46" s="66">
        <f ca="1" t="shared" si="15"/>
        <v>114.851537479335</v>
      </c>
      <c r="H46" s="37">
        <f>VLOOKUP(F46,SummaryReport!A:J,7,FALSE)</f>
        <v>113</v>
      </c>
      <c r="I46" s="88">
        <f ca="1" t="shared" si="16"/>
        <v>-0.0163852874277433</v>
      </c>
    </row>
    <row r="47" ht="15.75" customHeight="1" spans="1:9">
      <c r="A47" s="67" t="s">
        <v>36</v>
      </c>
      <c r="B47" s="62">
        <v>97</v>
      </c>
      <c r="C47" s="63">
        <f ca="1" t="shared" si="13"/>
        <v>92.5525888308822</v>
      </c>
      <c r="D47" s="64">
        <f ca="1" t="shared" si="14"/>
        <v>-0.0480528013888881</v>
      </c>
      <c r="E47" s="65"/>
      <c r="F47" s="11" t="str">
        <f>VLOOKUP(A47,Соответствие!A:B,2,FALSE)</f>
        <v>SignUp</v>
      </c>
      <c r="G47" s="66">
        <f ca="1" t="shared" si="15"/>
        <v>30.8508629436274</v>
      </c>
      <c r="H47" s="37">
        <f>VLOOKUP(F47,SummaryReport!A:J,7,FALSE)</f>
        <v>32</v>
      </c>
      <c r="I47" s="88">
        <f ca="1" t="shared" si="16"/>
        <v>0.0359105330116437</v>
      </c>
    </row>
    <row r="48" ht="15.75" customHeight="1" spans="1:9">
      <c r="A48" s="67" t="s">
        <v>31</v>
      </c>
      <c r="B48" s="62">
        <v>97</v>
      </c>
      <c r="C48" s="63">
        <f ca="1" t="shared" si="13"/>
        <v>92.5525888308822</v>
      </c>
      <c r="D48" s="64">
        <f ca="1" t="shared" si="14"/>
        <v>-0.0480528013888881</v>
      </c>
      <c r="E48" s="65"/>
      <c r="F48" s="11" t="str">
        <f>VLOOKUP(A48,Соответствие!A:B,2,FALSE)</f>
        <v>FillTheregistrationForm</v>
      </c>
      <c r="G48" s="66">
        <f ca="1" t="shared" si="15"/>
        <v>30.8508629436274</v>
      </c>
      <c r="H48" s="37">
        <f>VLOOKUP(F48,SummaryReport!A:J,7,FALSE)</f>
        <v>32</v>
      </c>
      <c r="I48" s="88">
        <f ca="1" t="shared" si="16"/>
        <v>0.0359105330116437</v>
      </c>
    </row>
    <row r="49" ht="15.75" customHeight="1" spans="1:9">
      <c r="A49" s="67" t="s">
        <v>34</v>
      </c>
      <c r="B49" s="62">
        <v>97</v>
      </c>
      <c r="C49" s="63">
        <f ca="1" t="shared" si="13"/>
        <v>92.5525888308822</v>
      </c>
      <c r="D49" s="64">
        <f ca="1" t="shared" si="14"/>
        <v>-0.0480528013888881</v>
      </c>
      <c r="E49" s="65"/>
      <c r="F49" s="11" t="str">
        <f>VLOOKUP(A49,Соответствие!A:B,2,FALSE)</f>
        <v>Continue</v>
      </c>
      <c r="G49" s="66">
        <f ca="1" t="shared" si="15"/>
        <v>30.8508629436274</v>
      </c>
      <c r="H49" s="37">
        <f>VLOOKUP(F49,SummaryReport!A:J,7,FALSE)</f>
        <v>32</v>
      </c>
      <c r="I49" s="88">
        <f ca="1" t="shared" si="16"/>
        <v>0.0359105330116437</v>
      </c>
    </row>
    <row r="50" ht="15.75" customHeight="1" spans="1:9">
      <c r="A50" s="69" t="s">
        <v>7</v>
      </c>
      <c r="B50" s="70">
        <f t="shared" ref="B50:C50" si="17">SUM(B38:B49)</f>
        <v>2944</v>
      </c>
      <c r="C50" s="71">
        <f ca="1" t="shared" si="17"/>
        <v>2977.86408033691</v>
      </c>
      <c r="D50" s="64">
        <f ca="1" t="shared" si="14"/>
        <v>0.0113719362010235</v>
      </c>
      <c r="I50" s="88"/>
    </row>
    <row r="51" ht="15.75" customHeight="1"/>
    <row r="52" ht="15.75" customHeight="1" spans="1:9">
      <c r="A52" s="72"/>
      <c r="B52" s="73"/>
      <c r="C52" s="74" t="s">
        <v>48</v>
      </c>
      <c r="D52" s="74"/>
      <c r="E52" s="74"/>
      <c r="F52" s="74"/>
      <c r="G52" s="74"/>
      <c r="H52" s="74"/>
      <c r="I52" s="89"/>
    </row>
    <row r="53" ht="15.75" customHeight="1" spans="9:9">
      <c r="I53" s="4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6:B36"/>
    <mergeCell ref="C36:D36"/>
  </mergeCells>
  <pageMargins left="0.7" right="0.7" top="0.75" bottom="0.75" header="0" footer="0"/>
  <pageSetup paperSize="9" orientation="portrait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47.4259259259259" customWidth="1"/>
    <col min="2" max="2" width="23.8611111111111" customWidth="1"/>
    <col min="3" max="26" width="8.86111111111111" customWidth="1"/>
  </cols>
  <sheetData>
    <row r="1" ht="14.4" spans="1:2">
      <c r="A1" s="35" t="s">
        <v>49</v>
      </c>
      <c r="B1" s="35" t="s">
        <v>50</v>
      </c>
    </row>
    <row r="2" ht="14.4" spans="1:2">
      <c r="A2" s="11" t="str">
        <f>'Автоматизированный расчет'!A38</f>
        <v>Главная Welcome страница</v>
      </c>
      <c r="B2" s="18" t="s">
        <v>51</v>
      </c>
    </row>
    <row r="3" ht="14.4" spans="1:2">
      <c r="A3" s="11" t="str">
        <f>'Автоматизированный расчет'!A39</f>
        <v>Вход в систему</v>
      </c>
      <c r="B3" s="18" t="s">
        <v>52</v>
      </c>
    </row>
    <row r="4" ht="14.4" spans="1:2">
      <c r="A4" s="11" t="str">
        <f>'Автоматизированный расчет'!A40</f>
        <v>Переход на страницу поиска билетов</v>
      </c>
      <c r="B4" s="18" t="s">
        <v>53</v>
      </c>
    </row>
    <row r="5" ht="14.4" spans="1:2">
      <c r="A5" s="11" t="str">
        <f>'Автоматизированный расчет'!A41</f>
        <v>Заполнение полей для поиска билета </v>
      </c>
      <c r="B5" s="18" t="s">
        <v>54</v>
      </c>
    </row>
    <row r="6" ht="14.4" spans="1:2">
      <c r="A6" s="11" t="str">
        <f>'Автоматизированный расчет'!A42</f>
        <v>Выбор рейса из найденных </v>
      </c>
      <c r="B6" s="18" t="s">
        <v>55</v>
      </c>
    </row>
    <row r="7" ht="14.4" spans="1:2">
      <c r="A7" s="11" t="str">
        <f>'Автоматизированный расчет'!A43</f>
        <v>Оплата билета</v>
      </c>
      <c r="B7" s="18" t="s">
        <v>56</v>
      </c>
    </row>
    <row r="8" ht="14.4" spans="1:2">
      <c r="A8" s="11" t="str">
        <f>'Автоматизированный расчет'!A44</f>
        <v>Просмотр квитанций</v>
      </c>
      <c r="B8" s="18" t="s">
        <v>57</v>
      </c>
    </row>
    <row r="9" ht="14.4" spans="1:2">
      <c r="A9" s="11" t="str">
        <f>'Автоматизированный расчет'!A45</f>
        <v>Отмена бронирования </v>
      </c>
      <c r="B9" s="18" t="s">
        <v>58</v>
      </c>
    </row>
    <row r="10" ht="14.4" spans="1:2">
      <c r="A10" s="11" t="str">
        <f>'Автоматизированный расчет'!A46</f>
        <v>Выход из системы</v>
      </c>
      <c r="B10" s="18" t="s">
        <v>59</v>
      </c>
    </row>
    <row r="11" ht="14.4" spans="1:2">
      <c r="A11" s="11" t="str">
        <f>'Автоматизированный расчет'!A47</f>
        <v>Перход на страницу регистрации</v>
      </c>
      <c r="B11" s="18" t="s">
        <v>60</v>
      </c>
    </row>
    <row r="12" ht="14.4" spans="1:2">
      <c r="A12" s="11" t="str">
        <f>'Автоматизированный расчет'!A48</f>
        <v>Заполнение полей регистарции</v>
      </c>
      <c r="B12" s="18" t="s">
        <v>61</v>
      </c>
    </row>
    <row r="13" ht="14.4" spans="1:2">
      <c r="A13" s="11" t="str">
        <f>'Автоматизированный расчет'!A49</f>
        <v>Переход на следуюущий эран после регистарции</v>
      </c>
      <c r="B13" s="18" t="s">
        <v>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83"/>
  <sheetViews>
    <sheetView workbookViewId="0">
      <selection activeCell="A1" sqref="A1"/>
    </sheetView>
  </sheetViews>
  <sheetFormatPr defaultColWidth="14.4259259259259" defaultRowHeight="15" customHeight="1"/>
  <cols>
    <col min="1" max="1" width="36.4259259259259" customWidth="1"/>
    <col min="2" max="12" width="8.86111111111111" customWidth="1"/>
    <col min="13" max="13" width="18.4259259259259" customWidth="1"/>
    <col min="14" max="26" width="8.86111111111111" customWidth="1"/>
  </cols>
  <sheetData>
    <row r="1" ht="14.4" spans="1:11">
      <c r="A1" s="27" t="s">
        <v>63</v>
      </c>
      <c r="B1" s="28" t="s">
        <v>64</v>
      </c>
      <c r="C1" s="28" t="s">
        <v>65</v>
      </c>
      <c r="D1" s="28" t="s">
        <v>66</v>
      </c>
      <c r="E1" s="28" t="s">
        <v>67</v>
      </c>
      <c r="F1" s="28" t="s">
        <v>68</v>
      </c>
      <c r="G1" s="28" t="s">
        <v>69</v>
      </c>
      <c r="H1" s="28" t="s">
        <v>70</v>
      </c>
      <c r="I1" s="28" t="s">
        <v>71</v>
      </c>
      <c r="J1" s="31"/>
      <c r="K1" s="31"/>
    </row>
    <row r="2" ht="14.4" spans="1:11">
      <c r="A2" s="29" t="s">
        <v>72</v>
      </c>
      <c r="B2" s="30">
        <v>0.253</v>
      </c>
      <c r="C2" s="30">
        <v>0.403</v>
      </c>
      <c r="D2" s="30">
        <v>0.535</v>
      </c>
      <c r="E2" s="30">
        <v>0.076</v>
      </c>
      <c r="F2" s="30">
        <v>0.477</v>
      </c>
      <c r="G2" s="30">
        <v>176</v>
      </c>
      <c r="H2" s="30">
        <v>0</v>
      </c>
      <c r="I2" s="30">
        <v>0</v>
      </c>
      <c r="J2" s="32"/>
      <c r="K2" s="31"/>
    </row>
    <row r="3" ht="14.4" spans="1:22">
      <c r="A3" s="29" t="s">
        <v>73</v>
      </c>
      <c r="B3" s="30">
        <v>0.044</v>
      </c>
      <c r="C3" s="30">
        <v>0.049</v>
      </c>
      <c r="D3" s="30">
        <v>0.074</v>
      </c>
      <c r="E3" s="30">
        <v>0.006</v>
      </c>
      <c r="F3" s="30">
        <v>0.052</v>
      </c>
      <c r="G3" s="30">
        <v>24</v>
      </c>
      <c r="H3" s="30">
        <v>0</v>
      </c>
      <c r="I3" s="30">
        <v>0</v>
      </c>
      <c r="J3" s="32"/>
      <c r="K3" s="31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ht="15.75" customHeight="1" spans="1:22">
      <c r="A4" s="29" t="s">
        <v>74</v>
      </c>
      <c r="B4" s="30">
        <v>0.037</v>
      </c>
      <c r="C4" s="30">
        <v>0.042</v>
      </c>
      <c r="D4" s="30">
        <v>0.051</v>
      </c>
      <c r="E4" s="30">
        <v>0.003</v>
      </c>
      <c r="F4" s="30">
        <v>0.047</v>
      </c>
      <c r="G4" s="30">
        <v>97</v>
      </c>
      <c r="H4" s="30">
        <v>0</v>
      </c>
      <c r="I4" s="30">
        <v>0</v>
      </c>
      <c r="J4" s="32"/>
      <c r="K4" s="31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ht="15.75" customHeight="1" spans="1:22">
      <c r="A5" s="29" t="s">
        <v>75</v>
      </c>
      <c r="B5" s="30">
        <v>0.078</v>
      </c>
      <c r="C5" s="30">
        <v>0.092</v>
      </c>
      <c r="D5" s="30">
        <v>0.127</v>
      </c>
      <c r="E5" s="30">
        <v>0.012</v>
      </c>
      <c r="F5" s="30">
        <v>0.111</v>
      </c>
      <c r="G5" s="30">
        <v>32</v>
      </c>
      <c r="H5" s="30">
        <v>0</v>
      </c>
      <c r="I5" s="30">
        <v>0</v>
      </c>
      <c r="J5" s="32"/>
      <c r="K5" s="31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ht="15.75" customHeight="1" spans="1:22">
      <c r="A6" s="29" t="s">
        <v>76</v>
      </c>
      <c r="B6" s="30">
        <v>0.041</v>
      </c>
      <c r="C6" s="30">
        <v>0.045</v>
      </c>
      <c r="D6" s="30">
        <v>0.051</v>
      </c>
      <c r="E6" s="30">
        <v>0.003</v>
      </c>
      <c r="F6" s="30">
        <v>0.049</v>
      </c>
      <c r="G6" s="30">
        <v>57</v>
      </c>
      <c r="H6" s="30">
        <v>0</v>
      </c>
      <c r="I6" s="30">
        <v>0</v>
      </c>
      <c r="J6" s="32"/>
      <c r="K6" s="31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ht="15.75" customHeight="1" spans="1:22">
      <c r="A7" s="29" t="s">
        <v>77</v>
      </c>
      <c r="B7" s="30">
        <v>0.035</v>
      </c>
      <c r="C7" s="30">
        <v>0.039</v>
      </c>
      <c r="D7" s="30">
        <v>0.045</v>
      </c>
      <c r="E7" s="30">
        <v>0.003</v>
      </c>
      <c r="F7" s="30">
        <v>0.043</v>
      </c>
      <c r="G7" s="30">
        <v>32</v>
      </c>
      <c r="H7" s="30">
        <v>0</v>
      </c>
      <c r="I7" s="30">
        <v>0</v>
      </c>
      <c r="J7" s="33"/>
      <c r="K7" s="34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ht="15.75" customHeight="1" spans="1:22">
      <c r="A8" s="29" t="s">
        <v>78</v>
      </c>
      <c r="B8" s="30">
        <v>0.037</v>
      </c>
      <c r="C8" s="30">
        <v>0.041</v>
      </c>
      <c r="D8" s="30">
        <v>0.05</v>
      </c>
      <c r="E8" s="30">
        <v>0.003</v>
      </c>
      <c r="F8" s="30">
        <v>0.045</v>
      </c>
      <c r="G8" s="30">
        <v>97</v>
      </c>
      <c r="H8" s="30">
        <v>0</v>
      </c>
      <c r="I8" s="30">
        <v>0</v>
      </c>
      <c r="J8" s="32"/>
      <c r="K8" s="31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ht="15.75" customHeight="1" spans="1:22">
      <c r="A9" s="29" t="s">
        <v>79</v>
      </c>
      <c r="B9" s="30">
        <v>0.11</v>
      </c>
      <c r="C9" s="30">
        <v>0.115</v>
      </c>
      <c r="D9" s="30">
        <v>0.129</v>
      </c>
      <c r="E9" s="30">
        <v>0.007</v>
      </c>
      <c r="F9" s="30">
        <v>0.127</v>
      </c>
      <c r="G9" s="30">
        <v>97</v>
      </c>
      <c r="H9" s="30">
        <v>0</v>
      </c>
      <c r="I9" s="30">
        <v>0</v>
      </c>
      <c r="J9" s="32"/>
      <c r="K9" s="31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ht="15.75" customHeight="1" spans="1:22">
      <c r="A10" s="29" t="s">
        <v>80</v>
      </c>
      <c r="B10" s="30">
        <v>0.06</v>
      </c>
      <c r="C10" s="30">
        <v>0.066</v>
      </c>
      <c r="D10" s="30">
        <v>0.084</v>
      </c>
      <c r="E10" s="30">
        <v>0.005</v>
      </c>
      <c r="F10" s="30">
        <v>0.071</v>
      </c>
      <c r="G10" s="30">
        <v>175</v>
      </c>
      <c r="H10" s="30">
        <v>0</v>
      </c>
      <c r="I10" s="30">
        <v>0</v>
      </c>
      <c r="J10" s="32"/>
      <c r="K10" s="31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ht="15.75" customHeight="1" spans="1:22">
      <c r="A11" s="29" t="s">
        <v>81</v>
      </c>
      <c r="B11" s="30">
        <v>0.108</v>
      </c>
      <c r="C11" s="30">
        <v>0.116</v>
      </c>
      <c r="D11" s="30">
        <v>0.129</v>
      </c>
      <c r="E11" s="30">
        <v>0.007</v>
      </c>
      <c r="F11" s="30">
        <v>0.127</v>
      </c>
      <c r="G11" s="30">
        <v>87</v>
      </c>
      <c r="H11" s="30">
        <v>0</v>
      </c>
      <c r="I11" s="30">
        <v>0</v>
      </c>
      <c r="J11" s="32"/>
      <c r="K11" s="31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ht="15.75" customHeight="1" spans="1:22">
      <c r="A12" s="29" t="s">
        <v>82</v>
      </c>
      <c r="B12" s="30">
        <v>0.078</v>
      </c>
      <c r="C12" s="30">
        <v>0.091</v>
      </c>
      <c r="D12" s="30">
        <v>0.144</v>
      </c>
      <c r="E12" s="30">
        <v>0.011</v>
      </c>
      <c r="F12" s="30">
        <v>0.096</v>
      </c>
      <c r="G12" s="30">
        <v>143</v>
      </c>
      <c r="H12" s="30">
        <v>0</v>
      </c>
      <c r="I12" s="30">
        <v>0</v>
      </c>
      <c r="J12" s="33"/>
      <c r="K12" s="34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ht="15.75" customHeight="1" spans="1:22">
      <c r="A13" s="29" t="s">
        <v>83</v>
      </c>
      <c r="B13" s="30">
        <v>0.058</v>
      </c>
      <c r="C13" s="30">
        <v>0.066</v>
      </c>
      <c r="D13" s="30">
        <v>0.252</v>
      </c>
      <c r="E13" s="30">
        <v>0.018</v>
      </c>
      <c r="F13" s="30">
        <v>0.069</v>
      </c>
      <c r="G13" s="30">
        <v>113</v>
      </c>
      <c r="H13" s="30">
        <v>0</v>
      </c>
      <c r="I13" s="30">
        <v>0</v>
      </c>
      <c r="J13" s="32"/>
      <c r="K13" s="31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ht="15.75" customHeight="1" spans="1:22">
      <c r="A14" s="29" t="s">
        <v>84</v>
      </c>
      <c r="B14" s="30">
        <v>0.041</v>
      </c>
      <c r="C14" s="30">
        <v>0.047</v>
      </c>
      <c r="D14" s="30">
        <v>0.07</v>
      </c>
      <c r="E14" s="30">
        <v>0.005</v>
      </c>
      <c r="F14" s="30">
        <v>0.053</v>
      </c>
      <c r="G14" s="30">
        <v>32</v>
      </c>
      <c r="H14" s="30">
        <v>0</v>
      </c>
      <c r="I14" s="30">
        <v>0</v>
      </c>
      <c r="J14" s="32"/>
      <c r="K14" s="31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ht="15.75" customHeight="1" spans="1:11">
      <c r="A15" s="29" t="s">
        <v>85</v>
      </c>
      <c r="B15" s="30">
        <v>0.443</v>
      </c>
      <c r="C15" s="30">
        <v>0.467</v>
      </c>
      <c r="D15" s="30">
        <v>0.494</v>
      </c>
      <c r="E15" s="30">
        <v>0.014</v>
      </c>
      <c r="F15" s="30">
        <v>0.487</v>
      </c>
      <c r="G15" s="30">
        <v>40</v>
      </c>
      <c r="H15" s="30">
        <v>0</v>
      </c>
      <c r="I15" s="30">
        <v>0</v>
      </c>
      <c r="J15" s="33"/>
      <c r="K15" s="34"/>
    </row>
    <row r="16" ht="15.75" customHeight="1" spans="1:11">
      <c r="A16" s="29" t="s">
        <v>86</v>
      </c>
      <c r="B16" s="30">
        <v>0.433</v>
      </c>
      <c r="C16" s="30">
        <v>0.458</v>
      </c>
      <c r="D16" s="30">
        <v>0.491</v>
      </c>
      <c r="E16" s="30">
        <v>0.016</v>
      </c>
      <c r="F16" s="30">
        <v>0.479</v>
      </c>
      <c r="G16" s="30">
        <v>57</v>
      </c>
      <c r="H16" s="30">
        <v>0</v>
      </c>
      <c r="I16" s="30">
        <v>0</v>
      </c>
      <c r="J16" s="33"/>
      <c r="K16" s="34"/>
    </row>
    <row r="17" ht="15.75" customHeight="1" spans="1:11">
      <c r="A17" s="29" t="s">
        <v>87</v>
      </c>
      <c r="B17" s="30">
        <v>0.253</v>
      </c>
      <c r="C17" s="30">
        <v>0.274</v>
      </c>
      <c r="D17" s="30">
        <v>0.297</v>
      </c>
      <c r="E17" s="30">
        <v>0.012</v>
      </c>
      <c r="F17" s="30">
        <v>0.291</v>
      </c>
      <c r="G17" s="30">
        <v>23</v>
      </c>
      <c r="H17" s="30">
        <v>0</v>
      </c>
      <c r="I17" s="30">
        <v>0</v>
      </c>
      <c r="J17" s="33"/>
      <c r="K17" s="34"/>
    </row>
    <row r="18" ht="15.75" customHeight="1" spans="1:11">
      <c r="A18" s="29" t="s">
        <v>88</v>
      </c>
      <c r="B18" s="30">
        <v>0.363</v>
      </c>
      <c r="C18" s="30">
        <v>0.392</v>
      </c>
      <c r="D18" s="30">
        <v>0.441</v>
      </c>
      <c r="E18" s="30">
        <v>0.019</v>
      </c>
      <c r="F18" s="30">
        <v>0.432</v>
      </c>
      <c r="G18" s="30">
        <v>25</v>
      </c>
      <c r="H18" s="30">
        <v>0</v>
      </c>
      <c r="I18" s="30">
        <v>0</v>
      </c>
      <c r="J18" s="33"/>
      <c r="K18" s="34"/>
    </row>
    <row r="19" ht="15.75" customHeight="1" spans="1:11">
      <c r="A19" s="29" t="s">
        <v>89</v>
      </c>
      <c r="B19" s="30">
        <v>0.288</v>
      </c>
      <c r="C19" s="30">
        <v>0.323</v>
      </c>
      <c r="D19" s="30">
        <v>0.534</v>
      </c>
      <c r="E19" s="30">
        <v>0.042</v>
      </c>
      <c r="F19" s="30">
        <v>0.34</v>
      </c>
      <c r="G19" s="30">
        <v>31</v>
      </c>
      <c r="H19" s="30">
        <v>0</v>
      </c>
      <c r="I19" s="30">
        <v>0</v>
      </c>
      <c r="J19" s="33"/>
      <c r="K19" s="3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hyperlinks>
    <hyperlink ref="A2" r:id="rId1" display="Action_Transaction"/>
    <hyperlink ref="A3" r:id="rId1" display="CancelReservation"/>
    <hyperlink ref="A4" r:id="rId1" display="ChooseFlight"/>
    <hyperlink ref="A5" r:id="rId1" display="Continue"/>
    <hyperlink ref="A6" r:id="rId1" display="FillThePaymentDetails"/>
    <hyperlink ref="A7" r:id="rId1" display="FillTheRegistrationForm"/>
    <hyperlink ref="A8" r:id="rId1" display="FindFlight"/>
    <hyperlink ref="A9" r:id="rId1" display="FlightsPage"/>
    <hyperlink ref="A10" r:id="rId1" display="HomePage"/>
    <hyperlink ref="A11" r:id="rId1" display="Itinerary"/>
    <hyperlink ref="A12" r:id="rId1" display="Login"/>
    <hyperlink ref="A13" r:id="rId1" display="SignOff"/>
    <hyperlink ref="A14" r:id="rId1" display="SignUp"/>
    <hyperlink ref="A15" r:id="rId1" display="UC02_SearchForTicketWithNoPayment"/>
    <hyperlink ref="A16" r:id="rId1" display="UC03_TicketBooking"/>
    <hyperlink ref="A17" r:id="rId1" display="UC04_ItinenaryChecking"/>
    <hyperlink ref="A18" r:id="rId1" display="UC05_ReservationCancel"/>
    <hyperlink ref="A19" r:id="rId1" display="UC06_Registration"/>
  </hyperlink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V1000"/>
  <sheetViews>
    <sheetView topLeftCell="G37" workbookViewId="0">
      <selection activeCell="O56" sqref="O56"/>
    </sheetView>
  </sheetViews>
  <sheetFormatPr defaultColWidth="14.4259259259259" defaultRowHeight="15" customHeight="1"/>
  <cols>
    <col min="1" max="1" width="8.86111111111111" customWidth="1"/>
    <col min="2" max="2" width="4.42592592592593" customWidth="1"/>
    <col min="3" max="4" width="9.13888888888889" hidden="1" customWidth="1"/>
    <col min="5" max="5" width="20.4259259259259" customWidth="1"/>
    <col min="6" max="6" width="18.8611111111111" customWidth="1"/>
    <col min="7" max="7" width="15.287037037037" customWidth="1"/>
    <col min="8" max="8" width="15.1388888888889" customWidth="1"/>
    <col min="9" max="9" width="14" customWidth="1"/>
    <col min="10" max="10" width="8.86111111111111" customWidth="1"/>
    <col min="11" max="11" width="1.42592592592593" customWidth="1"/>
    <col min="12" max="12" width="29.4259259259259" customWidth="1"/>
    <col min="13" max="13" width="20.1388888888889" customWidth="1"/>
    <col min="14" max="14" width="16.712962962963" customWidth="1"/>
    <col min="15" max="15" width="11.712962962963" customWidth="1"/>
    <col min="16" max="16" width="17.287037037037" customWidth="1"/>
    <col min="17" max="17" width="18" customWidth="1"/>
    <col min="18" max="18" width="15.287037037037" customWidth="1"/>
    <col min="19" max="19" width="14.4259259259259" customWidth="1"/>
    <col min="20" max="20" width="12.287037037037" customWidth="1"/>
    <col min="21" max="21" width="14.8611111111111" customWidth="1"/>
    <col min="22" max="26" width="8.86111111111111" customWidth="1"/>
  </cols>
  <sheetData>
    <row r="7" ht="14.4" spans="17:22">
      <c r="Q7" s="16"/>
      <c r="R7" s="16"/>
      <c r="S7" s="16"/>
      <c r="T7" s="16"/>
      <c r="U7" s="16"/>
      <c r="V7" s="16"/>
    </row>
    <row r="8" ht="14.4" spans="12:22">
      <c r="L8" s="13" t="s">
        <v>90</v>
      </c>
      <c r="M8" s="14"/>
      <c r="N8" s="14"/>
      <c r="O8" s="14"/>
      <c r="P8" s="15"/>
      <c r="Q8" s="26"/>
      <c r="R8" s="26"/>
      <c r="S8" s="16"/>
      <c r="T8" s="16"/>
      <c r="U8" s="16"/>
      <c r="V8" s="16"/>
    </row>
    <row r="9" ht="14.4" spans="5:22">
      <c r="E9" s="1" t="s">
        <v>91</v>
      </c>
      <c r="F9" s="2"/>
      <c r="G9" s="2"/>
      <c r="H9" s="2"/>
      <c r="I9" s="2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ht="27.6" spans="12:22">
      <c r="L10" s="17" t="s">
        <v>92</v>
      </c>
      <c r="M10" s="17" t="s">
        <v>93</v>
      </c>
      <c r="N10" s="17" t="s">
        <v>94</v>
      </c>
      <c r="O10" s="17" t="s">
        <v>95</v>
      </c>
      <c r="P10" s="17" t="s">
        <v>96</v>
      </c>
      <c r="Q10" s="17"/>
      <c r="R10" s="17"/>
      <c r="S10" s="17"/>
      <c r="T10" s="17"/>
      <c r="U10" s="17"/>
      <c r="V10" s="16"/>
    </row>
    <row r="11" ht="27.6" spans="5:22">
      <c r="E11" s="3" t="s">
        <v>92</v>
      </c>
      <c r="F11" s="3" t="s">
        <v>93</v>
      </c>
      <c r="G11" s="3" t="s">
        <v>94</v>
      </c>
      <c r="H11" s="3" t="s">
        <v>95</v>
      </c>
      <c r="I11" s="3" t="s">
        <v>96</v>
      </c>
      <c r="L11" s="18" t="s">
        <v>51</v>
      </c>
      <c r="M11" s="18" t="s">
        <v>51</v>
      </c>
      <c r="N11" s="19">
        <v>534</v>
      </c>
      <c r="O11" s="19">
        <f>175*3</f>
        <v>525</v>
      </c>
      <c r="P11" s="20">
        <f t="shared" ref="P11:P22" si="0">1-(N11/O11)</f>
        <v>-0.0171428571428571</v>
      </c>
      <c r="Q11" s="16"/>
      <c r="R11" s="16"/>
      <c r="S11" s="16"/>
      <c r="T11" s="16"/>
      <c r="U11" s="16"/>
      <c r="V11" s="16"/>
    </row>
    <row r="12" ht="15.6" spans="5:22">
      <c r="E12" s="4" t="s">
        <v>21</v>
      </c>
      <c r="F12" s="5" t="s">
        <v>97</v>
      </c>
      <c r="G12" s="6">
        <v>368</v>
      </c>
      <c r="H12" s="5">
        <f>121*3</f>
        <v>363</v>
      </c>
      <c r="I12" s="21">
        <f t="shared" ref="I12:I18" si="1">1-G12/H12</f>
        <v>-0.0137741046831956</v>
      </c>
      <c r="L12" s="18" t="s">
        <v>52</v>
      </c>
      <c r="M12" s="18" t="s">
        <v>52</v>
      </c>
      <c r="N12" s="19">
        <v>441</v>
      </c>
      <c r="O12" s="16">
        <f>143*3</f>
        <v>429</v>
      </c>
      <c r="P12" s="20">
        <f t="shared" si="0"/>
        <v>-0.0279720279720279</v>
      </c>
      <c r="Q12" s="16"/>
      <c r="R12" s="16"/>
      <c r="S12" s="16"/>
      <c r="T12" s="16"/>
      <c r="U12" s="16"/>
      <c r="V12" s="16"/>
    </row>
    <row r="13" ht="31.2" spans="5:22">
      <c r="E13" s="4" t="s">
        <v>98</v>
      </c>
      <c r="F13" s="5" t="s">
        <v>99</v>
      </c>
      <c r="G13" s="6">
        <v>251</v>
      </c>
      <c r="H13" s="5">
        <f t="shared" ref="H13:H14" si="2">82*3</f>
        <v>246</v>
      </c>
      <c r="I13" s="21">
        <f t="shared" si="1"/>
        <v>-0.0203252032520325</v>
      </c>
      <c r="L13" s="18" t="s">
        <v>53</v>
      </c>
      <c r="M13" s="18" t="s">
        <v>53</v>
      </c>
      <c r="N13" s="19">
        <v>289</v>
      </c>
      <c r="O13" s="16">
        <f t="shared" ref="O13:O15" si="3">97*3</f>
        <v>291</v>
      </c>
      <c r="P13" s="20">
        <f t="shared" si="0"/>
        <v>0.00687285223367695</v>
      </c>
      <c r="Q13" s="16"/>
      <c r="R13" s="16"/>
      <c r="S13" s="16"/>
      <c r="T13" s="16"/>
      <c r="U13" s="16"/>
      <c r="V13" s="16"/>
    </row>
    <row r="14" ht="31.2" spans="5:22">
      <c r="E14" s="4" t="s">
        <v>100</v>
      </c>
      <c r="F14" s="5" t="s">
        <v>101</v>
      </c>
      <c r="G14" s="6">
        <v>251</v>
      </c>
      <c r="H14" s="5">
        <f t="shared" si="2"/>
        <v>246</v>
      </c>
      <c r="I14" s="21">
        <f t="shared" si="1"/>
        <v>-0.0203252032520325</v>
      </c>
      <c r="L14" s="18" t="s">
        <v>54</v>
      </c>
      <c r="M14" s="18" t="s">
        <v>54</v>
      </c>
      <c r="N14" s="19">
        <v>289</v>
      </c>
      <c r="O14" s="16">
        <f t="shared" si="3"/>
        <v>291</v>
      </c>
      <c r="P14" s="20">
        <f t="shared" si="0"/>
        <v>0.00687285223367695</v>
      </c>
      <c r="Q14" s="16"/>
      <c r="R14" s="16"/>
      <c r="S14" s="16"/>
      <c r="T14" s="16"/>
      <c r="U14" s="16"/>
      <c r="V14" s="16"/>
    </row>
    <row r="15" ht="15.6" spans="5:22">
      <c r="E15" s="4" t="s">
        <v>30</v>
      </c>
      <c r="F15" s="5" t="s">
        <v>102</v>
      </c>
      <c r="G15" s="6">
        <v>175</v>
      </c>
      <c r="H15" s="5">
        <f t="shared" ref="H15:H16" si="4">56*3</f>
        <v>168</v>
      </c>
      <c r="I15" s="21">
        <f t="shared" si="1"/>
        <v>-0.0416666666666667</v>
      </c>
      <c r="L15" s="18" t="s">
        <v>55</v>
      </c>
      <c r="M15" s="18" t="s">
        <v>55</v>
      </c>
      <c r="N15" s="19">
        <v>289</v>
      </c>
      <c r="O15" s="16">
        <f t="shared" si="3"/>
        <v>291</v>
      </c>
      <c r="P15" s="20">
        <f t="shared" si="0"/>
        <v>0.00687285223367695</v>
      </c>
      <c r="Q15" s="16"/>
      <c r="R15" s="16"/>
      <c r="S15" s="16"/>
      <c r="T15" s="16"/>
      <c r="U15" s="16"/>
      <c r="V15" s="16"/>
    </row>
    <row r="16" ht="31.2" spans="5:22">
      <c r="E16" s="4" t="s">
        <v>103</v>
      </c>
      <c r="F16" s="5" t="s">
        <v>104</v>
      </c>
      <c r="G16" s="6">
        <v>159</v>
      </c>
      <c r="H16" s="6">
        <f t="shared" si="4"/>
        <v>168</v>
      </c>
      <c r="I16" s="21">
        <f t="shared" si="1"/>
        <v>0.0535714285714286</v>
      </c>
      <c r="L16" s="18" t="s">
        <v>56</v>
      </c>
      <c r="M16" s="18" t="s">
        <v>56</v>
      </c>
      <c r="N16" s="19">
        <v>170</v>
      </c>
      <c r="O16" s="16">
        <f>57*3</f>
        <v>171</v>
      </c>
      <c r="P16" s="20">
        <f t="shared" si="0"/>
        <v>0.00584795321637432</v>
      </c>
      <c r="Q16" s="16"/>
      <c r="R16" s="16"/>
      <c r="S16" s="16"/>
      <c r="T16" s="16"/>
      <c r="U16" s="16"/>
      <c r="V16" s="16"/>
    </row>
    <row r="17" ht="46.8" spans="5:22">
      <c r="E17" s="4" t="s">
        <v>105</v>
      </c>
      <c r="F17" s="5" t="s">
        <v>106</v>
      </c>
      <c r="G17" s="6">
        <v>73</v>
      </c>
      <c r="H17" s="5">
        <f>25*3</f>
        <v>75</v>
      </c>
      <c r="I17" s="21">
        <f t="shared" si="1"/>
        <v>0.0266666666666666</v>
      </c>
      <c r="L17" s="18" t="s">
        <v>57</v>
      </c>
      <c r="M17" s="18" t="s">
        <v>57</v>
      </c>
      <c r="N17" s="19">
        <v>271</v>
      </c>
      <c r="O17" s="16">
        <f>87*3</f>
        <v>261</v>
      </c>
      <c r="P17" s="20">
        <f t="shared" si="0"/>
        <v>-0.0383141762452108</v>
      </c>
      <c r="Q17" s="16"/>
      <c r="R17" s="16"/>
      <c r="S17" s="16"/>
      <c r="T17" s="16"/>
      <c r="U17" s="16"/>
      <c r="V17" s="16"/>
    </row>
    <row r="18" ht="15.6" spans="5:16">
      <c r="E18" s="4" t="s">
        <v>25</v>
      </c>
      <c r="F18" s="5" t="s">
        <v>107</v>
      </c>
      <c r="G18" s="6">
        <v>326</v>
      </c>
      <c r="H18" s="5">
        <f>104*3</f>
        <v>312</v>
      </c>
      <c r="I18" s="21">
        <f t="shared" si="1"/>
        <v>-0.0448717948717949</v>
      </c>
      <c r="L18" s="18" t="s">
        <v>58</v>
      </c>
      <c r="M18" s="18" t="s">
        <v>58</v>
      </c>
      <c r="N18" s="19">
        <v>74</v>
      </c>
      <c r="O18" s="16">
        <f>24*3</f>
        <v>72</v>
      </c>
      <c r="P18" s="20">
        <f t="shared" si="0"/>
        <v>-0.0277777777777777</v>
      </c>
    </row>
    <row r="19" ht="14.4" spans="12:16">
      <c r="L19" s="18" t="s">
        <v>59</v>
      </c>
      <c r="M19" s="18" t="s">
        <v>59</v>
      </c>
      <c r="N19" s="19">
        <v>345</v>
      </c>
      <c r="O19" s="16">
        <f>113*3</f>
        <v>339</v>
      </c>
      <c r="P19" s="20">
        <f t="shared" si="0"/>
        <v>-0.0176991150442478</v>
      </c>
    </row>
    <row r="20" ht="14.4" spans="12:16">
      <c r="L20" s="18" t="s">
        <v>60</v>
      </c>
      <c r="M20" s="18" t="s">
        <v>60</v>
      </c>
      <c r="N20" s="19">
        <v>93</v>
      </c>
      <c r="O20" s="16">
        <f t="shared" ref="O20:O22" si="5">32*3</f>
        <v>96</v>
      </c>
      <c r="P20" s="20">
        <f t="shared" si="0"/>
        <v>0.03125</v>
      </c>
    </row>
    <row r="21" ht="15.75" customHeight="1" spans="12:16">
      <c r="L21" s="18" t="s">
        <v>61</v>
      </c>
      <c r="M21" s="18" t="s">
        <v>61</v>
      </c>
      <c r="N21" s="19">
        <v>93</v>
      </c>
      <c r="O21" s="16">
        <f t="shared" si="5"/>
        <v>96</v>
      </c>
      <c r="P21" s="20">
        <f t="shared" si="0"/>
        <v>0.03125</v>
      </c>
    </row>
    <row r="22" ht="15.75" customHeight="1" spans="12:16">
      <c r="L22" s="18" t="s">
        <v>62</v>
      </c>
      <c r="M22" s="18" t="s">
        <v>62</v>
      </c>
      <c r="N22" s="19">
        <v>93</v>
      </c>
      <c r="O22" s="16">
        <f t="shared" si="5"/>
        <v>96</v>
      </c>
      <c r="P22" s="20">
        <f t="shared" si="0"/>
        <v>0.03125</v>
      </c>
    </row>
    <row r="23" ht="15.75" customHeight="1" spans="5:15">
      <c r="E23" s="1" t="s">
        <v>108</v>
      </c>
      <c r="F23" s="2"/>
      <c r="G23" s="2"/>
      <c r="H23" s="2"/>
      <c r="I23" s="2"/>
      <c r="O23" s="22">
        <f>SUM(O11:O22)</f>
        <v>2958</v>
      </c>
    </row>
    <row r="24" ht="15.75" customHeight="1" spans="12:16">
      <c r="L24" s="13" t="s">
        <v>108</v>
      </c>
      <c r="M24" s="14"/>
      <c r="N24" s="14"/>
      <c r="O24" s="14"/>
      <c r="P24" s="15"/>
    </row>
    <row r="25" ht="15.75" customHeight="1" spans="5:16">
      <c r="E25" s="7" t="s">
        <v>92</v>
      </c>
      <c r="F25" s="7" t="s">
        <v>93</v>
      </c>
      <c r="G25" s="7" t="s">
        <v>94</v>
      </c>
      <c r="H25" s="7" t="s">
        <v>95</v>
      </c>
      <c r="I25" s="7" t="s">
        <v>96</v>
      </c>
      <c r="L25" s="16"/>
      <c r="M25" s="16"/>
      <c r="N25" s="16"/>
      <c r="O25" s="16"/>
      <c r="P25" s="16"/>
    </row>
    <row r="26" ht="15.75" customHeight="1" spans="5:16">
      <c r="E26" s="8" t="s">
        <v>21</v>
      </c>
      <c r="F26" s="9" t="s">
        <v>97</v>
      </c>
      <c r="G26" s="10">
        <f>5*368</f>
        <v>1840</v>
      </c>
      <c r="H26" s="11">
        <f>721*3</f>
        <v>2163</v>
      </c>
      <c r="I26" s="23">
        <f t="shared" ref="I26:I32" si="6">1-G26/H26</f>
        <v>0.149329634766528</v>
      </c>
      <c r="L26" s="17" t="s">
        <v>92</v>
      </c>
      <c r="M26" s="17" t="s">
        <v>93</v>
      </c>
      <c r="N26" s="17" t="s">
        <v>94</v>
      </c>
      <c r="O26" s="17" t="s">
        <v>95</v>
      </c>
      <c r="P26" s="17" t="s">
        <v>96</v>
      </c>
    </row>
    <row r="27" ht="15.75" customHeight="1" spans="5:16">
      <c r="E27" s="8" t="s">
        <v>98</v>
      </c>
      <c r="F27" s="9" t="s">
        <v>99</v>
      </c>
      <c r="G27" s="10">
        <f t="shared" ref="G27:G28" si="7">5*251</f>
        <v>1255</v>
      </c>
      <c r="H27" s="11">
        <f>3*464</f>
        <v>1392</v>
      </c>
      <c r="I27" s="23">
        <f t="shared" si="6"/>
        <v>0.0984195402298851</v>
      </c>
      <c r="L27" s="18" t="s">
        <v>51</v>
      </c>
      <c r="M27" s="18" t="s">
        <v>51</v>
      </c>
      <c r="N27" s="19">
        <f>534*3</f>
        <v>1602</v>
      </c>
      <c r="O27" s="24">
        <f>522*3</f>
        <v>1566</v>
      </c>
      <c r="P27" s="20">
        <f t="shared" ref="P27:P38" si="8">1-(N27/O27)</f>
        <v>-0.0229885057471264</v>
      </c>
    </row>
    <row r="28" ht="15.75" customHeight="1" spans="5:16">
      <c r="E28" s="8" t="s">
        <v>100</v>
      </c>
      <c r="F28" s="9" t="s">
        <v>101</v>
      </c>
      <c r="G28" s="10">
        <f t="shared" si="7"/>
        <v>1255</v>
      </c>
      <c r="H28" s="11">
        <f>3*462</f>
        <v>1386</v>
      </c>
      <c r="I28" s="23">
        <f t="shared" si="6"/>
        <v>0.0945165945165946</v>
      </c>
      <c r="L28" s="18" t="s">
        <v>52</v>
      </c>
      <c r="M28" s="18" t="s">
        <v>52</v>
      </c>
      <c r="N28" s="19">
        <f>441*3</f>
        <v>1323</v>
      </c>
      <c r="O28" s="24">
        <f>432*3</f>
        <v>1296</v>
      </c>
      <c r="P28" s="20">
        <f t="shared" si="8"/>
        <v>-0.0208333333333333</v>
      </c>
    </row>
    <row r="29" ht="15.75" customHeight="1" spans="5:16">
      <c r="E29" s="8" t="s">
        <v>30</v>
      </c>
      <c r="F29" s="9" t="s">
        <v>102</v>
      </c>
      <c r="G29" s="10">
        <f>5*175</f>
        <v>875</v>
      </c>
      <c r="H29" s="11">
        <f>3*314</f>
        <v>942</v>
      </c>
      <c r="I29" s="23">
        <f t="shared" si="6"/>
        <v>0.0711252653927813</v>
      </c>
      <c r="L29" s="18" t="s">
        <v>53</v>
      </c>
      <c r="M29" s="18" t="s">
        <v>53</v>
      </c>
      <c r="N29" s="19">
        <f t="shared" ref="N29:O29" si="9">289*3</f>
        <v>867</v>
      </c>
      <c r="O29" s="16">
        <f t="shared" si="9"/>
        <v>867</v>
      </c>
      <c r="P29" s="20">
        <f t="shared" si="8"/>
        <v>0</v>
      </c>
    </row>
    <row r="30" ht="15.75" customHeight="1" spans="5:16">
      <c r="E30" s="8" t="s">
        <v>103</v>
      </c>
      <c r="F30" s="9" t="s">
        <v>104</v>
      </c>
      <c r="G30" s="10">
        <f>5*159</f>
        <v>795</v>
      </c>
      <c r="H30" s="11">
        <f>3*330</f>
        <v>990</v>
      </c>
      <c r="I30" s="23">
        <f t="shared" si="6"/>
        <v>0.196969696969697</v>
      </c>
      <c r="L30" s="18" t="s">
        <v>54</v>
      </c>
      <c r="M30" s="18" t="s">
        <v>54</v>
      </c>
      <c r="N30" s="19">
        <f t="shared" ref="N30:N31" si="10">289*3</f>
        <v>867</v>
      </c>
      <c r="O30" s="16">
        <f>290*3</f>
        <v>870</v>
      </c>
      <c r="P30" s="20">
        <f t="shared" si="8"/>
        <v>0.00344827586206897</v>
      </c>
    </row>
    <row r="31" ht="15.75" customHeight="1" spans="5:16">
      <c r="E31" s="8" t="s">
        <v>105</v>
      </c>
      <c r="F31" s="9" t="s">
        <v>106</v>
      </c>
      <c r="G31" s="10">
        <f>5*73</f>
        <v>365</v>
      </c>
      <c r="H31" s="11">
        <f>3*141</f>
        <v>423</v>
      </c>
      <c r="I31" s="23">
        <f t="shared" si="6"/>
        <v>0.137115839243499</v>
      </c>
      <c r="L31" s="18" t="s">
        <v>55</v>
      </c>
      <c r="M31" s="18" t="s">
        <v>55</v>
      </c>
      <c r="N31" s="19">
        <f t="shared" si="10"/>
        <v>867</v>
      </c>
      <c r="O31" s="16">
        <f>292*3</f>
        <v>876</v>
      </c>
      <c r="P31" s="20">
        <f t="shared" si="8"/>
        <v>0.0102739726027398</v>
      </c>
    </row>
    <row r="32" ht="15.75" customHeight="1" spans="5:16">
      <c r="E32" s="8" t="s">
        <v>25</v>
      </c>
      <c r="F32" s="9" t="s">
        <v>107</v>
      </c>
      <c r="G32" s="10">
        <f>5*326</f>
        <v>1630</v>
      </c>
      <c r="H32" s="11">
        <f>3*599</f>
        <v>1797</v>
      </c>
      <c r="I32" s="23">
        <f t="shared" si="6"/>
        <v>0.0929326655537006</v>
      </c>
      <c r="L32" s="18" t="s">
        <v>56</v>
      </c>
      <c r="M32" s="18" t="s">
        <v>56</v>
      </c>
      <c r="N32" s="19">
        <f>170*3</f>
        <v>510</v>
      </c>
      <c r="O32" s="16">
        <f>171*3</f>
        <v>513</v>
      </c>
      <c r="P32" s="20">
        <f t="shared" si="8"/>
        <v>0.00584795321637432</v>
      </c>
    </row>
    <row r="33" ht="15.75" customHeight="1" spans="12:16">
      <c r="L33" s="18" t="s">
        <v>57</v>
      </c>
      <c r="M33" s="18" t="s">
        <v>57</v>
      </c>
      <c r="N33" s="19">
        <f>271*3</f>
        <v>813</v>
      </c>
      <c r="O33" s="16">
        <f>264*3</f>
        <v>792</v>
      </c>
      <c r="P33" s="20">
        <f t="shared" si="8"/>
        <v>-0.0265151515151516</v>
      </c>
    </row>
    <row r="34" ht="15.75" customHeight="1" spans="12:16">
      <c r="L34" s="18" t="s">
        <v>58</v>
      </c>
      <c r="M34" s="18" t="s">
        <v>58</v>
      </c>
      <c r="N34" s="19">
        <f>74*3</f>
        <v>222</v>
      </c>
      <c r="O34" s="16">
        <f>73*3</f>
        <v>219</v>
      </c>
      <c r="P34" s="20">
        <f t="shared" si="8"/>
        <v>-0.0136986301369864</v>
      </c>
    </row>
    <row r="35" ht="15.75" customHeight="1" spans="5:16">
      <c r="E35" s="1" t="s">
        <v>109</v>
      </c>
      <c r="F35" s="2"/>
      <c r="G35" s="2"/>
      <c r="H35" s="2"/>
      <c r="I35" s="2"/>
      <c r="L35" s="18" t="s">
        <v>59</v>
      </c>
      <c r="M35" s="18" t="s">
        <v>59</v>
      </c>
      <c r="N35" s="19">
        <f>345*3</f>
        <v>1035</v>
      </c>
      <c r="O35" s="16">
        <f>339*3</f>
        <v>1017</v>
      </c>
      <c r="P35" s="20">
        <f t="shared" si="8"/>
        <v>-0.0176991150442478</v>
      </c>
    </row>
    <row r="36" ht="15.75" customHeight="1" spans="12:16">
      <c r="L36" s="18" t="s">
        <v>60</v>
      </c>
      <c r="M36" s="18" t="s">
        <v>60</v>
      </c>
      <c r="N36" s="19">
        <f t="shared" ref="N36:O36" si="11">93*3</f>
        <v>279</v>
      </c>
      <c r="O36" s="16">
        <f t="shared" si="11"/>
        <v>279</v>
      </c>
      <c r="P36" s="20">
        <f t="shared" si="8"/>
        <v>0</v>
      </c>
    </row>
    <row r="37" ht="15.75" customHeight="1" spans="5:16">
      <c r="E37" s="7" t="s">
        <v>92</v>
      </c>
      <c r="F37" s="7" t="s">
        <v>93</v>
      </c>
      <c r="G37" s="7" t="s">
        <v>94</v>
      </c>
      <c r="H37" s="7" t="s">
        <v>95</v>
      </c>
      <c r="I37" s="7" t="s">
        <v>96</v>
      </c>
      <c r="L37" s="18" t="s">
        <v>61</v>
      </c>
      <c r="M37" s="18" t="s">
        <v>61</v>
      </c>
      <c r="N37" s="19">
        <f t="shared" ref="N37:O37" si="12">93*3</f>
        <v>279</v>
      </c>
      <c r="O37" s="16">
        <f t="shared" si="12"/>
        <v>279</v>
      </c>
      <c r="P37" s="20">
        <f t="shared" si="8"/>
        <v>0</v>
      </c>
    </row>
    <row r="38" ht="15.75" customHeight="1" spans="5:16">
      <c r="E38" s="8" t="s">
        <v>21</v>
      </c>
      <c r="F38" s="9" t="s">
        <v>97</v>
      </c>
      <c r="G38" s="10">
        <f>5*368</f>
        <v>1840</v>
      </c>
      <c r="H38" s="11">
        <v>2109</v>
      </c>
      <c r="I38" s="23">
        <f t="shared" ref="I38:I44" si="13">1-G38/H38</f>
        <v>0.127548601232812</v>
      </c>
      <c r="L38" s="18" t="s">
        <v>62</v>
      </c>
      <c r="M38" s="18" t="s">
        <v>62</v>
      </c>
      <c r="N38" s="19">
        <f>93*3</f>
        <v>279</v>
      </c>
      <c r="O38" s="16">
        <f>94*3</f>
        <v>282</v>
      </c>
      <c r="P38" s="20">
        <f t="shared" si="8"/>
        <v>0.0106382978723404</v>
      </c>
    </row>
    <row r="39" ht="15.75" customHeight="1" spans="5:15">
      <c r="E39" s="8" t="s">
        <v>98</v>
      </c>
      <c r="F39" s="9" t="s">
        <v>99</v>
      </c>
      <c r="G39" s="10">
        <f t="shared" ref="G39:G40" si="14">5*251</f>
        <v>1255</v>
      </c>
      <c r="H39" s="12">
        <v>1315</v>
      </c>
      <c r="I39" s="23">
        <f t="shared" si="13"/>
        <v>0.0456273764258555</v>
      </c>
      <c r="L39" s="12"/>
      <c r="M39" s="12"/>
      <c r="N39" s="12"/>
      <c r="O39" s="25">
        <f>SUM(O27:O38)</f>
        <v>8856</v>
      </c>
    </row>
    <row r="40" ht="15.75" customHeight="1" spans="5:16">
      <c r="E40" s="8" t="s">
        <v>100</v>
      </c>
      <c r="F40" s="9" t="s">
        <v>101</v>
      </c>
      <c r="G40" s="10">
        <f t="shared" si="14"/>
        <v>1255</v>
      </c>
      <c r="H40" s="11">
        <v>1315</v>
      </c>
      <c r="I40" s="23">
        <f t="shared" si="13"/>
        <v>0.0456273764258555</v>
      </c>
      <c r="L40" s="13" t="s">
        <v>109</v>
      </c>
      <c r="M40" s="14"/>
      <c r="N40" s="14"/>
      <c r="O40" s="14"/>
      <c r="P40" s="15"/>
    </row>
    <row r="41" ht="15.75" customHeight="1" spans="5:16">
      <c r="E41" s="8" t="s">
        <v>30</v>
      </c>
      <c r="F41" s="9" t="s">
        <v>102</v>
      </c>
      <c r="G41" s="10">
        <f>5*175</f>
        <v>875</v>
      </c>
      <c r="H41" s="12">
        <v>924</v>
      </c>
      <c r="I41" s="23">
        <f t="shared" si="13"/>
        <v>0.053030303030303</v>
      </c>
      <c r="L41" s="16"/>
      <c r="M41" s="16"/>
      <c r="N41" s="16"/>
      <c r="O41" s="16"/>
      <c r="P41" s="16"/>
    </row>
    <row r="42" ht="15.75" customHeight="1" spans="5:16">
      <c r="E42" s="8" t="s">
        <v>103</v>
      </c>
      <c r="F42" s="9" t="s">
        <v>104</v>
      </c>
      <c r="G42" s="10">
        <f>5*159</f>
        <v>795</v>
      </c>
      <c r="H42" s="12">
        <v>998</v>
      </c>
      <c r="I42" s="23">
        <f t="shared" si="13"/>
        <v>0.203406813627255</v>
      </c>
      <c r="L42" s="17" t="s">
        <v>92</v>
      </c>
      <c r="M42" s="17" t="s">
        <v>93</v>
      </c>
      <c r="N42" s="17" t="s">
        <v>94</v>
      </c>
      <c r="O42" s="17" t="s">
        <v>95</v>
      </c>
      <c r="P42" s="17" t="s">
        <v>96</v>
      </c>
    </row>
    <row r="43" ht="15.75" customHeight="1" spans="5:16">
      <c r="E43" s="8" t="s">
        <v>105</v>
      </c>
      <c r="F43" s="9" t="s">
        <v>106</v>
      </c>
      <c r="G43" s="10">
        <f>5*73</f>
        <v>365</v>
      </c>
      <c r="H43" s="12">
        <v>404</v>
      </c>
      <c r="I43" s="23">
        <f t="shared" si="13"/>
        <v>0.0965346534653465</v>
      </c>
      <c r="L43" s="18" t="s">
        <v>51</v>
      </c>
      <c r="M43" s="18" t="s">
        <v>51</v>
      </c>
      <c r="N43" s="19">
        <f>534*3</f>
        <v>1602</v>
      </c>
      <c r="O43" s="24">
        <f>1578</f>
        <v>1578</v>
      </c>
      <c r="P43" s="20">
        <f t="shared" ref="P43:P54" si="15">1-(N43/O43)</f>
        <v>-0.0152091254752851</v>
      </c>
    </row>
    <row r="44" ht="15.75" customHeight="1" spans="5:16">
      <c r="E44" s="8" t="s">
        <v>25</v>
      </c>
      <c r="F44" s="9" t="s">
        <v>107</v>
      </c>
      <c r="G44" s="10">
        <f>5*326</f>
        <v>1630</v>
      </c>
      <c r="H44" s="11">
        <v>1675</v>
      </c>
      <c r="I44" s="23">
        <f t="shared" si="13"/>
        <v>0.0268656716417911</v>
      </c>
      <c r="L44" s="18" t="s">
        <v>52</v>
      </c>
      <c r="M44" s="18" t="s">
        <v>52</v>
      </c>
      <c r="N44" s="19">
        <f>441*3</f>
        <v>1323</v>
      </c>
      <c r="O44" s="24">
        <f>1298</f>
        <v>1298</v>
      </c>
      <c r="P44" s="20">
        <f t="shared" si="15"/>
        <v>-0.0192604006163328</v>
      </c>
    </row>
    <row r="45" ht="15.75" customHeight="1" spans="12:16">
      <c r="L45" s="18" t="s">
        <v>53</v>
      </c>
      <c r="M45" s="18" t="s">
        <v>53</v>
      </c>
      <c r="N45" s="19">
        <f t="shared" ref="N45:N47" si="16">289*3</f>
        <v>867</v>
      </c>
      <c r="O45" s="16">
        <f t="shared" ref="O45:O46" si="17">867</f>
        <v>867</v>
      </c>
      <c r="P45" s="20">
        <f t="shared" si="15"/>
        <v>0</v>
      </c>
    </row>
    <row r="46" ht="15.75" customHeight="1" spans="12:16">
      <c r="L46" s="18" t="s">
        <v>54</v>
      </c>
      <c r="M46" s="18" t="s">
        <v>54</v>
      </c>
      <c r="N46" s="19">
        <f t="shared" si="16"/>
        <v>867</v>
      </c>
      <c r="O46" s="16">
        <f t="shared" si="17"/>
        <v>867</v>
      </c>
      <c r="P46" s="20">
        <f t="shared" si="15"/>
        <v>0</v>
      </c>
    </row>
    <row r="47" ht="15.75" customHeight="1" spans="12:16">
      <c r="L47" s="18" t="s">
        <v>55</v>
      </c>
      <c r="M47" s="18" t="s">
        <v>55</v>
      </c>
      <c r="N47" s="19">
        <f t="shared" si="16"/>
        <v>867</v>
      </c>
      <c r="O47" s="16">
        <f>868</f>
        <v>868</v>
      </c>
      <c r="P47" s="20">
        <f t="shared" si="15"/>
        <v>0.00115207373271886</v>
      </c>
    </row>
    <row r="48" ht="15.75" customHeight="1" spans="12:16">
      <c r="L48" s="18" t="s">
        <v>56</v>
      </c>
      <c r="M48" s="18" t="s">
        <v>56</v>
      </c>
      <c r="N48" s="19">
        <f>170*3</f>
        <v>510</v>
      </c>
      <c r="O48" s="16">
        <f>513</f>
        <v>513</v>
      </c>
      <c r="P48" s="20">
        <f t="shared" si="15"/>
        <v>0.00584795321637432</v>
      </c>
    </row>
    <row r="49" ht="15.75" customHeight="1" spans="12:16">
      <c r="L49" s="18" t="s">
        <v>57</v>
      </c>
      <c r="M49" s="18" t="s">
        <v>57</v>
      </c>
      <c r="N49" s="19">
        <f>271*3</f>
        <v>813</v>
      </c>
      <c r="O49" s="16">
        <f>783</f>
        <v>783</v>
      </c>
      <c r="P49" s="20">
        <f t="shared" si="15"/>
        <v>-0.0383141762452108</v>
      </c>
    </row>
    <row r="50" ht="15.75" customHeight="1" spans="12:16">
      <c r="L50" s="18" t="s">
        <v>58</v>
      </c>
      <c r="M50" s="18" t="s">
        <v>58</v>
      </c>
      <c r="N50" s="19">
        <f>74*3</f>
        <v>222</v>
      </c>
      <c r="O50" s="16">
        <f>219</f>
        <v>219</v>
      </c>
      <c r="P50" s="20">
        <f t="shared" si="15"/>
        <v>-0.0136986301369864</v>
      </c>
    </row>
    <row r="51" ht="15.75" customHeight="1" spans="12:16">
      <c r="L51" s="18" t="s">
        <v>59</v>
      </c>
      <c r="M51" s="18" t="s">
        <v>59</v>
      </c>
      <c r="N51" s="19">
        <f>345*3</f>
        <v>1035</v>
      </c>
      <c r="O51" s="16">
        <f>1010</f>
        <v>1010</v>
      </c>
      <c r="P51" s="20">
        <f t="shared" si="15"/>
        <v>-0.0247524752475248</v>
      </c>
    </row>
    <row r="52" ht="15.75" customHeight="1" spans="12:16">
      <c r="L52" s="18" t="s">
        <v>60</v>
      </c>
      <c r="M52" s="18" t="s">
        <v>60</v>
      </c>
      <c r="N52" s="19">
        <f t="shared" ref="N52:N54" si="18">93*3</f>
        <v>279</v>
      </c>
      <c r="O52" s="16">
        <f>277</f>
        <v>277</v>
      </c>
      <c r="P52" s="20">
        <f t="shared" si="15"/>
        <v>-0.0072202166064983</v>
      </c>
    </row>
    <row r="53" ht="15.75" customHeight="1" spans="12:16">
      <c r="L53" s="18" t="s">
        <v>61</v>
      </c>
      <c r="M53" s="18" t="s">
        <v>61</v>
      </c>
      <c r="N53" s="19">
        <f t="shared" si="18"/>
        <v>279</v>
      </c>
      <c r="O53" s="16">
        <f>278</f>
        <v>278</v>
      </c>
      <c r="P53" s="20">
        <f t="shared" si="15"/>
        <v>-0.00359712230215825</v>
      </c>
    </row>
    <row r="54" ht="15.75" customHeight="1" spans="12:16">
      <c r="L54" s="18" t="s">
        <v>62</v>
      </c>
      <c r="M54" s="18" t="s">
        <v>62</v>
      </c>
      <c r="N54" s="19">
        <f t="shared" si="18"/>
        <v>279</v>
      </c>
      <c r="O54" s="16">
        <f>277</f>
        <v>277</v>
      </c>
      <c r="P54" s="20">
        <f t="shared" si="15"/>
        <v>-0.0072202166064983</v>
      </c>
    </row>
    <row r="55" ht="15.75" customHeight="1" spans="15:15">
      <c r="O55" s="22">
        <f>SUM(O43:O54)</f>
        <v>8835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L8:P8"/>
    <mergeCell ref="E9:I9"/>
    <mergeCell ref="E23:I23"/>
    <mergeCell ref="L24:P24"/>
    <mergeCell ref="E35:I35"/>
    <mergeCell ref="L40:P40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Алсу</cp:lastModifiedBy>
  <dcterms:created xsi:type="dcterms:W3CDTF">2015-06-05T18:19:00Z</dcterms:created>
  <dcterms:modified xsi:type="dcterms:W3CDTF">2024-10-27T15:11:42Z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0D201EEEEB984C7B858446068FF155E4_12</vt:lpwstr>
  </property>
  <property fmtid="{D5CDD505-2E9C-101B-9397-08002B2CF9AE}" pid="3" name="KSOProductBuildVer">
    <vt:lpwstr>1049-12.2.0.18607</vt:lpwstr>
  </property>
</Properties>
</file>