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Автоматизированный расчет" sheetId="1" r:id="rId4"/>
    <sheet state="visible" name="Соответствие" sheetId="2" r:id="rId5"/>
    <sheet state="visible" name="SummaryReport" sheetId="3" r:id="rId6"/>
    <sheet state="visible" name="Результаты всех тестов" sheetId="4" r:id="rId7"/>
  </sheets>
  <definedNames/>
  <calcPr/>
  <pivotCaches>
    <pivotCache cacheId="0" r:id="rId8"/>
  </pivotCaches>
  <extLst>
    <ext uri="GoogleSheetsCustomDataVersion2">
      <go:sheetsCustomData xmlns:go="http://customooxmlschemas.google.com/" r:id="rId9" roundtripDataChecksum="nKiUEgOmnRFYmg5yo63nkJWmVt6lXF3yoGc+88icLvM="/>
    </ext>
  </extLst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R2">
      <text>
        <t xml:space="preserve">======
ID#AAABT0kpuPA
Microsoft Office User    (2024-10-16 19:01:30)
Количество пользователей для конкретного скрипта, заполняется вручную, сумма всех пользователей для 100% профиля не должна превышать 10.</t>
      </text>
    </comment>
    <comment authorId="0" ref="N2">
      <text>
        <t xml:space="preserve">======
ID#AAABT0kpuO8
Microsoft Office User    (2024-10-16 19:01:30)
Duration - заполняется на основе данных после выполнения итерации соотвествующего скрипта в Vugen'е</t>
      </text>
    </comment>
    <comment authorId="0" ref="M21">
      <text>
        <t xml:space="preserve">======
ID#AAABT0kpuO0
Microsoft Office User    (2024-10-16 19:01:30)
1. Отображение состояния скриптов
2. Расчёт интенсивности
3. Расчёт интенсивности для каждой транзакции</t>
      </text>
    </comment>
  </commentList>
  <extLst>
    <ext uri="GoogleSheetsCustomDataVersion2">
      <go:sheetsCustomData xmlns:go="http://customooxmlschemas.google.com/" r:id="rId1" roundtripDataSignature="AMtx7mh6m+d3w7n3hbd2TUEWbEg+T4Qvhw=="/>
    </ext>
  </extLst>
</comments>
</file>

<file path=xl/sharedStrings.xml><?xml version="1.0" encoding="utf-8"?>
<sst xmlns="http://schemas.openxmlformats.org/spreadsheetml/2006/main" count="319" uniqueCount="109">
  <si>
    <t>Script name</t>
  </si>
  <si>
    <t>transaction rq</t>
  </si>
  <si>
    <t>count</t>
  </si>
  <si>
    <t>VU</t>
  </si>
  <si>
    <t>pacing</t>
  </si>
  <si>
    <t>одним пользователем в минуту</t>
  </si>
  <si>
    <t>Длительность ступени</t>
  </si>
  <si>
    <t>Итого</t>
  </si>
  <si>
    <t>Сумма по полю Итого</t>
  </si>
  <si>
    <t>Операция (бизнес процесс)</t>
  </si>
  <si>
    <t>Duration</t>
  </si>
  <si>
    <t>Think_time</t>
  </si>
  <si>
    <t>Duration + Think_time</t>
  </si>
  <si>
    <t>Pacing</t>
  </si>
  <si>
    <t>% Распределения пользователей</t>
  </si>
  <si>
    <t>Jmeter, throughput per minute</t>
  </si>
  <si>
    <t>Длительность ступени в минутах</t>
  </si>
  <si>
    <t>Интенсивность операций</t>
  </si>
  <si>
    <t>Всего пользователей на ступени</t>
  </si>
  <si>
    <t>Покупка билета</t>
  </si>
  <si>
    <t>Главная Welcome страница</t>
  </si>
  <si>
    <t>Вход в систему</t>
  </si>
  <si>
    <t xml:space="preserve">Выбор рейса из найденных </t>
  </si>
  <si>
    <t xml:space="preserve">Удаление бронирования </t>
  </si>
  <si>
    <t>Переход на страницу поиска билетов</t>
  </si>
  <si>
    <t>Выход из системы</t>
  </si>
  <si>
    <t>Регистрация новых пользователей</t>
  </si>
  <si>
    <t xml:space="preserve">Заполнение полей для поиска билета </t>
  </si>
  <si>
    <t>Поиск билета без покупки</t>
  </si>
  <si>
    <t>Ознакомление с путевым листом</t>
  </si>
  <si>
    <t>Оплата билета</t>
  </si>
  <si>
    <t>Заполнение полей регистарции</t>
  </si>
  <si>
    <t>Логин</t>
  </si>
  <si>
    <t xml:space="preserve">Отмена бронирования </t>
  </si>
  <si>
    <t>Переход на следуюущий эран после регистарции</t>
  </si>
  <si>
    <t>Просмотр квитанций</t>
  </si>
  <si>
    <t>Перход на страницу регистрации</t>
  </si>
  <si>
    <t>Статистика с ПРОДа</t>
  </si>
  <si>
    <t>Профиль</t>
  </si>
  <si>
    <t>Название запроса</t>
  </si>
  <si>
    <t>Интенсивность по статистике запросов / час</t>
  </si>
  <si>
    <t>Расчетная интенсивность запросов / час</t>
  </si>
  <si>
    <t>% Соотвествия расчетанной интенсивности статистики</t>
  </si>
  <si>
    <t>ScriptName</t>
  </si>
  <si>
    <t>Расчетная интенсивность запросов / 20 мин</t>
  </si>
  <si>
    <t>Фактическая интенсивность в тесте</t>
  </si>
  <si>
    <t>% Отклонение от Профиля</t>
  </si>
  <si>
    <t>Операций/час = количество операций одним пользователем в час (60 * количество операций один пользователем в минуту (pacing / 60)) * кол-во пользователей</t>
  </si>
  <si>
    <t>Имя в статистике</t>
  </si>
  <si>
    <t>Имя в скрипте</t>
  </si>
  <si>
    <t>HomePage</t>
  </si>
  <si>
    <t>Login</t>
  </si>
  <si>
    <t>FlightsPage</t>
  </si>
  <si>
    <t>FindFlight</t>
  </si>
  <si>
    <t>ChooseFlight</t>
  </si>
  <si>
    <t>FillThePaymentDetails</t>
  </si>
  <si>
    <t>Itinerary</t>
  </si>
  <si>
    <t>CancelReservation</t>
  </si>
  <si>
    <t>SignOff</t>
  </si>
  <si>
    <t>SignUp</t>
  </si>
  <si>
    <t>FillTheregistrationForm</t>
  </si>
  <si>
    <t>Continue</t>
  </si>
  <si>
    <t>Transaction Name</t>
  </si>
  <si>
    <t>Minimum</t>
  </si>
  <si>
    <t>Average</t>
  </si>
  <si>
    <t>Maximum</t>
  </si>
  <si>
    <t>Std. Deviation</t>
  </si>
  <si>
    <t>90 Percent</t>
  </si>
  <si>
    <t>Pass</t>
  </si>
  <si>
    <t>Fail</t>
  </si>
  <si>
    <t>Stop</t>
  </si>
  <si>
    <r>
      <rPr>
        <rFont val="Arial"/>
        <color rgb="FF1155CC"/>
        <sz val="11.0"/>
        <u/>
      </rPr>
      <t>Action_Transaction</t>
    </r>
  </si>
  <si>
    <r>
      <rPr>
        <rFont val="Arial"/>
        <color rgb="FF1155CC"/>
        <sz val="11.0"/>
        <u/>
      </rPr>
      <t>CancelReservation</t>
    </r>
  </si>
  <si>
    <r>
      <rPr>
        <rFont val="Arial"/>
        <color rgb="FF1155CC"/>
        <sz val="11.0"/>
        <u/>
      </rPr>
      <t>ChooseFlight</t>
    </r>
  </si>
  <si>
    <r>
      <rPr>
        <rFont val="Arial"/>
        <color rgb="FF1155CC"/>
        <sz val="11.0"/>
        <u/>
      </rPr>
      <t>Continue</t>
    </r>
  </si>
  <si>
    <r>
      <rPr>
        <rFont val="Arial"/>
        <color rgb="FF1155CC"/>
        <sz val="11.0"/>
        <u/>
      </rPr>
      <t>FillThePaymentDetails</t>
    </r>
  </si>
  <si>
    <r>
      <rPr>
        <rFont val="Arial"/>
        <color rgb="FF1155CC"/>
        <sz val="11.0"/>
        <u/>
      </rPr>
      <t>FillTheRegistrationForm</t>
    </r>
  </si>
  <si>
    <r>
      <rPr>
        <rFont val="Arial"/>
        <color rgb="FF1155CC"/>
        <sz val="11.0"/>
        <u/>
      </rPr>
      <t>FindFlight</t>
    </r>
  </si>
  <si>
    <r>
      <rPr>
        <rFont val="Arial"/>
        <color rgb="FF1155CC"/>
        <sz val="11.0"/>
        <u/>
      </rPr>
      <t>FlightsPage</t>
    </r>
  </si>
  <si>
    <r>
      <rPr>
        <rFont val="Arial"/>
        <color rgb="FF1155CC"/>
        <sz val="11.0"/>
        <u/>
      </rPr>
      <t>HomePage</t>
    </r>
  </si>
  <si>
    <r>
      <rPr>
        <rFont val="Arial"/>
        <color rgb="FF1155CC"/>
        <sz val="11.0"/>
        <u/>
      </rPr>
      <t>Itinerary</t>
    </r>
  </si>
  <si>
    <r>
      <rPr>
        <rFont val="Arial"/>
        <color rgb="FF1155CC"/>
        <sz val="11.0"/>
        <u/>
      </rPr>
      <t>Login</t>
    </r>
  </si>
  <si>
    <r>
      <rPr>
        <rFont val="Arial"/>
        <color rgb="FF1155CC"/>
        <sz val="11.0"/>
        <u/>
      </rPr>
      <t>SignOff</t>
    </r>
  </si>
  <si>
    <r>
      <rPr>
        <rFont val="Arial"/>
        <color rgb="FF1155CC"/>
        <sz val="11.0"/>
        <u/>
      </rPr>
      <t>SignUp</t>
    </r>
  </si>
  <si>
    <r>
      <rPr>
        <rFont val="Arial"/>
        <color rgb="FF1155CC"/>
        <sz val="11.0"/>
        <u/>
      </rPr>
      <t>UC02_SearchForTicketWithNoPayment</t>
    </r>
  </si>
  <si>
    <r>
      <rPr>
        <rFont val="Arial"/>
        <color rgb="FF1155CC"/>
        <sz val="11.0"/>
        <u/>
      </rPr>
      <t>UC03_TicketBooking</t>
    </r>
  </si>
  <si>
    <r>
      <rPr>
        <rFont val="Arial"/>
        <color rgb="FF1155CC"/>
        <sz val="11.0"/>
        <u/>
      </rPr>
      <t>UC04_ItinenaryChecking</t>
    </r>
  </si>
  <si>
    <r>
      <rPr>
        <rFont val="Arial"/>
        <color rgb="FF1155CC"/>
        <sz val="11.0"/>
        <u/>
      </rPr>
      <t>UC05_ReservationCancel</t>
    </r>
  </si>
  <si>
    <r>
      <rPr>
        <rFont val="Arial"/>
        <color rgb="FF1155CC"/>
        <sz val="11.0"/>
        <u/>
      </rPr>
      <t>UC06_Registration</t>
    </r>
  </si>
  <si>
    <t>Профиль для 10 пользавотелей(отладочный тест)</t>
  </si>
  <si>
    <t>Профиль для 10 пользавотелей</t>
  </si>
  <si>
    <t>Наименование операции</t>
  </si>
  <si>
    <t>Наименование транзакции</t>
  </si>
  <si>
    <t>По профилю</t>
  </si>
  <si>
    <t>По факту</t>
  </si>
  <si>
    <t>% отклонения</t>
  </si>
  <si>
    <t>login</t>
  </si>
  <si>
    <t>Заполнение полей для поиска билета</t>
  </si>
  <si>
    <t>fing_flight</t>
  </si>
  <si>
    <t>Выбор рейса из найденных</t>
  </si>
  <si>
    <t>select_ticket</t>
  </si>
  <si>
    <t>payment_details</t>
  </si>
  <si>
    <t>Просмотр квитанции</t>
  </si>
  <si>
    <t>Check_ticket</t>
  </si>
  <si>
    <t>Отмена бронирования билета</t>
  </si>
  <si>
    <t>Cancel_reservation</t>
  </si>
  <si>
    <t>logout</t>
  </si>
  <si>
    <t>Поиск максимума 3 ступень</t>
  </si>
  <si>
    <t>Подтверждение максимума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</si>
</sst>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6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  <font>
      <sz val="11.0"/>
      <color rgb="FFBFBFBF"/>
      <name val="Calibri"/>
    </font>
    <font/>
    <font>
      <sz val="14.0"/>
      <color theme="1"/>
      <name val="Calibri"/>
    </font>
    <font>
      <sz val="14.0"/>
      <color rgb="FF000000"/>
      <name val="Times New Roman"/>
    </font>
    <font>
      <b/>
      <sz val="14.0"/>
      <color rgb="FF000000"/>
      <name val="Times New Roman"/>
    </font>
    <font>
      <b/>
      <color rgb="FF6C6C6C"/>
      <name val="Arial"/>
    </font>
    <font>
      <color rgb="FF000000"/>
      <name val="Calibri"/>
    </font>
    <font>
      <u/>
      <sz val="11.0"/>
      <color rgb="FF0000FF"/>
      <name val="Arial"/>
    </font>
    <font>
      <sz val="11.0"/>
      <color rgb="FF212529"/>
      <name val="Arial"/>
    </font>
    <font>
      <color rgb="FFFF0000"/>
      <name val="Calibri"/>
    </font>
    <font>
      <b/>
      <sz val="11.0"/>
      <color theme="1"/>
      <name val="Times New Roman"/>
    </font>
    <font>
      <b/>
      <sz val="12.0"/>
      <color rgb="FF000000"/>
      <name val="Times New Roman"/>
    </font>
    <font>
      <b/>
      <sz val="11.0"/>
      <color theme="1"/>
      <name val="Calibri"/>
    </font>
  </fonts>
  <fills count="13">
    <fill>
      <patternFill patternType="none"/>
    </fill>
    <fill>
      <patternFill patternType="lightGray"/>
    </fill>
    <fill>
      <patternFill patternType="solid">
        <fgColor rgb="FFD0CECE"/>
        <bgColor rgb="FFD0CECE"/>
      </patternFill>
    </fill>
    <fill>
      <patternFill patternType="solid">
        <fgColor rgb="FFFEF2CB"/>
        <bgColor rgb="FFFEF2CB"/>
      </patternFill>
    </fill>
    <fill>
      <patternFill patternType="solid">
        <fgColor theme="7"/>
        <bgColor theme="7"/>
      </patternFill>
    </fill>
    <fill>
      <patternFill patternType="solid">
        <fgColor rgb="FFFFFF00"/>
        <bgColor rgb="FFFFFF00"/>
      </patternFill>
    </fill>
    <fill>
      <patternFill patternType="solid">
        <fgColor rgb="FFBDD6EE"/>
        <bgColor rgb="FFBDD6EE"/>
      </patternFill>
    </fill>
    <fill>
      <patternFill patternType="solid">
        <fgColor rgb="FFD8D8D8"/>
        <bgColor rgb="FFD8D8D8"/>
      </patternFill>
    </fill>
    <fill>
      <patternFill patternType="solid">
        <fgColor rgb="FFA8D08D"/>
        <bgColor rgb="FFA8D08D"/>
      </patternFill>
    </fill>
    <fill>
      <patternFill patternType="solid">
        <fgColor rgb="FFC5E0B3"/>
        <bgColor rgb="FFC5E0B3"/>
      </patternFill>
    </fill>
    <fill>
      <patternFill patternType="solid">
        <fgColor rgb="FFFFFFFF"/>
        <bgColor rgb="FFFFFFFF"/>
      </patternFill>
    </fill>
    <fill>
      <patternFill patternType="solid">
        <fgColor rgb="FFADB9CA"/>
        <bgColor rgb="FFADB9CA"/>
      </patternFill>
    </fill>
    <fill>
      <patternFill patternType="solid">
        <fgColor theme="0"/>
        <bgColor theme="0"/>
      </patternFill>
    </fill>
  </fills>
  <borders count="34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/>
      <right/>
      <top style="medium">
        <color rgb="FF000000"/>
      </top>
      <bottom/>
    </border>
    <border>
      <right style="medium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right style="medium">
        <color rgb="FF000000"/>
      </right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/>
      <top/>
      <bottom/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/>
      <top style="thin">
        <color rgb="FF000000"/>
      </top>
      <bottom style="medium">
        <color rgb="FF000000"/>
      </bottom>
    </border>
    <border>
      <top style="thin">
        <color rgb="FFDEE2E6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top/>
      <bottom/>
    </border>
    <border>
      <top/>
      <bottom/>
    </border>
    <border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</borders>
  <cellStyleXfs count="1">
    <xf borderId="0" fillId="0" fontId="0" numFmtId="0" applyAlignment="1" applyFont="1"/>
  </cellStyleXfs>
  <cellXfs count="9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1" fillId="0" fontId="2" numFmtId="0" xfId="0" applyBorder="1" applyFont="1"/>
    <xf borderId="2" fillId="0" fontId="2" numFmtId="0" xfId="0" applyBorder="1" applyFont="1"/>
    <xf borderId="3" fillId="0" fontId="2" numFmtId="0" xfId="0" applyBorder="1" applyFont="1"/>
    <xf borderId="4" fillId="2" fontId="2" numFmtId="0" xfId="0" applyBorder="1" applyFill="1" applyFont="1"/>
    <xf borderId="2" fillId="0" fontId="3" numFmtId="0" xfId="0" applyBorder="1" applyFont="1"/>
    <xf borderId="5" fillId="0" fontId="2" numFmtId="0" xfId="0" applyBorder="1" applyFont="1"/>
    <xf borderId="6" fillId="3" fontId="2" numFmtId="0" xfId="0" applyBorder="1" applyFill="1" applyFont="1"/>
    <xf borderId="7" fillId="3" fontId="2" numFmtId="0" xfId="0" applyBorder="1" applyFont="1"/>
    <xf borderId="8" fillId="0" fontId="2" numFmtId="0" xfId="0" applyBorder="1" applyFont="1"/>
    <xf borderId="0" fillId="0" fontId="1" numFmtId="1" xfId="0" applyFont="1" applyNumberFormat="1"/>
    <xf borderId="0" fillId="0" fontId="2" numFmtId="2" xfId="0" applyFont="1" applyNumberFormat="1"/>
    <xf borderId="0" fillId="0" fontId="2" numFmtId="1" xfId="0" applyFont="1" applyNumberFormat="1"/>
    <xf borderId="9" fillId="0" fontId="2" numFmtId="0" xfId="0" applyBorder="1" applyFont="1"/>
    <xf borderId="6" fillId="4" fontId="2" numFmtId="0" xfId="0" applyAlignment="1" applyBorder="1" applyFill="1" applyFont="1">
      <alignment readingOrder="0"/>
    </xf>
    <xf borderId="6" fillId="4" fontId="2" numFmtId="1" xfId="0" applyAlignment="1" applyBorder="1" applyFont="1" applyNumberFormat="1">
      <alignment readingOrder="0"/>
    </xf>
    <xf borderId="6" fillId="0" fontId="2" numFmtId="1" xfId="0" applyBorder="1" applyFont="1" applyNumberFormat="1"/>
    <xf borderId="6" fillId="5" fontId="2" numFmtId="1" xfId="0" applyBorder="1" applyFill="1" applyFont="1" applyNumberFormat="1"/>
    <xf borderId="7" fillId="5" fontId="2" numFmtId="0" xfId="0" applyAlignment="1" applyBorder="1" applyFont="1">
      <alignment readingOrder="0"/>
    </xf>
    <xf borderId="6" fillId="0" fontId="2" numFmtId="9" xfId="0" applyBorder="1" applyFont="1" applyNumberFormat="1"/>
    <xf borderId="6" fillId="2" fontId="2" numFmtId="2" xfId="0" applyBorder="1" applyFont="1" applyNumberFormat="1"/>
    <xf borderId="0" fillId="0" fontId="3" numFmtId="0" xfId="0" applyFont="1"/>
    <xf borderId="0" fillId="0" fontId="3" numFmtId="1" xfId="0" applyFont="1" applyNumberFormat="1"/>
    <xf borderId="10" fillId="0" fontId="2" numFmtId="0" xfId="0" applyBorder="1" applyFont="1"/>
    <xf borderId="11" fillId="0" fontId="2" numFmtId="0" xfId="0" applyBorder="1" applyFont="1"/>
    <xf borderId="0" fillId="0" fontId="2" numFmtId="0" xfId="0" applyAlignment="1" applyFont="1">
      <alignment horizontal="left"/>
    </xf>
    <xf borderId="6" fillId="4" fontId="2" numFmtId="1" xfId="0" applyBorder="1" applyFont="1" applyNumberFormat="1"/>
    <xf borderId="12" fillId="3" fontId="2" numFmtId="0" xfId="0" applyBorder="1" applyFont="1"/>
    <xf borderId="13" fillId="3" fontId="2" numFmtId="0" xfId="0" applyBorder="1" applyFont="1"/>
    <xf borderId="12" fillId="4" fontId="2" numFmtId="1" xfId="0" applyAlignment="1" applyBorder="1" applyFont="1" applyNumberFormat="1">
      <alignment readingOrder="0"/>
    </xf>
    <xf borderId="7" fillId="3" fontId="2" numFmtId="0" xfId="0" applyAlignment="1" applyBorder="1" applyFont="1">
      <alignment readingOrder="0"/>
    </xf>
    <xf borderId="14" fillId="0" fontId="2" numFmtId="0" xfId="0" applyBorder="1" applyFont="1"/>
    <xf borderId="15" fillId="0" fontId="2" numFmtId="0" xfId="0" applyBorder="1" applyFont="1"/>
    <xf borderId="16" fillId="0" fontId="2" numFmtId="9" xfId="0" applyBorder="1" applyFont="1" applyNumberFormat="1"/>
    <xf borderId="17" fillId="0" fontId="2" numFmtId="0" xfId="0" applyBorder="1" applyFont="1"/>
    <xf borderId="6" fillId="3" fontId="2" numFmtId="0" xfId="0" applyAlignment="1" applyBorder="1" applyFont="1">
      <alignment readingOrder="0"/>
    </xf>
    <xf borderId="13" fillId="3" fontId="2" numFmtId="0" xfId="0" applyAlignment="1" applyBorder="1" applyFont="1">
      <alignment readingOrder="0"/>
    </xf>
    <xf borderId="18" fillId="0" fontId="2" numFmtId="0" xfId="0" applyBorder="1" applyFont="1"/>
    <xf borderId="19" fillId="6" fontId="2" numFmtId="0" xfId="0" applyAlignment="1" applyBorder="1" applyFill="1" applyFont="1">
      <alignment horizontal="center"/>
    </xf>
    <xf borderId="20" fillId="0" fontId="4" numFmtId="0" xfId="0" applyBorder="1" applyFont="1"/>
    <xf borderId="21" fillId="6" fontId="2" numFmtId="0" xfId="0" applyAlignment="1" applyBorder="1" applyFont="1">
      <alignment horizontal="center"/>
    </xf>
    <xf borderId="22" fillId="0" fontId="4" numFmtId="0" xfId="0" applyBorder="1" applyFont="1"/>
    <xf borderId="23" fillId="7" fontId="5" numFmtId="0" xfId="0" applyAlignment="1" applyBorder="1" applyFill="1" applyFont="1">
      <alignment shrinkToFit="0" vertical="center" wrapText="1"/>
    </xf>
    <xf borderId="7" fillId="7" fontId="5" numFmtId="0" xfId="0" applyAlignment="1" applyBorder="1" applyFont="1">
      <alignment shrinkToFit="0" vertical="center" wrapText="1"/>
    </xf>
    <xf borderId="6" fillId="0" fontId="5" numFmtId="0" xfId="0" applyAlignment="1" applyBorder="1" applyFont="1">
      <alignment shrinkToFit="0" vertical="center" wrapText="1"/>
    </xf>
    <xf borderId="0" fillId="0" fontId="5" numFmtId="0" xfId="0" applyAlignment="1" applyFont="1">
      <alignment shrinkToFit="0" vertical="center" wrapText="1"/>
    </xf>
    <xf borderId="6" fillId="0" fontId="5" numFmtId="0" xfId="0" applyAlignment="1" applyBorder="1" applyFont="1">
      <alignment shrinkToFit="0" wrapText="1"/>
    </xf>
    <xf borderId="0" fillId="0" fontId="1" numFmtId="0" xfId="0" applyAlignment="1" applyFont="1">
      <alignment readingOrder="0"/>
    </xf>
    <xf borderId="7" fillId="7" fontId="6" numFmtId="0" xfId="0" applyAlignment="1" applyBorder="1" applyFont="1">
      <alignment horizontal="center" shrinkToFit="0" vertical="center" wrapText="1"/>
    </xf>
    <xf borderId="0" fillId="0" fontId="2" numFmtId="9" xfId="0" applyFont="1" applyNumberFormat="1"/>
    <xf borderId="6" fillId="0" fontId="2" numFmtId="0" xfId="0" applyBorder="1" applyFont="1"/>
    <xf borderId="6" fillId="8" fontId="2" numFmtId="1" xfId="0" applyBorder="1" applyFill="1" applyFont="1" applyNumberFormat="1"/>
    <xf borderId="6" fillId="9" fontId="2" numFmtId="9" xfId="0" applyBorder="1" applyFill="1" applyFont="1" applyNumberFormat="1"/>
    <xf borderId="23" fillId="7" fontId="6" numFmtId="0" xfId="0" applyAlignment="1" applyBorder="1" applyFont="1">
      <alignment horizontal="left" shrinkToFit="0" vertical="center" wrapText="1"/>
    </xf>
    <xf borderId="23" fillId="5" fontId="6" numFmtId="0" xfId="0" applyAlignment="1" applyBorder="1" applyFont="1">
      <alignment horizontal="left" shrinkToFit="0" vertical="center" wrapText="1"/>
    </xf>
    <xf borderId="24" fillId="7" fontId="7" numFmtId="0" xfId="0" applyAlignment="1" applyBorder="1" applyFont="1">
      <alignment horizontal="left" shrinkToFit="0" vertical="center" wrapText="1"/>
    </xf>
    <xf borderId="25" fillId="7" fontId="6" numFmtId="0" xfId="0" applyAlignment="1" applyBorder="1" applyFont="1">
      <alignment horizontal="center" shrinkToFit="0" vertical="center" wrapText="1"/>
    </xf>
    <xf borderId="6" fillId="0" fontId="6" numFmtId="1" xfId="0" applyAlignment="1" applyBorder="1" applyFont="1" applyNumberFormat="1">
      <alignment horizontal="center" shrinkToFit="0" vertical="center" wrapText="1"/>
    </xf>
    <xf borderId="2" fillId="0" fontId="2" numFmtId="0" xfId="0" applyAlignment="1" applyBorder="1" applyFont="1">
      <alignment horizontal="center"/>
    </xf>
    <xf borderId="0" fillId="0" fontId="2" numFmtId="0" xfId="0" applyAlignment="1" applyFont="1">
      <alignment horizontal="center"/>
    </xf>
    <xf borderId="6" fillId="7" fontId="2" numFmtId="0" xfId="0" applyBorder="1" applyFont="1"/>
    <xf borderId="6" fillId="0" fontId="2" numFmtId="0" xfId="0" applyAlignment="1" applyBorder="1" applyFont="1">
      <alignment readingOrder="0"/>
    </xf>
    <xf borderId="0" fillId="10" fontId="8" numFmtId="0" xfId="0" applyAlignment="1" applyFill="1" applyFont="1">
      <alignment readingOrder="0" vertical="bottom"/>
    </xf>
    <xf borderId="0" fillId="10" fontId="8" numFmtId="0" xfId="0" applyAlignment="1" applyFont="1">
      <alignment horizontal="center" readingOrder="0" vertical="bottom"/>
    </xf>
    <xf borderId="0" fillId="0" fontId="9" numFmtId="0" xfId="0" applyAlignment="1" applyFont="1">
      <alignment readingOrder="0" shrinkToFit="0" wrapText="0"/>
    </xf>
    <xf borderId="0" fillId="0" fontId="9" numFmtId="0" xfId="0" applyAlignment="1" applyFont="1">
      <alignment shrinkToFit="0" wrapText="0"/>
    </xf>
    <xf borderId="26" fillId="0" fontId="10" numFmtId="0" xfId="0" applyAlignment="1" applyBorder="1" applyFont="1">
      <alignment readingOrder="0"/>
    </xf>
    <xf borderId="26" fillId="10" fontId="11" numFmtId="0" xfId="0" applyAlignment="1" applyBorder="1" applyFont="1">
      <alignment horizontal="center" readingOrder="0"/>
    </xf>
    <xf borderId="0" fillId="0" fontId="9" numFmtId="0" xfId="0" applyAlignment="1" applyFont="1">
      <alignment horizontal="right" readingOrder="0" shrinkToFit="0" wrapText="0"/>
    </xf>
    <xf borderId="0" fillId="0" fontId="12" numFmtId="0" xfId="0" applyAlignment="1" applyFont="1">
      <alignment horizontal="right" readingOrder="0" shrinkToFit="0" wrapText="0"/>
    </xf>
    <xf borderId="0" fillId="0" fontId="12" numFmtId="0" xfId="0" applyAlignment="1" applyFont="1">
      <alignment shrinkToFit="0" wrapText="0"/>
    </xf>
    <xf borderId="6" fillId="0" fontId="1" numFmtId="0" xfId="0" applyBorder="1" applyFont="1"/>
    <xf borderId="27" fillId="11" fontId="2" numFmtId="0" xfId="0" applyAlignment="1" applyBorder="1" applyFill="1" applyFont="1">
      <alignment horizontal="center" readingOrder="0" vertical="bottom"/>
    </xf>
    <xf borderId="28" fillId="0" fontId="4" numFmtId="0" xfId="0" applyBorder="1" applyFont="1"/>
    <xf borderId="29" fillId="0" fontId="4" numFmtId="0" xfId="0" applyBorder="1" applyFont="1"/>
    <xf borderId="6" fillId="10" fontId="2" numFmtId="0" xfId="0" applyAlignment="1" applyBorder="1" applyFont="1">
      <alignment horizontal="center" readingOrder="0"/>
    </xf>
    <xf borderId="30" fillId="11" fontId="2" numFmtId="0" xfId="0" applyAlignment="1" applyBorder="1" applyFont="1">
      <alignment horizontal="center" readingOrder="0"/>
    </xf>
    <xf borderId="31" fillId="0" fontId="4" numFmtId="0" xfId="0" applyBorder="1" applyFont="1"/>
    <xf borderId="32" fillId="0" fontId="4" numFmtId="0" xfId="0" applyBorder="1" applyFont="1"/>
    <xf borderId="6" fillId="12" fontId="13" numFmtId="0" xfId="0" applyAlignment="1" applyBorder="1" applyFill="1" applyFont="1">
      <alignment horizontal="center" shrinkToFit="0" vertical="top" wrapText="1"/>
    </xf>
    <xf borderId="33" fillId="12" fontId="13" numFmtId="0" xfId="0" applyAlignment="1" applyBorder="1" applyFont="1">
      <alignment horizontal="center" shrinkToFit="0" vertical="top" wrapText="1"/>
    </xf>
    <xf borderId="6" fillId="0" fontId="1" numFmtId="0" xfId="0" applyAlignment="1" applyBorder="1" applyFont="1">
      <alignment readingOrder="0"/>
    </xf>
    <xf borderId="6" fillId="0" fontId="1" numFmtId="10" xfId="0" applyAlignment="1" applyBorder="1" applyFont="1" applyNumberFormat="1">
      <alignment readingOrder="0"/>
    </xf>
    <xf borderId="6" fillId="0" fontId="14" numFmtId="0" xfId="0" applyAlignment="1" applyBorder="1" applyFont="1">
      <alignment horizontal="left" shrinkToFit="0" vertical="top" wrapText="1"/>
    </xf>
    <xf borderId="6" fillId="0" fontId="15" numFmtId="0" xfId="0" applyAlignment="1" applyBorder="1" applyFont="1">
      <alignment horizontal="center" vertical="top"/>
    </xf>
    <xf borderId="6" fillId="0" fontId="13" numFmtId="0" xfId="0" applyAlignment="1" applyBorder="1" applyFont="1">
      <alignment horizontal="center" vertical="top"/>
    </xf>
    <xf borderId="6" fillId="0" fontId="13" numFmtId="10" xfId="0" applyAlignment="1" applyBorder="1" applyFont="1" applyNumberFormat="1">
      <alignment horizontal="center" vertical="top"/>
    </xf>
    <xf borderId="30" fillId="11" fontId="2" numFmtId="0" xfId="0" applyAlignment="1" applyBorder="1" applyFont="1">
      <alignment horizontal="center"/>
    </xf>
    <xf borderId="6" fillId="12" fontId="13" numFmtId="0" xfId="0" applyAlignment="1" applyBorder="1" applyFont="1">
      <alignment horizontal="left" vertical="top"/>
    </xf>
    <xf borderId="6" fillId="0" fontId="14" numFmtId="0" xfId="0" applyAlignment="1" applyBorder="1" applyFont="1">
      <alignment horizontal="left" vertical="top"/>
    </xf>
    <xf borderId="6" fillId="0" fontId="15" numFmtId="0" xfId="0" applyAlignment="1" applyBorder="1" applyFont="1">
      <alignment horizontal="left" vertical="top"/>
    </xf>
    <xf borderId="6" fillId="0" fontId="13" numFmtId="0" xfId="0" applyAlignment="1" applyBorder="1" applyFont="1">
      <alignment horizontal="left" vertical="top"/>
    </xf>
    <xf borderId="6" fillId="0" fontId="13" numFmtId="10" xfId="0" applyAlignment="1" applyBorder="1" applyFont="1" applyNumberFormat="1">
      <alignment horizontal="left" vertical="top"/>
    </xf>
    <xf borderId="0" fillId="10" fontId="11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H33" sheet="Автоматизированный расчет"/>
  </cacheSource>
  <cacheFields>
    <cacheField name="Script name" numFmtId="0">
      <sharedItems>
        <s v="Покупка билета"/>
        <s v="Удаление бронирования "/>
        <s v="Регистрация новых пользователей"/>
        <s v="Логин"/>
        <s v="Поиск билета без покупки"/>
        <s v="Ознакомление с путевым листом"/>
      </sharedItems>
    </cacheField>
    <cacheField name="transaction rq" numFmtId="0">
      <sharedItems>
        <s v="Главная Welcome страница"/>
        <s v="Вход в систему"/>
        <s v="Переход на страницу поиска билетов"/>
        <s v="Заполнение полей для поиска билета "/>
        <s v="Выбор рейса из найденных "/>
        <s v="Оплата билета"/>
        <s v="Выход из системы"/>
        <s v="Просмотр квитанций"/>
        <s v="Отмена бронирования "/>
        <s v="Перход на страницу регистрации"/>
        <s v="Заполнение полей регистарции"/>
        <s v="Переход на следуюущий эран после регистарции"/>
      </sharedItems>
    </cacheField>
    <cacheField name="count" numFmtId="0">
      <sharedItems containsSemiMixedTypes="0" containsString="0" containsNumber="1" containsInteger="1">
        <n v="1.0"/>
        <n v="0.0"/>
      </sharedItems>
    </cacheField>
    <cacheField name="VU" numFmtId="0">
      <sharedItems containsSemiMixedTypes="0" containsString="0" containsNumber="1" containsInteger="1">
        <n v="3.0"/>
        <n v="1.0"/>
        <n v="2.0"/>
      </sharedItems>
    </cacheField>
    <cacheField name="pacing" numFmtId="1">
      <sharedItems containsSemiMixedTypes="0" containsString="0" containsNumber="1">
        <n v="63.3618"/>
        <n v="48.60038"/>
        <n v="77.79361000000002"/>
        <n v="481.35900000000004"/>
        <n v="60.929114"/>
        <n v="50.787729999999996"/>
      </sharedItems>
    </cacheField>
    <cacheField name="одним пользователем в минуту" numFmtId="2">
      <sharedItems containsSemiMixedTypes="0" containsString="0" containsNumber="1">
        <n v="0.9469427951857428"/>
        <n v="1.2345582483099926"/>
        <n v="0.7712715735906842"/>
        <n v="0.12464709291817541"/>
        <n v="0.9847509024995834"/>
        <n v="0.0"/>
        <n v="1.18138770919669"/>
      </sharedItems>
    </cacheField>
    <cacheField name="Длительность ступени" numFmtId="0">
      <sharedItems containsSemiMixedTypes="0" containsString="0" containsNumber="1" containsInteger="1">
        <n v="20.0"/>
      </sharedItems>
    </cacheField>
    <cacheField name="Итого" numFmtId="1">
      <sharedItems containsSemiMixedTypes="0" containsString="0" containsNumber="1">
        <n v="56.81656771114456"/>
        <n v="24.691164966199853"/>
        <n v="30.85086294362737"/>
        <n v="2.4929418583635083"/>
        <n v="39.390036099983334"/>
        <n v="0.0"/>
        <n v="23.6277541839338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Автоматизированный расчет" cacheId="0" dataCaption="" compact="0" compactData="0">
  <location ref="I1:J14" firstHeaderRow="0" firstDataRow="1" firstDataCol="0"/>
  <pivotFields>
    <pivotField name="Script name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transaction rq" axis="axisRow" compact="0" outline="0" multipleItemSelectionAllowed="1" showAll="0" sortType="ascending">
      <items>
        <item x="1"/>
        <item x="4"/>
        <item x="6"/>
        <item x="0"/>
        <item x="3"/>
        <item x="10"/>
        <item x="5"/>
        <item x="8"/>
        <item x="11"/>
        <item x="2"/>
        <item x="9"/>
        <item x="7"/>
        <item t="default"/>
      </items>
    </pivotField>
    <pivotField name="count" compact="0" outline="0" multipleItemSelectionAllowed="1" showAll="0">
      <items>
        <item x="0"/>
        <item x="1"/>
        <item t="default"/>
      </items>
    </pivotField>
    <pivotField name="VU" compact="0" outline="0" multipleItemSelectionAllowed="1" showAll="0">
      <items>
        <item x="0"/>
        <item x="1"/>
        <item x="2"/>
        <item t="default"/>
      </items>
    </pivotField>
    <pivotField name="pacing" compact="0" numFmtId="1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одним пользователем в минуту" compact="0" numFmtId="2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Длительность ступени" compact="0" outline="0" multipleItemSelectionAllowed="1" showAll="0">
      <items>
        <item x="0"/>
        <item t="default"/>
      </items>
    </pivotField>
    <pivotField name="Итого" dataField="1" compact="0" numFmtId="1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</pivotFields>
  <rowFields>
    <field x="1"/>
  </rowFields>
  <dataFields>
    <dataField name="Сумма по полю Итого" fld="7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pivotTable" Target="../pivotTables/pivotTable1.xml"/><Relationship Id="rId3" Type="http://schemas.openxmlformats.org/officeDocument/2006/relationships/drawing" Target="../drawings/drawing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1" Type="http://schemas.openxmlformats.org/officeDocument/2006/relationships/hyperlink" Target="#" TargetMode="External"/><Relationship Id="rId10" Type="http://schemas.openxmlformats.org/officeDocument/2006/relationships/hyperlink" Target="#" TargetMode="External"/><Relationship Id="rId13" Type="http://schemas.openxmlformats.org/officeDocument/2006/relationships/hyperlink" Target="#" TargetMode="External"/><Relationship Id="rId12" Type="http://schemas.openxmlformats.org/officeDocument/2006/relationships/hyperlink" Target="#" TargetMode="External"/><Relationship Id="rId1" Type="http://schemas.openxmlformats.org/officeDocument/2006/relationships/hyperlink" Target="#" TargetMode="External"/><Relationship Id="rId2" Type="http://schemas.openxmlformats.org/officeDocument/2006/relationships/hyperlink" Target="#" TargetMode="External"/><Relationship Id="rId3" Type="http://schemas.openxmlformats.org/officeDocument/2006/relationships/hyperlink" Target="#" TargetMode="External"/><Relationship Id="rId4" Type="http://schemas.openxmlformats.org/officeDocument/2006/relationships/hyperlink" Target="#" TargetMode="External"/><Relationship Id="rId9" Type="http://schemas.openxmlformats.org/officeDocument/2006/relationships/hyperlink" Target="#" TargetMode="External"/><Relationship Id="rId15" Type="http://schemas.openxmlformats.org/officeDocument/2006/relationships/hyperlink" Target="#" TargetMode="External"/><Relationship Id="rId14" Type="http://schemas.openxmlformats.org/officeDocument/2006/relationships/hyperlink" Target="#" TargetMode="External"/><Relationship Id="rId17" Type="http://schemas.openxmlformats.org/officeDocument/2006/relationships/hyperlink" Target="#" TargetMode="External"/><Relationship Id="rId16" Type="http://schemas.openxmlformats.org/officeDocument/2006/relationships/hyperlink" Target="#" TargetMode="External"/><Relationship Id="rId5" Type="http://schemas.openxmlformats.org/officeDocument/2006/relationships/hyperlink" Target="#" TargetMode="External"/><Relationship Id="rId19" Type="http://schemas.openxmlformats.org/officeDocument/2006/relationships/drawing" Target="../drawings/drawing3.xml"/><Relationship Id="rId6" Type="http://schemas.openxmlformats.org/officeDocument/2006/relationships/hyperlink" Target="#" TargetMode="External"/><Relationship Id="rId18" Type="http://schemas.openxmlformats.org/officeDocument/2006/relationships/hyperlink" Target="#" TargetMode="External"/><Relationship Id="rId7" Type="http://schemas.openxmlformats.org/officeDocument/2006/relationships/hyperlink" Target="#" TargetMode="External"/><Relationship Id="rId8" Type="http://schemas.openxmlformats.org/officeDocument/2006/relationships/hyperlink" Target="#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1.71"/>
    <col customWidth="1" min="2" max="2" width="31.43"/>
    <col customWidth="1" min="3" max="3" width="18.14"/>
    <col customWidth="1" min="4" max="4" width="17.86"/>
    <col customWidth="1" min="5" max="5" width="19.14"/>
    <col customWidth="1" min="6" max="6" width="28.29"/>
    <col customWidth="1" min="7" max="7" width="18.71"/>
    <col customWidth="1" min="8" max="8" width="17.0"/>
    <col customWidth="1" min="9" max="9" width="41.29"/>
    <col customWidth="1" min="10" max="10" width="19.0"/>
    <col customWidth="1" min="11" max="11" width="18.14"/>
    <col customWidth="1" min="12" max="12" width="26.71"/>
    <col customWidth="1" min="13" max="13" width="35.14"/>
    <col customWidth="1" min="14" max="14" width="17.86"/>
    <col customWidth="1" min="15" max="15" width="23.86"/>
    <col customWidth="1" min="16" max="16" width="23.43"/>
    <col customWidth="1" min="17" max="17" width="26.0"/>
    <col customWidth="1" min="18" max="18" width="10.43"/>
    <col customWidth="1" min="19" max="19" width="34.14"/>
    <col customWidth="1" min="20" max="20" width="53.71"/>
    <col customWidth="1" min="21" max="26" width="11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M1" s="3" t="s">
        <v>9</v>
      </c>
      <c r="N1" s="4" t="s">
        <v>10</v>
      </c>
      <c r="O1" s="4" t="s">
        <v>11</v>
      </c>
      <c r="P1" s="4" t="s">
        <v>12</v>
      </c>
      <c r="Q1" s="4" t="s">
        <v>13</v>
      </c>
      <c r="R1" s="4" t="s">
        <v>3</v>
      </c>
      <c r="S1" s="5" t="s">
        <v>14</v>
      </c>
      <c r="T1" s="6" t="s">
        <v>15</v>
      </c>
      <c r="U1" s="7" t="s">
        <v>16</v>
      </c>
      <c r="V1" s="7" t="s">
        <v>17</v>
      </c>
      <c r="W1" s="8" t="s">
        <v>18</v>
      </c>
    </row>
    <row r="2">
      <c r="A2" s="9" t="s">
        <v>19</v>
      </c>
      <c r="B2" s="9" t="s">
        <v>20</v>
      </c>
      <c r="C2" s="10">
        <v>1.0</v>
      </c>
      <c r="D2" s="11">
        <f t="shared" ref="D2:D3" si="1">VLOOKUP(A2,$M$1:$X$8,6,FALSE)</f>
        <v>3</v>
      </c>
      <c r="E2" s="12">
        <f t="shared" ref="E2:E3" si="2">VLOOKUP(A2,$M$1:$X$8,5,FALSE)</f>
        <v>63.3618</v>
      </c>
      <c r="F2" s="13">
        <f t="shared" ref="F2:F33" si="3">60/E2*C2</f>
        <v>0.9469427952</v>
      </c>
      <c r="G2" s="1">
        <f t="shared" ref="G2:G33" si="4">VLOOKUP(A2,$M$1:$X$8,9,FALSE)</f>
        <v>20</v>
      </c>
      <c r="H2" s="14">
        <f t="shared" ref="H2:H33" si="5">D2*F2*G2</f>
        <v>56.81656771</v>
      </c>
      <c r="M2" s="15" t="s">
        <v>19</v>
      </c>
      <c r="N2" s="16">
        <v>0.0</v>
      </c>
      <c r="O2" s="17">
        <v>31.6809</v>
      </c>
      <c r="P2" s="18">
        <f>O2+N2</f>
        <v>31.6809</v>
      </c>
      <c r="Q2" s="19">
        <f>2*P2</f>
        <v>63.3618</v>
      </c>
      <c r="R2" s="20">
        <v>3.0</v>
      </c>
      <c r="S2" s="21">
        <f t="shared" ref="S2:S7" si="6">R2/W$2</f>
        <v>0.3</v>
      </c>
      <c r="T2" s="22">
        <f t="shared" ref="T2:T7" si="7">60/(Q2)</f>
        <v>0.9469427952</v>
      </c>
      <c r="U2" s="23">
        <v>20.0</v>
      </c>
      <c r="V2" s="24">
        <f t="shared" ref="V2:V6" si="8">ROUND(R2*T2*U2,0)</f>
        <v>57</v>
      </c>
      <c r="W2" s="25">
        <f>SUM(R2:R7)</f>
        <v>10</v>
      </c>
    </row>
    <row r="3">
      <c r="A3" s="9" t="s">
        <v>19</v>
      </c>
      <c r="B3" s="9" t="s">
        <v>21</v>
      </c>
      <c r="C3" s="10">
        <v>1.0</v>
      </c>
      <c r="D3" s="26">
        <f t="shared" si="1"/>
        <v>3</v>
      </c>
      <c r="E3" s="12">
        <f t="shared" si="2"/>
        <v>63.3618</v>
      </c>
      <c r="F3" s="13">
        <f t="shared" si="3"/>
        <v>0.9469427952</v>
      </c>
      <c r="G3" s="1">
        <f t="shared" si="4"/>
        <v>20</v>
      </c>
      <c r="H3" s="14">
        <f t="shared" si="5"/>
        <v>56.81656771</v>
      </c>
      <c r="M3" s="15" t="s">
        <v>23</v>
      </c>
      <c r="N3" s="16">
        <v>0.0</v>
      </c>
      <c r="O3" s="17">
        <v>21.1306</v>
      </c>
      <c r="P3" s="18">
        <f>N3+O3</f>
        <v>21.1306</v>
      </c>
      <c r="Q3" s="19">
        <f>2.3*P3</f>
        <v>48.60038</v>
      </c>
      <c r="R3" s="20">
        <v>1.0</v>
      </c>
      <c r="S3" s="21">
        <f t="shared" si="6"/>
        <v>0.1</v>
      </c>
      <c r="T3" s="22">
        <f t="shared" si="7"/>
        <v>1.234558248</v>
      </c>
      <c r="U3" s="23">
        <v>20.0</v>
      </c>
      <c r="V3" s="24">
        <f t="shared" si="8"/>
        <v>25</v>
      </c>
      <c r="W3" s="25"/>
    </row>
    <row r="4">
      <c r="A4" s="9" t="s">
        <v>19</v>
      </c>
      <c r="B4" s="9" t="s">
        <v>24</v>
      </c>
      <c r="C4" s="10">
        <v>1.0</v>
      </c>
      <c r="D4" s="26">
        <f t="shared" ref="D4:D5" si="9">VLOOKUP(A5,$M$1:$X$8,6,FALSE)</f>
        <v>3</v>
      </c>
      <c r="E4" s="12">
        <f t="shared" ref="E4:E5" si="10">VLOOKUP(A5,$M$1:$X$8,5,FALSE)</f>
        <v>63.3618</v>
      </c>
      <c r="F4" s="13">
        <f t="shared" si="3"/>
        <v>0.9469427952</v>
      </c>
      <c r="G4" s="1">
        <f t="shared" si="4"/>
        <v>20</v>
      </c>
      <c r="H4" s="14">
        <f t="shared" si="5"/>
        <v>56.81656771</v>
      </c>
      <c r="M4" s="15" t="s">
        <v>26</v>
      </c>
      <c r="N4" s="16">
        <v>0.0</v>
      </c>
      <c r="O4" s="17">
        <v>21.0253</v>
      </c>
      <c r="P4" s="12">
        <f>O4+N4</f>
        <v>21.0253</v>
      </c>
      <c r="Q4" s="19">
        <f>3.7*P4</f>
        <v>77.79361</v>
      </c>
      <c r="R4" s="20">
        <v>2.0</v>
      </c>
      <c r="S4" s="21">
        <f t="shared" si="6"/>
        <v>0.2</v>
      </c>
      <c r="T4" s="22">
        <f t="shared" si="7"/>
        <v>0.7712715736</v>
      </c>
      <c r="U4" s="23">
        <v>20.0</v>
      </c>
      <c r="V4" s="24">
        <f t="shared" si="8"/>
        <v>31</v>
      </c>
      <c r="W4" s="25"/>
    </row>
    <row r="5">
      <c r="A5" s="9" t="s">
        <v>19</v>
      </c>
      <c r="B5" s="9" t="s">
        <v>27</v>
      </c>
      <c r="C5" s="10">
        <v>1.0</v>
      </c>
      <c r="D5" s="26">
        <f t="shared" si="9"/>
        <v>3</v>
      </c>
      <c r="E5" s="12">
        <f t="shared" si="10"/>
        <v>63.3618</v>
      </c>
      <c r="F5" s="13">
        <f t="shared" si="3"/>
        <v>0.9469427952</v>
      </c>
      <c r="G5" s="1">
        <f t="shared" si="4"/>
        <v>20</v>
      </c>
      <c r="H5" s="14">
        <f t="shared" si="5"/>
        <v>56.81656771</v>
      </c>
      <c r="M5" s="15" t="s">
        <v>28</v>
      </c>
      <c r="N5" s="16">
        <v>0.0</v>
      </c>
      <c r="O5" s="28">
        <f>26.6066</f>
        <v>26.6066</v>
      </c>
      <c r="P5" s="18">
        <f t="shared" ref="P5:P7" si="11">N5+O5</f>
        <v>26.6066</v>
      </c>
      <c r="Q5" s="19">
        <f>2.29*P5</f>
        <v>60.929114</v>
      </c>
      <c r="R5" s="20">
        <v>2.0</v>
      </c>
      <c r="S5" s="21">
        <f t="shared" si="6"/>
        <v>0.2</v>
      </c>
      <c r="T5" s="22">
        <f t="shared" si="7"/>
        <v>0.9847509025</v>
      </c>
      <c r="U5" s="23">
        <v>20.0</v>
      </c>
      <c r="V5" s="24">
        <f t="shared" si="8"/>
        <v>39</v>
      </c>
      <c r="W5" s="25"/>
    </row>
    <row r="6">
      <c r="A6" s="9" t="s">
        <v>19</v>
      </c>
      <c r="B6" s="9" t="s">
        <v>22</v>
      </c>
      <c r="C6" s="10">
        <v>1.0</v>
      </c>
      <c r="D6" s="26">
        <f t="shared" ref="D6:D33" si="12">VLOOKUP(A6,$M$1:$X$8,6,FALSE)</f>
        <v>3</v>
      </c>
      <c r="E6" s="12">
        <f t="shared" ref="E6:E33" si="13">VLOOKUP(A6,$M$1:$X$8,5,FALSE)</f>
        <v>63.3618</v>
      </c>
      <c r="F6" s="13">
        <f t="shared" si="3"/>
        <v>0.9469427952</v>
      </c>
      <c r="G6" s="1">
        <f t="shared" si="4"/>
        <v>20</v>
      </c>
      <c r="H6" s="14">
        <f t="shared" si="5"/>
        <v>56.81656771</v>
      </c>
      <c r="M6" s="15" t="s">
        <v>29</v>
      </c>
      <c r="N6" s="16">
        <v>0.0</v>
      </c>
      <c r="O6" s="17">
        <v>10.8059</v>
      </c>
      <c r="P6" s="18">
        <f t="shared" si="11"/>
        <v>10.8059</v>
      </c>
      <c r="Q6" s="19">
        <f>4.7*P6</f>
        <v>50.78773</v>
      </c>
      <c r="R6" s="20">
        <v>1.0</v>
      </c>
      <c r="S6" s="21">
        <f t="shared" si="6"/>
        <v>0.1</v>
      </c>
      <c r="T6" s="22">
        <f t="shared" si="7"/>
        <v>1.181387709</v>
      </c>
      <c r="U6" s="23">
        <v>20.0</v>
      </c>
      <c r="V6" s="24">
        <f t="shared" si="8"/>
        <v>24</v>
      </c>
      <c r="W6" s="25"/>
    </row>
    <row r="7">
      <c r="A7" s="29" t="s">
        <v>19</v>
      </c>
      <c r="B7" s="9" t="s">
        <v>30</v>
      </c>
      <c r="C7" s="30">
        <v>1.0</v>
      </c>
      <c r="D7" s="26">
        <f t="shared" si="12"/>
        <v>3</v>
      </c>
      <c r="E7" s="12">
        <f t="shared" si="13"/>
        <v>63.3618</v>
      </c>
      <c r="F7" s="13">
        <f t="shared" si="3"/>
        <v>0.9469427952</v>
      </c>
      <c r="G7" s="1">
        <f t="shared" si="4"/>
        <v>20</v>
      </c>
      <c r="H7" s="14">
        <f t="shared" si="5"/>
        <v>56.81656771</v>
      </c>
      <c r="M7" s="15" t="s">
        <v>32</v>
      </c>
      <c r="N7" s="16">
        <v>0.0</v>
      </c>
      <c r="O7" s="31">
        <v>16.0453</v>
      </c>
      <c r="P7" s="18">
        <f t="shared" si="11"/>
        <v>16.0453</v>
      </c>
      <c r="Q7" s="19">
        <f>30*P7</f>
        <v>481.359</v>
      </c>
      <c r="R7" s="20">
        <v>1.0</v>
      </c>
      <c r="S7" s="21">
        <f t="shared" si="6"/>
        <v>0.1</v>
      </c>
      <c r="T7" s="22">
        <f t="shared" si="7"/>
        <v>0.1246470929</v>
      </c>
      <c r="U7" s="23">
        <v>20.0</v>
      </c>
      <c r="V7" s="24">
        <f>SUM(V2:V6)</f>
        <v>176</v>
      </c>
      <c r="W7" s="25"/>
    </row>
    <row r="8">
      <c r="A8" s="9" t="s">
        <v>19</v>
      </c>
      <c r="B8" s="9" t="s">
        <v>25</v>
      </c>
      <c r="C8" s="32">
        <v>1.0</v>
      </c>
      <c r="D8" s="26">
        <f t="shared" si="12"/>
        <v>3</v>
      </c>
      <c r="E8" s="12">
        <f t="shared" si="13"/>
        <v>63.3618</v>
      </c>
      <c r="F8" s="13">
        <f t="shared" si="3"/>
        <v>0.9469427952</v>
      </c>
      <c r="G8" s="1">
        <f t="shared" si="4"/>
        <v>20</v>
      </c>
      <c r="H8" s="14">
        <f t="shared" si="5"/>
        <v>56.81656771</v>
      </c>
      <c r="M8" s="33"/>
      <c r="N8" s="34"/>
      <c r="O8" s="34"/>
      <c r="P8" s="34"/>
      <c r="Q8" s="34"/>
      <c r="R8" s="34"/>
      <c r="S8" s="35">
        <f>SUM(S2:S7)</f>
        <v>1</v>
      </c>
      <c r="T8" s="34"/>
      <c r="U8" s="34"/>
      <c r="V8" s="34"/>
      <c r="W8" s="36"/>
    </row>
    <row r="9">
      <c r="A9" s="9" t="s">
        <v>23</v>
      </c>
      <c r="B9" s="9" t="s">
        <v>20</v>
      </c>
      <c r="C9" s="9">
        <v>1.0</v>
      </c>
      <c r="D9" s="8">
        <f t="shared" si="12"/>
        <v>1</v>
      </c>
      <c r="E9" s="14">
        <f t="shared" si="13"/>
        <v>48.60038</v>
      </c>
      <c r="F9" s="13">
        <f t="shared" si="3"/>
        <v>1.234558248</v>
      </c>
      <c r="G9" s="1">
        <f t="shared" si="4"/>
        <v>20</v>
      </c>
      <c r="H9" s="14">
        <f t="shared" si="5"/>
        <v>24.69116497</v>
      </c>
    </row>
    <row r="10">
      <c r="A10" s="9" t="s">
        <v>23</v>
      </c>
      <c r="B10" s="9" t="s">
        <v>21</v>
      </c>
      <c r="C10" s="9">
        <v>1.0</v>
      </c>
      <c r="D10" s="25">
        <f t="shared" si="12"/>
        <v>1</v>
      </c>
      <c r="E10" s="14">
        <f t="shared" si="13"/>
        <v>48.60038</v>
      </c>
      <c r="F10" s="13">
        <f t="shared" si="3"/>
        <v>1.234558248</v>
      </c>
      <c r="G10" s="1">
        <f t="shared" si="4"/>
        <v>20</v>
      </c>
      <c r="H10" s="14">
        <f t="shared" si="5"/>
        <v>24.69116497</v>
      </c>
    </row>
    <row r="11">
      <c r="A11" s="9" t="s">
        <v>23</v>
      </c>
      <c r="B11" s="9" t="s">
        <v>35</v>
      </c>
      <c r="C11" s="9">
        <v>1.0</v>
      </c>
      <c r="D11" s="25">
        <f t="shared" si="12"/>
        <v>1</v>
      </c>
      <c r="E11" s="14">
        <f t="shared" si="13"/>
        <v>48.60038</v>
      </c>
      <c r="F11" s="13">
        <f t="shared" si="3"/>
        <v>1.234558248</v>
      </c>
      <c r="G11" s="1">
        <f t="shared" si="4"/>
        <v>20</v>
      </c>
      <c r="H11" s="14">
        <f t="shared" si="5"/>
        <v>24.69116497</v>
      </c>
    </row>
    <row r="12">
      <c r="A12" s="9" t="s">
        <v>23</v>
      </c>
      <c r="B12" s="9" t="s">
        <v>33</v>
      </c>
      <c r="C12" s="9">
        <v>1.0</v>
      </c>
      <c r="D12" s="25">
        <f t="shared" si="12"/>
        <v>1</v>
      </c>
      <c r="E12" s="14">
        <f t="shared" si="13"/>
        <v>48.60038</v>
      </c>
      <c r="F12" s="13">
        <f t="shared" si="3"/>
        <v>1.234558248</v>
      </c>
      <c r="G12" s="1">
        <f t="shared" si="4"/>
        <v>20</v>
      </c>
      <c r="H12" s="14">
        <f t="shared" si="5"/>
        <v>24.69116497</v>
      </c>
    </row>
    <row r="13">
      <c r="A13" s="9" t="s">
        <v>23</v>
      </c>
      <c r="B13" s="9" t="s">
        <v>25</v>
      </c>
      <c r="C13" s="37">
        <v>1.0</v>
      </c>
      <c r="D13" s="36">
        <f t="shared" si="12"/>
        <v>1</v>
      </c>
      <c r="E13" s="14">
        <f t="shared" si="13"/>
        <v>48.60038</v>
      </c>
      <c r="F13" s="13">
        <f t="shared" si="3"/>
        <v>1.234558248</v>
      </c>
      <c r="G13" s="1">
        <f t="shared" si="4"/>
        <v>20</v>
      </c>
      <c r="H13" s="14">
        <f t="shared" si="5"/>
        <v>24.69116497</v>
      </c>
    </row>
    <row r="14">
      <c r="A14" s="9" t="s">
        <v>26</v>
      </c>
      <c r="B14" s="9" t="s">
        <v>20</v>
      </c>
      <c r="C14" s="9">
        <v>1.0</v>
      </c>
      <c r="D14" s="8">
        <f t="shared" si="12"/>
        <v>2</v>
      </c>
      <c r="E14" s="14">
        <f t="shared" si="13"/>
        <v>77.79361</v>
      </c>
      <c r="F14" s="13">
        <f t="shared" si="3"/>
        <v>0.7712715736</v>
      </c>
      <c r="G14" s="1">
        <f t="shared" si="4"/>
        <v>20</v>
      </c>
      <c r="H14" s="14">
        <f t="shared" si="5"/>
        <v>30.85086294</v>
      </c>
    </row>
    <row r="15">
      <c r="A15" s="9" t="s">
        <v>26</v>
      </c>
      <c r="B15" s="9" t="s">
        <v>36</v>
      </c>
      <c r="C15" s="9">
        <v>1.0</v>
      </c>
      <c r="D15" s="25">
        <f t="shared" si="12"/>
        <v>2</v>
      </c>
      <c r="E15" s="14">
        <f t="shared" si="13"/>
        <v>77.79361</v>
      </c>
      <c r="F15" s="13">
        <f t="shared" si="3"/>
        <v>0.7712715736</v>
      </c>
      <c r="G15" s="1">
        <f t="shared" si="4"/>
        <v>20</v>
      </c>
      <c r="H15" s="14">
        <f t="shared" si="5"/>
        <v>30.85086294</v>
      </c>
    </row>
    <row r="16">
      <c r="A16" s="9" t="s">
        <v>26</v>
      </c>
      <c r="B16" s="9" t="s">
        <v>31</v>
      </c>
      <c r="C16" s="9">
        <v>1.0</v>
      </c>
      <c r="D16" s="25">
        <f t="shared" si="12"/>
        <v>2</v>
      </c>
      <c r="E16" s="14">
        <f t="shared" si="13"/>
        <v>77.79361</v>
      </c>
      <c r="F16" s="13">
        <f t="shared" si="3"/>
        <v>0.7712715736</v>
      </c>
      <c r="G16" s="1">
        <f t="shared" si="4"/>
        <v>20</v>
      </c>
      <c r="H16" s="14">
        <f t="shared" si="5"/>
        <v>30.85086294</v>
      </c>
    </row>
    <row r="17">
      <c r="A17" s="9" t="s">
        <v>26</v>
      </c>
      <c r="B17" s="9" t="s">
        <v>34</v>
      </c>
      <c r="C17" s="9">
        <v>1.0</v>
      </c>
      <c r="D17" s="25">
        <f t="shared" si="12"/>
        <v>2</v>
      </c>
      <c r="E17" s="14">
        <f t="shared" si="13"/>
        <v>77.79361</v>
      </c>
      <c r="F17" s="13">
        <f t="shared" si="3"/>
        <v>0.7712715736</v>
      </c>
      <c r="G17" s="1">
        <f t="shared" si="4"/>
        <v>20</v>
      </c>
      <c r="H17" s="14">
        <f t="shared" si="5"/>
        <v>30.85086294</v>
      </c>
    </row>
    <row r="18">
      <c r="A18" s="9" t="s">
        <v>26</v>
      </c>
      <c r="B18" s="9" t="s">
        <v>25</v>
      </c>
      <c r="C18" s="37">
        <v>1.0</v>
      </c>
      <c r="D18" s="25">
        <f t="shared" si="12"/>
        <v>2</v>
      </c>
      <c r="E18" s="14">
        <f t="shared" si="13"/>
        <v>77.79361</v>
      </c>
      <c r="F18" s="13">
        <f t="shared" si="3"/>
        <v>0.7712715736</v>
      </c>
      <c r="G18" s="1">
        <f t="shared" si="4"/>
        <v>20</v>
      </c>
      <c r="H18" s="14">
        <f t="shared" si="5"/>
        <v>30.85086294</v>
      </c>
    </row>
    <row r="19">
      <c r="A19" s="9" t="s">
        <v>32</v>
      </c>
      <c r="B19" s="9" t="s">
        <v>20</v>
      </c>
      <c r="C19" s="10">
        <v>1.0</v>
      </c>
      <c r="D19" s="11">
        <f t="shared" si="12"/>
        <v>1</v>
      </c>
      <c r="E19" s="12">
        <f t="shared" si="13"/>
        <v>481.359</v>
      </c>
      <c r="F19" s="13">
        <f t="shared" si="3"/>
        <v>0.1246470929</v>
      </c>
      <c r="G19" s="1">
        <f t="shared" si="4"/>
        <v>20</v>
      </c>
      <c r="H19" s="14">
        <f t="shared" si="5"/>
        <v>2.492941858</v>
      </c>
    </row>
    <row r="20">
      <c r="A20" s="9" t="s">
        <v>32</v>
      </c>
      <c r="B20" s="9" t="s">
        <v>21</v>
      </c>
      <c r="C20" s="10">
        <v>1.0</v>
      </c>
      <c r="D20" s="26">
        <f t="shared" si="12"/>
        <v>1</v>
      </c>
      <c r="E20" s="12">
        <f t="shared" si="13"/>
        <v>481.359</v>
      </c>
      <c r="F20" s="13">
        <f t="shared" si="3"/>
        <v>0.1246470929</v>
      </c>
      <c r="G20" s="1">
        <f t="shared" si="4"/>
        <v>20</v>
      </c>
      <c r="H20" s="14">
        <f t="shared" si="5"/>
        <v>2.492941858</v>
      </c>
    </row>
    <row r="21" ht="15.75" customHeight="1">
      <c r="A21" s="9" t="s">
        <v>32</v>
      </c>
      <c r="B21" s="9" t="s">
        <v>35</v>
      </c>
      <c r="C21" s="38">
        <v>1.0</v>
      </c>
      <c r="D21" s="26">
        <f t="shared" si="12"/>
        <v>1</v>
      </c>
      <c r="E21" s="12">
        <f t="shared" si="13"/>
        <v>481.359</v>
      </c>
      <c r="F21" s="13">
        <f t="shared" si="3"/>
        <v>0.1246470929</v>
      </c>
      <c r="G21" s="1">
        <f t="shared" si="4"/>
        <v>20</v>
      </c>
      <c r="H21" s="14">
        <f t="shared" si="5"/>
        <v>2.492941858</v>
      </c>
    </row>
    <row r="22" ht="15.75" customHeight="1">
      <c r="A22" s="9" t="s">
        <v>32</v>
      </c>
      <c r="B22" s="9" t="s">
        <v>25</v>
      </c>
      <c r="C22" s="32">
        <v>1.0</v>
      </c>
      <c r="D22" s="39">
        <f t="shared" si="12"/>
        <v>1</v>
      </c>
      <c r="E22" s="12">
        <f t="shared" si="13"/>
        <v>481.359</v>
      </c>
      <c r="F22" s="13">
        <f t="shared" si="3"/>
        <v>0.1246470929</v>
      </c>
      <c r="G22" s="1">
        <f t="shared" si="4"/>
        <v>20</v>
      </c>
      <c r="H22" s="14">
        <f t="shared" si="5"/>
        <v>2.492941858</v>
      </c>
    </row>
    <row r="23" ht="15.75" customHeight="1">
      <c r="A23" s="9" t="s">
        <v>28</v>
      </c>
      <c r="B23" s="9" t="s">
        <v>20</v>
      </c>
      <c r="C23" s="9">
        <v>1.0</v>
      </c>
      <c r="D23" s="25">
        <f t="shared" si="12"/>
        <v>2</v>
      </c>
      <c r="E23" s="12">
        <f t="shared" si="13"/>
        <v>60.929114</v>
      </c>
      <c r="F23" s="13">
        <f t="shared" si="3"/>
        <v>0.9847509025</v>
      </c>
      <c r="G23" s="1">
        <f t="shared" si="4"/>
        <v>20</v>
      </c>
      <c r="H23" s="14">
        <f t="shared" si="5"/>
        <v>39.3900361</v>
      </c>
    </row>
    <row r="24" ht="15.75" customHeight="1">
      <c r="A24" s="9" t="s">
        <v>28</v>
      </c>
      <c r="B24" s="9" t="s">
        <v>21</v>
      </c>
      <c r="C24" s="9">
        <v>1.0</v>
      </c>
      <c r="D24" s="25">
        <f t="shared" si="12"/>
        <v>2</v>
      </c>
      <c r="E24" s="12">
        <f t="shared" si="13"/>
        <v>60.929114</v>
      </c>
      <c r="F24" s="13">
        <f t="shared" si="3"/>
        <v>0.9847509025</v>
      </c>
      <c r="G24" s="1">
        <f t="shared" si="4"/>
        <v>20</v>
      </c>
      <c r="H24" s="14">
        <f t="shared" si="5"/>
        <v>39.3900361</v>
      </c>
    </row>
    <row r="25" ht="15.75" customHeight="1">
      <c r="A25" s="9" t="s">
        <v>28</v>
      </c>
      <c r="B25" s="1" t="s">
        <v>24</v>
      </c>
      <c r="C25" s="30">
        <v>1.0</v>
      </c>
      <c r="D25" s="25">
        <f t="shared" si="12"/>
        <v>2</v>
      </c>
      <c r="E25" s="12">
        <f t="shared" si="13"/>
        <v>60.929114</v>
      </c>
      <c r="F25" s="13">
        <f t="shared" si="3"/>
        <v>0.9847509025</v>
      </c>
      <c r="G25" s="1">
        <f t="shared" si="4"/>
        <v>20</v>
      </c>
      <c r="H25" s="14">
        <f t="shared" si="5"/>
        <v>39.3900361</v>
      </c>
    </row>
    <row r="26" ht="15.75" customHeight="1">
      <c r="A26" s="9" t="s">
        <v>28</v>
      </c>
      <c r="B26" s="9" t="s">
        <v>27</v>
      </c>
      <c r="C26" s="9">
        <v>1.0</v>
      </c>
      <c r="D26" s="25">
        <f t="shared" si="12"/>
        <v>2</v>
      </c>
      <c r="E26" s="12">
        <f t="shared" si="13"/>
        <v>60.929114</v>
      </c>
      <c r="F26" s="13">
        <f t="shared" si="3"/>
        <v>0.9847509025</v>
      </c>
      <c r="G26" s="1">
        <f t="shared" si="4"/>
        <v>20</v>
      </c>
      <c r="H26" s="14">
        <f t="shared" si="5"/>
        <v>39.3900361</v>
      </c>
    </row>
    <row r="27" ht="15.75" customHeight="1">
      <c r="A27" s="9" t="s">
        <v>28</v>
      </c>
      <c r="B27" s="9" t="s">
        <v>22</v>
      </c>
      <c r="C27" s="37">
        <v>1.0</v>
      </c>
      <c r="D27" s="25">
        <f t="shared" si="12"/>
        <v>2</v>
      </c>
      <c r="E27" s="12">
        <f t="shared" si="13"/>
        <v>60.929114</v>
      </c>
      <c r="F27" s="13">
        <f t="shared" si="3"/>
        <v>0.9847509025</v>
      </c>
      <c r="G27" s="1">
        <f t="shared" si="4"/>
        <v>20</v>
      </c>
      <c r="H27" s="14">
        <f t="shared" si="5"/>
        <v>39.3900361</v>
      </c>
    </row>
    <row r="28" ht="15.75" customHeight="1">
      <c r="A28" s="9" t="s">
        <v>28</v>
      </c>
      <c r="B28" s="9" t="s">
        <v>35</v>
      </c>
      <c r="C28" s="38">
        <v>1.0</v>
      </c>
      <c r="D28" s="25">
        <f t="shared" si="12"/>
        <v>2</v>
      </c>
      <c r="E28" s="12">
        <f t="shared" si="13"/>
        <v>60.929114</v>
      </c>
      <c r="F28" s="13">
        <f t="shared" si="3"/>
        <v>0.9847509025</v>
      </c>
      <c r="G28" s="1">
        <f t="shared" si="4"/>
        <v>20</v>
      </c>
      <c r="H28" s="14">
        <f t="shared" si="5"/>
        <v>39.3900361</v>
      </c>
    </row>
    <row r="29" ht="15.75" customHeight="1">
      <c r="A29" s="9" t="s">
        <v>28</v>
      </c>
      <c r="B29" s="9" t="s">
        <v>25</v>
      </c>
      <c r="C29" s="37">
        <v>0.0</v>
      </c>
      <c r="D29" s="25">
        <f t="shared" si="12"/>
        <v>2</v>
      </c>
      <c r="E29" s="12">
        <f t="shared" si="13"/>
        <v>60.929114</v>
      </c>
      <c r="F29" s="13">
        <f t="shared" si="3"/>
        <v>0</v>
      </c>
      <c r="G29" s="1">
        <f t="shared" si="4"/>
        <v>20</v>
      </c>
      <c r="H29" s="14">
        <f t="shared" si="5"/>
        <v>0</v>
      </c>
    </row>
    <row r="30" ht="15.75" customHeight="1">
      <c r="A30" s="9" t="s">
        <v>29</v>
      </c>
      <c r="B30" s="9" t="s">
        <v>20</v>
      </c>
      <c r="C30" s="37">
        <v>1.0</v>
      </c>
      <c r="D30" s="8">
        <f t="shared" si="12"/>
        <v>1</v>
      </c>
      <c r="E30" s="12">
        <f t="shared" si="13"/>
        <v>50.78773</v>
      </c>
      <c r="F30" s="13">
        <f t="shared" si="3"/>
        <v>1.181387709</v>
      </c>
      <c r="G30" s="1">
        <f t="shared" si="4"/>
        <v>20</v>
      </c>
      <c r="H30" s="14">
        <f t="shared" si="5"/>
        <v>23.62775418</v>
      </c>
    </row>
    <row r="31" ht="15.75" customHeight="1">
      <c r="A31" s="9" t="s">
        <v>29</v>
      </c>
      <c r="B31" s="9" t="s">
        <v>21</v>
      </c>
      <c r="C31" s="37">
        <v>1.0</v>
      </c>
      <c r="D31" s="25">
        <f t="shared" si="12"/>
        <v>1</v>
      </c>
      <c r="E31" s="12">
        <f t="shared" si="13"/>
        <v>50.78773</v>
      </c>
      <c r="F31" s="13">
        <f t="shared" si="3"/>
        <v>1.181387709</v>
      </c>
      <c r="G31" s="1">
        <f t="shared" si="4"/>
        <v>20</v>
      </c>
      <c r="H31" s="14">
        <f t="shared" si="5"/>
        <v>23.62775418</v>
      </c>
    </row>
    <row r="32" ht="15.75" customHeight="1">
      <c r="A32" s="9" t="s">
        <v>29</v>
      </c>
      <c r="B32" s="9" t="s">
        <v>35</v>
      </c>
      <c r="C32" s="37">
        <v>1.0</v>
      </c>
      <c r="D32" s="25">
        <f t="shared" si="12"/>
        <v>1</v>
      </c>
      <c r="E32" s="12">
        <f t="shared" si="13"/>
        <v>50.78773</v>
      </c>
      <c r="F32" s="13">
        <f t="shared" si="3"/>
        <v>1.181387709</v>
      </c>
      <c r="G32" s="1">
        <f t="shared" si="4"/>
        <v>20</v>
      </c>
      <c r="H32" s="14">
        <f t="shared" si="5"/>
        <v>23.62775418</v>
      </c>
    </row>
    <row r="33" ht="15.75" customHeight="1">
      <c r="A33" s="9" t="s">
        <v>29</v>
      </c>
      <c r="B33" s="9" t="s">
        <v>25</v>
      </c>
      <c r="C33" s="37">
        <v>0.0</v>
      </c>
      <c r="D33" s="36">
        <f t="shared" si="12"/>
        <v>1</v>
      </c>
      <c r="E33" s="12">
        <f t="shared" si="13"/>
        <v>50.78773</v>
      </c>
      <c r="F33" s="13">
        <f t="shared" si="3"/>
        <v>0</v>
      </c>
      <c r="G33" s="1">
        <f t="shared" si="4"/>
        <v>20</v>
      </c>
      <c r="H33" s="14">
        <f t="shared" si="5"/>
        <v>0</v>
      </c>
    </row>
    <row r="34" ht="15.75" customHeight="1"/>
    <row r="35" ht="15.75" customHeight="1"/>
    <row r="36" ht="15.75" customHeight="1">
      <c r="A36" s="40" t="s">
        <v>37</v>
      </c>
      <c r="B36" s="41"/>
      <c r="C36" s="42" t="s">
        <v>38</v>
      </c>
      <c r="D36" s="43"/>
    </row>
    <row r="37" ht="15.75" customHeight="1">
      <c r="A37" s="44" t="s">
        <v>39</v>
      </c>
      <c r="B37" s="45" t="s">
        <v>40</v>
      </c>
      <c r="C37" s="46" t="s">
        <v>41</v>
      </c>
      <c r="D37" s="46" t="s">
        <v>42</v>
      </c>
      <c r="E37" s="47"/>
      <c r="F37" s="48" t="s">
        <v>43</v>
      </c>
      <c r="G37" s="46" t="s">
        <v>44</v>
      </c>
      <c r="H37" s="46" t="s">
        <v>45</v>
      </c>
      <c r="I37" s="49" t="s">
        <v>46</v>
      </c>
    </row>
    <row r="38" ht="15.75" customHeight="1">
      <c r="A38" s="44" t="s">
        <v>20</v>
      </c>
      <c r="B38" s="50">
        <v>520.0</v>
      </c>
      <c r="C38" s="18">
        <f t="shared" ref="C38:C49" si="14">GETPIVOTDATA("Итого",$I$1,"transaction rq",A38)*3</f>
        <v>533.6079833</v>
      </c>
      <c r="D38" s="21">
        <f t="shared" ref="D38:D50" si="15">1-B38/C38</f>
        <v>0.02550183602</v>
      </c>
      <c r="E38" s="51"/>
      <c r="F38" s="52" t="str">
        <f>VLOOKUP(A38,'Соответствие'!A:B,2,FALSE)</f>
        <v>HomePage</v>
      </c>
      <c r="G38" s="53">
        <f t="shared" ref="G38:G49" si="16">C38/3</f>
        <v>177.8693278</v>
      </c>
      <c r="H38" s="9">
        <f>VLOOKUP(F38,SummaryReport!A:J,7,FALSE)</f>
        <v>175</v>
      </c>
      <c r="I38" s="54">
        <f t="shared" ref="I38:I49" si="17">1-G38/H38</f>
        <v>-0.01639615865</v>
      </c>
    </row>
    <row r="39" ht="15.75" customHeight="1">
      <c r="A39" s="55" t="s">
        <v>21</v>
      </c>
      <c r="B39" s="50">
        <v>422.0</v>
      </c>
      <c r="C39" s="18">
        <f t="shared" si="14"/>
        <v>441.0553945</v>
      </c>
      <c r="D39" s="21">
        <f t="shared" si="15"/>
        <v>0.04320408434</v>
      </c>
      <c r="E39" s="51"/>
      <c r="F39" s="52" t="str">
        <f>VLOOKUP(A39,'Соответствие'!A:B,2,FALSE)</f>
        <v>Login</v>
      </c>
      <c r="G39" s="53">
        <f t="shared" si="16"/>
        <v>147.0184648</v>
      </c>
      <c r="H39" s="9">
        <f>VLOOKUP(F39,SummaryReport!A:J,7,FALSE)</f>
        <v>143</v>
      </c>
      <c r="I39" s="54">
        <f t="shared" si="17"/>
        <v>-0.02810115258</v>
      </c>
    </row>
    <row r="40" ht="15.75" customHeight="1">
      <c r="A40" s="56" t="s">
        <v>24</v>
      </c>
      <c r="B40" s="50">
        <v>305.0</v>
      </c>
      <c r="C40" s="18">
        <f t="shared" si="14"/>
        <v>288.6198114</v>
      </c>
      <c r="D40" s="21">
        <f t="shared" si="15"/>
        <v>-0.0567535142</v>
      </c>
      <c r="E40" s="51"/>
      <c r="F40" s="52" t="str">
        <f>VLOOKUP(A40,'Соответствие'!A:B,2,FALSE)</f>
        <v>FlightsPage</v>
      </c>
      <c r="G40" s="53">
        <f t="shared" si="16"/>
        <v>96.20660381</v>
      </c>
      <c r="H40" s="9">
        <f>VLOOKUP(F40,SummaryReport!A:J,7,FALSE)</f>
        <v>97</v>
      </c>
      <c r="I40" s="54">
        <f t="shared" si="17"/>
        <v>0.008179342153</v>
      </c>
    </row>
    <row r="41" ht="15.75" customHeight="1">
      <c r="A41" s="55" t="s">
        <v>27</v>
      </c>
      <c r="B41" s="50">
        <v>282.0</v>
      </c>
      <c r="C41" s="18">
        <f t="shared" si="14"/>
        <v>288.6198114</v>
      </c>
      <c r="D41" s="21">
        <f t="shared" si="15"/>
        <v>0.02293609507</v>
      </c>
      <c r="E41" s="51"/>
      <c r="F41" s="52" t="str">
        <f>VLOOKUP(A41,'Соответствие'!A:B,2,FALSE)</f>
        <v>FindFlight</v>
      </c>
      <c r="G41" s="53">
        <f t="shared" si="16"/>
        <v>96.20660381</v>
      </c>
      <c r="H41" s="9">
        <f>VLOOKUP(F41,SummaryReport!A:J,7,FALSE)</f>
        <v>97</v>
      </c>
      <c r="I41" s="54">
        <f t="shared" si="17"/>
        <v>0.008179342153</v>
      </c>
    </row>
    <row r="42" ht="15.75" customHeight="1">
      <c r="A42" s="55" t="s">
        <v>22</v>
      </c>
      <c r="B42" s="50">
        <v>270.0</v>
      </c>
      <c r="C42" s="18">
        <f t="shared" si="14"/>
        <v>288.6198114</v>
      </c>
      <c r="D42" s="21">
        <f t="shared" si="15"/>
        <v>0.06451328251</v>
      </c>
      <c r="E42" s="51"/>
      <c r="F42" s="52" t="str">
        <f>VLOOKUP(A42,'Соответствие'!A:B,2,FALSE)</f>
        <v>ChooseFlight</v>
      </c>
      <c r="G42" s="53">
        <f t="shared" si="16"/>
        <v>96.20660381</v>
      </c>
      <c r="H42" s="9">
        <f>VLOOKUP(F42,SummaryReport!A:J,7,FALSE)</f>
        <v>97</v>
      </c>
      <c r="I42" s="54">
        <f t="shared" si="17"/>
        <v>0.008179342153</v>
      </c>
    </row>
    <row r="43" ht="15.75" customHeight="1">
      <c r="A43" s="55" t="s">
        <v>30</v>
      </c>
      <c r="B43" s="50">
        <v>175.0</v>
      </c>
      <c r="C43" s="18">
        <f t="shared" si="14"/>
        <v>170.4497031</v>
      </c>
      <c r="D43" s="21">
        <f t="shared" si="15"/>
        <v>-0.02669583333</v>
      </c>
      <c r="E43" s="51"/>
      <c r="F43" s="52" t="str">
        <f>VLOOKUP(A43,'Соответствие'!A:B,2,FALSE)</f>
        <v>FillThePaymentDetails</v>
      </c>
      <c r="G43" s="53">
        <f t="shared" si="16"/>
        <v>56.81656771</v>
      </c>
      <c r="H43" s="9">
        <f>VLOOKUP(F43,SummaryReport!A:J,7,FALSE)</f>
        <v>57</v>
      </c>
      <c r="I43" s="54">
        <f t="shared" si="17"/>
        <v>0.003218110331</v>
      </c>
    </row>
    <row r="44" ht="15.75" customHeight="1">
      <c r="A44" s="55" t="s">
        <v>35</v>
      </c>
      <c r="B44" s="50">
        <v>280.0</v>
      </c>
      <c r="C44" s="18">
        <f t="shared" si="14"/>
        <v>270.6056913</v>
      </c>
      <c r="D44" s="21">
        <f t="shared" si="15"/>
        <v>-0.03471585771</v>
      </c>
      <c r="E44" s="13"/>
      <c r="F44" s="52" t="str">
        <f>VLOOKUP(A44,'Соответствие'!A:B,2,FALSE)</f>
        <v>Itinerary</v>
      </c>
      <c r="G44" s="53">
        <f t="shared" si="16"/>
        <v>90.20189711</v>
      </c>
      <c r="H44" s="9">
        <f>VLOOKUP(F44,SummaryReport!A:J,7,FALSE)</f>
        <v>87</v>
      </c>
      <c r="I44" s="54">
        <f t="shared" si="17"/>
        <v>-0.03680341504</v>
      </c>
    </row>
    <row r="45" ht="15.75" customHeight="1">
      <c r="A45" s="55" t="s">
        <v>33</v>
      </c>
      <c r="B45" s="50">
        <v>73.0</v>
      </c>
      <c r="C45" s="18">
        <f t="shared" si="14"/>
        <v>74.0734949</v>
      </c>
      <c r="D45" s="21">
        <f t="shared" si="15"/>
        <v>0.01449229444</v>
      </c>
      <c r="E45" s="51"/>
      <c r="F45" s="52" t="str">
        <f>VLOOKUP(A45,'Соответствие'!A:B,2,FALSE)</f>
        <v>CancelReservation</v>
      </c>
      <c r="G45" s="53">
        <f t="shared" si="16"/>
        <v>24.69116497</v>
      </c>
      <c r="H45" s="9">
        <f>VLOOKUP(F45,SummaryReport!A:J,7,FALSE)</f>
        <v>24</v>
      </c>
      <c r="I45" s="54">
        <f t="shared" si="17"/>
        <v>-0.02879854026</v>
      </c>
    </row>
    <row r="46" ht="15.75" customHeight="1">
      <c r="A46" s="55" t="s">
        <v>25</v>
      </c>
      <c r="B46" s="50">
        <v>326.0</v>
      </c>
      <c r="C46" s="18">
        <f t="shared" si="14"/>
        <v>344.5546124</v>
      </c>
      <c r="D46" s="21">
        <f t="shared" si="15"/>
        <v>0.05385100582</v>
      </c>
      <c r="E46" s="51"/>
      <c r="F46" s="52" t="str">
        <f>VLOOKUP(A46,'Соответствие'!A:B,2,FALSE)</f>
        <v>SignOff</v>
      </c>
      <c r="G46" s="53">
        <f t="shared" si="16"/>
        <v>114.8515375</v>
      </c>
      <c r="H46" s="9">
        <f>VLOOKUP(F46,SummaryReport!A:J,7,FALSE)</f>
        <v>113</v>
      </c>
      <c r="I46" s="54">
        <f t="shared" si="17"/>
        <v>-0.01638528743</v>
      </c>
    </row>
    <row r="47" ht="15.75" customHeight="1">
      <c r="A47" s="55" t="s">
        <v>36</v>
      </c>
      <c r="B47" s="50">
        <v>97.0</v>
      </c>
      <c r="C47" s="18">
        <f t="shared" si="14"/>
        <v>92.55258883</v>
      </c>
      <c r="D47" s="21">
        <f t="shared" si="15"/>
        <v>-0.04805280139</v>
      </c>
      <c r="E47" s="51"/>
      <c r="F47" s="52" t="str">
        <f>VLOOKUP(A47,'Соответствие'!A:B,2,FALSE)</f>
        <v>SignUp</v>
      </c>
      <c r="G47" s="53">
        <f t="shared" si="16"/>
        <v>30.85086294</v>
      </c>
      <c r="H47" s="9">
        <f>VLOOKUP(F47,SummaryReport!A:J,7,FALSE)</f>
        <v>32</v>
      </c>
      <c r="I47" s="54">
        <f t="shared" si="17"/>
        <v>0.03591053301</v>
      </c>
    </row>
    <row r="48" ht="15.75" customHeight="1">
      <c r="A48" s="55" t="s">
        <v>31</v>
      </c>
      <c r="B48" s="50">
        <v>97.0</v>
      </c>
      <c r="C48" s="18">
        <f t="shared" si="14"/>
        <v>92.55258883</v>
      </c>
      <c r="D48" s="21">
        <f t="shared" si="15"/>
        <v>-0.04805280139</v>
      </c>
      <c r="E48" s="51"/>
      <c r="F48" s="52" t="str">
        <f>VLOOKUP(A48,'Соответствие'!A:B,2,FALSE)</f>
        <v>FillTheregistrationForm</v>
      </c>
      <c r="G48" s="53">
        <f t="shared" si="16"/>
        <v>30.85086294</v>
      </c>
      <c r="H48" s="9">
        <f>VLOOKUP(F48,SummaryReport!A:J,7,FALSE)</f>
        <v>32</v>
      </c>
      <c r="I48" s="54">
        <f t="shared" si="17"/>
        <v>0.03591053301</v>
      </c>
    </row>
    <row r="49" ht="15.75" customHeight="1">
      <c r="A49" s="55" t="s">
        <v>34</v>
      </c>
      <c r="B49" s="50">
        <v>97.0</v>
      </c>
      <c r="C49" s="18">
        <f t="shared" si="14"/>
        <v>92.55258883</v>
      </c>
      <c r="D49" s="21">
        <f t="shared" si="15"/>
        <v>-0.04805280139</v>
      </c>
      <c r="E49" s="51"/>
      <c r="F49" s="52" t="str">
        <f>VLOOKUP(A49,'Соответствие'!A:B,2,FALSE)</f>
        <v>Continue</v>
      </c>
      <c r="G49" s="53">
        <f t="shared" si="16"/>
        <v>30.85086294</v>
      </c>
      <c r="H49" s="9">
        <f>VLOOKUP(F49,SummaryReport!A:J,7,FALSE)</f>
        <v>32</v>
      </c>
      <c r="I49" s="54">
        <f t="shared" si="17"/>
        <v>0.03591053301</v>
      </c>
    </row>
    <row r="50" ht="15.75" customHeight="1">
      <c r="A50" s="57" t="s">
        <v>7</v>
      </c>
      <c r="B50" s="58">
        <f t="shared" ref="B50:C50" si="18">SUM(B38:B49)</f>
        <v>2944</v>
      </c>
      <c r="C50" s="59">
        <f t="shared" si="18"/>
        <v>2977.86408</v>
      </c>
      <c r="D50" s="21">
        <f t="shared" si="15"/>
        <v>0.0113719362</v>
      </c>
      <c r="I50" s="54"/>
    </row>
    <row r="51" ht="15.75" customHeight="1"/>
    <row r="52" ht="15.75" customHeight="1">
      <c r="A52" s="3"/>
      <c r="B52" s="4"/>
      <c r="C52" s="60" t="s">
        <v>47</v>
      </c>
      <c r="D52" s="60"/>
      <c r="E52" s="60"/>
      <c r="F52" s="60"/>
      <c r="G52" s="60"/>
      <c r="H52" s="60"/>
      <c r="I52" s="61"/>
    </row>
    <row r="53" ht="15.75" customHeight="1">
      <c r="I53" s="8"/>
    </row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36:B36"/>
    <mergeCell ref="C36:D36"/>
  </mergeCells>
  <printOptions/>
  <pageMargins bottom="0.75" footer="0.0" header="0.0" left="0.7" right="0.7" top="0.75"/>
  <pageSetup paperSize="9" orientation="portrait"/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7.43"/>
    <col customWidth="1" min="2" max="2" width="23.86"/>
    <col customWidth="1" min="3" max="26" width="8.86"/>
  </cols>
  <sheetData>
    <row r="1">
      <c r="A1" s="62" t="s">
        <v>48</v>
      </c>
      <c r="B1" s="62" t="s">
        <v>49</v>
      </c>
    </row>
    <row r="2">
      <c r="A2" s="52" t="str">
        <f>'Автоматизированный расчет'!A38</f>
        <v>Главная Welcome страница</v>
      </c>
      <c r="B2" s="63" t="s">
        <v>50</v>
      </c>
    </row>
    <row r="3">
      <c r="A3" s="52" t="str">
        <f>'Автоматизированный расчет'!A39</f>
        <v>Вход в систему</v>
      </c>
      <c r="B3" s="63" t="s">
        <v>51</v>
      </c>
    </row>
    <row r="4">
      <c r="A4" s="52" t="str">
        <f>'Автоматизированный расчет'!A40</f>
        <v>Переход на страницу поиска билетов</v>
      </c>
      <c r="B4" s="63" t="s">
        <v>52</v>
      </c>
    </row>
    <row r="5">
      <c r="A5" s="52" t="str">
        <f>'Автоматизированный расчет'!A41</f>
        <v>Заполнение полей для поиска билета </v>
      </c>
      <c r="B5" s="63" t="s">
        <v>53</v>
      </c>
    </row>
    <row r="6">
      <c r="A6" s="52" t="str">
        <f>'Автоматизированный расчет'!A42</f>
        <v>Выбор рейса из найденных </v>
      </c>
      <c r="B6" s="63" t="s">
        <v>54</v>
      </c>
    </row>
    <row r="7">
      <c r="A7" s="52" t="str">
        <f>'Автоматизированный расчет'!A43</f>
        <v>Оплата билета</v>
      </c>
      <c r="B7" s="63" t="s">
        <v>55</v>
      </c>
    </row>
    <row r="8">
      <c r="A8" s="52" t="str">
        <f>'Автоматизированный расчет'!A44</f>
        <v>Просмотр квитанций</v>
      </c>
      <c r="B8" s="63" t="s">
        <v>56</v>
      </c>
    </row>
    <row r="9">
      <c r="A9" s="52" t="str">
        <f>'Автоматизированный расчет'!A45</f>
        <v>Отмена бронирования </v>
      </c>
      <c r="B9" s="63" t="s">
        <v>57</v>
      </c>
    </row>
    <row r="10">
      <c r="A10" s="52" t="str">
        <f>'Автоматизированный расчет'!A46</f>
        <v>Выход из системы</v>
      </c>
      <c r="B10" s="63" t="s">
        <v>58</v>
      </c>
    </row>
    <row r="11">
      <c r="A11" s="52" t="str">
        <f>'Автоматизированный расчет'!A47</f>
        <v>Перход на страницу регистрации</v>
      </c>
      <c r="B11" s="63" t="s">
        <v>59</v>
      </c>
    </row>
    <row r="12">
      <c r="A12" s="52" t="str">
        <f>'Автоматизированный расчет'!A48</f>
        <v>Заполнение полей регистарции</v>
      </c>
      <c r="B12" s="63" t="s">
        <v>60</v>
      </c>
    </row>
    <row r="13">
      <c r="A13" s="52" t="str">
        <f>'Автоматизированный расчет'!A49</f>
        <v>Переход на следуюущий эран после регистарции</v>
      </c>
      <c r="B13" s="63" t="s">
        <v>61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6.43"/>
    <col customWidth="1" min="2" max="12" width="8.86"/>
    <col customWidth="1" min="13" max="13" width="18.43"/>
    <col customWidth="1" min="14" max="26" width="8.86"/>
  </cols>
  <sheetData>
    <row r="1">
      <c r="A1" s="64" t="s">
        <v>62</v>
      </c>
      <c r="B1" s="65" t="s">
        <v>63</v>
      </c>
      <c r="C1" s="65" t="s">
        <v>64</v>
      </c>
      <c r="D1" s="65" t="s">
        <v>65</v>
      </c>
      <c r="E1" s="65" t="s">
        <v>66</v>
      </c>
      <c r="F1" s="65" t="s">
        <v>67</v>
      </c>
      <c r="G1" s="65" t="s">
        <v>68</v>
      </c>
      <c r="H1" s="65" t="s">
        <v>69</v>
      </c>
      <c r="I1" s="65" t="s">
        <v>70</v>
      </c>
      <c r="J1" s="66"/>
      <c r="K1" s="67"/>
    </row>
    <row r="2">
      <c r="A2" s="68" t="s">
        <v>71</v>
      </c>
      <c r="B2" s="69">
        <v>0.253</v>
      </c>
      <c r="C2" s="69">
        <v>0.403</v>
      </c>
      <c r="D2" s="69">
        <v>0.535</v>
      </c>
      <c r="E2" s="69">
        <v>0.076</v>
      </c>
      <c r="F2" s="69">
        <v>0.477</v>
      </c>
      <c r="G2" s="69">
        <v>176.0</v>
      </c>
      <c r="H2" s="69">
        <v>0.0</v>
      </c>
      <c r="I2" s="69">
        <v>0.0</v>
      </c>
      <c r="J2" s="70"/>
      <c r="K2" s="67"/>
    </row>
    <row r="3">
      <c r="A3" s="68" t="s">
        <v>72</v>
      </c>
      <c r="B3" s="69">
        <v>0.044</v>
      </c>
      <c r="C3" s="69">
        <v>0.049</v>
      </c>
      <c r="D3" s="69">
        <v>0.074</v>
      </c>
      <c r="E3" s="69">
        <v>0.006</v>
      </c>
      <c r="F3" s="69">
        <v>0.052</v>
      </c>
      <c r="G3" s="69">
        <v>24.0</v>
      </c>
      <c r="H3" s="69">
        <v>0.0</v>
      </c>
      <c r="I3" s="69">
        <v>0.0</v>
      </c>
      <c r="J3" s="70"/>
      <c r="K3" s="67"/>
      <c r="M3" s="2"/>
      <c r="N3" s="2"/>
      <c r="O3" s="2"/>
      <c r="P3" s="2"/>
      <c r="Q3" s="2"/>
      <c r="R3" s="2"/>
      <c r="S3" s="2"/>
      <c r="T3" s="2"/>
      <c r="U3" s="2"/>
      <c r="V3" s="2"/>
    </row>
    <row r="4" ht="15.75" customHeight="1">
      <c r="A4" s="68" t="s">
        <v>73</v>
      </c>
      <c r="B4" s="69">
        <v>0.037</v>
      </c>
      <c r="C4" s="69">
        <v>0.042</v>
      </c>
      <c r="D4" s="69">
        <v>0.051</v>
      </c>
      <c r="E4" s="69">
        <v>0.003</v>
      </c>
      <c r="F4" s="69">
        <v>0.047</v>
      </c>
      <c r="G4" s="69">
        <v>97.0</v>
      </c>
      <c r="H4" s="69">
        <v>0.0</v>
      </c>
      <c r="I4" s="69">
        <v>0.0</v>
      </c>
      <c r="J4" s="70"/>
      <c r="K4" s="67"/>
      <c r="M4" s="2"/>
      <c r="N4" s="2"/>
      <c r="O4" s="2"/>
      <c r="P4" s="2"/>
      <c r="Q4" s="2"/>
      <c r="R4" s="2"/>
      <c r="S4" s="2"/>
      <c r="T4" s="2"/>
      <c r="U4" s="2"/>
      <c r="V4" s="2"/>
    </row>
    <row r="5" ht="15.75" customHeight="1">
      <c r="A5" s="68" t="s">
        <v>74</v>
      </c>
      <c r="B5" s="69">
        <v>0.078</v>
      </c>
      <c r="C5" s="69">
        <v>0.092</v>
      </c>
      <c r="D5" s="69">
        <v>0.127</v>
      </c>
      <c r="E5" s="69">
        <v>0.012</v>
      </c>
      <c r="F5" s="69">
        <v>0.111</v>
      </c>
      <c r="G5" s="69">
        <v>32.0</v>
      </c>
      <c r="H5" s="69">
        <v>0.0</v>
      </c>
      <c r="I5" s="69">
        <v>0.0</v>
      </c>
      <c r="J5" s="70"/>
      <c r="K5" s="67"/>
      <c r="M5" s="2"/>
      <c r="N5" s="2"/>
      <c r="O5" s="2"/>
      <c r="P5" s="2"/>
      <c r="Q5" s="2"/>
      <c r="R5" s="2"/>
      <c r="S5" s="2"/>
      <c r="T5" s="2"/>
      <c r="U5" s="2"/>
      <c r="V5" s="2"/>
    </row>
    <row r="6" ht="15.75" customHeight="1">
      <c r="A6" s="68" t="s">
        <v>75</v>
      </c>
      <c r="B6" s="69">
        <v>0.041</v>
      </c>
      <c r="C6" s="69">
        <v>0.045</v>
      </c>
      <c r="D6" s="69">
        <v>0.051</v>
      </c>
      <c r="E6" s="69">
        <v>0.003</v>
      </c>
      <c r="F6" s="69">
        <v>0.049</v>
      </c>
      <c r="G6" s="69">
        <v>57.0</v>
      </c>
      <c r="H6" s="69">
        <v>0.0</v>
      </c>
      <c r="I6" s="69">
        <v>0.0</v>
      </c>
      <c r="J6" s="70"/>
      <c r="K6" s="67"/>
      <c r="M6" s="2"/>
      <c r="N6" s="2"/>
      <c r="O6" s="2"/>
      <c r="P6" s="2"/>
      <c r="Q6" s="2"/>
      <c r="R6" s="2"/>
      <c r="S6" s="2"/>
      <c r="T6" s="2"/>
      <c r="U6" s="2"/>
      <c r="V6" s="2"/>
    </row>
    <row r="7" ht="15.75" customHeight="1">
      <c r="A7" s="68" t="s">
        <v>76</v>
      </c>
      <c r="B7" s="69">
        <v>0.035</v>
      </c>
      <c r="C7" s="69">
        <v>0.039</v>
      </c>
      <c r="D7" s="69">
        <v>0.045</v>
      </c>
      <c r="E7" s="69">
        <v>0.003</v>
      </c>
      <c r="F7" s="69">
        <v>0.043</v>
      </c>
      <c r="G7" s="69">
        <v>32.0</v>
      </c>
      <c r="H7" s="69">
        <v>0.0</v>
      </c>
      <c r="I7" s="69">
        <v>0.0</v>
      </c>
      <c r="J7" s="71"/>
      <c r="K7" s="72"/>
      <c r="M7" s="2"/>
      <c r="N7" s="2"/>
      <c r="O7" s="2"/>
      <c r="P7" s="2"/>
      <c r="Q7" s="2"/>
      <c r="R7" s="2"/>
      <c r="S7" s="2"/>
      <c r="T7" s="2"/>
      <c r="U7" s="2"/>
      <c r="V7" s="2"/>
    </row>
    <row r="8" ht="15.75" customHeight="1">
      <c r="A8" s="68" t="s">
        <v>77</v>
      </c>
      <c r="B8" s="69">
        <v>0.037</v>
      </c>
      <c r="C8" s="69">
        <v>0.041</v>
      </c>
      <c r="D8" s="69">
        <v>0.05</v>
      </c>
      <c r="E8" s="69">
        <v>0.003</v>
      </c>
      <c r="F8" s="69">
        <v>0.045</v>
      </c>
      <c r="G8" s="69">
        <v>97.0</v>
      </c>
      <c r="H8" s="69">
        <v>0.0</v>
      </c>
      <c r="I8" s="69">
        <v>0.0</v>
      </c>
      <c r="J8" s="70"/>
      <c r="K8" s="67"/>
      <c r="M8" s="2"/>
      <c r="N8" s="2"/>
      <c r="O8" s="2"/>
      <c r="P8" s="2"/>
      <c r="Q8" s="2"/>
      <c r="R8" s="2"/>
      <c r="S8" s="2"/>
      <c r="T8" s="2"/>
      <c r="U8" s="2"/>
      <c r="V8" s="2"/>
    </row>
    <row r="9" ht="15.75" customHeight="1">
      <c r="A9" s="68" t="s">
        <v>78</v>
      </c>
      <c r="B9" s="69">
        <v>0.11</v>
      </c>
      <c r="C9" s="69">
        <v>0.115</v>
      </c>
      <c r="D9" s="69">
        <v>0.129</v>
      </c>
      <c r="E9" s="69">
        <v>0.007</v>
      </c>
      <c r="F9" s="69">
        <v>0.127</v>
      </c>
      <c r="G9" s="69">
        <v>97.0</v>
      </c>
      <c r="H9" s="69">
        <v>0.0</v>
      </c>
      <c r="I9" s="69">
        <v>0.0</v>
      </c>
      <c r="J9" s="70"/>
      <c r="K9" s="67"/>
      <c r="M9" s="2"/>
      <c r="N9" s="2"/>
      <c r="O9" s="2"/>
      <c r="P9" s="2"/>
      <c r="Q9" s="2"/>
      <c r="R9" s="2"/>
      <c r="S9" s="2"/>
      <c r="T9" s="2"/>
      <c r="U9" s="2"/>
      <c r="V9" s="2"/>
    </row>
    <row r="10" ht="15.75" customHeight="1">
      <c r="A10" s="68" t="s">
        <v>79</v>
      </c>
      <c r="B10" s="69">
        <v>0.06</v>
      </c>
      <c r="C10" s="69">
        <v>0.066</v>
      </c>
      <c r="D10" s="69">
        <v>0.084</v>
      </c>
      <c r="E10" s="69">
        <v>0.005</v>
      </c>
      <c r="F10" s="69">
        <v>0.071</v>
      </c>
      <c r="G10" s="69">
        <v>175.0</v>
      </c>
      <c r="H10" s="69">
        <v>0.0</v>
      </c>
      <c r="I10" s="69">
        <v>0.0</v>
      </c>
      <c r="J10" s="70"/>
      <c r="K10" s="67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 ht="15.75" customHeight="1">
      <c r="A11" s="68" t="s">
        <v>80</v>
      </c>
      <c r="B11" s="69">
        <v>0.108</v>
      </c>
      <c r="C11" s="69">
        <v>0.116</v>
      </c>
      <c r="D11" s="69">
        <v>0.129</v>
      </c>
      <c r="E11" s="69">
        <v>0.007</v>
      </c>
      <c r="F11" s="69">
        <v>0.127</v>
      </c>
      <c r="G11" s="69">
        <v>87.0</v>
      </c>
      <c r="H11" s="69">
        <v>0.0</v>
      </c>
      <c r="I11" s="69">
        <v>0.0</v>
      </c>
      <c r="J11" s="70"/>
      <c r="K11" s="67"/>
      <c r="M11" s="2"/>
      <c r="N11" s="2"/>
      <c r="O11" s="2"/>
      <c r="P11" s="2"/>
      <c r="Q11" s="2"/>
      <c r="R11" s="2"/>
      <c r="S11" s="2"/>
      <c r="T11" s="2"/>
      <c r="U11" s="2"/>
      <c r="V11" s="2"/>
    </row>
    <row r="12" ht="15.75" customHeight="1">
      <c r="A12" s="68" t="s">
        <v>81</v>
      </c>
      <c r="B12" s="69">
        <v>0.078</v>
      </c>
      <c r="C12" s="69">
        <v>0.091</v>
      </c>
      <c r="D12" s="69">
        <v>0.144</v>
      </c>
      <c r="E12" s="69">
        <v>0.011</v>
      </c>
      <c r="F12" s="69">
        <v>0.096</v>
      </c>
      <c r="G12" s="69">
        <v>143.0</v>
      </c>
      <c r="H12" s="69">
        <v>0.0</v>
      </c>
      <c r="I12" s="69">
        <v>0.0</v>
      </c>
      <c r="J12" s="71"/>
      <c r="K12" s="72"/>
      <c r="M12" s="2"/>
      <c r="N12" s="2"/>
      <c r="O12" s="2"/>
      <c r="P12" s="2"/>
      <c r="Q12" s="2"/>
      <c r="R12" s="2"/>
      <c r="S12" s="2"/>
      <c r="T12" s="2"/>
      <c r="U12" s="2"/>
      <c r="V12" s="2"/>
    </row>
    <row r="13" ht="15.75" customHeight="1">
      <c r="A13" s="68" t="s">
        <v>82</v>
      </c>
      <c r="B13" s="69">
        <v>0.058</v>
      </c>
      <c r="C13" s="69">
        <v>0.066</v>
      </c>
      <c r="D13" s="69">
        <v>0.252</v>
      </c>
      <c r="E13" s="69">
        <v>0.018</v>
      </c>
      <c r="F13" s="69">
        <v>0.069</v>
      </c>
      <c r="G13" s="69">
        <v>113.0</v>
      </c>
      <c r="H13" s="69">
        <v>0.0</v>
      </c>
      <c r="I13" s="69">
        <v>0.0</v>
      </c>
      <c r="J13" s="70"/>
      <c r="K13" s="67"/>
      <c r="M13" s="2"/>
      <c r="N13" s="2"/>
      <c r="O13" s="2"/>
      <c r="P13" s="2"/>
      <c r="Q13" s="2"/>
      <c r="R13" s="2"/>
      <c r="S13" s="2"/>
      <c r="T13" s="2"/>
      <c r="U13" s="2"/>
      <c r="V13" s="2"/>
    </row>
    <row r="14" ht="15.75" customHeight="1">
      <c r="A14" s="68" t="s">
        <v>83</v>
      </c>
      <c r="B14" s="69">
        <v>0.041</v>
      </c>
      <c r="C14" s="69">
        <v>0.047</v>
      </c>
      <c r="D14" s="69">
        <v>0.07</v>
      </c>
      <c r="E14" s="69">
        <v>0.005</v>
      </c>
      <c r="F14" s="69">
        <v>0.053</v>
      </c>
      <c r="G14" s="69">
        <v>32.0</v>
      </c>
      <c r="H14" s="69">
        <v>0.0</v>
      </c>
      <c r="I14" s="69">
        <v>0.0</v>
      </c>
      <c r="J14" s="70"/>
      <c r="K14" s="67"/>
      <c r="M14" s="2"/>
      <c r="N14" s="2"/>
      <c r="O14" s="2"/>
      <c r="P14" s="2"/>
      <c r="Q14" s="2"/>
      <c r="R14" s="2"/>
      <c r="S14" s="2"/>
      <c r="T14" s="2"/>
      <c r="U14" s="2"/>
      <c r="V14" s="2"/>
    </row>
    <row r="15" ht="15.75" customHeight="1">
      <c r="A15" s="68" t="s">
        <v>84</v>
      </c>
      <c r="B15" s="69">
        <v>0.443</v>
      </c>
      <c r="C15" s="69">
        <v>0.467</v>
      </c>
      <c r="D15" s="69">
        <v>0.494</v>
      </c>
      <c r="E15" s="69">
        <v>0.014</v>
      </c>
      <c r="F15" s="69">
        <v>0.487</v>
      </c>
      <c r="G15" s="69">
        <v>40.0</v>
      </c>
      <c r="H15" s="69">
        <v>0.0</v>
      </c>
      <c r="I15" s="69">
        <v>0.0</v>
      </c>
      <c r="J15" s="71"/>
      <c r="K15" s="72"/>
    </row>
    <row r="16" ht="15.75" customHeight="1">
      <c r="A16" s="68" t="s">
        <v>85</v>
      </c>
      <c r="B16" s="69">
        <v>0.433</v>
      </c>
      <c r="C16" s="69">
        <v>0.458</v>
      </c>
      <c r="D16" s="69">
        <v>0.491</v>
      </c>
      <c r="E16" s="69">
        <v>0.016</v>
      </c>
      <c r="F16" s="69">
        <v>0.479</v>
      </c>
      <c r="G16" s="69">
        <v>57.0</v>
      </c>
      <c r="H16" s="69">
        <v>0.0</v>
      </c>
      <c r="I16" s="69">
        <v>0.0</v>
      </c>
      <c r="J16" s="71"/>
      <c r="K16" s="72"/>
    </row>
    <row r="17" ht="15.75" customHeight="1">
      <c r="A17" s="68" t="s">
        <v>86</v>
      </c>
      <c r="B17" s="69">
        <v>0.253</v>
      </c>
      <c r="C17" s="69">
        <v>0.274</v>
      </c>
      <c r="D17" s="69">
        <v>0.297</v>
      </c>
      <c r="E17" s="69">
        <v>0.012</v>
      </c>
      <c r="F17" s="69">
        <v>0.291</v>
      </c>
      <c r="G17" s="69">
        <v>23.0</v>
      </c>
      <c r="H17" s="69">
        <v>0.0</v>
      </c>
      <c r="I17" s="69">
        <v>0.0</v>
      </c>
      <c r="J17" s="71"/>
      <c r="K17" s="72"/>
    </row>
    <row r="18" ht="15.75" customHeight="1">
      <c r="A18" s="68" t="s">
        <v>87</v>
      </c>
      <c r="B18" s="69">
        <v>0.363</v>
      </c>
      <c r="C18" s="69">
        <v>0.392</v>
      </c>
      <c r="D18" s="69">
        <v>0.441</v>
      </c>
      <c r="E18" s="69">
        <v>0.019</v>
      </c>
      <c r="F18" s="69">
        <v>0.432</v>
      </c>
      <c r="G18" s="69">
        <v>25.0</v>
      </c>
      <c r="H18" s="69">
        <v>0.0</v>
      </c>
      <c r="I18" s="69">
        <v>0.0</v>
      </c>
      <c r="J18" s="71"/>
      <c r="K18" s="72"/>
    </row>
    <row r="19" ht="15.75" customHeight="1">
      <c r="A19" s="68" t="s">
        <v>88</v>
      </c>
      <c r="B19" s="69">
        <v>0.288</v>
      </c>
      <c r="C19" s="69">
        <v>0.323</v>
      </c>
      <c r="D19" s="69">
        <v>0.534</v>
      </c>
      <c r="E19" s="69">
        <v>0.042</v>
      </c>
      <c r="F19" s="69">
        <v>0.34</v>
      </c>
      <c r="G19" s="69">
        <v>31.0</v>
      </c>
      <c r="H19" s="69">
        <v>0.0</v>
      </c>
      <c r="I19" s="69">
        <v>0.0</v>
      </c>
      <c r="J19" s="71"/>
      <c r="K19" s="67"/>
    </row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</sheetData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</hyperlinks>
  <printOptions/>
  <pageMargins bottom="0.75" footer="0.0" header="0.0" left="0.7" right="0.7" top="0.75"/>
  <pageSetup orientation="landscape"/>
  <drawing r:id="rId19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4.43"/>
    <col customWidth="1" hidden="1" min="3" max="4" width="9.14"/>
    <col customWidth="1" min="5" max="5" width="20.43"/>
    <col customWidth="1" min="6" max="6" width="18.86"/>
    <col customWidth="1" min="7" max="7" width="15.29"/>
    <col customWidth="1" min="8" max="8" width="15.14"/>
    <col customWidth="1" min="9" max="9" width="14.0"/>
    <col customWidth="1" min="10" max="10" width="8.86"/>
    <col customWidth="1" min="11" max="11" width="1.43"/>
    <col customWidth="1" min="12" max="12" width="29.43"/>
    <col customWidth="1" min="13" max="13" width="20.14"/>
    <col customWidth="1" min="14" max="14" width="16.71"/>
    <col customWidth="1" min="15" max="15" width="11.71"/>
    <col customWidth="1" min="16" max="16" width="17.29"/>
    <col customWidth="1" min="17" max="17" width="18.0"/>
    <col customWidth="1" min="18" max="18" width="15.29"/>
    <col customWidth="1" min="19" max="19" width="14.43"/>
    <col customWidth="1" min="20" max="20" width="12.29"/>
    <col customWidth="1" min="21" max="21" width="14.86"/>
    <col customWidth="1" min="22" max="26" width="8.86"/>
  </cols>
  <sheetData>
    <row r="7">
      <c r="Q7" s="73"/>
      <c r="R7" s="73"/>
      <c r="S7" s="73"/>
      <c r="T7" s="73"/>
      <c r="U7" s="73"/>
      <c r="V7" s="73"/>
    </row>
    <row r="8">
      <c r="L8" s="74" t="s">
        <v>89</v>
      </c>
      <c r="M8" s="75"/>
      <c r="N8" s="75"/>
      <c r="O8" s="75"/>
      <c r="P8" s="76"/>
      <c r="Q8" s="77"/>
      <c r="R8" s="77"/>
      <c r="S8" s="73"/>
      <c r="T8" s="73"/>
      <c r="U8" s="73"/>
      <c r="V8" s="73"/>
    </row>
    <row r="9">
      <c r="E9" s="78" t="s">
        <v>90</v>
      </c>
      <c r="F9" s="79"/>
      <c r="G9" s="79"/>
      <c r="H9" s="79"/>
      <c r="I9" s="80"/>
      <c r="L9" s="73"/>
      <c r="M9" s="73"/>
      <c r="N9" s="73"/>
      <c r="O9" s="73"/>
      <c r="P9" s="73"/>
      <c r="Q9" s="73"/>
      <c r="R9" s="73"/>
      <c r="S9" s="73"/>
      <c r="T9" s="73"/>
      <c r="U9" s="73"/>
      <c r="V9" s="73"/>
    </row>
    <row r="10">
      <c r="L10" s="81" t="s">
        <v>91</v>
      </c>
      <c r="M10" s="81" t="s">
        <v>92</v>
      </c>
      <c r="N10" s="81" t="s">
        <v>93</v>
      </c>
      <c r="O10" s="81" t="s">
        <v>94</v>
      </c>
      <c r="P10" s="81" t="s">
        <v>95</v>
      </c>
      <c r="Q10" s="81"/>
      <c r="R10" s="81"/>
      <c r="S10" s="81"/>
      <c r="T10" s="81"/>
      <c r="U10" s="81"/>
      <c r="V10" s="73"/>
    </row>
    <row r="11">
      <c r="E11" s="82" t="s">
        <v>91</v>
      </c>
      <c r="F11" s="82" t="s">
        <v>92</v>
      </c>
      <c r="G11" s="82" t="s">
        <v>93</v>
      </c>
      <c r="H11" s="82" t="s">
        <v>94</v>
      </c>
      <c r="I11" s="82" t="s">
        <v>95</v>
      </c>
      <c r="L11" s="63" t="s">
        <v>50</v>
      </c>
      <c r="M11" s="63" t="s">
        <v>50</v>
      </c>
      <c r="N11" s="83">
        <v>534.0</v>
      </c>
      <c r="O11" s="83">
        <f>175*3</f>
        <v>525</v>
      </c>
      <c r="P11" s="84">
        <f t="shared" ref="P11:P22" si="1">1-(N11/O11)</f>
        <v>-0.01714285714</v>
      </c>
      <c r="Q11" s="73"/>
      <c r="R11" s="73"/>
      <c r="S11" s="73"/>
      <c r="T11" s="73"/>
      <c r="U11" s="73"/>
      <c r="V11" s="73"/>
    </row>
    <row r="12">
      <c r="E12" s="85" t="s">
        <v>21</v>
      </c>
      <c r="F12" s="86" t="s">
        <v>96</v>
      </c>
      <c r="G12" s="87">
        <v>368.0</v>
      </c>
      <c r="H12" s="86">
        <f>121*3</f>
        <v>363</v>
      </c>
      <c r="I12" s="88">
        <f t="shared" ref="I12:I18" si="2">1-G12/H12</f>
        <v>-0.01377410468</v>
      </c>
      <c r="L12" s="63" t="s">
        <v>51</v>
      </c>
      <c r="M12" s="63" t="s">
        <v>51</v>
      </c>
      <c r="N12" s="83">
        <v>441.0</v>
      </c>
      <c r="O12" s="73">
        <f>143*3</f>
        <v>429</v>
      </c>
      <c r="P12" s="84">
        <f t="shared" si="1"/>
        <v>-0.02797202797</v>
      </c>
      <c r="Q12" s="73"/>
      <c r="R12" s="73"/>
      <c r="S12" s="73"/>
      <c r="T12" s="73"/>
      <c r="U12" s="73"/>
      <c r="V12" s="73"/>
    </row>
    <row r="13">
      <c r="E13" s="85" t="s">
        <v>97</v>
      </c>
      <c r="F13" s="86" t="s">
        <v>98</v>
      </c>
      <c r="G13" s="87">
        <v>251.0</v>
      </c>
      <c r="H13" s="86">
        <f t="shared" ref="H13:H14" si="3">82*3</f>
        <v>246</v>
      </c>
      <c r="I13" s="88">
        <f t="shared" si="2"/>
        <v>-0.02032520325</v>
      </c>
      <c r="L13" s="63" t="s">
        <v>52</v>
      </c>
      <c r="M13" s="63" t="s">
        <v>52</v>
      </c>
      <c r="N13" s="83">
        <v>289.0</v>
      </c>
      <c r="O13" s="73">
        <f t="shared" ref="O13:O15" si="4">97*3</f>
        <v>291</v>
      </c>
      <c r="P13" s="84">
        <f t="shared" si="1"/>
        <v>0.006872852234</v>
      </c>
      <c r="Q13" s="73"/>
      <c r="R13" s="73"/>
      <c r="S13" s="73"/>
      <c r="T13" s="73"/>
      <c r="U13" s="73"/>
      <c r="V13" s="73"/>
    </row>
    <row r="14">
      <c r="E14" s="85" t="s">
        <v>99</v>
      </c>
      <c r="F14" s="86" t="s">
        <v>100</v>
      </c>
      <c r="G14" s="87">
        <v>251.0</v>
      </c>
      <c r="H14" s="86">
        <f t="shared" si="3"/>
        <v>246</v>
      </c>
      <c r="I14" s="88">
        <f t="shared" si="2"/>
        <v>-0.02032520325</v>
      </c>
      <c r="L14" s="63" t="s">
        <v>53</v>
      </c>
      <c r="M14" s="63" t="s">
        <v>53</v>
      </c>
      <c r="N14" s="83">
        <v>289.0</v>
      </c>
      <c r="O14" s="73">
        <f t="shared" si="4"/>
        <v>291</v>
      </c>
      <c r="P14" s="84">
        <f t="shared" si="1"/>
        <v>0.006872852234</v>
      </c>
      <c r="Q14" s="73"/>
      <c r="R14" s="73"/>
      <c r="S14" s="73"/>
      <c r="T14" s="73"/>
      <c r="U14" s="73"/>
      <c r="V14" s="73"/>
    </row>
    <row r="15">
      <c r="E15" s="85" t="s">
        <v>30</v>
      </c>
      <c r="F15" s="86" t="s">
        <v>101</v>
      </c>
      <c r="G15" s="87">
        <v>175.0</v>
      </c>
      <c r="H15" s="86">
        <f t="shared" ref="H15:H16" si="5">56*3</f>
        <v>168</v>
      </c>
      <c r="I15" s="88">
        <f t="shared" si="2"/>
        <v>-0.04166666667</v>
      </c>
      <c r="L15" s="63" t="s">
        <v>54</v>
      </c>
      <c r="M15" s="63" t="s">
        <v>54</v>
      </c>
      <c r="N15" s="83">
        <v>289.0</v>
      </c>
      <c r="O15" s="73">
        <f t="shared" si="4"/>
        <v>291</v>
      </c>
      <c r="P15" s="84">
        <f t="shared" si="1"/>
        <v>0.006872852234</v>
      </c>
      <c r="Q15" s="73"/>
      <c r="R15" s="73"/>
      <c r="S15" s="73"/>
      <c r="T15" s="73"/>
      <c r="U15" s="73"/>
      <c r="V15" s="73"/>
    </row>
    <row r="16">
      <c r="E16" s="85" t="s">
        <v>102</v>
      </c>
      <c r="F16" s="86" t="s">
        <v>103</v>
      </c>
      <c r="G16" s="87">
        <v>159.0</v>
      </c>
      <c r="H16" s="87">
        <f t="shared" si="5"/>
        <v>168</v>
      </c>
      <c r="I16" s="88">
        <f t="shared" si="2"/>
        <v>0.05357142857</v>
      </c>
      <c r="L16" s="63" t="s">
        <v>55</v>
      </c>
      <c r="M16" s="63" t="s">
        <v>55</v>
      </c>
      <c r="N16" s="83">
        <v>170.0</v>
      </c>
      <c r="O16" s="73">
        <f>57*3</f>
        <v>171</v>
      </c>
      <c r="P16" s="84">
        <f t="shared" si="1"/>
        <v>0.005847953216</v>
      </c>
      <c r="Q16" s="73"/>
      <c r="R16" s="73"/>
      <c r="S16" s="73"/>
      <c r="T16" s="73"/>
      <c r="U16" s="73"/>
      <c r="V16" s="73"/>
    </row>
    <row r="17">
      <c r="E17" s="85" t="s">
        <v>104</v>
      </c>
      <c r="F17" s="86" t="s">
        <v>105</v>
      </c>
      <c r="G17" s="87">
        <v>73.0</v>
      </c>
      <c r="H17" s="86">
        <f>25*3</f>
        <v>75</v>
      </c>
      <c r="I17" s="88">
        <f t="shared" si="2"/>
        <v>0.02666666667</v>
      </c>
      <c r="L17" s="63" t="s">
        <v>56</v>
      </c>
      <c r="M17" s="63" t="s">
        <v>56</v>
      </c>
      <c r="N17" s="83">
        <v>271.0</v>
      </c>
      <c r="O17" s="73">
        <f>87*3</f>
        <v>261</v>
      </c>
      <c r="P17" s="84">
        <f t="shared" si="1"/>
        <v>-0.03831417625</v>
      </c>
      <c r="Q17" s="73"/>
      <c r="R17" s="73"/>
      <c r="S17" s="73"/>
      <c r="T17" s="73"/>
      <c r="U17" s="73"/>
      <c r="V17" s="73"/>
    </row>
    <row r="18">
      <c r="E18" s="85" t="s">
        <v>25</v>
      </c>
      <c r="F18" s="86" t="s">
        <v>106</v>
      </c>
      <c r="G18" s="87">
        <v>326.0</v>
      </c>
      <c r="H18" s="86">
        <f>104*3</f>
        <v>312</v>
      </c>
      <c r="I18" s="88">
        <f t="shared" si="2"/>
        <v>-0.04487179487</v>
      </c>
      <c r="L18" s="63" t="s">
        <v>57</v>
      </c>
      <c r="M18" s="63" t="s">
        <v>57</v>
      </c>
      <c r="N18" s="83">
        <v>74.0</v>
      </c>
      <c r="O18" s="73">
        <f>24*3</f>
        <v>72</v>
      </c>
      <c r="P18" s="84">
        <f t="shared" si="1"/>
        <v>-0.02777777778</v>
      </c>
    </row>
    <row r="19">
      <c r="L19" s="63" t="s">
        <v>58</v>
      </c>
      <c r="M19" s="63" t="s">
        <v>58</v>
      </c>
      <c r="N19" s="83">
        <v>345.0</v>
      </c>
      <c r="O19" s="73">
        <f>113*3</f>
        <v>339</v>
      </c>
      <c r="P19" s="84">
        <f t="shared" si="1"/>
        <v>-0.01769911504</v>
      </c>
    </row>
    <row r="20">
      <c r="L20" s="63" t="s">
        <v>59</v>
      </c>
      <c r="M20" s="63" t="s">
        <v>59</v>
      </c>
      <c r="N20" s="83">
        <v>93.0</v>
      </c>
      <c r="O20" s="73">
        <f t="shared" ref="O20:O22" si="6">32*3</f>
        <v>96</v>
      </c>
      <c r="P20" s="84">
        <f t="shared" si="1"/>
        <v>0.03125</v>
      </c>
    </row>
    <row r="21" ht="15.75" customHeight="1">
      <c r="L21" s="63" t="s">
        <v>60</v>
      </c>
      <c r="M21" s="63" t="s">
        <v>60</v>
      </c>
      <c r="N21" s="83">
        <v>93.0</v>
      </c>
      <c r="O21" s="73">
        <f t="shared" si="6"/>
        <v>96</v>
      </c>
      <c r="P21" s="84">
        <f t="shared" si="1"/>
        <v>0.03125</v>
      </c>
    </row>
    <row r="22" ht="15.75" customHeight="1">
      <c r="L22" s="63" t="s">
        <v>61</v>
      </c>
      <c r="M22" s="63" t="s">
        <v>61</v>
      </c>
      <c r="N22" s="83">
        <v>93.0</v>
      </c>
      <c r="O22" s="73">
        <f t="shared" si="6"/>
        <v>96</v>
      </c>
      <c r="P22" s="84">
        <f t="shared" si="1"/>
        <v>0.03125</v>
      </c>
    </row>
    <row r="23" ht="15.75" customHeight="1">
      <c r="E23" s="89" t="s">
        <v>107</v>
      </c>
      <c r="F23" s="79"/>
      <c r="G23" s="79"/>
      <c r="H23" s="79"/>
      <c r="I23" s="80"/>
    </row>
    <row r="24" ht="15.75" customHeight="1">
      <c r="L24" s="74" t="s">
        <v>107</v>
      </c>
      <c r="M24" s="75"/>
      <c r="N24" s="75"/>
      <c r="O24" s="75"/>
      <c r="P24" s="76"/>
    </row>
    <row r="25" ht="15.75" customHeight="1">
      <c r="E25" s="90" t="s">
        <v>91</v>
      </c>
      <c r="F25" s="90" t="s">
        <v>92</v>
      </c>
      <c r="G25" s="90" t="s">
        <v>93</v>
      </c>
      <c r="H25" s="90" t="s">
        <v>94</v>
      </c>
      <c r="I25" s="90" t="s">
        <v>95</v>
      </c>
      <c r="L25" s="73"/>
      <c r="M25" s="73"/>
      <c r="N25" s="73"/>
      <c r="O25" s="73"/>
      <c r="P25" s="73"/>
    </row>
    <row r="26" ht="15.75" customHeight="1">
      <c r="E26" s="91" t="s">
        <v>21</v>
      </c>
      <c r="F26" s="92" t="s">
        <v>96</v>
      </c>
      <c r="G26" s="93">
        <f>5*368</f>
        <v>1840</v>
      </c>
      <c r="H26" s="52">
        <f>721*3</f>
        <v>2163</v>
      </c>
      <c r="I26" s="94">
        <f t="shared" ref="I26:I32" si="7">1-G26/H26</f>
        <v>0.1493296348</v>
      </c>
      <c r="L26" s="81" t="s">
        <v>91</v>
      </c>
      <c r="M26" s="81" t="s">
        <v>92</v>
      </c>
      <c r="N26" s="81" t="s">
        <v>93</v>
      </c>
      <c r="O26" s="81" t="s">
        <v>94</v>
      </c>
      <c r="P26" s="81" t="s">
        <v>95</v>
      </c>
    </row>
    <row r="27" ht="15.75" customHeight="1">
      <c r="E27" s="91" t="s">
        <v>97</v>
      </c>
      <c r="F27" s="92" t="s">
        <v>98</v>
      </c>
      <c r="G27" s="93">
        <f t="shared" ref="G27:G28" si="8">5*251</f>
        <v>1255</v>
      </c>
      <c r="H27" s="52">
        <f>3*464</f>
        <v>1392</v>
      </c>
      <c r="I27" s="94">
        <f t="shared" si="7"/>
        <v>0.09841954023</v>
      </c>
      <c r="L27" s="63" t="s">
        <v>50</v>
      </c>
      <c r="M27" s="63" t="s">
        <v>50</v>
      </c>
      <c r="N27" s="83">
        <f>534*3</f>
        <v>1602</v>
      </c>
      <c r="O27" s="95">
        <f>522*3</f>
        <v>1566</v>
      </c>
      <c r="P27" s="84">
        <f t="shared" ref="P27:P38" si="9">1-(N27/O27)</f>
        <v>-0.02298850575</v>
      </c>
    </row>
    <row r="28" ht="15.75" customHeight="1">
      <c r="E28" s="91" t="s">
        <v>99</v>
      </c>
      <c r="F28" s="92" t="s">
        <v>100</v>
      </c>
      <c r="G28" s="93">
        <f t="shared" si="8"/>
        <v>1255</v>
      </c>
      <c r="H28" s="52">
        <f>3*462</f>
        <v>1386</v>
      </c>
      <c r="I28" s="94">
        <f t="shared" si="7"/>
        <v>0.09451659452</v>
      </c>
      <c r="L28" s="63" t="s">
        <v>51</v>
      </c>
      <c r="M28" s="63" t="s">
        <v>51</v>
      </c>
      <c r="N28" s="83">
        <f>441*3</f>
        <v>1323</v>
      </c>
      <c r="O28" s="95">
        <f>432*3</f>
        <v>1296</v>
      </c>
      <c r="P28" s="84">
        <f t="shared" si="9"/>
        <v>-0.02083333333</v>
      </c>
    </row>
    <row r="29" ht="15.75" customHeight="1">
      <c r="E29" s="91" t="s">
        <v>30</v>
      </c>
      <c r="F29" s="92" t="s">
        <v>101</v>
      </c>
      <c r="G29" s="93">
        <f>5*175</f>
        <v>875</v>
      </c>
      <c r="H29" s="52">
        <f>3*314</f>
        <v>942</v>
      </c>
      <c r="I29" s="94">
        <f t="shared" si="7"/>
        <v>0.07112526539</v>
      </c>
      <c r="L29" s="63" t="s">
        <v>52</v>
      </c>
      <c r="M29" s="63" t="s">
        <v>52</v>
      </c>
      <c r="N29" s="83">
        <f t="shared" ref="N29:O29" si="10">289*3</f>
        <v>867</v>
      </c>
      <c r="O29" s="73">
        <f t="shared" si="10"/>
        <v>867</v>
      </c>
      <c r="P29" s="84">
        <f t="shared" si="9"/>
        <v>0</v>
      </c>
    </row>
    <row r="30" ht="15.75" customHeight="1">
      <c r="E30" s="91" t="s">
        <v>102</v>
      </c>
      <c r="F30" s="92" t="s">
        <v>103</v>
      </c>
      <c r="G30" s="93">
        <f>5*159</f>
        <v>795</v>
      </c>
      <c r="H30" s="52">
        <f>3*330</f>
        <v>990</v>
      </c>
      <c r="I30" s="94">
        <f t="shared" si="7"/>
        <v>0.196969697</v>
      </c>
      <c r="L30" s="63" t="s">
        <v>53</v>
      </c>
      <c r="M30" s="63" t="s">
        <v>53</v>
      </c>
      <c r="N30" s="83">
        <f t="shared" ref="N30:N31" si="11">289*3</f>
        <v>867</v>
      </c>
      <c r="O30" s="73">
        <f>290*3</f>
        <v>870</v>
      </c>
      <c r="P30" s="84">
        <f t="shared" si="9"/>
        <v>0.003448275862</v>
      </c>
    </row>
    <row r="31" ht="15.75" customHeight="1">
      <c r="E31" s="91" t="s">
        <v>104</v>
      </c>
      <c r="F31" s="92" t="s">
        <v>105</v>
      </c>
      <c r="G31" s="93">
        <f>5*73</f>
        <v>365</v>
      </c>
      <c r="H31" s="52">
        <f>3*141</f>
        <v>423</v>
      </c>
      <c r="I31" s="94">
        <f t="shared" si="7"/>
        <v>0.1371158392</v>
      </c>
      <c r="L31" s="63" t="s">
        <v>54</v>
      </c>
      <c r="M31" s="63" t="s">
        <v>54</v>
      </c>
      <c r="N31" s="83">
        <f t="shared" si="11"/>
        <v>867</v>
      </c>
      <c r="O31" s="73">
        <f>292*3</f>
        <v>876</v>
      </c>
      <c r="P31" s="84">
        <f t="shared" si="9"/>
        <v>0.0102739726</v>
      </c>
    </row>
    <row r="32" ht="15.75" customHeight="1">
      <c r="E32" s="91" t="s">
        <v>25</v>
      </c>
      <c r="F32" s="92" t="s">
        <v>106</v>
      </c>
      <c r="G32" s="93">
        <f>5*326</f>
        <v>1630</v>
      </c>
      <c r="H32" s="52">
        <f>3*599</f>
        <v>1797</v>
      </c>
      <c r="I32" s="94">
        <f t="shared" si="7"/>
        <v>0.09293266555</v>
      </c>
      <c r="L32" s="63" t="s">
        <v>55</v>
      </c>
      <c r="M32" s="63" t="s">
        <v>55</v>
      </c>
      <c r="N32" s="83">
        <f>170*3</f>
        <v>510</v>
      </c>
      <c r="O32" s="73">
        <f>171*3</f>
        <v>513</v>
      </c>
      <c r="P32" s="84">
        <f t="shared" si="9"/>
        <v>0.005847953216</v>
      </c>
    </row>
    <row r="33" ht="15.75" customHeight="1">
      <c r="L33" s="63" t="s">
        <v>56</v>
      </c>
      <c r="M33" s="63" t="s">
        <v>56</v>
      </c>
      <c r="N33" s="83">
        <f>271*3</f>
        <v>813</v>
      </c>
      <c r="O33" s="73">
        <f>264*3</f>
        <v>792</v>
      </c>
      <c r="P33" s="84">
        <f t="shared" si="9"/>
        <v>-0.02651515152</v>
      </c>
    </row>
    <row r="34" ht="15.75" customHeight="1">
      <c r="L34" s="63" t="s">
        <v>57</v>
      </c>
      <c r="M34" s="63" t="s">
        <v>57</v>
      </c>
      <c r="N34" s="83">
        <f>74*3</f>
        <v>222</v>
      </c>
      <c r="O34" s="73">
        <f>73*3</f>
        <v>219</v>
      </c>
      <c r="P34" s="84">
        <f t="shared" si="9"/>
        <v>-0.01369863014</v>
      </c>
    </row>
    <row r="35" ht="15.75" customHeight="1">
      <c r="E35" s="89" t="s">
        <v>108</v>
      </c>
      <c r="F35" s="79"/>
      <c r="G35" s="79"/>
      <c r="H35" s="79"/>
      <c r="I35" s="80"/>
      <c r="L35" s="63" t="s">
        <v>58</v>
      </c>
      <c r="M35" s="63" t="s">
        <v>58</v>
      </c>
      <c r="N35" s="83">
        <f>345*3</f>
        <v>1035</v>
      </c>
      <c r="O35" s="73">
        <f>339*3</f>
        <v>1017</v>
      </c>
      <c r="P35" s="84">
        <f t="shared" si="9"/>
        <v>-0.01769911504</v>
      </c>
    </row>
    <row r="36" ht="15.75" customHeight="1">
      <c r="L36" s="63" t="s">
        <v>59</v>
      </c>
      <c r="M36" s="63" t="s">
        <v>59</v>
      </c>
      <c r="N36" s="83">
        <f t="shared" ref="N36:O36" si="12">93*3</f>
        <v>279</v>
      </c>
      <c r="O36" s="73">
        <f t="shared" si="12"/>
        <v>279</v>
      </c>
      <c r="P36" s="84">
        <f t="shared" si="9"/>
        <v>0</v>
      </c>
    </row>
    <row r="37" ht="15.75" customHeight="1">
      <c r="E37" s="90" t="s">
        <v>91</v>
      </c>
      <c r="F37" s="90" t="s">
        <v>92</v>
      </c>
      <c r="G37" s="90" t="s">
        <v>93</v>
      </c>
      <c r="H37" s="90" t="s">
        <v>94</v>
      </c>
      <c r="I37" s="90" t="s">
        <v>95</v>
      </c>
      <c r="L37" s="63" t="s">
        <v>60</v>
      </c>
      <c r="M37" s="63" t="s">
        <v>60</v>
      </c>
      <c r="N37" s="83">
        <f t="shared" ref="N37:O37" si="13">93*3</f>
        <v>279</v>
      </c>
      <c r="O37" s="73">
        <f t="shared" si="13"/>
        <v>279</v>
      </c>
      <c r="P37" s="84">
        <f t="shared" si="9"/>
        <v>0</v>
      </c>
    </row>
    <row r="38" ht="15.75" customHeight="1">
      <c r="E38" s="91" t="s">
        <v>21</v>
      </c>
      <c r="F38" s="92" t="s">
        <v>96</v>
      </c>
      <c r="G38" s="93">
        <f>5*368</f>
        <v>1840</v>
      </c>
      <c r="H38" s="52">
        <v>2109.0</v>
      </c>
      <c r="I38" s="94">
        <f t="shared" ref="I38:I44" si="14">1-G38/H38</f>
        <v>0.1275486012</v>
      </c>
      <c r="L38" s="63" t="s">
        <v>61</v>
      </c>
      <c r="M38" s="63" t="s">
        <v>61</v>
      </c>
      <c r="N38" s="83">
        <f>93*3</f>
        <v>279</v>
      </c>
      <c r="O38" s="73">
        <f>94*3</f>
        <v>282</v>
      </c>
      <c r="P38" s="84">
        <f t="shared" si="9"/>
        <v>0.01063829787</v>
      </c>
    </row>
    <row r="39" ht="15.75" customHeight="1">
      <c r="E39" s="91" t="s">
        <v>97</v>
      </c>
      <c r="F39" s="92" t="s">
        <v>98</v>
      </c>
      <c r="G39" s="93">
        <f t="shared" ref="G39:G40" si="15">5*251</f>
        <v>1255</v>
      </c>
      <c r="H39" s="2">
        <v>1315.0</v>
      </c>
      <c r="I39" s="94">
        <f t="shared" si="14"/>
        <v>0.04562737643</v>
      </c>
      <c r="L39" s="2"/>
      <c r="M39" s="2"/>
      <c r="N39" s="2"/>
      <c r="O39" s="2"/>
    </row>
    <row r="40" ht="15.75" customHeight="1">
      <c r="E40" s="91" t="s">
        <v>99</v>
      </c>
      <c r="F40" s="92" t="s">
        <v>100</v>
      </c>
      <c r="G40" s="93">
        <f t="shared" si="15"/>
        <v>1255</v>
      </c>
      <c r="H40" s="52">
        <v>1315.0</v>
      </c>
      <c r="I40" s="94">
        <f t="shared" si="14"/>
        <v>0.04562737643</v>
      </c>
      <c r="L40" s="74" t="s">
        <v>108</v>
      </c>
      <c r="M40" s="75"/>
      <c r="N40" s="75"/>
      <c r="O40" s="75"/>
      <c r="P40" s="76"/>
    </row>
    <row r="41" ht="15.75" customHeight="1">
      <c r="E41" s="91" t="s">
        <v>30</v>
      </c>
      <c r="F41" s="92" t="s">
        <v>101</v>
      </c>
      <c r="G41" s="93">
        <f>5*175</f>
        <v>875</v>
      </c>
      <c r="H41" s="2">
        <v>924.0</v>
      </c>
      <c r="I41" s="94">
        <f t="shared" si="14"/>
        <v>0.05303030303</v>
      </c>
      <c r="L41" s="73"/>
      <c r="M41" s="73"/>
      <c r="N41" s="73"/>
      <c r="O41" s="73"/>
      <c r="P41" s="73"/>
    </row>
    <row r="42" ht="15.75" customHeight="1">
      <c r="E42" s="91" t="s">
        <v>102</v>
      </c>
      <c r="F42" s="92" t="s">
        <v>103</v>
      </c>
      <c r="G42" s="93">
        <f>5*159</f>
        <v>795</v>
      </c>
      <c r="H42" s="2">
        <v>998.0</v>
      </c>
      <c r="I42" s="94">
        <f t="shared" si="14"/>
        <v>0.2034068136</v>
      </c>
      <c r="L42" s="81" t="s">
        <v>91</v>
      </c>
      <c r="M42" s="81" t="s">
        <v>92</v>
      </c>
      <c r="N42" s="81" t="s">
        <v>93</v>
      </c>
      <c r="O42" s="81" t="s">
        <v>94</v>
      </c>
      <c r="P42" s="81" t="s">
        <v>95</v>
      </c>
    </row>
    <row r="43" ht="15.75" customHeight="1">
      <c r="E43" s="91" t="s">
        <v>104</v>
      </c>
      <c r="F43" s="92" t="s">
        <v>105</v>
      </c>
      <c r="G43" s="93">
        <f>5*73</f>
        <v>365</v>
      </c>
      <c r="H43" s="2">
        <v>404.0</v>
      </c>
      <c r="I43" s="94">
        <f t="shared" si="14"/>
        <v>0.09653465347</v>
      </c>
      <c r="L43" s="63" t="s">
        <v>50</v>
      </c>
      <c r="M43" s="63" t="s">
        <v>50</v>
      </c>
      <c r="N43" s="83">
        <f>534*3</f>
        <v>1602</v>
      </c>
      <c r="O43" s="95">
        <f>1578</f>
        <v>1578</v>
      </c>
      <c r="P43" s="84">
        <f t="shared" ref="P43:P54" si="16">1-(N43/O43)</f>
        <v>-0.01520912548</v>
      </c>
    </row>
    <row r="44" ht="15.75" customHeight="1">
      <c r="E44" s="91" t="s">
        <v>25</v>
      </c>
      <c r="F44" s="92" t="s">
        <v>106</v>
      </c>
      <c r="G44" s="93">
        <f>5*326</f>
        <v>1630</v>
      </c>
      <c r="H44" s="52">
        <v>1675.0</v>
      </c>
      <c r="I44" s="94">
        <f t="shared" si="14"/>
        <v>0.02686567164</v>
      </c>
      <c r="L44" s="63" t="s">
        <v>51</v>
      </c>
      <c r="M44" s="63" t="s">
        <v>51</v>
      </c>
      <c r="N44" s="83">
        <f>441*3</f>
        <v>1323</v>
      </c>
      <c r="O44" s="95">
        <f>1298</f>
        <v>1298</v>
      </c>
      <c r="P44" s="84">
        <f t="shared" si="16"/>
        <v>-0.01926040062</v>
      </c>
    </row>
    <row r="45" ht="15.75" customHeight="1">
      <c r="L45" s="63" t="s">
        <v>52</v>
      </c>
      <c r="M45" s="63" t="s">
        <v>52</v>
      </c>
      <c r="N45" s="83">
        <f t="shared" ref="N45:N47" si="17">289*3</f>
        <v>867</v>
      </c>
      <c r="O45" s="73">
        <f t="shared" ref="O45:O46" si="18">867</f>
        <v>867</v>
      </c>
      <c r="P45" s="84">
        <f t="shared" si="16"/>
        <v>0</v>
      </c>
    </row>
    <row r="46" ht="15.75" customHeight="1">
      <c r="L46" s="63" t="s">
        <v>53</v>
      </c>
      <c r="M46" s="63" t="s">
        <v>53</v>
      </c>
      <c r="N46" s="83">
        <f t="shared" si="17"/>
        <v>867</v>
      </c>
      <c r="O46" s="73">
        <f t="shared" si="18"/>
        <v>867</v>
      </c>
      <c r="P46" s="84">
        <f t="shared" si="16"/>
        <v>0</v>
      </c>
    </row>
    <row r="47" ht="15.75" customHeight="1">
      <c r="L47" s="63" t="s">
        <v>54</v>
      </c>
      <c r="M47" s="63" t="s">
        <v>54</v>
      </c>
      <c r="N47" s="83">
        <f t="shared" si="17"/>
        <v>867</v>
      </c>
      <c r="O47" s="73">
        <f>868</f>
        <v>868</v>
      </c>
      <c r="P47" s="84">
        <f t="shared" si="16"/>
        <v>0.001152073733</v>
      </c>
    </row>
    <row r="48" ht="15.75" customHeight="1">
      <c r="L48" s="63" t="s">
        <v>55</v>
      </c>
      <c r="M48" s="63" t="s">
        <v>55</v>
      </c>
      <c r="N48" s="83">
        <f>170*3</f>
        <v>510</v>
      </c>
      <c r="O48" s="73">
        <f>513
</f>
        <v>513</v>
      </c>
      <c r="P48" s="84">
        <f t="shared" si="16"/>
        <v>0.005847953216</v>
      </c>
    </row>
    <row r="49" ht="15.75" customHeight="1">
      <c r="L49" s="63" t="s">
        <v>56</v>
      </c>
      <c r="M49" s="63" t="s">
        <v>56</v>
      </c>
      <c r="N49" s="83">
        <f>271*3</f>
        <v>813</v>
      </c>
      <c r="O49" s="73">
        <f>783</f>
        <v>783</v>
      </c>
      <c r="P49" s="84">
        <f t="shared" si="16"/>
        <v>-0.03831417625</v>
      </c>
    </row>
    <row r="50" ht="15.75" customHeight="1">
      <c r="L50" s="63" t="s">
        <v>57</v>
      </c>
      <c r="M50" s="63" t="s">
        <v>57</v>
      </c>
      <c r="N50" s="83">
        <f>74*3</f>
        <v>222</v>
      </c>
      <c r="O50" s="73">
        <f>219</f>
        <v>219</v>
      </c>
      <c r="P50" s="84">
        <f t="shared" si="16"/>
        <v>-0.01369863014</v>
      </c>
    </row>
    <row r="51" ht="15.75" customHeight="1">
      <c r="L51" s="63" t="s">
        <v>58</v>
      </c>
      <c r="M51" s="63" t="s">
        <v>58</v>
      </c>
      <c r="N51" s="83">
        <f>345*3</f>
        <v>1035</v>
      </c>
      <c r="O51" s="73">
        <f>1010</f>
        <v>1010</v>
      </c>
      <c r="P51" s="84">
        <f t="shared" si="16"/>
        <v>-0.02475247525</v>
      </c>
    </row>
    <row r="52" ht="15.75" customHeight="1">
      <c r="L52" s="63" t="s">
        <v>59</v>
      </c>
      <c r="M52" s="63" t="s">
        <v>59</v>
      </c>
      <c r="N52" s="83">
        <f t="shared" ref="N52:N54" si="19">93*3</f>
        <v>279</v>
      </c>
      <c r="O52" s="73">
        <f>277</f>
        <v>277</v>
      </c>
      <c r="P52" s="84">
        <f t="shared" si="16"/>
        <v>-0.007220216606</v>
      </c>
    </row>
    <row r="53" ht="15.75" customHeight="1">
      <c r="L53" s="63" t="s">
        <v>60</v>
      </c>
      <c r="M53" s="63" t="s">
        <v>60</v>
      </c>
      <c r="N53" s="83">
        <f t="shared" si="19"/>
        <v>279</v>
      </c>
      <c r="O53" s="73">
        <f>278
</f>
        <v>278</v>
      </c>
      <c r="P53" s="84">
        <f t="shared" si="16"/>
        <v>-0.003597122302</v>
      </c>
    </row>
    <row r="54" ht="15.75" customHeight="1">
      <c r="L54" s="63" t="s">
        <v>61</v>
      </c>
      <c r="M54" s="63" t="s">
        <v>61</v>
      </c>
      <c r="N54" s="83">
        <f t="shared" si="19"/>
        <v>279</v>
      </c>
      <c r="O54" s="73">
        <f>277</f>
        <v>277</v>
      </c>
      <c r="P54" s="84">
        <f t="shared" si="16"/>
        <v>-0.007220216606</v>
      </c>
    </row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E9:I9"/>
    <mergeCell ref="E23:I23"/>
    <mergeCell ref="E35:I35"/>
    <mergeCell ref="L8:P8"/>
    <mergeCell ref="L24:P24"/>
    <mergeCell ref="L40:P40"/>
  </mergeCells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Назар Грехов</dc:creator>
</cp:coreProperties>
</file>