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PV, IRR &amp; PAYBACK PERIOD" sheetId="1" state="visible" r:id="rId2"/>
    <sheet name="SENSITIVITY ANALYSIS" sheetId="2" state="visible" r:id="rId3"/>
    <sheet name="DCF " sheetId="3" state="visible" r:id="rId4"/>
  </sheets>
  <definedNames>
    <definedName function="false" hidden="false" localSheetId="2" name="solver_eng" vbProcedure="false">1</definedName>
    <definedName function="false" hidden="false" localSheetId="2" name="solver_lin" vbProcedure="false">0</definedName>
    <definedName function="false" hidden="false" localSheetId="2" name="solver_neg" vbProcedure="false">1</definedName>
    <definedName function="false" hidden="false" localSheetId="2" name="solver_num" vbProcedure="false">0</definedName>
    <definedName function="false" hidden="false" localSheetId="2" name="solver_opt" vbProcedure="false">'dcf '!#ref!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<sst xmlns="http://schemas.openxmlformats.org/spreadsheetml/2006/main" count="137" uniqueCount="95">
  <si>
    <t xml:space="preserve">ACQUISITION OF 25 PLOTS</t>
  </si>
  <si>
    <t xml:space="preserve">YEAR</t>
  </si>
  <si>
    <t xml:space="preserve">CASH OUTFLOW</t>
  </si>
  <si>
    <t xml:space="preserve">CASH INFLOW</t>
  </si>
  <si>
    <t xml:space="preserve">DIS. CASH INFLOW</t>
  </si>
  <si>
    <t xml:space="preserve">NET CASFLOW</t>
  </si>
  <si>
    <t xml:space="preserve">CUM. CASHFLOW</t>
  </si>
  <si>
    <t xml:space="preserve">DIS. NET CASFLOW</t>
  </si>
  <si>
    <t xml:space="preserve">DIS. CUM. CASHFLOW</t>
  </si>
  <si>
    <t xml:space="preserve">OPERATION METRICS</t>
  </si>
  <si>
    <t xml:space="preserve">AQUISITION METRICS</t>
  </si>
  <si>
    <t xml:space="preserve">LEASE PAYMENT PER ANNUM PER PLOT</t>
  </si>
  <si>
    <t xml:space="preserve">COST PER PLOT OF LAND</t>
  </si>
  <si>
    <t xml:space="preserve">NUMBER OF PLOTS</t>
  </si>
  <si>
    <t xml:space="preserve">ASSOCIATED COST(LEGAL ETC)</t>
  </si>
  <si>
    <t xml:space="preserve">LEASE INCOME GROWTH RATE</t>
  </si>
  <si>
    <t xml:space="preserve">AVG. INFLATION RATE</t>
  </si>
  <si>
    <t xml:space="preserve">RISK PREMIUM</t>
  </si>
  <si>
    <t xml:space="preserve">INVESTMENT RETURNS METRIC</t>
  </si>
  <si>
    <t xml:space="preserve">DISCOUNT RATE(14.80% FGN APR 2049)</t>
  </si>
  <si>
    <t xml:space="preserve">TOTAL</t>
  </si>
  <si>
    <t xml:space="preserve">NET PRESENT VALUE</t>
  </si>
  <si>
    <t xml:space="preserve">INTERNAL RATE OF RETURN</t>
  </si>
  <si>
    <t xml:space="preserve">PAY BACK PERIOD (YEARS)</t>
  </si>
  <si>
    <t xml:space="preserve">DISCOUNTED PBP</t>
  </si>
  <si>
    <t xml:space="preserve">PROFITABILITY INDEX</t>
  </si>
  <si>
    <t xml:space="preserve">ACQUISITION OF 20 YEAR FGN BOND PLOTS</t>
  </si>
  <si>
    <t xml:space="preserve">BOND YIELD</t>
  </si>
  <si>
    <t xml:space="preserve">ADJUSTED FOR INFLATION DISCOUNT RATE</t>
  </si>
  <si>
    <t xml:space="preserve">CBN MPR RATE</t>
  </si>
  <si>
    <t xml:space="preserve">DISCOUNTED CASH INFLOW</t>
  </si>
  <si>
    <t xml:space="preserve">AVG. 5 YEARS  INFLATION RATE</t>
  </si>
  <si>
    <t xml:space="preserve">DISCOUNT RATE</t>
  </si>
  <si>
    <t xml:space="preserve">FREE CASHFLOW</t>
  </si>
  <si>
    <t xml:space="preserve">WEIGHTED AVERAGE COST OF CAPITAL</t>
  </si>
  <si>
    <t xml:space="preserve">CHANGE IN NON-CASH WORKING CAPITAL</t>
  </si>
  <si>
    <t xml:space="preserve">COST DEBT</t>
  </si>
  <si>
    <t xml:space="preserve">EARNINGS BEFORE INCOME TAX (EBIT)</t>
  </si>
  <si>
    <t xml:space="preserve">COST OF CAPITAL (EXPECTED RETURN)</t>
  </si>
  <si>
    <t xml:space="preserve">TAX RATE</t>
  </si>
  <si>
    <t xml:space="preserve">EQUITY VALUE</t>
  </si>
  <si>
    <t xml:space="preserve">DEPRECIATION</t>
  </si>
  <si>
    <t xml:space="preserve">DEBT VALUE</t>
  </si>
  <si>
    <t xml:space="preserve">CAPITAL EXPENDITURES</t>
  </si>
  <si>
    <t xml:space="preserve">AMORITIZATION</t>
  </si>
  <si>
    <t xml:space="preserve">NON-CASH WORKING CAPITAL</t>
  </si>
  <si>
    <t xml:space="preserve">CURRENT YEAR</t>
  </si>
  <si>
    <t xml:space="preserve">PREVIOUS YEAR</t>
  </si>
  <si>
    <t xml:space="preserve">COST OF EQUITY CAPITAL (USING CAPM)</t>
  </si>
  <si>
    <t xml:space="preserve">TOTAL CURRENT ASSETS</t>
  </si>
  <si>
    <t xml:space="preserve">RISK-FREE RATE</t>
  </si>
  <si>
    <t xml:space="preserve">CASH &amp; CASH EQUIVALENT</t>
  </si>
  <si>
    <t xml:space="preserve">BETA</t>
  </si>
  <si>
    <t xml:space="preserve">TOTAL CURRENT LIABILITIES</t>
  </si>
  <si>
    <t xml:space="preserve">EXPECTED MARKET RETURN</t>
  </si>
  <si>
    <t xml:space="preserve">EQUITY VALUE/(EQUITY VALUE + DEBT VALUE)</t>
  </si>
  <si>
    <t xml:space="preserve">DEBT VALUE/(EQUITY VALUE + DEBT VALUE)</t>
  </si>
  <si>
    <t xml:space="preserve">TOTAL CAPITAL</t>
  </si>
  <si>
    <t xml:space="preserve">PERPETUITY GROWTH METHOD</t>
  </si>
  <si>
    <t xml:space="preserve">ASSUMPTIONS</t>
  </si>
  <si>
    <t xml:space="preserve">FINAL FREE CASHFLOW</t>
  </si>
  <si>
    <t xml:space="preserve">EBITDA GROWTH RATE</t>
  </si>
  <si>
    <t xml:space="preserve">GROWTH</t>
  </si>
  <si>
    <t xml:space="preserve">FREE CASHFLOW GROWTH RATE</t>
  </si>
  <si>
    <t xml:space="preserve">TERMINAL VALUE</t>
  </si>
  <si>
    <t xml:space="preserve">EXIT MULTIPLE METHOD</t>
  </si>
  <si>
    <t xml:space="preserve">EBITDA</t>
  </si>
  <si>
    <t xml:space="preserve">ENTERPRISE VALUE</t>
  </si>
  <si>
    <t xml:space="preserve">MARKET CAPITALIZATION</t>
  </si>
  <si>
    <t xml:space="preserve">ENTERPRISE VALUE/EBITDA</t>
  </si>
  <si>
    <t xml:space="preserve">EBITDA ( 5 YEARS PROJECTED)</t>
  </si>
  <si>
    <t xml:space="preserve">FREE CASHFLOW ( 5 YEARS PROJECTED)</t>
  </si>
  <si>
    <t xml:space="preserve">Perpetuity Growth TV</t>
  </si>
  <si>
    <t xml:space="preserve">Exit Multiple TV</t>
  </si>
  <si>
    <t xml:space="preserve">AVERAGE TERMINAL VALUE</t>
  </si>
  <si>
    <t xml:space="preserve">DISCOUNTING CASHFLOW</t>
  </si>
  <si>
    <t xml:space="preserve">WACC</t>
  </si>
  <si>
    <t xml:space="preserve">PERIOD</t>
  </si>
  <si>
    <t xml:space="preserve">DISCOUNT FACTOR</t>
  </si>
  <si>
    <t xml:space="preserve">PRESENT VALUE OF FREE CASHFLOW</t>
  </si>
  <si>
    <t xml:space="preserve">PRESENT VALUE OF TERMINAL VALUE</t>
  </si>
  <si>
    <t xml:space="preserve">ENTERPRISE VALUE TO EQUITY VALUE</t>
  </si>
  <si>
    <t xml:space="preserve">TOTAL DEBT ( SHORT &amp; LONG TERM)</t>
  </si>
  <si>
    <t xml:space="preserve">SHARES OUTSTANDING</t>
  </si>
  <si>
    <t xml:space="preserve">IMPLIED SHARE PRICE</t>
  </si>
  <si>
    <t xml:space="preserve">SENSITIVITY ANALYSIS</t>
  </si>
  <si>
    <t xml:space="preserve">EXPECTED RETURN</t>
  </si>
  <si>
    <t xml:space="preserve">Notes:</t>
  </si>
  <si>
    <t xml:space="preserve">While decrease in non working capital will be added back</t>
  </si>
  <si>
    <r>
      <rPr>
        <sz val="11"/>
        <color rgb="FF000000"/>
        <rFont val="Calibri"/>
        <family val="0"/>
        <charset val="134"/>
      </rPr>
      <t xml:space="preserve">Project</t>
    </r>
    <r>
      <rPr>
        <b val="true"/>
        <sz val="11"/>
        <color rgb="FF000000"/>
        <rFont val="Calibri"/>
        <family val="0"/>
        <charset val="134"/>
      </rPr>
      <t xml:space="preserve"> FCF</t>
    </r>
    <r>
      <rPr>
        <sz val="11"/>
        <color rgb="FF000000"/>
        <rFont val="Calibri"/>
        <family val="0"/>
        <charset val="134"/>
      </rPr>
      <t xml:space="preserve"> between 5 - 10 years</t>
    </r>
  </si>
  <si>
    <r>
      <rPr>
        <sz val="11"/>
        <color rgb="FF000000"/>
        <rFont val="Calibri"/>
        <family val="0"/>
        <charset val="134"/>
      </rPr>
      <t xml:space="preserve">Using </t>
    </r>
    <r>
      <rPr>
        <b val="true"/>
        <sz val="11"/>
        <color rgb="FF000000"/>
        <rFont val="Calibri"/>
        <family val="0"/>
        <charset val="134"/>
      </rPr>
      <t xml:space="preserve">CAPM </t>
    </r>
    <r>
      <rPr>
        <sz val="11"/>
        <color rgb="FF000000"/>
        <rFont val="Calibri"/>
        <family val="0"/>
        <charset val="134"/>
      </rPr>
      <t xml:space="preserve">to calculate Cost of Equity Capital</t>
    </r>
  </si>
  <si>
    <r>
      <rPr>
        <b val="true"/>
        <sz val="11"/>
        <color rgb="FF000000"/>
        <rFont val="Calibri"/>
        <family val="0"/>
        <charset val="134"/>
      </rPr>
      <t xml:space="preserve">Cost of Equity Returns</t>
    </r>
    <r>
      <rPr>
        <sz val="11"/>
        <color rgb="FF000000"/>
        <rFont val="Calibri"/>
        <family val="0"/>
        <charset val="134"/>
      </rPr>
      <t xml:space="preserve"> is same as Expected Return of an Equity</t>
    </r>
  </si>
  <si>
    <r>
      <rPr>
        <b val="true"/>
        <sz val="11"/>
        <color rgb="FF000000"/>
        <rFont val="Calibri"/>
        <family val="0"/>
        <charset val="134"/>
      </rPr>
      <t xml:space="preserve">Estimating beta</t>
    </r>
    <r>
      <rPr>
        <sz val="11"/>
        <color rgb="FF000000"/>
        <rFont val="Calibri"/>
        <family val="0"/>
        <charset val="134"/>
      </rPr>
      <t xml:space="preserve"> for private companies is often done by using the beta of publicly traded firms that are similar in size, industry, and business model</t>
    </r>
  </si>
  <si>
    <r>
      <rPr>
        <b val="true"/>
        <sz val="11"/>
        <color rgb="FF000000"/>
        <rFont val="Calibri"/>
        <family val="0"/>
        <charset val="134"/>
      </rPr>
      <t xml:space="preserve">Perpetuity growth rate</t>
    </r>
    <r>
      <rPr>
        <sz val="11"/>
        <color rgb="FF000000"/>
        <rFont val="Calibri"/>
        <family val="0"/>
        <charset val="134"/>
      </rPr>
      <t xml:space="preserve"> should be based of either the GDP of the country or the growth of the industry the company is operating in</t>
    </r>
  </si>
  <si>
    <r>
      <rPr>
        <sz val="11"/>
        <color rgb="FF000000"/>
        <rFont val="Calibri"/>
        <family val="0"/>
        <charset val="134"/>
      </rPr>
      <t xml:space="preserve">Use the </t>
    </r>
    <r>
      <rPr>
        <b val="true"/>
        <sz val="11"/>
        <color rgb="FF000000"/>
        <rFont val="Calibri"/>
        <family val="0"/>
        <charset val="134"/>
      </rPr>
      <t xml:space="preserve">EV/EBITDA</t>
    </r>
    <r>
      <rPr>
        <sz val="11"/>
        <color rgb="FF000000"/>
        <rFont val="Calibri"/>
        <family val="0"/>
        <charset val="134"/>
      </rPr>
      <t xml:space="preserve"> of the industry or similar company</t>
    </r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</si>
</sst>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[$NGN]\ #,##0.00;[$NGN]&quot; -&quot;#,##0.00"/>
    <numFmt numFmtId="166" formatCode="[$NGN]\ #,##0;[$NGN]&quot; -&quot;#,##0"/>
    <numFmt numFmtId="167" formatCode="0"/>
    <numFmt numFmtId="168" formatCode="0.00%"/>
    <numFmt numFmtId="169" formatCode="0%"/>
    <numFmt numFmtId="170" formatCode="#&quot; years&quot;"/>
    <numFmt numFmtId="171" formatCode="#.##&quot; years&quot;"/>
    <numFmt numFmtId="172" formatCode="0.00"/>
    <numFmt numFmtId="173" formatCode="#,##0.00"/>
    <numFmt numFmtId="174" formatCode="0.00;[RED]\-0.00"/>
    <numFmt numFmtId="175" formatCode="_ * #,##0.00_ ;_ * \-#,##0.00_ ;_ * \-??_ ;_ @_ "/>
    <numFmt numFmtId="176" formatCode="0.00_ "/>
    <numFmt numFmtId="177" formatCode="0.0_ "/>
    <numFmt numFmtId="178" formatCode="General"/>
    <numFmt numFmtId="179" formatCode="#,##0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sz val="11"/>
      <color rgb="FFFFFFFF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name val="Calibri"/>
      <family val="0"/>
      <charset val="134"/>
    </font>
    <font>
      <b val="true"/>
      <sz val="1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2F5597"/>
        <bgColor rgb="FF2E75B6"/>
      </patternFill>
    </fill>
    <fill>
      <patternFill patternType="solid">
        <fgColor rgb="FF808080"/>
        <bgColor rgb="FF969696"/>
      </patternFill>
    </fill>
    <fill>
      <patternFill patternType="solid">
        <fgColor rgb="FF5B9BD5"/>
        <bgColor rgb="FF969696"/>
      </patternFill>
    </fill>
    <fill>
      <patternFill patternType="solid">
        <fgColor rgb="FFFBE5D6"/>
        <bgColor rgb="FFFFF2CC"/>
      </patternFill>
    </fill>
    <fill>
      <patternFill patternType="solid">
        <fgColor rgb="FF2E75B6"/>
        <bgColor rgb="FF2F5597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89453125" defaultRowHeight="14.4" zeroHeight="false" outlineLevelRow="0" outlineLevelCol="0"/>
  <cols>
    <col collapsed="false" customWidth="true" hidden="false" outlineLevel="0" max="1" min="1" style="1" width="7.89"/>
    <col collapsed="false" customWidth="true" hidden="false" outlineLevel="0" max="2" min="2" style="1" width="23.67"/>
    <col collapsed="false" customWidth="true" hidden="false" outlineLevel="0" max="3" min="3" style="1" width="18.11"/>
    <col collapsed="false" customWidth="true" hidden="false" outlineLevel="0" max="4" min="4" style="1" width="16.89"/>
    <col collapsed="false" customWidth="true" hidden="false" outlineLevel="0" max="5" min="5" style="1" width="19.44"/>
    <col collapsed="false" customWidth="true" hidden="false" outlineLevel="0" max="6" min="6" style="1" width="16.33"/>
    <col collapsed="false" customWidth="true" hidden="false" outlineLevel="0" max="7" min="7" style="1" width="17.89"/>
    <col collapsed="false" customWidth="true" hidden="false" outlineLevel="0" max="8" min="8" style="1" width="19.79"/>
    <col collapsed="false" customWidth="true" hidden="false" outlineLevel="0" max="9" min="9" style="1" width="40"/>
    <col collapsed="false" customWidth="true" hidden="false" outlineLevel="0" max="10" min="10" style="1" width="27.67"/>
  </cols>
  <sheetData>
    <row r="1" customFormat="false" ht="26.55" hidden="false" customHeight="false" outlineLevel="0" collapsed="false">
      <c r="B1" s="2" t="s">
        <v>0</v>
      </c>
    </row>
    <row r="2" customFormat="false" ht="15.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5" t="s">
        <v>10</v>
      </c>
    </row>
    <row r="3" customFormat="false" ht="14.4" hidden="false" customHeight="false" outlineLevel="0" collapsed="false">
      <c r="A3" s="6" t="n">
        <v>2023</v>
      </c>
      <c r="B3" s="7" t="n">
        <f aca="false">-((J5*I7)+(J7*I7))</f>
        <v>-100000000</v>
      </c>
      <c r="C3" s="8" t="n">
        <v>0</v>
      </c>
      <c r="E3" s="8" t="n">
        <f aca="false">C3+B3</f>
        <v>-100000000</v>
      </c>
      <c r="F3" s="8" t="n">
        <f aca="false">E3</f>
        <v>-100000000</v>
      </c>
      <c r="G3" s="8" t="n">
        <f aca="false">D3+B3</f>
        <v>-100000000</v>
      </c>
      <c r="H3" s="8" t="n">
        <f aca="false">G3</f>
        <v>-100000000</v>
      </c>
    </row>
    <row r="4" customFormat="false" ht="14.4" hidden="false" customHeight="false" outlineLevel="0" collapsed="false">
      <c r="A4" s="6" t="n">
        <v>2024</v>
      </c>
      <c r="B4" s="7"/>
      <c r="C4" s="8" t="n">
        <f aca="false">I5*I7</f>
        <v>20000000</v>
      </c>
      <c r="D4" s="8" t="n">
        <f aca="false">C4/(1+I17)</f>
        <v>17421602.7874564</v>
      </c>
      <c r="E4" s="8" t="n">
        <f aca="false">C4+B4</f>
        <v>20000000</v>
      </c>
      <c r="F4" s="8" t="n">
        <f aca="false">E4+F3</f>
        <v>-80000000</v>
      </c>
      <c r="G4" s="8" t="n">
        <f aca="false">D4+B4</f>
        <v>17421602.7874564</v>
      </c>
      <c r="H4" s="8" t="n">
        <f aca="false">G4+H3</f>
        <v>-82578397.2125435</v>
      </c>
      <c r="I4" s="6" t="s">
        <v>11</v>
      </c>
      <c r="J4" s="6" t="s">
        <v>12</v>
      </c>
    </row>
    <row r="5" customFormat="false" ht="14.4" hidden="false" customHeight="false" outlineLevel="0" collapsed="false">
      <c r="A5" s="6" t="n">
        <v>2025</v>
      </c>
      <c r="B5" s="7"/>
      <c r="C5" s="8" t="n">
        <f aca="false">I5*I7</f>
        <v>20000000</v>
      </c>
      <c r="D5" s="8" t="n">
        <f aca="false">C5/(1+I17)^2</f>
        <v>15175612.1841955</v>
      </c>
      <c r="E5" s="8" t="n">
        <f aca="false">C5+B5</f>
        <v>20000000</v>
      </c>
      <c r="F5" s="8" t="n">
        <f aca="false">E5+F4</f>
        <v>-60000000</v>
      </c>
      <c r="G5" s="8" t="n">
        <f aca="false">D5+B5</f>
        <v>15175612.1841955</v>
      </c>
      <c r="H5" s="8" t="n">
        <f aca="false">G5+H4</f>
        <v>-67402785.028348</v>
      </c>
      <c r="I5" s="9" t="n">
        <v>800000</v>
      </c>
      <c r="J5" s="9" t="n">
        <v>3500000</v>
      </c>
    </row>
    <row r="6" customFormat="false" ht="14.4" hidden="false" customHeight="false" outlineLevel="0" collapsed="false">
      <c r="A6" s="6" t="n">
        <v>2026</v>
      </c>
      <c r="B6" s="7"/>
      <c r="C6" s="8" t="n">
        <f aca="false">I5*I7</f>
        <v>20000000</v>
      </c>
      <c r="D6" s="8" t="n">
        <f aca="false">C6/(1+I17)^3</f>
        <v>13219174.3764769</v>
      </c>
      <c r="E6" s="8" t="n">
        <f aca="false">C6+B6</f>
        <v>20000000</v>
      </c>
      <c r="F6" s="8" t="n">
        <f aca="false">E6+F5</f>
        <v>-40000000</v>
      </c>
      <c r="G6" s="8" t="n">
        <f aca="false">D6+B6</f>
        <v>13219174.3764769</v>
      </c>
      <c r="H6" s="8" t="n">
        <f aca="false">G6+H5</f>
        <v>-54183610.6518711</v>
      </c>
      <c r="I6" s="6" t="s">
        <v>13</v>
      </c>
      <c r="J6" s="6" t="s">
        <v>14</v>
      </c>
    </row>
    <row r="7" customFormat="false" ht="14.4" hidden="false" customHeight="false" outlineLevel="0" collapsed="false">
      <c r="A7" s="6" t="n">
        <v>2027</v>
      </c>
      <c r="B7" s="7"/>
      <c r="C7" s="8" t="n">
        <f aca="false">I5*I7</f>
        <v>20000000</v>
      </c>
      <c r="D7" s="8" t="n">
        <f aca="false">C7/(1+I17)^4</f>
        <v>11514960.2582552</v>
      </c>
      <c r="E7" s="8" t="n">
        <f aca="false">C7+B7</f>
        <v>20000000</v>
      </c>
      <c r="F7" s="8" t="n">
        <f aca="false">E7+F6</f>
        <v>-20000000</v>
      </c>
      <c r="G7" s="8" t="n">
        <f aca="false">D7+B7</f>
        <v>11514960.2582552</v>
      </c>
      <c r="H7" s="8" t="n">
        <f aca="false">G7+H6</f>
        <v>-42668650.3936159</v>
      </c>
      <c r="I7" s="10" t="n">
        <v>25</v>
      </c>
      <c r="J7" s="9" t="n">
        <v>500000</v>
      </c>
    </row>
    <row r="8" customFormat="false" ht="14.4" hidden="false" customHeight="false" outlineLevel="0" collapsed="false">
      <c r="A8" s="6" t="n">
        <v>2028</v>
      </c>
      <c r="B8" s="7"/>
      <c r="C8" s="8" t="n">
        <f aca="false">I5*I7</f>
        <v>20000000</v>
      </c>
      <c r="D8" s="11" t="n">
        <f aca="false">C8/(1+I17)^5</f>
        <v>10030453.1866334</v>
      </c>
      <c r="E8" s="8" t="n">
        <f aca="false">C8+B8</f>
        <v>20000000</v>
      </c>
      <c r="F8" s="8" t="n">
        <f aca="false">E8+F7</f>
        <v>0</v>
      </c>
      <c r="G8" s="8" t="n">
        <f aca="false">D8+B8</f>
        <v>10030453.1866334</v>
      </c>
      <c r="H8" s="8" t="n">
        <f aca="false">G8+H7</f>
        <v>-32638197.2069825</v>
      </c>
      <c r="I8" s="6" t="s">
        <v>15</v>
      </c>
    </row>
    <row r="9" customFormat="false" ht="14.4" hidden="false" customHeight="false" outlineLevel="0" collapsed="false">
      <c r="A9" s="6" t="n">
        <v>2029</v>
      </c>
      <c r="B9" s="7"/>
      <c r="C9" s="8" t="n">
        <f aca="false">I5*(1+I9)*I7</f>
        <v>25220000</v>
      </c>
      <c r="D9" s="8" t="n">
        <f aca="false">C9/(1+I17)^6</f>
        <v>11017771.3138891</v>
      </c>
      <c r="E9" s="8" t="n">
        <f aca="false">C9+B9</f>
        <v>25220000</v>
      </c>
      <c r="F9" s="8" t="n">
        <f aca="false">E9+F8</f>
        <v>25220000</v>
      </c>
      <c r="G9" s="8" t="n">
        <f aca="false">D9+B9</f>
        <v>11017771.3138891</v>
      </c>
      <c r="H9" s="8" t="n">
        <f aca="false">G9+H8</f>
        <v>-21620425.8930934</v>
      </c>
      <c r="I9" s="12" t="n">
        <f aca="false">I11+I13</f>
        <v>0.261</v>
      </c>
    </row>
    <row r="10" customFormat="false" ht="14.4" hidden="false" customHeight="false" outlineLevel="0" collapsed="false">
      <c r="A10" s="6" t="n">
        <v>2030</v>
      </c>
      <c r="B10" s="7"/>
      <c r="C10" s="8" t="n">
        <f aca="false">I5*(1+I9)*I7</f>
        <v>25220000</v>
      </c>
      <c r="D10" s="8" t="n">
        <f aca="false">C10/(1+I17)^7</f>
        <v>9597361.77168043</v>
      </c>
      <c r="E10" s="8" t="n">
        <f aca="false">C10+B10</f>
        <v>25220000</v>
      </c>
      <c r="F10" s="8" t="n">
        <f aca="false">E10+F9</f>
        <v>50440000</v>
      </c>
      <c r="G10" s="8" t="n">
        <f aca="false">D10+B10</f>
        <v>9597361.77168043</v>
      </c>
      <c r="H10" s="8" t="n">
        <f aca="false">G10+H9</f>
        <v>-12023064.121413</v>
      </c>
      <c r="I10" s="6" t="s">
        <v>16</v>
      </c>
    </row>
    <row r="11" customFormat="false" ht="14.4" hidden="false" customHeight="false" outlineLevel="0" collapsed="false">
      <c r="A11" s="6" t="n">
        <v>2031</v>
      </c>
      <c r="B11" s="7"/>
      <c r="C11" s="8" t="n">
        <f aca="false">I5*(1+I9)*I7</f>
        <v>25220000</v>
      </c>
      <c r="D11" s="8" t="n">
        <f aca="false">C11/(1+I17)^8</f>
        <v>8360071.22968679</v>
      </c>
      <c r="E11" s="8" t="n">
        <f aca="false">C11+B11</f>
        <v>25220000</v>
      </c>
      <c r="F11" s="8" t="n">
        <f aca="false">E11+F10</f>
        <v>75660000</v>
      </c>
      <c r="G11" s="8" t="n">
        <f aca="false">D11+B11</f>
        <v>8360071.22968679</v>
      </c>
      <c r="H11" s="8" t="n">
        <f aca="false">G11+H10</f>
        <v>-3662992.89172618</v>
      </c>
      <c r="I11" s="13" t="n">
        <v>0.161</v>
      </c>
    </row>
    <row r="12" customFormat="false" ht="14.4" hidden="false" customHeight="false" outlineLevel="0" collapsed="false">
      <c r="A12" s="6" t="n">
        <v>2032</v>
      </c>
      <c r="B12" s="7"/>
      <c r="C12" s="8" t="n">
        <f aca="false">I5*((1+I9))*I7</f>
        <v>25220000</v>
      </c>
      <c r="D12" s="8" t="n">
        <f aca="false">C12/(1+I17)^9</f>
        <v>7282292.01192229</v>
      </c>
      <c r="E12" s="8" t="n">
        <f aca="false">C12+B12</f>
        <v>25220000</v>
      </c>
      <c r="F12" s="8" t="n">
        <f aca="false">E12+F11</f>
        <v>100880000</v>
      </c>
      <c r="G12" s="8" t="n">
        <f aca="false">D12+B12</f>
        <v>7282292.01192229</v>
      </c>
      <c r="H12" s="8" t="n">
        <f aca="false">G12+H11</f>
        <v>3619299.12019611</v>
      </c>
      <c r="I12" s="6" t="s">
        <v>17</v>
      </c>
    </row>
    <row r="13" customFormat="false" ht="15.15" hidden="false" customHeight="false" outlineLevel="0" collapsed="false">
      <c r="A13" s="6" t="n">
        <v>2033</v>
      </c>
      <c r="B13" s="7"/>
      <c r="C13" s="8" t="n">
        <f aca="false">I5*((1+I9))*I7</f>
        <v>25220000</v>
      </c>
      <c r="D13" s="8" t="n">
        <f aca="false">C13/(1+I17)^10</f>
        <v>6343459.94069886</v>
      </c>
      <c r="E13" s="8" t="n">
        <f aca="false">C13+B13</f>
        <v>25220000</v>
      </c>
      <c r="F13" s="8" t="n">
        <f aca="false">E13+F12</f>
        <v>126100000</v>
      </c>
      <c r="G13" s="8" t="n">
        <f aca="false">D13+B13</f>
        <v>6343459.94069886</v>
      </c>
      <c r="H13" s="8" t="n">
        <f aca="false">G13+H12</f>
        <v>9962759.06089497</v>
      </c>
      <c r="I13" s="13" t="n">
        <v>0.1</v>
      </c>
    </row>
    <row r="14" customFormat="false" ht="15.15" hidden="false" customHeight="false" outlineLevel="0" collapsed="false">
      <c r="A14" s="6" t="n">
        <v>2034</v>
      </c>
      <c r="B14" s="7"/>
      <c r="C14" s="8" t="n">
        <f aca="false">I5*((1+I9)^2)*I7</f>
        <v>31802420</v>
      </c>
      <c r="D14" s="8" t="n">
        <f aca="false">C14/(1+I17)^11</f>
        <v>6967859.74322409</v>
      </c>
      <c r="E14" s="8" t="n">
        <f aca="false">C14+B14</f>
        <v>31802420</v>
      </c>
      <c r="F14" s="8" t="n">
        <f aca="false">E14+F13</f>
        <v>157902420</v>
      </c>
      <c r="G14" s="8" t="n">
        <f aca="false">D14+B14</f>
        <v>6967859.74322409</v>
      </c>
      <c r="H14" s="8" t="n">
        <f aca="false">G14+H13</f>
        <v>16930618.8041191</v>
      </c>
      <c r="I14" s="4" t="s">
        <v>18</v>
      </c>
    </row>
    <row r="15" customFormat="false" ht="14.4" hidden="false" customHeight="false" outlineLevel="0" collapsed="false">
      <c r="A15" s="6" t="n">
        <v>2035</v>
      </c>
      <c r="B15" s="7"/>
      <c r="C15" s="8" t="n">
        <f aca="false">I5*((1+I9)^2)*I7</f>
        <v>31802420</v>
      </c>
      <c r="D15" s="8" t="n">
        <f aca="false">C15/(1+I17)^12</f>
        <v>6069564.23625792</v>
      </c>
      <c r="E15" s="8" t="n">
        <f aca="false">C15+B15</f>
        <v>31802420</v>
      </c>
      <c r="F15" s="8" t="n">
        <f aca="false">E15+F14</f>
        <v>189704840</v>
      </c>
      <c r="G15" s="8" t="n">
        <f aca="false">D15+B15</f>
        <v>6069564.23625792</v>
      </c>
      <c r="H15" s="8" t="n">
        <f aca="false">G15+H14</f>
        <v>23000183.040377</v>
      </c>
    </row>
    <row r="16" customFormat="false" ht="14.4" hidden="false" customHeight="false" outlineLevel="0" collapsed="false">
      <c r="A16" s="6" t="n">
        <v>2036</v>
      </c>
      <c r="B16" s="7"/>
      <c r="C16" s="8" t="n">
        <f aca="false">I5*((1+I9)^2)*I7</f>
        <v>31802420</v>
      </c>
      <c r="D16" s="8" t="n">
        <f aca="false">C16/(1+I17)^13</f>
        <v>5287076.86085184</v>
      </c>
      <c r="E16" s="8" t="n">
        <f aca="false">C16+B16</f>
        <v>31802420</v>
      </c>
      <c r="F16" s="8" t="n">
        <f aca="false">E16+F15</f>
        <v>221507260</v>
      </c>
      <c r="G16" s="8" t="n">
        <f aca="false">D16+B16</f>
        <v>5287076.86085184</v>
      </c>
      <c r="H16" s="8" t="n">
        <f aca="false">G16+H15</f>
        <v>28287259.9012288</v>
      </c>
      <c r="I16" s="6" t="s">
        <v>19</v>
      </c>
    </row>
    <row r="17" customFormat="false" ht="14.4" hidden="false" customHeight="false" outlineLevel="0" collapsed="false">
      <c r="A17" s="6" t="n">
        <v>2037</v>
      </c>
      <c r="B17" s="7"/>
      <c r="C17" s="8" t="n">
        <f aca="false">I5*((1+I9)^2)*I7</f>
        <v>31802420</v>
      </c>
      <c r="D17" s="8" t="n">
        <f aca="false">C17/(1+I17)^14</f>
        <v>4605467.64882565</v>
      </c>
      <c r="E17" s="8" t="n">
        <f aca="false">C17+B17</f>
        <v>31802420</v>
      </c>
      <c r="F17" s="8" t="n">
        <f aca="false">E17+F16</f>
        <v>253309680</v>
      </c>
      <c r="G17" s="8" t="n">
        <f aca="false">D17+B17</f>
        <v>4605467.64882565</v>
      </c>
      <c r="H17" s="8" t="n">
        <f aca="false">G17+H16</f>
        <v>32892727.5500545</v>
      </c>
      <c r="I17" s="13" t="n">
        <v>0.148</v>
      </c>
    </row>
    <row r="18" customFormat="false" ht="14.4" hidden="false" customHeight="false" outlineLevel="0" collapsed="false">
      <c r="A18" s="6" t="n">
        <v>2038</v>
      </c>
      <c r="B18" s="7"/>
      <c r="C18" s="8" t="n">
        <f aca="false">I5*((1+I9)^2)*I7</f>
        <v>31802420</v>
      </c>
      <c r="D18" s="8" t="n">
        <f aca="false">C18/(1+I17)^15</f>
        <v>4011731.40141607</v>
      </c>
      <c r="E18" s="8" t="n">
        <f aca="false">C18+B18</f>
        <v>31802420</v>
      </c>
      <c r="F18" s="8" t="n">
        <f aca="false">E18+F17</f>
        <v>285112100</v>
      </c>
      <c r="G18" s="8" t="n">
        <f aca="false">D18+B18</f>
        <v>4011731.40141607</v>
      </c>
      <c r="H18" s="8" t="n">
        <f aca="false">G18+H17</f>
        <v>36904458.9514705</v>
      </c>
    </row>
    <row r="19" customFormat="false" ht="14.4" hidden="false" customHeight="false" outlineLevel="0" collapsed="false">
      <c r="A19" s="6" t="n">
        <v>2039</v>
      </c>
      <c r="B19" s="7"/>
      <c r="C19" s="8" t="n">
        <f aca="false">I5*((1+I9)^3)*I7</f>
        <v>40102851.62</v>
      </c>
      <c r="D19" s="8" t="n">
        <f aca="false">C19/(1+I17)^16</f>
        <v>4406614.37037079</v>
      </c>
      <c r="E19" s="8" t="n">
        <f aca="false">C19+B19</f>
        <v>40102851.62</v>
      </c>
      <c r="F19" s="8" t="n">
        <f aca="false">E19+F18</f>
        <v>325214951.62</v>
      </c>
      <c r="G19" s="8" t="n">
        <f aca="false">D19+B19</f>
        <v>4406614.37037079</v>
      </c>
      <c r="H19" s="8" t="n">
        <f aca="false">G19+H18</f>
        <v>41311073.3218413</v>
      </c>
    </row>
    <row r="20" customFormat="false" ht="14.4" hidden="false" customHeight="false" outlineLevel="0" collapsed="false">
      <c r="A20" s="6" t="n">
        <v>2040</v>
      </c>
      <c r="B20" s="7"/>
      <c r="C20" s="8" t="n">
        <f aca="false">I5*((1+I9)^3)*I7</f>
        <v>40102851.62</v>
      </c>
      <c r="D20" s="8" t="n">
        <f aca="false">C20/(1+I17)^17</f>
        <v>3838514.25990487</v>
      </c>
      <c r="E20" s="8" t="n">
        <f aca="false">C20+B20</f>
        <v>40102851.62</v>
      </c>
      <c r="F20" s="8" t="n">
        <f aca="false">E20+F19</f>
        <v>365317803.24</v>
      </c>
      <c r="G20" s="8" t="n">
        <f aca="false">D20+B20</f>
        <v>3838514.25990487</v>
      </c>
      <c r="H20" s="8" t="n">
        <f aca="false">G20+H19</f>
        <v>45149587.5817462</v>
      </c>
    </row>
    <row r="21" customFormat="false" ht="14.4" hidden="false" customHeight="false" outlineLevel="0" collapsed="false">
      <c r="A21" s="6" t="n">
        <v>2041</v>
      </c>
      <c r="B21" s="7"/>
      <c r="C21" s="8" t="n">
        <f aca="false">I5*((1+I9)^3)*I7</f>
        <v>40102851.62</v>
      </c>
      <c r="D21" s="8" t="n">
        <f aca="false">C21/(1+I17)^18</f>
        <v>3343653.5365025</v>
      </c>
      <c r="E21" s="8" t="n">
        <f aca="false">C21+B21</f>
        <v>40102851.62</v>
      </c>
      <c r="F21" s="8" t="n">
        <f aca="false">E21+F20</f>
        <v>405420654.86</v>
      </c>
      <c r="G21" s="8" t="n">
        <f aca="false">D21+B21</f>
        <v>3343653.5365025</v>
      </c>
      <c r="H21" s="8" t="n">
        <f aca="false">G21+H20</f>
        <v>48493241.1182487</v>
      </c>
    </row>
    <row r="22" customFormat="false" ht="14.4" hidden="false" customHeight="false" outlineLevel="0" collapsed="false">
      <c r="A22" s="6" t="n">
        <v>2042</v>
      </c>
      <c r="B22" s="7"/>
      <c r="C22" s="8" t="n">
        <f aca="false">I5*((1+I9)^3)*I7</f>
        <v>40102851.62</v>
      </c>
      <c r="D22" s="8" t="n">
        <f aca="false">C22/(1+I17)^19</f>
        <v>2912590.18859102</v>
      </c>
      <c r="E22" s="8" t="n">
        <f aca="false">C22+B22</f>
        <v>40102851.62</v>
      </c>
      <c r="F22" s="8" t="n">
        <f aca="false">E22+F21</f>
        <v>445523506.48</v>
      </c>
      <c r="G22" s="8" t="n">
        <f aca="false">D22+B22</f>
        <v>2912590.18859102</v>
      </c>
      <c r="H22" s="8" t="n">
        <f aca="false">G22+H21</f>
        <v>51405831.3068397</v>
      </c>
    </row>
    <row r="23" customFormat="false" ht="14.4" hidden="false" customHeight="false" outlineLevel="0" collapsed="false">
      <c r="A23" s="6" t="n">
        <v>2043</v>
      </c>
      <c r="B23" s="7"/>
      <c r="C23" s="8" t="n">
        <f aca="false">I5*((1+I9)^3)*I7</f>
        <v>40102851.62</v>
      </c>
      <c r="D23" s="8" t="n">
        <f aca="false">C23/(1+I17)^20</f>
        <v>2537099.46741378</v>
      </c>
      <c r="E23" s="8" t="n">
        <f aca="false">C23+B23</f>
        <v>40102851.62</v>
      </c>
      <c r="F23" s="8" t="n">
        <f aca="false">E23+F22</f>
        <v>485626358.1</v>
      </c>
      <c r="G23" s="8" t="n">
        <f aca="false">D23+B23</f>
        <v>2537099.46741378</v>
      </c>
      <c r="H23" s="8" t="n">
        <f aca="false">G23+H22</f>
        <v>53942930.7742535</v>
      </c>
    </row>
    <row r="24" customFormat="false" ht="14.4" hidden="false" customHeight="false" outlineLevel="0" collapsed="false">
      <c r="B24" s="14" t="s">
        <v>20</v>
      </c>
      <c r="C24" s="15" t="n">
        <f aca="false">SUM(C4:C23)</f>
        <v>585626358.1</v>
      </c>
      <c r="D24" s="15" t="n">
        <f aca="false">SUM(D4:D23)</f>
        <v>153942930.774253</v>
      </c>
      <c r="E24" s="15"/>
      <c r="F24" s="15"/>
      <c r="G24" s="15"/>
      <c r="H24" s="15"/>
    </row>
    <row r="26" customFormat="false" ht="14.4" hidden="false" customHeight="false" outlineLevel="0" collapsed="false">
      <c r="B26" s="14" t="s">
        <v>21</v>
      </c>
      <c r="C26" s="15" t="n">
        <f aca="false">NPV(I17,E4:E23)+E3</f>
        <v>53942930.7742535</v>
      </c>
    </row>
    <row r="28" customFormat="false" ht="14.4" hidden="false" customHeight="false" outlineLevel="0" collapsed="false">
      <c r="B28" s="14" t="s">
        <v>22</v>
      </c>
      <c r="C28" s="16" t="n">
        <f aca="false">IRR(E3:E23)</f>
        <v>0.224632406807021</v>
      </c>
      <c r="D28" s="14"/>
      <c r="E28" s="16"/>
    </row>
    <row r="30" customFormat="false" ht="14.4" hidden="false" customHeight="false" outlineLevel="0" collapsed="false">
      <c r="B30" s="14" t="s">
        <v>23</v>
      </c>
      <c r="C30" s="17" t="n">
        <f aca="false">6</f>
        <v>6</v>
      </c>
      <c r="D30" s="14" t="s">
        <v>24</v>
      </c>
      <c r="E30" s="18" t="n">
        <f aca="false">15+ABS(H17/G18)</f>
        <v>23.1991350513755</v>
      </c>
    </row>
    <row r="32" customFormat="false" ht="14.4" hidden="false" customHeight="false" outlineLevel="0" collapsed="false">
      <c r="B32" s="14" t="s">
        <v>25</v>
      </c>
      <c r="C32" s="19" t="n">
        <f aca="false">SUM(D4:D23)/-(B3)</f>
        <v>1.53942930774253</v>
      </c>
    </row>
    <row r="35" customFormat="false" ht="26.55" hidden="false" customHeight="false" outlineLevel="0" collapsed="false">
      <c r="B35" s="20" t="s">
        <v>26</v>
      </c>
    </row>
    <row r="36" customFormat="false" ht="15.15" hidden="false" customHeight="false" outlineLevel="0" collapsed="false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4" t="s">
        <v>18</v>
      </c>
    </row>
    <row r="37" customFormat="false" ht="14.4" hidden="false" customHeight="false" outlineLevel="0" collapsed="false">
      <c r="A37" s="6" t="n">
        <v>2023</v>
      </c>
      <c r="B37" s="7" t="n">
        <f aca="false">B3</f>
        <v>-100000000</v>
      </c>
      <c r="C37" s="8" t="n">
        <v>0</v>
      </c>
      <c r="E37" s="8" t="n">
        <f aca="false">C37+B37</f>
        <v>-100000000</v>
      </c>
      <c r="F37" s="8" t="n">
        <f aca="false">E37</f>
        <v>-100000000</v>
      </c>
      <c r="G37" s="8" t="n">
        <f aca="false">D37+B37</f>
        <v>-100000000</v>
      </c>
      <c r="H37" s="8" t="n">
        <f aca="false">G37</f>
        <v>-100000000</v>
      </c>
    </row>
    <row r="38" customFormat="false" ht="14.4" hidden="false" customHeight="false" outlineLevel="0" collapsed="false">
      <c r="A38" s="6" t="n">
        <v>2024</v>
      </c>
      <c r="B38" s="7"/>
      <c r="C38" s="8" t="n">
        <f aca="false">-B37*I39</f>
        <v>14800000</v>
      </c>
      <c r="D38" s="8" t="n">
        <f aca="false">(C38/(1+I41))/(1+I43)</f>
        <v>12509942.4458121</v>
      </c>
      <c r="E38" s="8" t="n">
        <f aca="false">C38+B38</f>
        <v>14800000</v>
      </c>
      <c r="F38" s="8" t="n">
        <f aca="false">E38+F37</f>
        <v>-85200000</v>
      </c>
      <c r="G38" s="8" t="n">
        <f aca="false">D38+B38</f>
        <v>12509942.4458121</v>
      </c>
      <c r="H38" s="8" t="n">
        <f aca="false">G38+H37</f>
        <v>-87490057.5541879</v>
      </c>
      <c r="I38" s="6" t="s">
        <v>27</v>
      </c>
    </row>
    <row r="39" customFormat="false" ht="14.4" hidden="false" customHeight="false" outlineLevel="0" collapsed="false">
      <c r="A39" s="6" t="n">
        <v>2025</v>
      </c>
      <c r="B39" s="7"/>
      <c r="C39" s="8" t="n">
        <f aca="false">-B37*I39</f>
        <v>14800000</v>
      </c>
      <c r="D39" s="8" t="n">
        <f aca="false">(C39/(1+I41)^2)/(1+I43)^2</f>
        <v>10574233.783617</v>
      </c>
      <c r="E39" s="8" t="n">
        <f aca="false">C39+B39</f>
        <v>14800000</v>
      </c>
      <c r="F39" s="8" t="n">
        <f aca="false">E39+F38</f>
        <v>-70400000</v>
      </c>
      <c r="G39" s="8" t="n">
        <f aca="false">D39+B39</f>
        <v>10574233.783617</v>
      </c>
      <c r="H39" s="8" t="n">
        <f aca="false">G39+H38</f>
        <v>-76915823.7705709</v>
      </c>
      <c r="I39" s="12" t="n">
        <v>0.148</v>
      </c>
    </row>
    <row r="40" customFormat="false" ht="14.4" hidden="false" customHeight="false" outlineLevel="0" collapsed="false">
      <c r="A40" s="6" t="n">
        <v>2026</v>
      </c>
      <c r="B40" s="7"/>
      <c r="C40" s="8" t="n">
        <f aca="false">-B37*I39</f>
        <v>14800000</v>
      </c>
      <c r="D40" s="8" t="n">
        <f aca="false">(C40/(1+I41)^3)/(1+I43)^3</f>
        <v>8938044.3271358</v>
      </c>
      <c r="E40" s="8" t="n">
        <f aca="false">C40+B40</f>
        <v>14800000</v>
      </c>
      <c r="F40" s="8" t="n">
        <f aca="false">E40+F39</f>
        <v>-55600000</v>
      </c>
      <c r="G40" s="8" t="n">
        <f aca="false">D40+B40</f>
        <v>8938044.3271358</v>
      </c>
      <c r="H40" s="8" t="n">
        <f aca="false">G40+H39</f>
        <v>-67977779.4434351</v>
      </c>
      <c r="I40" s="6" t="s">
        <v>16</v>
      </c>
    </row>
    <row r="41" customFormat="false" ht="14.4" hidden="false" customHeight="false" outlineLevel="0" collapsed="false">
      <c r="A41" s="6" t="n">
        <v>2027</v>
      </c>
      <c r="B41" s="7"/>
      <c r="C41" s="8" t="n">
        <f aca="false">-B37*I39</f>
        <v>14800000</v>
      </c>
      <c r="D41" s="8" t="n">
        <f aca="false">(C41/(1+I41)^4)/(1+I43)^4</f>
        <v>7555028.38585041</v>
      </c>
      <c r="E41" s="8" t="n">
        <f aca="false">C41+B41</f>
        <v>14800000</v>
      </c>
      <c r="F41" s="8" t="n">
        <f aca="false">E41+F40</f>
        <v>-40800000</v>
      </c>
      <c r="G41" s="8" t="n">
        <f aca="false">D41+B41</f>
        <v>7555028.38585041</v>
      </c>
      <c r="H41" s="8" t="n">
        <f aca="false">G41+H40</f>
        <v>-60422751.0575847</v>
      </c>
      <c r="I41" s="13" t="n">
        <v>0.161</v>
      </c>
    </row>
    <row r="42" customFormat="false" ht="14.4" hidden="false" customHeight="false" outlineLevel="0" collapsed="false">
      <c r="A42" s="6" t="n">
        <v>2028</v>
      </c>
      <c r="B42" s="7"/>
      <c r="C42" s="8" t="n">
        <f aca="false">-B37*I39</f>
        <v>14800000</v>
      </c>
      <c r="D42" s="8" t="n">
        <f aca="false">(C42/(1+I41)^5)/(1+I43)^5</f>
        <v>6386011.50563954</v>
      </c>
      <c r="E42" s="8" t="n">
        <f aca="false">C42+B42</f>
        <v>14800000</v>
      </c>
      <c r="F42" s="8" t="n">
        <f aca="false">E42+F41</f>
        <v>-26000000</v>
      </c>
      <c r="G42" s="8" t="n">
        <f aca="false">D42+B42</f>
        <v>6386011.50563954</v>
      </c>
      <c r="H42" s="8" t="n">
        <f aca="false">G42+H41</f>
        <v>-54036739.5519451</v>
      </c>
      <c r="I42" s="6" t="s">
        <v>28</v>
      </c>
    </row>
    <row r="43" customFormat="false" ht="14.4" hidden="false" customHeight="false" outlineLevel="0" collapsed="false">
      <c r="A43" s="6" t="n">
        <v>2029</v>
      </c>
      <c r="B43" s="7"/>
      <c r="C43" s="8" t="n">
        <f aca="false">-B37*I39</f>
        <v>14800000</v>
      </c>
      <c r="D43" s="8" t="n">
        <f aca="false">(C43/(1+I41)^6)/(1+I43)^6</f>
        <v>5397880.83742192</v>
      </c>
      <c r="E43" s="8" t="n">
        <f aca="false">C43+B43</f>
        <v>14800000</v>
      </c>
      <c r="F43" s="8" t="n">
        <f aca="false">E43+F42</f>
        <v>-11200000</v>
      </c>
      <c r="G43" s="8" t="n">
        <f aca="false">D43+B43</f>
        <v>5397880.83742192</v>
      </c>
      <c r="H43" s="8" t="n">
        <f aca="false">G43+H42</f>
        <v>-48638858.7145232</v>
      </c>
      <c r="I43" s="13" t="n">
        <f aca="false">I45-I41</f>
        <v>0.019</v>
      </c>
    </row>
    <row r="44" customFormat="false" ht="14.4" hidden="false" customHeight="false" outlineLevel="0" collapsed="false">
      <c r="A44" s="6" t="n">
        <v>2030</v>
      </c>
      <c r="B44" s="7"/>
      <c r="C44" s="8" t="n">
        <f aca="false">-B37*I39</f>
        <v>14800000</v>
      </c>
      <c r="D44" s="8" t="n">
        <f aca="false">(C44/(1+I41)^7)/(1+I43)^7</f>
        <v>4562647.20307434</v>
      </c>
      <c r="E44" s="8" t="n">
        <f aca="false">C44+B44</f>
        <v>14800000</v>
      </c>
      <c r="F44" s="8" t="n">
        <f aca="false">E44+F43</f>
        <v>3600000</v>
      </c>
      <c r="G44" s="8" t="n">
        <f aca="false">D44+B44</f>
        <v>4562647.20307434</v>
      </c>
      <c r="H44" s="8" t="n">
        <f aca="false">G44+H43</f>
        <v>-44076211.5114489</v>
      </c>
      <c r="I44" s="6" t="s">
        <v>29</v>
      </c>
    </row>
    <row r="45" customFormat="false" ht="14.4" hidden="false" customHeight="false" outlineLevel="0" collapsed="false">
      <c r="A45" s="6" t="n">
        <v>2031</v>
      </c>
      <c r="B45" s="7"/>
      <c r="C45" s="8" t="n">
        <f aca="false">-B37*I39</f>
        <v>14800000</v>
      </c>
      <c r="D45" s="8" t="n">
        <f aca="false">(C45/(1+I41)^8)/(1+I43)^8</f>
        <v>3856652.29128415</v>
      </c>
      <c r="E45" s="8" t="n">
        <f aca="false">C45+B45</f>
        <v>14800000</v>
      </c>
      <c r="F45" s="8" t="n">
        <f aca="false">E45+F44</f>
        <v>18400000</v>
      </c>
      <c r="G45" s="8" t="n">
        <f aca="false">D45+B45</f>
        <v>3856652.29128415</v>
      </c>
      <c r="H45" s="8" t="n">
        <f aca="false">G45+H44</f>
        <v>-40219559.2201647</v>
      </c>
      <c r="I45" s="13" t="n">
        <v>0.18</v>
      </c>
    </row>
    <row r="46" customFormat="false" ht="14.4" hidden="false" customHeight="false" outlineLevel="0" collapsed="false">
      <c r="A46" s="6" t="n">
        <v>2032</v>
      </c>
      <c r="B46" s="7"/>
      <c r="C46" s="8" t="n">
        <f aca="false">-B37*I39</f>
        <v>14800000</v>
      </c>
      <c r="D46" s="8" t="n">
        <f aca="false">(C46/(1+I41)^9)/(1+I43)^9</f>
        <v>3259898.52685636</v>
      </c>
      <c r="E46" s="8" t="n">
        <f aca="false">C46+B46</f>
        <v>14800000</v>
      </c>
      <c r="F46" s="8" t="n">
        <f aca="false">E46+F45</f>
        <v>33200000</v>
      </c>
      <c r="G46" s="8" t="n">
        <f aca="false">D46+B46</f>
        <v>3259898.52685636</v>
      </c>
      <c r="H46" s="8" t="n">
        <f aca="false">G46+H45</f>
        <v>-36959660.6933084</v>
      </c>
    </row>
    <row r="47" customFormat="false" ht="14.4" hidden="false" customHeight="false" outlineLevel="0" collapsed="false">
      <c r="A47" s="6" t="n">
        <v>2033</v>
      </c>
      <c r="B47" s="7"/>
      <c r="C47" s="8" t="n">
        <f aca="false">-B37*I39</f>
        <v>14800000</v>
      </c>
      <c r="D47" s="8" t="n">
        <f aca="false">(C47/(1+I41)^10)/(1+I43)^10</f>
        <v>2755482.63176761</v>
      </c>
      <c r="E47" s="8" t="n">
        <f aca="false">C47+B47</f>
        <v>14800000</v>
      </c>
      <c r="F47" s="8" t="n">
        <f aca="false">E47+F46</f>
        <v>48000000</v>
      </c>
      <c r="G47" s="8" t="n">
        <f aca="false">D47+B47</f>
        <v>2755482.63176761</v>
      </c>
      <c r="H47" s="8" t="n">
        <f aca="false">G47+H46</f>
        <v>-34204178.0615408</v>
      </c>
    </row>
    <row r="48" customFormat="false" ht="14.4" hidden="false" customHeight="false" outlineLevel="0" collapsed="false">
      <c r="A48" s="6" t="n">
        <v>2034</v>
      </c>
      <c r="B48" s="7"/>
      <c r="C48" s="8" t="n">
        <f aca="false">-B37*I39</f>
        <v>14800000</v>
      </c>
      <c r="D48" s="8" t="n">
        <f aca="false">(C48/(1+I41)^11)/(1+I43)^11</f>
        <v>2329116.83336808</v>
      </c>
      <c r="E48" s="8" t="n">
        <f aca="false">C48+B48</f>
        <v>14800000</v>
      </c>
      <c r="F48" s="8" t="n">
        <f aca="false">E48+F47</f>
        <v>62800000</v>
      </c>
      <c r="G48" s="8" t="n">
        <f aca="false">D48+B48</f>
        <v>2329116.83336808</v>
      </c>
      <c r="H48" s="8" t="n">
        <f aca="false">G48+H47</f>
        <v>-31875061.2281727</v>
      </c>
      <c r="I48" s="8"/>
    </row>
    <row r="49" customFormat="false" ht="14.4" hidden="false" customHeight="false" outlineLevel="0" collapsed="false">
      <c r="A49" s="6" t="n">
        <v>2035</v>
      </c>
      <c r="B49" s="7"/>
      <c r="C49" s="8" t="n">
        <f aca="false">-B37*I39</f>
        <v>14800000</v>
      </c>
      <c r="D49" s="8" t="n">
        <f aca="false">(C49/(1+I41)^12)/(1+I43)^12</f>
        <v>1968724.15777073</v>
      </c>
      <c r="E49" s="8" t="n">
        <f aca="false">C49+B49</f>
        <v>14800000</v>
      </c>
      <c r="F49" s="8" t="n">
        <f aca="false">E49+F48</f>
        <v>77600000</v>
      </c>
      <c r="G49" s="8" t="n">
        <f aca="false">D49+B49</f>
        <v>1968724.15777073</v>
      </c>
      <c r="H49" s="8" t="n">
        <f aca="false">G49+H48</f>
        <v>-29906337.070402</v>
      </c>
    </row>
    <row r="50" customFormat="false" ht="14.4" hidden="false" customHeight="false" outlineLevel="0" collapsed="false">
      <c r="A50" s="6" t="n">
        <v>2036</v>
      </c>
      <c r="B50" s="7"/>
      <c r="C50" s="8" t="n">
        <f aca="false">-B37*I39</f>
        <v>14800000</v>
      </c>
      <c r="D50" s="8" t="n">
        <f aca="false">(C50/(1+I41)^13)/(1+I43)^13</f>
        <v>1664096.3449589</v>
      </c>
      <c r="E50" s="8" t="n">
        <f aca="false">C50+B50</f>
        <v>14800000</v>
      </c>
      <c r="F50" s="8" t="n">
        <f aca="false">E50+F49</f>
        <v>92400000</v>
      </c>
      <c r="G50" s="8" t="n">
        <f aca="false">D50+B50</f>
        <v>1664096.3449589</v>
      </c>
      <c r="H50" s="8" t="n">
        <f aca="false">G50+H49</f>
        <v>-28242240.7254431</v>
      </c>
    </row>
    <row r="51" customFormat="false" ht="14.4" hidden="false" customHeight="false" outlineLevel="0" collapsed="false">
      <c r="A51" s="6" t="n">
        <v>2037</v>
      </c>
      <c r="B51" s="7"/>
      <c r="C51" s="8" t="n">
        <f aca="false">-B37*I39</f>
        <v>14800000</v>
      </c>
      <c r="D51" s="8" t="n">
        <f aca="false">(C51/(1+I41)^14)/(1+I43)^14</f>
        <v>1406604.69592717</v>
      </c>
      <c r="E51" s="8" t="n">
        <f aca="false">C51+B51</f>
        <v>14800000</v>
      </c>
      <c r="F51" s="8" t="n">
        <f aca="false">E51+F50</f>
        <v>107200000</v>
      </c>
      <c r="G51" s="8" t="n">
        <f aca="false">D51+B51</f>
        <v>1406604.69592717</v>
      </c>
      <c r="H51" s="8" t="n">
        <f aca="false">G51+H50</f>
        <v>-26835636.0295159</v>
      </c>
      <c r="I51" s="13"/>
    </row>
    <row r="52" customFormat="false" ht="14.4" hidden="false" customHeight="false" outlineLevel="0" collapsed="false">
      <c r="A52" s="6" t="n">
        <v>2038</v>
      </c>
      <c r="B52" s="7"/>
      <c r="C52" s="8" t="n">
        <f aca="false">-B37*I39</f>
        <v>14800000</v>
      </c>
      <c r="D52" s="8" t="n">
        <f aca="false">(C52/(1+I41)^15)/(1+I43)^15</f>
        <v>1188955.6614904</v>
      </c>
      <c r="E52" s="8" t="n">
        <f aca="false">C52+B52</f>
        <v>14800000</v>
      </c>
      <c r="F52" s="8" t="n">
        <f aca="false">E52+F51</f>
        <v>122000000</v>
      </c>
      <c r="G52" s="8" t="n">
        <f aca="false">D52+B52</f>
        <v>1188955.6614904</v>
      </c>
      <c r="H52" s="8" t="n">
        <f aca="false">G52+H51</f>
        <v>-25646680.3680255</v>
      </c>
    </row>
    <row r="53" customFormat="false" ht="14.4" hidden="false" customHeight="false" outlineLevel="0" collapsed="false">
      <c r="A53" s="6" t="n">
        <v>2039</v>
      </c>
      <c r="B53" s="7"/>
      <c r="C53" s="8" t="n">
        <f aca="false">-B37*I39</f>
        <v>14800000</v>
      </c>
      <c r="D53" s="8" t="n">
        <f aca="false">(C53/(1+I41)^16)/(1+I43)^16</f>
        <v>1004984.24972076</v>
      </c>
      <c r="E53" s="8" t="n">
        <f aca="false">C53+B53</f>
        <v>14800000</v>
      </c>
      <c r="F53" s="8" t="n">
        <f aca="false">E53+F52</f>
        <v>136800000</v>
      </c>
      <c r="G53" s="8" t="n">
        <f aca="false">D53+B53</f>
        <v>1004984.24972076</v>
      </c>
      <c r="H53" s="8" t="n">
        <f aca="false">G53+H52</f>
        <v>-24641696.1183047</v>
      </c>
    </row>
    <row r="54" customFormat="false" ht="14.4" hidden="false" customHeight="false" outlineLevel="0" collapsed="false">
      <c r="A54" s="6" t="n">
        <v>2040</v>
      </c>
      <c r="B54" s="7"/>
      <c r="C54" s="8" t="n">
        <f aca="false">-B37*I39</f>
        <v>14800000</v>
      </c>
      <c r="D54" s="8" t="n">
        <f aca="false">(C54/(1+I41)^17)/(1+I43)^17</f>
        <v>849479.400199621</v>
      </c>
      <c r="E54" s="8" t="n">
        <f aca="false">C54+B54</f>
        <v>14800000</v>
      </c>
      <c r="F54" s="8" t="n">
        <f aca="false">E54+F53</f>
        <v>151600000</v>
      </c>
      <c r="G54" s="8" t="n">
        <f aca="false">D54+B54</f>
        <v>849479.400199621</v>
      </c>
      <c r="H54" s="8" t="n">
        <f aca="false">G54+H53</f>
        <v>-23792216.7181051</v>
      </c>
    </row>
    <row r="55" customFormat="false" ht="14.4" hidden="false" customHeight="false" outlineLevel="0" collapsed="false">
      <c r="A55" s="6" t="n">
        <v>2041</v>
      </c>
      <c r="B55" s="7"/>
      <c r="C55" s="8" t="n">
        <f aca="false">-B37*I39</f>
        <v>14800000</v>
      </c>
      <c r="D55" s="8" t="n">
        <f aca="false">(C55/(1+I41)^18)/(1+I43)^18</f>
        <v>718036.378743259</v>
      </c>
      <c r="E55" s="8" t="n">
        <f aca="false">C55+B55</f>
        <v>14800000</v>
      </c>
      <c r="F55" s="8" t="n">
        <f aca="false">E55+F54</f>
        <v>166400000</v>
      </c>
      <c r="G55" s="8" t="n">
        <f aca="false">D55+B55</f>
        <v>718036.378743259</v>
      </c>
      <c r="H55" s="8" t="n">
        <f aca="false">G55+H54</f>
        <v>-23074180.3393618</v>
      </c>
    </row>
    <row r="56" customFormat="false" ht="14.4" hidden="false" customHeight="false" outlineLevel="0" collapsed="false">
      <c r="A56" s="6" t="n">
        <v>2042</v>
      </c>
      <c r="B56" s="7"/>
      <c r="C56" s="8" t="n">
        <f aca="false">-B37*I39</f>
        <v>14800000</v>
      </c>
      <c r="D56" s="8" t="n">
        <f aca="false">(C56/(1+I41)^19)/(1+I43)^19</f>
        <v>606932.011626858</v>
      </c>
      <c r="E56" s="8" t="n">
        <f aca="false">C56+B56</f>
        <v>14800000</v>
      </c>
      <c r="F56" s="8" t="n">
        <f aca="false">E56+F55</f>
        <v>181200000</v>
      </c>
      <c r="G56" s="8" t="n">
        <f aca="false">D56+B56</f>
        <v>606932.011626858</v>
      </c>
      <c r="H56" s="8" t="n">
        <f aca="false">G56+H55</f>
        <v>-22467248.327735</v>
      </c>
    </row>
    <row r="57" customFormat="false" ht="14.4" hidden="false" customHeight="false" outlineLevel="0" collapsed="false">
      <c r="A57" s="6" t="n">
        <v>2043</v>
      </c>
      <c r="B57" s="7"/>
      <c r="C57" s="8" t="n">
        <f aca="false">-B37*I39</f>
        <v>14800000</v>
      </c>
      <c r="D57" s="8" t="n">
        <f aca="false">(C57/(1+I41)^20)/(1+I43)^20</f>
        <v>513019.225268442</v>
      </c>
      <c r="E57" s="8" t="n">
        <f aca="false">C57+B57</f>
        <v>14800000</v>
      </c>
      <c r="F57" s="8" t="n">
        <f aca="false">E57+F56</f>
        <v>196000000</v>
      </c>
      <c r="G57" s="8" t="n">
        <f aca="false">D57+B57</f>
        <v>513019.225268442</v>
      </c>
      <c r="H57" s="8" t="n">
        <f aca="false">G57+H56</f>
        <v>-21954229.1024665</v>
      </c>
    </row>
    <row r="58" customFormat="false" ht="14.4" hidden="false" customHeight="false" outlineLevel="0" collapsed="false">
      <c r="B58" s="14" t="s">
        <v>20</v>
      </c>
      <c r="C58" s="15" t="n">
        <f aca="false">SUM(C38:C57)</f>
        <v>296000000</v>
      </c>
      <c r="D58" s="15" t="n">
        <f aca="false">SUM(D38:D57)</f>
        <v>78045770.8975335</v>
      </c>
      <c r="E58" s="15"/>
      <c r="F58" s="15"/>
      <c r="G58" s="15"/>
      <c r="H58" s="15"/>
    </row>
    <row r="60" customFormat="false" ht="14.4" hidden="false" customHeight="false" outlineLevel="0" collapsed="false">
      <c r="B60" s="14" t="s">
        <v>21</v>
      </c>
      <c r="C60" s="15" t="n">
        <f aca="false">NPV(I45,E38:E57)+E37</f>
        <v>-20779351.8425073</v>
      </c>
    </row>
    <row r="62" customFormat="false" ht="14.4" hidden="false" customHeight="false" outlineLevel="0" collapsed="false">
      <c r="B62" s="14" t="s">
        <v>22</v>
      </c>
      <c r="C62" s="16" t="n">
        <f aca="false">IRR(E37:E57)</f>
        <v>0.136560384487771</v>
      </c>
    </row>
    <row r="64" customFormat="false" ht="14.4" hidden="false" customHeight="false" outlineLevel="0" collapsed="false">
      <c r="B64" s="14" t="s">
        <v>23</v>
      </c>
      <c r="C64" s="18" t="n">
        <f aca="false">7+ABS(F44/E45)</f>
        <v>7.24324324324324</v>
      </c>
    </row>
    <row r="66" customFormat="false" ht="14.4" hidden="false" customHeight="false" outlineLevel="0" collapsed="false">
      <c r="B66" s="14" t="s">
        <v>25</v>
      </c>
      <c r="C66" s="19" t="n">
        <f aca="false">SUM(D38:D57)/-(B37)</f>
        <v>0.780457708975334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89453125" defaultRowHeight="14.4" zeroHeight="false" outlineLevelRow="0" outlineLevelCol="0"/>
  <cols>
    <col collapsed="false" customWidth="true" hidden="false" outlineLevel="0" max="1" min="1" style="1" width="11.67"/>
    <col collapsed="false" customWidth="true" hidden="false" outlineLevel="0" max="2" min="2" style="1" width="38.89"/>
    <col collapsed="false" customWidth="true" hidden="false" outlineLevel="0" max="3" min="3" style="1" width="18.11"/>
    <col collapsed="false" customWidth="true" hidden="false" outlineLevel="0" max="4" min="4" style="1" width="26.67"/>
    <col collapsed="false" customWidth="true" hidden="false" outlineLevel="0" max="5" min="5" style="1" width="40"/>
    <col collapsed="false" customWidth="true" hidden="false" outlineLevel="0" max="6" min="6" style="1" width="27.67"/>
  </cols>
  <sheetData>
    <row r="1" customFormat="false" ht="15.15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30</v>
      </c>
      <c r="E1" s="4" t="s">
        <v>9</v>
      </c>
      <c r="F1" s="5" t="s">
        <v>10</v>
      </c>
    </row>
    <row r="2" customFormat="false" ht="14.4" hidden="false" customHeight="false" outlineLevel="0" collapsed="false">
      <c r="A2" s="6" t="n">
        <v>2023</v>
      </c>
      <c r="B2" s="7" t="n">
        <f aca="false">(F4*E6)+(F6*E6)</f>
        <v>100000000</v>
      </c>
      <c r="C2" s="8" t="n">
        <v>0</v>
      </c>
    </row>
    <row r="3" customFormat="false" ht="14.4" hidden="false" customHeight="false" outlineLevel="0" collapsed="false">
      <c r="A3" s="6" t="n">
        <v>2024</v>
      </c>
      <c r="B3" s="7"/>
      <c r="C3" s="8" t="n">
        <f aca="false">E4*E6</f>
        <v>12500000</v>
      </c>
      <c r="D3" s="8" t="n">
        <f aca="false">C3/(1+E16)</f>
        <v>10952422.6758959</v>
      </c>
      <c r="E3" s="6" t="s">
        <v>11</v>
      </c>
      <c r="F3" s="6" t="s">
        <v>12</v>
      </c>
    </row>
    <row r="4" customFormat="false" ht="14.4" hidden="false" customHeight="false" outlineLevel="0" collapsed="false">
      <c r="A4" s="6" t="n">
        <v>2025</v>
      </c>
      <c r="B4" s="7"/>
      <c r="C4" s="8" t="n">
        <f aca="false">E4*E6</f>
        <v>12500000</v>
      </c>
      <c r="D4" s="8" t="n">
        <f aca="false">C4/(1+E16)^2</f>
        <v>9596444.99771831</v>
      </c>
      <c r="E4" s="9" t="n">
        <v>500000</v>
      </c>
      <c r="F4" s="9" t="n">
        <v>3500000</v>
      </c>
    </row>
    <row r="5" customFormat="false" ht="14.4" hidden="false" customHeight="false" outlineLevel="0" collapsed="false">
      <c r="A5" s="6" t="n">
        <v>2026</v>
      </c>
      <c r="B5" s="7"/>
      <c r="C5" s="8" t="n">
        <f aca="false">E4*E6</f>
        <v>12500000</v>
      </c>
      <c r="D5" s="8" t="n">
        <f aca="false">C5/(1+E16)^3</f>
        <v>8408345.74407983</v>
      </c>
      <c r="E5" s="6" t="s">
        <v>13</v>
      </c>
      <c r="F5" s="6" t="s">
        <v>14</v>
      </c>
    </row>
    <row r="6" customFormat="false" ht="14.4" hidden="false" customHeight="false" outlineLevel="0" collapsed="false">
      <c r="A6" s="6" t="n">
        <v>2027</v>
      </c>
      <c r="B6" s="7"/>
      <c r="C6" s="8" t="n">
        <f aca="false">E4*E6</f>
        <v>12500000</v>
      </c>
      <c r="D6" s="8" t="n">
        <f aca="false">C6/(1+E16)^4</f>
        <v>7367340.52753862</v>
      </c>
      <c r="E6" s="10" t="n">
        <v>25</v>
      </c>
      <c r="F6" s="9" t="n">
        <v>500000</v>
      </c>
    </row>
    <row r="7" customFormat="false" ht="14.4" hidden="false" customHeight="false" outlineLevel="0" collapsed="false">
      <c r="A7" s="6" t="n">
        <v>2028</v>
      </c>
      <c r="B7" s="7"/>
      <c r="C7" s="8" t="n">
        <f aca="false">E4*E6</f>
        <v>12500000</v>
      </c>
      <c r="D7" s="11" t="n">
        <f aca="false">C7/(1+E16)^5</f>
        <v>6455218.19638888</v>
      </c>
      <c r="E7" s="6" t="s">
        <v>15</v>
      </c>
    </row>
    <row r="8" customFormat="false" ht="14.4" hidden="false" customHeight="false" outlineLevel="0" collapsed="false">
      <c r="A8" s="6" t="n">
        <v>2029</v>
      </c>
      <c r="B8" s="7"/>
      <c r="C8" s="8" t="n">
        <f aca="false">E4*(1+E8)*E6</f>
        <v>18750000</v>
      </c>
      <c r="D8" s="8" t="n">
        <f aca="false">C8/(1+E16)^6</f>
        <v>8484033.37823825</v>
      </c>
      <c r="E8" s="12" t="n">
        <f aca="false">E10+E12</f>
        <v>0.5</v>
      </c>
    </row>
    <row r="9" customFormat="false" ht="14.4" hidden="false" customHeight="false" outlineLevel="0" collapsed="false">
      <c r="A9" s="6" t="n">
        <v>2030</v>
      </c>
      <c r="B9" s="7"/>
      <c r="C9" s="8" t="n">
        <f aca="false">E4*(1+E8)*E6</f>
        <v>18750000</v>
      </c>
      <c r="D9" s="8" t="n">
        <f aca="false">C9/(1+E16)^7</f>
        <v>7433657.56438995</v>
      </c>
      <c r="E9" s="6" t="s">
        <v>31</v>
      </c>
    </row>
    <row r="10" customFormat="false" ht="14.4" hidden="false" customHeight="false" outlineLevel="0" collapsed="false">
      <c r="A10" s="6" t="n">
        <v>2031</v>
      </c>
      <c r="B10" s="7"/>
      <c r="C10" s="8" t="n">
        <f aca="false">E4*(1+E8)*E6</f>
        <v>18750000</v>
      </c>
      <c r="D10" s="8" t="n">
        <f aca="false">C10/(1+E16)^8</f>
        <v>6513324.77384557</v>
      </c>
      <c r="E10" s="13" t="n">
        <v>0.1781</v>
      </c>
    </row>
    <row r="11" customFormat="false" ht="14.4" hidden="false" customHeight="false" outlineLevel="0" collapsed="false">
      <c r="A11" s="6" t="n">
        <v>2032</v>
      </c>
      <c r="B11" s="7"/>
      <c r="C11" s="8" t="n">
        <f aca="false">E4*((1+E8))*E6</f>
        <v>18750000</v>
      </c>
      <c r="D11" s="8" t="n">
        <f aca="false">C11/(1+E16)^9</f>
        <v>5706934.87588326</v>
      </c>
      <c r="E11" s="6" t="s">
        <v>17</v>
      </c>
    </row>
    <row r="12" customFormat="false" ht="15.15" hidden="false" customHeight="false" outlineLevel="0" collapsed="false">
      <c r="A12" s="6" t="n">
        <v>2033</v>
      </c>
      <c r="B12" s="7"/>
      <c r="C12" s="8" t="n">
        <f aca="false">E4*((1+E8))*E6</f>
        <v>18750000</v>
      </c>
      <c r="D12" s="8" t="n">
        <f aca="false">C12/(1+E16)^10</f>
        <v>5000381.03555881</v>
      </c>
      <c r="E12" s="13" t="n">
        <v>0.3219</v>
      </c>
    </row>
    <row r="13" customFormat="false" ht="15.15" hidden="false" customHeight="false" outlineLevel="0" collapsed="false">
      <c r="A13" s="6" t="n">
        <v>2034</v>
      </c>
      <c r="B13" s="7"/>
      <c r="C13" s="8" t="n">
        <f aca="false">E4*((1+E8)^2)*E6</f>
        <v>28125000</v>
      </c>
      <c r="D13" s="8" t="n">
        <f aca="false">C13/(1+E16)^11</f>
        <v>6571954.3970369</v>
      </c>
      <c r="E13" s="4" t="s">
        <v>18</v>
      </c>
    </row>
    <row r="14" customFormat="false" ht="14.4" hidden="false" customHeight="false" outlineLevel="0" collapsed="false">
      <c r="A14" s="6" t="n">
        <v>2035</v>
      </c>
      <c r="B14" s="7"/>
      <c r="C14" s="8" t="n">
        <f aca="false">E4*((1+E8)^2)*E6</f>
        <v>28125000</v>
      </c>
      <c r="D14" s="8" t="n">
        <f aca="false">C14/(1+E16)^12</f>
        <v>5758305.78904486</v>
      </c>
    </row>
    <row r="15" customFormat="false" ht="14.4" hidden="false" customHeight="false" outlineLevel="0" collapsed="false">
      <c r="A15" s="6" t="n">
        <v>2036</v>
      </c>
      <c r="B15" s="7"/>
      <c r="C15" s="8" t="n">
        <f aca="false">E4*((1+E8)^2)*E6</f>
        <v>28125000</v>
      </c>
      <c r="D15" s="8" t="n">
        <f aca="false">C15/(1+E16)^13</f>
        <v>5045391.91189421</v>
      </c>
      <c r="E15" s="6" t="s">
        <v>32</v>
      </c>
    </row>
    <row r="16" customFormat="false" ht="14.4" hidden="false" customHeight="false" outlineLevel="0" collapsed="false">
      <c r="A16" s="6" t="n">
        <v>2037</v>
      </c>
      <c r="B16" s="7"/>
      <c r="C16" s="8" t="n">
        <f aca="false">E4*((1+E8)^2)*E6</f>
        <v>28125000</v>
      </c>
      <c r="D16" s="8" t="n">
        <f aca="false">C16/(1+E16)^14</f>
        <v>4420741.18276895</v>
      </c>
      <c r="E16" s="13" t="n">
        <f aca="false">0.1413</f>
        <v>0.1413</v>
      </c>
    </row>
    <row r="17" customFormat="false" ht="14.4" hidden="false" customHeight="false" outlineLevel="0" collapsed="false">
      <c r="A17" s="6" t="n">
        <v>2038</v>
      </c>
      <c r="B17" s="7"/>
      <c r="C17" s="8" t="n">
        <f aca="false">E4*((1+E8)^2)*E6</f>
        <v>28125000</v>
      </c>
      <c r="D17" s="8" t="n">
        <f aca="false">C17/(1+E16)^15</f>
        <v>3873426.07795405</v>
      </c>
    </row>
    <row r="18" customFormat="false" ht="14.4" hidden="false" customHeight="false" outlineLevel="0" collapsed="false">
      <c r="A18" s="6" t="n">
        <v>2039</v>
      </c>
      <c r="B18" s="7"/>
      <c r="C18" s="8" t="n">
        <f aca="false">E4*((1+E8)^3)*E6</f>
        <v>42187500</v>
      </c>
      <c r="D18" s="8" t="n">
        <f aca="false">C18/(1+E16)^16</f>
        <v>5090807.95315085</v>
      </c>
    </row>
    <row r="19" customFormat="false" ht="14.4" hidden="false" customHeight="false" outlineLevel="0" collapsed="false">
      <c r="A19" s="6" t="n">
        <v>2040</v>
      </c>
      <c r="B19" s="7"/>
      <c r="C19" s="8" t="n">
        <f aca="false">E4*((1+E8)^3)*E6</f>
        <v>42187500</v>
      </c>
      <c r="D19" s="8" t="n">
        <f aca="false">C19/(1+E16)^17</f>
        <v>4460534.43717765</v>
      </c>
    </row>
    <row r="20" customFormat="false" ht="14.4" hidden="false" customHeight="false" outlineLevel="0" collapsed="false">
      <c r="A20" s="6" t="n">
        <v>2041</v>
      </c>
      <c r="B20" s="7"/>
      <c r="C20" s="8" t="n">
        <f aca="false">E4*((1+E8)^3)*E6</f>
        <v>42187500</v>
      </c>
      <c r="D20" s="8" t="n">
        <f aca="false">C20/(1+E16)^18</f>
        <v>3908292.68130873</v>
      </c>
    </row>
    <row r="21" customFormat="false" ht="14.4" hidden="false" customHeight="false" outlineLevel="0" collapsed="false">
      <c r="A21" s="6" t="n">
        <v>2042</v>
      </c>
      <c r="B21" s="7"/>
      <c r="C21" s="8" t="n">
        <f aca="false">E4*((1+E8)^3)*E6</f>
        <v>42187500</v>
      </c>
      <c r="D21" s="8" t="n">
        <f aca="false">C21/(1+E16)^19</f>
        <v>3424421.8709443</v>
      </c>
    </row>
    <row r="22" customFormat="false" ht="14.4" hidden="false" customHeight="false" outlineLevel="0" collapsed="false">
      <c r="A22" s="6" t="n">
        <v>2043</v>
      </c>
      <c r="B22" s="7"/>
      <c r="C22" s="8" t="n">
        <f aca="false">E4*((1+E8)^3)*E6</f>
        <v>42187500</v>
      </c>
      <c r="D22" s="8" t="n">
        <f aca="false">C22/(1+E16)^20</f>
        <v>3000457.26009314</v>
      </c>
    </row>
    <row r="23" customFormat="false" ht="14.4" hidden="false" customHeight="false" outlineLevel="0" collapsed="false">
      <c r="B23" s="14" t="s">
        <v>20</v>
      </c>
      <c r="C23" s="15" t="n">
        <f aca="false">SUM(C3:C22)</f>
        <v>507812500</v>
      </c>
      <c r="D23" s="15" t="n">
        <f aca="false">SUM(D3:D22)</f>
        <v>121472437.330911</v>
      </c>
    </row>
    <row r="25" customFormat="false" ht="14.4" hidden="false" customHeight="false" outlineLevel="0" collapsed="false">
      <c r="B25" s="14" t="s">
        <v>21</v>
      </c>
      <c r="C25" s="15" t="n">
        <f aca="false">D23-B2</f>
        <v>21472437.330911</v>
      </c>
    </row>
    <row r="27" customFormat="false" ht="14.4" hidden="false" customHeight="false" outlineLevel="0" collapsed="false">
      <c r="B27" s="14"/>
      <c r="C27" s="21"/>
    </row>
    <row r="29" customFormat="false" ht="14.4" hidden="false" customHeight="false" outlineLevel="0" collapsed="false">
      <c r="B29" s="14"/>
      <c r="C29" s="21"/>
    </row>
    <row r="31" customFormat="false" ht="14.4" hidden="false" customHeight="false" outlineLevel="0" collapsed="false">
      <c r="B31" s="14"/>
      <c r="C31" s="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8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70" activeCellId="0" sqref="C70"/>
    </sheetView>
  </sheetViews>
  <sheetFormatPr defaultColWidth="8.89453125" defaultRowHeight="14.4" zeroHeight="false" outlineLevelRow="0" outlineLevelCol="0"/>
  <cols>
    <col collapsed="false" customWidth="true" hidden="false" outlineLevel="0" max="1" min="1" style="1" width="37.89"/>
    <col collapsed="false" customWidth="true" hidden="false" outlineLevel="0" max="2" min="2" style="1" width="20.11"/>
    <col collapsed="false" customWidth="true" hidden="false" outlineLevel="0" max="3" min="3" style="1" width="19.56"/>
    <col collapsed="false" customWidth="true" hidden="false" outlineLevel="0" max="4" min="4" style="1" width="27.76"/>
    <col collapsed="false" customWidth="true" hidden="false" outlineLevel="0" max="5" min="5" style="1" width="40.67"/>
    <col collapsed="false" customWidth="true" hidden="false" outlineLevel="0" max="6" min="6" style="1" width="25.56"/>
    <col collapsed="false" customWidth="true" hidden="false" outlineLevel="0" max="7" min="7" style="1" width="12.89"/>
  </cols>
  <sheetData>
    <row r="2" customFormat="false" ht="14.4" hidden="false" customHeight="false" outlineLevel="0" collapsed="false">
      <c r="A2" s="22" t="s">
        <v>33</v>
      </c>
      <c r="B2" s="23" t="n">
        <f aca="false">B5*(1-B6)+(B7+B9)-B8-B4</f>
        <v>113150.317142857</v>
      </c>
      <c r="E2" s="24" t="s">
        <v>34</v>
      </c>
      <c r="F2" s="25" t="n">
        <f aca="false">(((F6/(F6+F7))*((F5))+((F7/(F6+F7)))*F4*(1-F8)))</f>
        <v>0.190616048855637</v>
      </c>
    </row>
    <row r="4" customFormat="false" ht="13.8" hidden="false" customHeight="false" outlineLevel="0" collapsed="false">
      <c r="A4" s="26" t="s">
        <v>35</v>
      </c>
      <c r="B4" s="27" t="n">
        <f aca="false">B17</f>
        <v>-13906.2799999997</v>
      </c>
      <c r="E4" s="26" t="s">
        <v>36</v>
      </c>
      <c r="F4" s="25" t="n">
        <v>0.05</v>
      </c>
    </row>
    <row r="5" customFormat="false" ht="13.8" hidden="false" customHeight="false" outlineLevel="0" collapsed="false">
      <c r="A5" s="26" t="s">
        <v>37</v>
      </c>
      <c r="B5" s="23" t="n">
        <v>1129242</v>
      </c>
      <c r="E5" s="26" t="s">
        <v>38</v>
      </c>
      <c r="F5" s="25" t="n">
        <f aca="false">F12+(F13*(F14-F12))</f>
        <v>0.212</v>
      </c>
    </row>
    <row r="6" customFormat="false" ht="13.8" hidden="false" customHeight="false" outlineLevel="0" collapsed="false">
      <c r="A6" s="26" t="s">
        <v>39</v>
      </c>
      <c r="B6" s="28" t="n">
        <f aca="false">0.21</f>
        <v>0.21</v>
      </c>
      <c r="E6" s="26" t="s">
        <v>40</v>
      </c>
      <c r="F6" s="23" t="n">
        <v>1367378</v>
      </c>
    </row>
    <row r="7" customFormat="false" ht="13.8" hidden="false" customHeight="false" outlineLevel="0" collapsed="false">
      <c r="A7" s="26" t="s">
        <v>41</v>
      </c>
      <c r="B7" s="29" t="n">
        <f aca="false">B8/7</f>
        <v>132142.857142857</v>
      </c>
      <c r="E7" s="26" t="s">
        <v>42</v>
      </c>
      <c r="F7" s="23" t="n">
        <v>187898</v>
      </c>
    </row>
    <row r="8" customFormat="false" ht="13.8" hidden="false" customHeight="false" outlineLevel="0" collapsed="false">
      <c r="A8" s="26" t="s">
        <v>43</v>
      </c>
      <c r="B8" s="29" t="n">
        <v>925000</v>
      </c>
      <c r="E8" s="26" t="s">
        <v>39</v>
      </c>
      <c r="F8" s="25" t="n">
        <v>0.3</v>
      </c>
    </row>
    <row r="9" customFormat="false" ht="13.8" hidden="false" customHeight="false" outlineLevel="0" collapsed="false">
      <c r="A9" s="26" t="s">
        <v>44</v>
      </c>
      <c r="B9" s="23" t="n">
        <v>0</v>
      </c>
    </row>
    <row r="10" customFormat="false" ht="14.4" hidden="false" customHeight="false" outlineLevel="0" collapsed="false">
      <c r="F10" s="30"/>
    </row>
    <row r="11" customFormat="false" ht="14.4" hidden="false" customHeight="false" outlineLevel="0" collapsed="false">
      <c r="A11" s="22" t="s">
        <v>45</v>
      </c>
      <c r="B11" s="6" t="s">
        <v>46</v>
      </c>
      <c r="C11" s="6" t="s">
        <v>47</v>
      </c>
      <c r="E11" s="31" t="s">
        <v>48</v>
      </c>
      <c r="F11" s="31"/>
    </row>
    <row r="12" customFormat="false" ht="14.4" hidden="false" customHeight="false" outlineLevel="0" collapsed="false">
      <c r="A12" s="26" t="s">
        <v>49</v>
      </c>
      <c r="B12" s="32" t="n">
        <v>1878243</v>
      </c>
      <c r="C12" s="32" t="n">
        <v>1238536</v>
      </c>
      <c r="E12" s="26" t="s">
        <v>50</v>
      </c>
      <c r="F12" s="33" t="n">
        <v>0.02</v>
      </c>
    </row>
    <row r="13" customFormat="false" ht="14.4" hidden="false" customHeight="false" outlineLevel="0" collapsed="false">
      <c r="A13" s="26" t="s">
        <v>51</v>
      </c>
      <c r="B13" s="32" t="n">
        <v>1418304.49</v>
      </c>
      <c r="C13" s="32" t="n">
        <v>608917.21</v>
      </c>
      <c r="E13" s="26" t="s">
        <v>52</v>
      </c>
      <c r="F13" s="1" t="n">
        <v>1.2</v>
      </c>
    </row>
    <row r="14" customFormat="false" ht="14.4" hidden="false" customHeight="false" outlineLevel="0" collapsed="false">
      <c r="A14" s="26" t="s">
        <v>53</v>
      </c>
      <c r="B14" s="32" t="n">
        <v>954655</v>
      </c>
      <c r="C14" s="32" t="n">
        <v>1110429</v>
      </c>
      <c r="E14" s="26" t="s">
        <v>54</v>
      </c>
      <c r="F14" s="34" t="n">
        <v>0.18</v>
      </c>
    </row>
    <row r="15" customFormat="false" ht="13.8" hidden="false" customHeight="false" outlineLevel="0" collapsed="false">
      <c r="A15" s="35" t="s">
        <v>45</v>
      </c>
      <c r="B15" s="27" t="n">
        <f aca="false">B12-B13-B14</f>
        <v>-494716.49</v>
      </c>
      <c r="C15" s="27" t="n">
        <f aca="false">C12-C13-C14</f>
        <v>-480810.21</v>
      </c>
    </row>
    <row r="16" customFormat="false" ht="14.4" hidden="false" customHeight="false" outlineLevel="0" collapsed="false">
      <c r="A16" s="36"/>
      <c r="E16" s="37" t="s">
        <v>55</v>
      </c>
      <c r="F16" s="34" t="n">
        <f aca="false">F6/(F6+F7)</f>
        <v>0.879186716698515</v>
      </c>
    </row>
    <row r="17" customFormat="false" ht="13.8" hidden="false" customHeight="false" outlineLevel="0" collapsed="false">
      <c r="A17" s="26" t="s">
        <v>35</v>
      </c>
      <c r="B17" s="27" t="n">
        <f aca="false">B15-C15</f>
        <v>-13906.2799999997</v>
      </c>
      <c r="E17" s="37" t="s">
        <v>56</v>
      </c>
      <c r="F17" s="34" t="n">
        <f aca="false">F7/(F6+F7)</f>
        <v>0.120813283301485</v>
      </c>
    </row>
    <row r="18" customFormat="false" ht="14.4" hidden="false" customHeight="false" outlineLevel="0" collapsed="false">
      <c r="E18" s="38" t="s">
        <v>57</v>
      </c>
      <c r="F18" s="34" t="n">
        <f aca="false">F16+F17</f>
        <v>1</v>
      </c>
    </row>
    <row r="20" customFormat="false" ht="14.4" hidden="false" customHeight="false" outlineLevel="0" collapsed="false">
      <c r="A20" s="31" t="s">
        <v>58</v>
      </c>
      <c r="B20" s="31"/>
      <c r="D20" s="31" t="s">
        <v>59</v>
      </c>
      <c r="E20" s="31"/>
    </row>
    <row r="21" customFormat="false" ht="14.4" hidden="false" customHeight="false" outlineLevel="0" collapsed="false">
      <c r="A21" s="26" t="s">
        <v>60</v>
      </c>
      <c r="B21" s="23" t="n">
        <f aca="false">G34</f>
        <v>148150.717377991</v>
      </c>
      <c r="D21" s="26" t="s">
        <v>61</v>
      </c>
      <c r="E21" s="25" t="n">
        <v>0.0727</v>
      </c>
    </row>
    <row r="22" customFormat="false" ht="14.4" hidden="false" customHeight="false" outlineLevel="0" collapsed="false">
      <c r="A22" s="26" t="s">
        <v>62</v>
      </c>
      <c r="B22" s="25" t="n">
        <v>0.025</v>
      </c>
      <c r="D22" s="26" t="s">
        <v>63</v>
      </c>
      <c r="E22" s="25" t="n">
        <v>0.0697</v>
      </c>
    </row>
    <row r="23" customFormat="false" ht="14.4" hidden="false" customHeight="false" outlineLevel="0" collapsed="false">
      <c r="A23" s="38" t="s">
        <v>64</v>
      </c>
      <c r="B23" s="23" t="n">
        <f aca="false">B21*(1+B22)/(F2-B22)</f>
        <v>916906.823714944</v>
      </c>
    </row>
    <row r="25" customFormat="false" ht="14.4" hidden="false" customHeight="false" outlineLevel="0" collapsed="false">
      <c r="A25" s="31" t="s">
        <v>65</v>
      </c>
      <c r="B25" s="31"/>
    </row>
    <row r="26" customFormat="false" ht="14.4" hidden="false" customHeight="false" outlineLevel="0" collapsed="false">
      <c r="A26" s="26" t="s">
        <v>66</v>
      </c>
      <c r="B26" s="23" t="n">
        <f aca="false">B5+B7</f>
        <v>1261384.85714286</v>
      </c>
    </row>
    <row r="27" customFormat="false" ht="14.4" hidden="false" customHeight="false" outlineLevel="0" collapsed="false">
      <c r="A27" s="26" t="s">
        <v>67</v>
      </c>
      <c r="B27" s="23" t="n">
        <f aca="false">F6+F7-B13</f>
        <v>136971.51</v>
      </c>
    </row>
    <row r="28" customFormat="false" ht="14.4" hidden="false" customHeight="false" outlineLevel="0" collapsed="false">
      <c r="A28" s="26" t="s">
        <v>68</v>
      </c>
      <c r="B28" s="23" t="n">
        <v>0</v>
      </c>
    </row>
    <row r="29" customFormat="false" ht="14.4" hidden="false" customHeight="false" outlineLevel="0" collapsed="false">
      <c r="A29" s="26" t="s">
        <v>69</v>
      </c>
      <c r="B29" s="39" t="n">
        <f aca="false">B27/B26</f>
        <v>0.108588199092743</v>
      </c>
    </row>
    <row r="30" customFormat="false" ht="14.4" hidden="false" customHeight="false" outlineLevel="0" collapsed="false">
      <c r="A30" s="38" t="s">
        <v>64</v>
      </c>
      <c r="B30" s="23" t="n">
        <f aca="false">B26*B29</f>
        <v>136971.51</v>
      </c>
    </row>
    <row r="32" customFormat="false" ht="14.4" hidden="false" customHeight="false" outlineLevel="0" collapsed="false">
      <c r="A32" s="24" t="s">
        <v>64</v>
      </c>
      <c r="B32" s="22" t="n">
        <v>0</v>
      </c>
      <c r="C32" s="22" t="n">
        <v>1</v>
      </c>
      <c r="D32" s="22" t="n">
        <v>2</v>
      </c>
      <c r="E32" s="22" t="n">
        <v>3</v>
      </c>
      <c r="F32" s="22" t="n">
        <v>4</v>
      </c>
      <c r="G32" s="22" t="n">
        <v>5</v>
      </c>
    </row>
    <row r="33" customFormat="false" ht="14.4" hidden="false" customHeight="false" outlineLevel="0" collapsed="false">
      <c r="A33" s="26" t="s">
        <v>70</v>
      </c>
      <c r="B33" s="40"/>
      <c r="C33" s="23" t="n">
        <f aca="false">B5</f>
        <v>1129242</v>
      </c>
      <c r="D33" s="23" t="n">
        <f aca="false">(1+$E$21)*C33</f>
        <v>1211337.8934</v>
      </c>
      <c r="E33" s="23" t="n">
        <f aca="false">(1+$E$21)*D33</f>
        <v>1299402.15825018</v>
      </c>
      <c r="F33" s="23" t="n">
        <f aca="false">(1+$E$21)*E33</f>
        <v>1393868.69515497</v>
      </c>
      <c r="G33" s="23" t="n">
        <f aca="false">(1+$E$21)*F33</f>
        <v>1495202.94929273</v>
      </c>
    </row>
    <row r="34" customFormat="false" ht="14.4" hidden="false" customHeight="false" outlineLevel="0" collapsed="false">
      <c r="A34" s="26" t="s">
        <v>71</v>
      </c>
      <c r="B34" s="40"/>
      <c r="C34" s="23" t="n">
        <f aca="false">B2</f>
        <v>113150.317142857</v>
      </c>
      <c r="D34" s="23" t="n">
        <f aca="false">(1+$E$22)*C34</f>
        <v>121036.894247714</v>
      </c>
      <c r="E34" s="23" t="n">
        <f aca="false">(1+$E$22)*D34</f>
        <v>129473.16577678</v>
      </c>
      <c r="F34" s="23" t="n">
        <f aca="false">(1+$E$22)*E34</f>
        <v>138497.445431421</v>
      </c>
      <c r="G34" s="23" t="n">
        <f aca="false">(1+$E$22)*F34</f>
        <v>148150.717377991</v>
      </c>
    </row>
    <row r="37" customFormat="false" ht="14.4" hidden="false" customHeight="false" outlineLevel="0" collapsed="false">
      <c r="F37" s="24" t="s">
        <v>72</v>
      </c>
      <c r="G37" s="23" t="n">
        <f aca="false">(G34*(1+B22))/(F2-B22)</f>
        <v>916906.823714944</v>
      </c>
    </row>
    <row r="38" customFormat="false" ht="14.4" hidden="false" customHeight="false" outlineLevel="0" collapsed="false">
      <c r="F38" s="24" t="s">
        <v>73</v>
      </c>
      <c r="G38" s="23" t="n">
        <f aca="false">G33*B29</f>
        <v>162361.395541856</v>
      </c>
    </row>
    <row r="39" customFormat="false" ht="14.4" hidden="false" customHeight="false" outlineLevel="0" collapsed="false">
      <c r="F39" s="22" t="s">
        <v>74</v>
      </c>
      <c r="G39" s="23" t="n">
        <f aca="false">AVERAGE(G37:G38)</f>
        <v>539634.1096284</v>
      </c>
    </row>
    <row r="40" customFormat="false" ht="14.4" hidden="false" customHeight="false" outlineLevel="0" collapsed="false">
      <c r="A40" s="31" t="s">
        <v>75</v>
      </c>
      <c r="B40" s="31"/>
    </row>
    <row r="41" customFormat="false" ht="14.4" hidden="false" customHeight="false" outlineLevel="0" collapsed="false">
      <c r="A41" s="26" t="s">
        <v>76</v>
      </c>
      <c r="B41" s="25" t="n">
        <f aca="false">F2</f>
        <v>0.190616048855637</v>
      </c>
    </row>
    <row r="44" customFormat="false" ht="14.4" hidden="false" customHeight="false" outlineLevel="0" collapsed="false">
      <c r="A44" s="41" t="s">
        <v>77</v>
      </c>
      <c r="B44" s="42" t="n">
        <v>0</v>
      </c>
      <c r="C44" s="42" t="n">
        <v>0.5</v>
      </c>
      <c r="D44" s="42" t="n">
        <v>1.5</v>
      </c>
      <c r="E44" s="42" t="n">
        <v>2.5</v>
      </c>
      <c r="F44" s="42" t="n">
        <v>3.5</v>
      </c>
      <c r="G44" s="42" t="n">
        <v>4.5</v>
      </c>
    </row>
    <row r="45" customFormat="false" ht="14.4" hidden="false" customHeight="false" outlineLevel="0" collapsed="false">
      <c r="A45" s="26" t="s">
        <v>33</v>
      </c>
      <c r="B45" s="40"/>
      <c r="C45" s="23" t="n">
        <f aca="false">C34</f>
        <v>113150.317142857</v>
      </c>
      <c r="D45" s="23" t="n">
        <f aca="false">(1+E22)*C45</f>
        <v>121036.894247714</v>
      </c>
      <c r="E45" s="23" t="n">
        <f aca="false">(1+E22)*D45</f>
        <v>129473.16577678</v>
      </c>
      <c r="F45" s="23" t="n">
        <f aca="false">(1+E22)*E45</f>
        <v>138497.445431421</v>
      </c>
      <c r="G45" s="23" t="n">
        <f aca="false">(1+E22)*F45</f>
        <v>148150.717377991</v>
      </c>
    </row>
    <row r="46" customFormat="false" ht="14.4" hidden="false" customHeight="false" outlineLevel="0" collapsed="false">
      <c r="A46" s="26" t="s">
        <v>64</v>
      </c>
      <c r="B46" s="40"/>
      <c r="C46" s="23"/>
      <c r="D46" s="23"/>
      <c r="E46" s="23"/>
      <c r="F46" s="23"/>
      <c r="G46" s="23" t="n">
        <f aca="false">G39</f>
        <v>539634.1096284</v>
      </c>
    </row>
    <row r="48" customFormat="false" ht="14.4" hidden="false" customHeight="false" outlineLevel="0" collapsed="false">
      <c r="A48" s="26" t="s">
        <v>78</v>
      </c>
      <c r="C48" s="43" t="n">
        <f aca="false">1/(1+$B$41)^C44</f>
        <v>0.916461307159014</v>
      </c>
      <c r="D48" s="43" t="n">
        <f aca="false">1/(1+$B$41)^D44</f>
        <v>0.769737068503211</v>
      </c>
      <c r="E48" s="43" t="n">
        <f aca="false">1/(1+$B$41)^E44</f>
        <v>0.646503185676898</v>
      </c>
      <c r="F48" s="43" t="n">
        <f aca="false">1/(1+$B$41)^F44</f>
        <v>0.542998883895682</v>
      </c>
      <c r="G48" s="43" t="n">
        <f aca="false">1/(1+$B$41)^G44</f>
        <v>0.456065483425649</v>
      </c>
    </row>
    <row r="50" customFormat="false" ht="14.4" hidden="false" customHeight="false" outlineLevel="0" collapsed="false">
      <c r="A50" s="26" t="s">
        <v>79</v>
      </c>
      <c r="C50" s="44" t="n">
        <f aca="false">C45*C48</f>
        <v>103697.8875542</v>
      </c>
      <c r="D50" s="44" t="n">
        <f aca="false">D45*D48</f>
        <v>93166.5841589685</v>
      </c>
      <c r="E50" s="44" t="n">
        <f aca="false">E45*E48</f>
        <v>83704.8141343612</v>
      </c>
      <c r="F50" s="44" t="n">
        <f aca="false">F45*F48</f>
        <v>75203.9582916648</v>
      </c>
      <c r="G50" s="44" t="n">
        <f aca="false">G45*G48</f>
        <v>67566.4285408503</v>
      </c>
    </row>
    <row r="51" customFormat="false" ht="14.4" hidden="false" customHeight="false" outlineLevel="0" collapsed="false">
      <c r="A51" s="26" t="s">
        <v>80</v>
      </c>
      <c r="G51" s="44" t="n">
        <f aca="false">G48*G46</f>
        <v>246108.491080646</v>
      </c>
    </row>
    <row r="53" customFormat="false" ht="14.4" hidden="false" customHeight="false" outlineLevel="0" collapsed="false">
      <c r="A53" s="26" t="s">
        <v>67</v>
      </c>
      <c r="B53" s="45" t="n">
        <f aca="false">SUM(C50:G51)</f>
        <v>669448.16376069</v>
      </c>
    </row>
    <row r="56" customFormat="false" ht="14.4" hidden="false" customHeight="false" outlineLevel="0" collapsed="false">
      <c r="A56" s="42" t="s">
        <v>81</v>
      </c>
      <c r="B56" s="42"/>
      <c r="H56" s="1"/>
    </row>
    <row r="57" customFormat="false" ht="14.4" hidden="false" customHeight="false" outlineLevel="0" collapsed="false">
      <c r="A57" s="36"/>
      <c r="F57" s="43"/>
      <c r="G57" s="43"/>
      <c r="H57" s="43"/>
    </row>
    <row r="58" customFormat="false" ht="14.4" hidden="false" customHeight="false" outlineLevel="0" collapsed="false">
      <c r="A58" s="26" t="s">
        <v>67</v>
      </c>
      <c r="B58" s="40" t="n">
        <f aca="false">B53</f>
        <v>669448.16376069</v>
      </c>
      <c r="F58" s="46"/>
      <c r="G58" s="46"/>
      <c r="H58" s="46"/>
    </row>
    <row r="59" customFormat="false" ht="14.4" hidden="false" customHeight="false" outlineLevel="0" collapsed="false">
      <c r="A59" s="26" t="s">
        <v>51</v>
      </c>
      <c r="B59" s="1" t="n">
        <f aca="false">B13</f>
        <v>1418304.49</v>
      </c>
    </row>
    <row r="60" customFormat="false" ht="14.4" hidden="false" customHeight="false" outlineLevel="0" collapsed="false">
      <c r="A60" s="47" t="s">
        <v>82</v>
      </c>
      <c r="B60" s="48" t="n">
        <f aca="false">F7</f>
        <v>187898</v>
      </c>
    </row>
    <row r="61" customFormat="false" ht="14.4" hidden="false" customHeight="false" outlineLevel="0" collapsed="false">
      <c r="A61" s="26" t="s">
        <v>40</v>
      </c>
      <c r="B61" s="49" t="n">
        <f aca="false">B58+B59-B60</f>
        <v>1899854.65376069</v>
      </c>
    </row>
    <row r="62" customFormat="false" ht="14.4" hidden="false" customHeight="false" outlineLevel="0" collapsed="false">
      <c r="A62" s="36"/>
    </row>
    <row r="63" customFormat="false" ht="14.4" hidden="false" customHeight="false" outlineLevel="0" collapsed="false">
      <c r="D63" s="50"/>
    </row>
    <row r="64" customFormat="false" ht="14.4" hidden="false" customHeight="false" outlineLevel="0" collapsed="false">
      <c r="A64" s="47" t="s">
        <v>83</v>
      </c>
      <c r="B64" s="51" t="n">
        <f aca="false">11568.13/0.5</f>
        <v>23136.26</v>
      </c>
    </row>
    <row r="65" customFormat="false" ht="14.4" hidden="false" customHeight="false" outlineLevel="0" collapsed="false">
      <c r="A65" s="26" t="s">
        <v>84</v>
      </c>
      <c r="B65" s="45" t="n">
        <f aca="false">B61/B64</f>
        <v>82.1158931374686</v>
      </c>
    </row>
    <row r="67" customFormat="false" ht="14.4" hidden="false" customHeight="false" outlineLevel="0" collapsed="false">
      <c r="A67" s="31" t="s">
        <v>85</v>
      </c>
      <c r="B67" s="31"/>
      <c r="C67" s="31"/>
      <c r="D67" s="43"/>
      <c r="E67" s="43"/>
      <c r="F67" s="43"/>
    </row>
    <row r="68" customFormat="false" ht="14.4" hidden="false" customHeight="false" outlineLevel="0" collapsed="false">
      <c r="A68" s="52" t="s">
        <v>86</v>
      </c>
      <c r="B68" s="52" t="s">
        <v>76</v>
      </c>
      <c r="C68" s="53" t="s">
        <v>84</v>
      </c>
      <c r="D68" s="46"/>
      <c r="E68" s="46"/>
      <c r="F68" s="46"/>
    </row>
    <row r="69" customFormat="false" ht="14.4" hidden="false" customHeight="false" outlineLevel="0" collapsed="false">
      <c r="A69" s="25"/>
      <c r="C69" s="54"/>
    </row>
    <row r="70" customFormat="false" ht="14.4" hidden="false" customHeight="false" outlineLevel="0" collapsed="false">
      <c r="A70" s="16" t="n">
        <v>0.04</v>
      </c>
      <c r="B70" s="16" t="n">
        <v>0.0429</v>
      </c>
      <c r="C70" s="55" t="n">
        <v>232.94</v>
      </c>
    </row>
    <row r="71" customFormat="false" ht="14.4" hidden="false" customHeight="false" outlineLevel="0" collapsed="false">
      <c r="A71" s="16" t="n">
        <v>0.06</v>
      </c>
      <c r="B71" s="16" t="n">
        <v>0.064</v>
      </c>
      <c r="C71" s="55" t="n">
        <f aca="false">143.42</f>
        <v>143.42</v>
      </c>
    </row>
    <row r="72" customFormat="false" ht="14.4" hidden="false" customHeight="false" outlineLevel="0" collapsed="false">
      <c r="A72" s="16" t="n">
        <v>0.08</v>
      </c>
      <c r="B72" s="16" t="n">
        <v>0.0851</v>
      </c>
      <c r="C72" s="55" t="n">
        <v>116.23</v>
      </c>
    </row>
    <row r="73" customFormat="false" ht="14.4" hidden="false" customHeight="false" outlineLevel="0" collapsed="false">
      <c r="A73" s="16" t="n">
        <v>0.1</v>
      </c>
      <c r="B73" s="16" t="n">
        <v>0.1062</v>
      </c>
      <c r="C73" s="19" t="n">
        <v>102.83</v>
      </c>
    </row>
    <row r="74" customFormat="false" ht="14.4" hidden="false" customHeight="false" outlineLevel="0" collapsed="false">
      <c r="A74" s="16" t="n">
        <v>0.12</v>
      </c>
      <c r="B74" s="16" t="n">
        <v>0.1273</v>
      </c>
      <c r="C74" s="19" t="n">
        <v>94.73</v>
      </c>
    </row>
    <row r="75" customFormat="false" ht="14.4" hidden="false" customHeight="false" outlineLevel="0" collapsed="false">
      <c r="A75" s="16" t="n">
        <v>0.14</v>
      </c>
      <c r="B75" s="16" t="n">
        <v>0.1484</v>
      </c>
      <c r="C75" s="19" t="n">
        <v>89.23</v>
      </c>
    </row>
    <row r="76" customFormat="false" ht="14.4" hidden="false" customHeight="false" outlineLevel="0" collapsed="false">
      <c r="A76" s="16" t="n">
        <v>0.16</v>
      </c>
      <c r="B76" s="16" t="n">
        <v>0.1695</v>
      </c>
      <c r="C76" s="19" t="n">
        <v>85.21</v>
      </c>
    </row>
    <row r="77" customFormat="false" ht="14.4" hidden="false" customHeight="false" outlineLevel="0" collapsed="false">
      <c r="A77" s="16" t="n">
        <v>0.18</v>
      </c>
      <c r="B77" s="16" t="n">
        <v>0.1906</v>
      </c>
      <c r="C77" s="19" t="n">
        <v>82.12</v>
      </c>
    </row>
    <row r="83" customFormat="false" ht="14.4" hidden="false" customHeight="false" outlineLevel="0" collapsed="false">
      <c r="A83" s="14" t="s">
        <v>87</v>
      </c>
      <c r="B83" s="1" t="s">
        <v>88</v>
      </c>
    </row>
    <row r="84" customFormat="false" ht="13.8" hidden="false" customHeight="false" outlineLevel="0" collapsed="false">
      <c r="B84" s="1" t="s">
        <v>89</v>
      </c>
    </row>
    <row r="85" customFormat="false" ht="13.8" hidden="false" customHeight="false" outlineLevel="0" collapsed="false">
      <c r="B85" s="1" t="s">
        <v>90</v>
      </c>
    </row>
    <row r="86" customFormat="false" ht="13.8" hidden="false" customHeight="false" outlineLevel="0" collapsed="false">
      <c r="B86" s="56" t="s">
        <v>91</v>
      </c>
    </row>
    <row r="87" customFormat="false" ht="14.4" hidden="false" customHeight="false" outlineLevel="0" collapsed="false">
      <c r="B87" s="56" t="s">
        <v>92</v>
      </c>
    </row>
    <row r="88" customFormat="false" ht="14.4" hidden="false" customHeight="false" outlineLevel="0" collapsed="false">
      <c r="B88" s="56" t="s">
        <v>93</v>
      </c>
    </row>
    <row r="89" customFormat="false" ht="13.8" hidden="false" customHeight="false" outlineLevel="0" collapsed="false">
      <c r="B89" s="57" t="s">
        <v>94</v>
      </c>
    </row>
  </sheetData>
  <mergeCells count="7">
    <mergeCell ref="E11:F11"/>
    <mergeCell ref="A20:B20"/>
    <mergeCell ref="D20:E20"/>
    <mergeCell ref="A25:B25"/>
    <mergeCell ref="A40:B40"/>
    <mergeCell ref="A56:B56"/>
    <mergeCell ref="A67:C6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2023-06-17T13:32:00Z</dcterms:created>
  <dc:creator>goodn</dc:creator>
  <dc:description/>
  <dc:language>en-US</dc:language>
  <cp:lastModifiedBy/>
  <dcterms:modified xsi:type="dcterms:W3CDTF">2023-06-27T16:19:53Z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4EDC90CFCFB646E4800D950690B51455</vt:lpwstr>
  </property>
  <property fmtid="{D5CDD505-2E9C-101B-9397-08002B2CF9AE}" pid="3" name="KSOProductBuildVer">
    <vt:lpwstr>1033-11.2.0.11537</vt:lpwstr>
  </property>
</Properties>
</file>