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105"/>
  </bookViews>
  <sheets>
    <sheet name="戰力表" sheetId="1" r:id="rId1"/>
    <sheet name="new_this" sheetId="2" r:id="rId2"/>
    <sheet name="mgm_this" sheetId="12" r:id="rId3"/>
    <sheet name="closed_this" sheetId="7" r:id="rId4"/>
  </sheets>
  <definedNames>
    <definedName name="closed_data" localSheetId="3" hidden="1">closed_this!$A$1:$AI$21</definedName>
    <definedName name="mgm_data" localSheetId="2" hidden="1">mgm_this!$A$1:$AI$21</definedName>
    <definedName name="new_data" localSheetId="1" hidden="1">new_this!$A$1:$AI$21</definedName>
  </definedNames>
  <calcPr calcId="145621"/>
</workbook>
</file>

<file path=xl/calcChain.xml><?xml version="1.0" encoding="utf-8"?>
<calcChain xmlns="http://schemas.openxmlformats.org/spreadsheetml/2006/main">
  <c r="AN6" i="7" l="1"/>
  <c r="AQ25" i="12" l="1"/>
  <c r="AK25" i="12"/>
  <c r="AQ24" i="12"/>
  <c r="AK24" i="12"/>
  <c r="AQ23" i="12"/>
  <c r="AK23" i="12"/>
  <c r="AQ22" i="12"/>
  <c r="AK22" i="12"/>
  <c r="AQ21" i="12"/>
  <c r="AK21" i="12"/>
  <c r="AQ20" i="12"/>
  <c r="AK20" i="12"/>
  <c r="AQ19" i="12"/>
  <c r="AK19" i="12"/>
  <c r="AQ18" i="12"/>
  <c r="AK18" i="12"/>
  <c r="AQ17" i="12"/>
  <c r="AK17" i="12"/>
  <c r="AQ16" i="12"/>
  <c r="AK16" i="12"/>
  <c r="AQ15" i="12"/>
  <c r="AK15" i="12"/>
  <c r="AQ14" i="12"/>
  <c r="AK14" i="12"/>
  <c r="AQ13" i="12"/>
  <c r="AK13" i="12"/>
  <c r="AQ12" i="12"/>
  <c r="AK12" i="12"/>
  <c r="AQ11" i="12"/>
  <c r="AK11" i="12"/>
  <c r="AQ10" i="12"/>
  <c r="AK10" i="12"/>
  <c r="AQ9" i="12"/>
  <c r="AK9" i="12"/>
  <c r="AQ8" i="12"/>
  <c r="AK8" i="12"/>
  <c r="AQ7" i="12"/>
  <c r="AK7" i="12"/>
  <c r="AQ6" i="12"/>
  <c r="AK6" i="12"/>
  <c r="AQ5" i="12"/>
  <c r="AK5" i="12"/>
  <c r="AQ4" i="12"/>
  <c r="AK4" i="12"/>
  <c r="AQ3" i="12"/>
  <c r="AK3" i="12"/>
  <c r="AQ2" i="12"/>
  <c r="AK2" i="12"/>
  <c r="AQ25" i="7"/>
  <c r="AK25" i="7"/>
  <c r="AQ24" i="7"/>
  <c r="AK24" i="7"/>
  <c r="AQ23" i="7"/>
  <c r="AK23" i="7"/>
  <c r="AQ22" i="7"/>
  <c r="AK22" i="7"/>
  <c r="AQ21" i="7"/>
  <c r="AK21" i="7"/>
  <c r="AQ20" i="7"/>
  <c r="AK20" i="7"/>
  <c r="AQ19" i="7"/>
  <c r="AK19" i="7"/>
  <c r="AQ18" i="7"/>
  <c r="AK18" i="7"/>
  <c r="AQ17" i="7"/>
  <c r="AK17" i="7"/>
  <c r="AQ16" i="7"/>
  <c r="AK16" i="7"/>
  <c r="AQ15" i="7"/>
  <c r="AK15" i="7"/>
  <c r="AQ14" i="7"/>
  <c r="AK14" i="7"/>
  <c r="AQ13" i="7"/>
  <c r="AK13" i="7"/>
  <c r="AQ12" i="7"/>
  <c r="AK12" i="7"/>
  <c r="AQ11" i="7"/>
  <c r="AK11" i="7"/>
  <c r="AQ10" i="7"/>
  <c r="AK10" i="7"/>
  <c r="AQ9" i="7"/>
  <c r="AK9" i="7"/>
  <c r="AQ8" i="7"/>
  <c r="AK8" i="7"/>
  <c r="AQ7" i="7"/>
  <c r="AK7" i="7"/>
  <c r="AQ6" i="7"/>
  <c r="AK6" i="7"/>
  <c r="AQ5" i="7"/>
  <c r="AK5" i="7"/>
  <c r="AQ4" i="7"/>
  <c r="AK4" i="7"/>
  <c r="AQ3" i="7"/>
  <c r="AK3" i="7"/>
  <c r="AQ2" i="7"/>
  <c r="AK2" i="7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" i="2"/>
  <c r="H18" i="1"/>
  <c r="H17" i="1"/>
  <c r="H16" i="1"/>
  <c r="G18" i="1"/>
  <c r="G17" i="1"/>
  <c r="G16" i="1"/>
  <c r="F18" i="1"/>
  <c r="F17" i="1"/>
  <c r="F16" i="1"/>
  <c r="E18" i="1"/>
  <c r="E17" i="1"/>
  <c r="E16" i="1"/>
  <c r="D18" i="1"/>
  <c r="D17" i="1"/>
  <c r="D16" i="1"/>
  <c r="C18" i="1"/>
  <c r="C17" i="1"/>
  <c r="C16" i="1"/>
  <c r="C12" i="1"/>
  <c r="D12" i="1"/>
  <c r="E12" i="1"/>
  <c r="F12" i="1"/>
  <c r="G12" i="1"/>
  <c r="H12" i="1"/>
  <c r="H11" i="1"/>
  <c r="G11" i="1"/>
  <c r="F11" i="1"/>
  <c r="E11" i="1"/>
  <c r="D11" i="1"/>
  <c r="C11" i="1"/>
  <c r="H10" i="1"/>
  <c r="G10" i="1"/>
  <c r="F10" i="1"/>
  <c r="E10" i="1"/>
  <c r="D10" i="1"/>
  <c r="C10" i="1"/>
  <c r="AS2" i="12"/>
  <c r="AT2" i="12"/>
  <c r="AU2" i="12"/>
  <c r="AV2" i="12"/>
  <c r="AS3" i="12"/>
  <c r="AT3" i="12"/>
  <c r="AU3" i="12"/>
  <c r="AV3" i="12"/>
  <c r="AS4" i="12"/>
  <c r="AT4" i="12"/>
  <c r="AU4" i="12"/>
  <c r="AV4" i="12"/>
  <c r="AS5" i="12"/>
  <c r="AT5" i="12"/>
  <c r="AU5" i="12"/>
  <c r="AV5" i="12"/>
  <c r="AS6" i="12"/>
  <c r="AT6" i="12"/>
  <c r="AU6" i="12"/>
  <c r="AV6" i="12"/>
  <c r="AS7" i="12"/>
  <c r="AT7" i="12"/>
  <c r="AU7" i="12"/>
  <c r="AV7" i="12"/>
  <c r="AS8" i="12"/>
  <c r="AT8" i="12"/>
  <c r="AU8" i="12"/>
  <c r="AV8" i="12"/>
  <c r="AS9" i="12"/>
  <c r="AT9" i="12"/>
  <c r="AU9" i="12"/>
  <c r="AV9" i="12"/>
  <c r="AS10" i="12"/>
  <c r="AT10" i="12"/>
  <c r="AU10" i="12"/>
  <c r="AV10" i="12"/>
  <c r="AS11" i="12"/>
  <c r="AT11" i="12"/>
  <c r="AU11" i="12"/>
  <c r="AV11" i="12"/>
  <c r="AS12" i="12"/>
  <c r="AT12" i="12"/>
  <c r="AU12" i="12"/>
  <c r="AV12" i="12"/>
  <c r="AS13" i="12"/>
  <c r="AT13" i="12"/>
  <c r="AU13" i="12"/>
  <c r="AV13" i="12"/>
  <c r="AS14" i="12"/>
  <c r="AT14" i="12"/>
  <c r="AU14" i="12"/>
  <c r="AV14" i="12"/>
  <c r="AS15" i="12"/>
  <c r="AT15" i="12"/>
  <c r="AU15" i="12"/>
  <c r="AV15" i="12"/>
  <c r="AS16" i="12"/>
  <c r="AT16" i="12"/>
  <c r="AU16" i="12"/>
  <c r="AV16" i="12"/>
  <c r="AS17" i="12"/>
  <c r="AT17" i="12"/>
  <c r="AU17" i="12"/>
  <c r="AV17" i="12"/>
  <c r="AS18" i="12"/>
  <c r="AT18" i="12"/>
  <c r="AU18" i="12"/>
  <c r="AV18" i="12"/>
  <c r="AS19" i="12"/>
  <c r="AT19" i="12"/>
  <c r="AU19" i="12"/>
  <c r="AV19" i="12"/>
  <c r="AS20" i="12"/>
  <c r="AT20" i="12"/>
  <c r="AU20" i="12"/>
  <c r="AV20" i="12"/>
  <c r="AS21" i="12"/>
  <c r="AT21" i="12"/>
  <c r="AU21" i="12"/>
  <c r="AV21" i="12"/>
  <c r="AS22" i="12"/>
  <c r="AT22" i="12"/>
  <c r="AU22" i="12"/>
  <c r="AV22" i="12"/>
  <c r="AS23" i="12"/>
  <c r="AT23" i="12"/>
  <c r="AU23" i="12"/>
  <c r="AV23" i="12"/>
  <c r="AS24" i="12"/>
  <c r="AT24" i="12"/>
  <c r="AU24" i="12"/>
  <c r="AV24" i="12"/>
  <c r="AS25" i="12"/>
  <c r="AT25" i="12"/>
  <c r="AU25" i="12"/>
  <c r="AV25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" i="12"/>
  <c r="AM2" i="12"/>
  <c r="AZ4" i="12" s="1"/>
  <c r="AN2" i="12"/>
  <c r="BA4" i="12" s="1"/>
  <c r="AO2" i="12"/>
  <c r="BB4" i="12" s="1"/>
  <c r="AP2" i="12"/>
  <c r="BC4" i="12" s="1"/>
  <c r="AM3" i="12"/>
  <c r="AN3" i="12"/>
  <c r="AO3" i="12"/>
  <c r="AP3" i="12"/>
  <c r="AM4" i="12"/>
  <c r="AN4" i="12"/>
  <c r="AO4" i="12"/>
  <c r="AP4" i="12"/>
  <c r="AM5" i="12"/>
  <c r="AN5" i="12"/>
  <c r="AO5" i="12"/>
  <c r="AP5" i="12"/>
  <c r="AM6" i="12"/>
  <c r="AN6" i="12"/>
  <c r="AO6" i="12"/>
  <c r="AP6" i="12"/>
  <c r="AM7" i="12"/>
  <c r="AN7" i="12"/>
  <c r="AO7" i="12"/>
  <c r="AP7" i="12"/>
  <c r="AM8" i="12"/>
  <c r="AN8" i="12"/>
  <c r="AO8" i="12"/>
  <c r="AP8" i="12"/>
  <c r="AM9" i="12"/>
  <c r="AN9" i="12"/>
  <c r="AO9" i="12"/>
  <c r="AP9" i="12"/>
  <c r="AM10" i="12"/>
  <c r="AN10" i="12"/>
  <c r="AO10" i="12"/>
  <c r="AP10" i="12"/>
  <c r="AM11" i="12"/>
  <c r="AN11" i="12"/>
  <c r="AO11" i="12"/>
  <c r="AP11" i="12"/>
  <c r="AM12" i="12"/>
  <c r="AN12" i="12"/>
  <c r="AO12" i="12"/>
  <c r="AP12" i="12"/>
  <c r="AM13" i="12"/>
  <c r="AN13" i="12"/>
  <c r="AO13" i="12"/>
  <c r="AP13" i="12"/>
  <c r="AM14" i="12"/>
  <c r="AN14" i="12"/>
  <c r="AO14" i="12"/>
  <c r="AP14" i="12"/>
  <c r="AM15" i="12"/>
  <c r="AN15" i="12"/>
  <c r="AO15" i="12"/>
  <c r="AP15" i="12"/>
  <c r="AM16" i="12"/>
  <c r="AN16" i="12"/>
  <c r="AO16" i="12"/>
  <c r="AP16" i="12"/>
  <c r="AM17" i="12"/>
  <c r="AN17" i="12"/>
  <c r="AO17" i="12"/>
  <c r="AP17" i="12"/>
  <c r="AM18" i="12"/>
  <c r="AN18" i="12"/>
  <c r="AO18" i="12"/>
  <c r="AP18" i="12"/>
  <c r="AM19" i="12"/>
  <c r="AN19" i="12"/>
  <c r="AO19" i="12"/>
  <c r="AP19" i="12"/>
  <c r="AM20" i="12"/>
  <c r="AN20" i="12"/>
  <c r="AO20" i="12"/>
  <c r="AP20" i="12"/>
  <c r="AM21" i="12"/>
  <c r="AN21" i="12"/>
  <c r="AO21" i="12"/>
  <c r="AP21" i="12"/>
  <c r="AM22" i="12"/>
  <c r="AN22" i="12"/>
  <c r="AO22" i="12"/>
  <c r="AP22" i="12"/>
  <c r="AM23" i="12"/>
  <c r="AN23" i="12"/>
  <c r="AO23" i="12"/>
  <c r="AP23" i="12"/>
  <c r="AM24" i="12"/>
  <c r="AN24" i="12"/>
  <c r="AO24" i="12"/>
  <c r="AP24" i="12"/>
  <c r="AM25" i="12"/>
  <c r="AN25" i="12"/>
  <c r="AO25" i="12"/>
  <c r="AP25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" i="12"/>
  <c r="AY4" i="12" s="1"/>
  <c r="AS2" i="7"/>
  <c r="AT2" i="7"/>
  <c r="AU2" i="7"/>
  <c r="AV2" i="7"/>
  <c r="AS3" i="7"/>
  <c r="AT3" i="7"/>
  <c r="AU3" i="7"/>
  <c r="AV3" i="7"/>
  <c r="AS4" i="7"/>
  <c r="AT4" i="7"/>
  <c r="AU4" i="7"/>
  <c r="AV4" i="7"/>
  <c r="AS5" i="7"/>
  <c r="AT5" i="7"/>
  <c r="AU5" i="7"/>
  <c r="AV5" i="7"/>
  <c r="AS6" i="7"/>
  <c r="AT6" i="7"/>
  <c r="AU6" i="7"/>
  <c r="AV6" i="7"/>
  <c r="AS7" i="7"/>
  <c r="AT7" i="7"/>
  <c r="AU7" i="7"/>
  <c r="AV7" i="7"/>
  <c r="AS8" i="7"/>
  <c r="AT8" i="7"/>
  <c r="AU8" i="7"/>
  <c r="AV8" i="7"/>
  <c r="AS9" i="7"/>
  <c r="AT9" i="7"/>
  <c r="AU9" i="7"/>
  <c r="AV9" i="7"/>
  <c r="AS10" i="7"/>
  <c r="AT10" i="7"/>
  <c r="AU10" i="7"/>
  <c r="AV10" i="7"/>
  <c r="AS11" i="7"/>
  <c r="AT11" i="7"/>
  <c r="AU11" i="7"/>
  <c r="AV11" i="7"/>
  <c r="AS12" i="7"/>
  <c r="AT12" i="7"/>
  <c r="AU12" i="7"/>
  <c r="AV12" i="7"/>
  <c r="AS13" i="7"/>
  <c r="AT13" i="7"/>
  <c r="AU13" i="7"/>
  <c r="AV13" i="7"/>
  <c r="AS14" i="7"/>
  <c r="AT14" i="7"/>
  <c r="AU14" i="7"/>
  <c r="AV14" i="7"/>
  <c r="AS15" i="7"/>
  <c r="AT15" i="7"/>
  <c r="AU15" i="7"/>
  <c r="AV15" i="7"/>
  <c r="AS16" i="7"/>
  <c r="AT16" i="7"/>
  <c r="AU16" i="7"/>
  <c r="AV16" i="7"/>
  <c r="AS17" i="7"/>
  <c r="AT17" i="7"/>
  <c r="AU17" i="7"/>
  <c r="AV17" i="7"/>
  <c r="AS18" i="7"/>
  <c r="AT18" i="7"/>
  <c r="AU18" i="7"/>
  <c r="AV18" i="7"/>
  <c r="AS19" i="7"/>
  <c r="AT19" i="7"/>
  <c r="AU19" i="7"/>
  <c r="AV19" i="7"/>
  <c r="AS20" i="7"/>
  <c r="AT20" i="7"/>
  <c r="AU20" i="7"/>
  <c r="AV20" i="7"/>
  <c r="AS21" i="7"/>
  <c r="AT21" i="7"/>
  <c r="AU21" i="7"/>
  <c r="AV21" i="7"/>
  <c r="AS22" i="7"/>
  <c r="AT22" i="7"/>
  <c r="AU22" i="7"/>
  <c r="AV22" i="7"/>
  <c r="AS23" i="7"/>
  <c r="AT23" i="7"/>
  <c r="AU23" i="7"/>
  <c r="AV23" i="7"/>
  <c r="AS24" i="7"/>
  <c r="AT24" i="7"/>
  <c r="AU24" i="7"/>
  <c r="AV24" i="7"/>
  <c r="AS25" i="7"/>
  <c r="AT25" i="7"/>
  <c r="AU25" i="7"/>
  <c r="AV25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" i="7"/>
  <c r="AM2" i="7"/>
  <c r="AZ4" i="7" s="1"/>
  <c r="AN2" i="7"/>
  <c r="BA4" i="7" s="1"/>
  <c r="AO2" i="7"/>
  <c r="BB4" i="7" s="1"/>
  <c r="AP2" i="7"/>
  <c r="BC4" i="7" s="1"/>
  <c r="AM3" i="7"/>
  <c r="AN3" i="7"/>
  <c r="AO3" i="7"/>
  <c r="AP3" i="7"/>
  <c r="AM4" i="7"/>
  <c r="AN4" i="7"/>
  <c r="AO4" i="7"/>
  <c r="AP4" i="7"/>
  <c r="AM5" i="7"/>
  <c r="AN5" i="7"/>
  <c r="AO5" i="7"/>
  <c r="AP5" i="7"/>
  <c r="AM6" i="7"/>
  <c r="AO6" i="7"/>
  <c r="AP6" i="7"/>
  <c r="AM7" i="7"/>
  <c r="AN7" i="7"/>
  <c r="AO7" i="7"/>
  <c r="AP7" i="7"/>
  <c r="AM8" i="7"/>
  <c r="AN8" i="7"/>
  <c r="AO8" i="7"/>
  <c r="AP8" i="7"/>
  <c r="AM9" i="7"/>
  <c r="AN9" i="7"/>
  <c r="AO9" i="7"/>
  <c r="AP9" i="7"/>
  <c r="AM10" i="7"/>
  <c r="AN10" i="7"/>
  <c r="AO10" i="7"/>
  <c r="AP10" i="7"/>
  <c r="AM11" i="7"/>
  <c r="AN11" i="7"/>
  <c r="AO11" i="7"/>
  <c r="AP11" i="7"/>
  <c r="AM12" i="7"/>
  <c r="AN12" i="7"/>
  <c r="AO12" i="7"/>
  <c r="AP12" i="7"/>
  <c r="AM13" i="7"/>
  <c r="AN13" i="7"/>
  <c r="AO13" i="7"/>
  <c r="AP13" i="7"/>
  <c r="AM14" i="7"/>
  <c r="AN14" i="7"/>
  <c r="AO14" i="7"/>
  <c r="AP14" i="7"/>
  <c r="AM15" i="7"/>
  <c r="AN15" i="7"/>
  <c r="AO15" i="7"/>
  <c r="AP15" i="7"/>
  <c r="AM16" i="7"/>
  <c r="AN16" i="7"/>
  <c r="AO16" i="7"/>
  <c r="AP16" i="7"/>
  <c r="AM17" i="7"/>
  <c r="AN17" i="7"/>
  <c r="AO17" i="7"/>
  <c r="AP17" i="7"/>
  <c r="AM18" i="7"/>
  <c r="AN18" i="7"/>
  <c r="AO18" i="7"/>
  <c r="AP18" i="7"/>
  <c r="AM19" i="7"/>
  <c r="AN19" i="7"/>
  <c r="AO19" i="7"/>
  <c r="AP19" i="7"/>
  <c r="AM20" i="7"/>
  <c r="AN20" i="7"/>
  <c r="AO20" i="7"/>
  <c r="AP20" i="7"/>
  <c r="AM21" i="7"/>
  <c r="AN21" i="7"/>
  <c r="AO21" i="7"/>
  <c r="AP21" i="7"/>
  <c r="AM22" i="7"/>
  <c r="AN22" i="7"/>
  <c r="AO22" i="7"/>
  <c r="AP22" i="7"/>
  <c r="AM23" i="7"/>
  <c r="AN23" i="7"/>
  <c r="AO23" i="7"/>
  <c r="AP23" i="7"/>
  <c r="AM24" i="7"/>
  <c r="AN24" i="7"/>
  <c r="AO24" i="7"/>
  <c r="AP24" i="7"/>
  <c r="AM25" i="7"/>
  <c r="AN25" i="7"/>
  <c r="AO25" i="7"/>
  <c r="AP25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" i="7"/>
  <c r="AY4" i="7" s="1"/>
  <c r="AL22" i="2"/>
  <c r="AM22" i="2"/>
  <c r="AN22" i="2"/>
  <c r="AO22" i="2"/>
  <c r="AP22" i="2"/>
  <c r="AR22" i="2"/>
  <c r="AS22" i="2"/>
  <c r="AT22" i="2"/>
  <c r="AU22" i="2"/>
  <c r="AV22" i="2"/>
  <c r="AL23" i="2"/>
  <c r="AM23" i="2"/>
  <c r="AN23" i="2"/>
  <c r="AO23" i="2"/>
  <c r="AP23" i="2"/>
  <c r="AR23" i="2"/>
  <c r="AS23" i="2"/>
  <c r="AT23" i="2"/>
  <c r="AU23" i="2"/>
  <c r="AV23" i="2"/>
  <c r="AL24" i="2"/>
  <c r="AM24" i="2"/>
  <c r="AN24" i="2"/>
  <c r="AO24" i="2"/>
  <c r="AP24" i="2"/>
  <c r="AR24" i="2"/>
  <c r="AS24" i="2"/>
  <c r="AT24" i="2"/>
  <c r="AU24" i="2"/>
  <c r="AV24" i="2"/>
  <c r="AL25" i="2"/>
  <c r="AM25" i="2"/>
  <c r="AN25" i="2"/>
  <c r="AO25" i="2"/>
  <c r="AP25" i="2"/>
  <c r="AR25" i="2"/>
  <c r="AS25" i="2"/>
  <c r="AT25" i="2"/>
  <c r="AU25" i="2"/>
  <c r="AV25" i="2"/>
  <c r="AV2" i="2"/>
  <c r="AS2" i="2"/>
  <c r="AT2" i="2"/>
  <c r="AU2" i="2"/>
  <c r="AS3" i="2"/>
  <c r="AT3" i="2"/>
  <c r="AU3" i="2"/>
  <c r="AV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S9" i="2"/>
  <c r="AT9" i="2"/>
  <c r="AU9" i="2"/>
  <c r="AV9" i="2"/>
  <c r="AS10" i="2"/>
  <c r="AT10" i="2"/>
  <c r="AU10" i="2"/>
  <c r="AV10" i="2"/>
  <c r="AS11" i="2"/>
  <c r="AT11" i="2"/>
  <c r="AU11" i="2"/>
  <c r="AV11" i="2"/>
  <c r="AS12" i="2"/>
  <c r="AT12" i="2"/>
  <c r="AU12" i="2"/>
  <c r="AV12" i="2"/>
  <c r="AS13" i="2"/>
  <c r="AT13" i="2"/>
  <c r="AU13" i="2"/>
  <c r="AV13" i="2"/>
  <c r="AS14" i="2"/>
  <c r="AT14" i="2"/>
  <c r="AU14" i="2"/>
  <c r="AV14" i="2"/>
  <c r="AS15" i="2"/>
  <c r="AT15" i="2"/>
  <c r="AU15" i="2"/>
  <c r="AV15" i="2"/>
  <c r="AS16" i="2"/>
  <c r="AT16" i="2"/>
  <c r="AU16" i="2"/>
  <c r="AV16" i="2"/>
  <c r="AS17" i="2"/>
  <c r="AT17" i="2"/>
  <c r="AU17" i="2"/>
  <c r="AV17" i="2"/>
  <c r="AS18" i="2"/>
  <c r="AT18" i="2"/>
  <c r="AU18" i="2"/>
  <c r="AV18" i="2"/>
  <c r="AS19" i="2"/>
  <c r="AT19" i="2"/>
  <c r="AU19" i="2"/>
  <c r="AV19" i="2"/>
  <c r="AS20" i="2"/>
  <c r="AT20" i="2"/>
  <c r="AU20" i="2"/>
  <c r="AV20" i="2"/>
  <c r="AS21" i="2"/>
  <c r="AT21" i="2"/>
  <c r="AU21" i="2"/>
  <c r="AV21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" i="2"/>
  <c r="AP2" i="2"/>
  <c r="BC4" i="2" s="1"/>
  <c r="AN2" i="2"/>
  <c r="BA4" i="2" s="1"/>
  <c r="AO2" i="2"/>
  <c r="BB4" i="2" s="1"/>
  <c r="AN3" i="2"/>
  <c r="AO3" i="2"/>
  <c r="AP3" i="2"/>
  <c r="AN4" i="2"/>
  <c r="AO4" i="2"/>
  <c r="AP4" i="2"/>
  <c r="AN5" i="2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M2" i="2"/>
  <c r="AZ4" i="2" s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" i="2"/>
  <c r="AY4" i="2" s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AZ2" i="2" l="1"/>
  <c r="BB3" i="12"/>
  <c r="BC2" i="7"/>
  <c r="BB2" i="7"/>
  <c r="BA2" i="7"/>
  <c r="AZ2" i="7"/>
  <c r="BC3" i="7"/>
  <c r="AZ3" i="12"/>
  <c r="AY2" i="7"/>
  <c r="AY3" i="7"/>
  <c r="BC3" i="12"/>
  <c r="BA3" i="7"/>
  <c r="BB3" i="7"/>
  <c r="AZ2" i="12"/>
  <c r="BA3" i="12"/>
  <c r="BA2" i="12"/>
  <c r="BC3" i="2"/>
  <c r="AY3" i="12"/>
  <c r="AZ3" i="7"/>
  <c r="BB2" i="12"/>
  <c r="AY2" i="12"/>
  <c r="BC2" i="12"/>
  <c r="BA2" i="2"/>
  <c r="AZ3" i="2"/>
  <c r="BB2" i="2"/>
  <c r="BA3" i="2"/>
  <c r="AY2" i="2"/>
  <c r="BC2" i="2"/>
  <c r="BB3" i="2"/>
  <c r="AY3" i="2"/>
</calcChain>
</file>

<file path=xl/connections.xml><?xml version="1.0" encoding="utf-8"?>
<connections xmlns="http://schemas.openxmlformats.org/spreadsheetml/2006/main">
  <connection id="1" sourceFile="D:\Julian_Lin\王佐之才_戰力指標圖\自動化寄送\main_table\excel\working_dir\closed_data.xlsx" keepAlive="1" name="closed_data" type="5" refreshedVersion="4" background="1" saveData="1">
    <dbPr connection="Provider=Microsoft.ACE.OLEDB.12.0;User ID=Admin;Data Source=D:\Julian_Lin\王佐之才_戰力指標圖\自動化寄送\main_table\excel\working_dir\closed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2" sourceFile="D:\Julian_Lin\王佐之才_戰力指標圖\自動化寄送\main_table\excel\working_dir\mgm_data.xlsx" keepAlive="1" name="mgm_data" type="5" refreshedVersion="4" background="1" saveData="1">
    <dbPr connection="Provider=Microsoft.ACE.OLEDB.12.0;User ID=Admin;Data Source=D:\Julian_Lin\王佐之才_戰力指標圖\自動化寄送\main_table\excel\working_dir\mgm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3" sourceFile="D:\Julian_Lin\王佐之才_戰力指標圖\自動化寄送\main_table\excel\working_dir\new_data.xlsx" keepAlive="1" name="new_data" type="5" refreshedVersion="4" background="1" saveData="1">
    <dbPr connection="Provider=Microsoft.ACE.OLEDB.12.0;User ID=Admin;Data Source=D:\Julian_Lin\王佐之才_戰力指標圖\自動化寄送\main_table\excel\working_dir\new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<sst xmlns="http://schemas.openxmlformats.org/spreadsheetml/2006/main" count="299" uniqueCount="88">
  <si>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</si>
  <si>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</si>
  <si>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</si>
  <si>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</si>
  <si>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</si>
  <si>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達成率</t>
  </si>
  <si>
    <t>取單量</t>
  </si>
  <si>
    <t>新名單</t>
    <phoneticPr fontId="1" type="noConversion"/>
  </si>
  <si>
    <t>MGM</t>
    <phoneticPr fontId="1" type="noConversion"/>
  </si>
  <si>
    <t>結案</t>
    <phoneticPr fontId="1" type="noConversion"/>
  </si>
  <si>
    <t>當月新單</t>
    <phoneticPr fontId="1" type="noConversion"/>
  </si>
  <si>
    <t>上月新單</t>
    <phoneticPr fontId="1" type="noConversion"/>
  </si>
  <si>
    <t>平均新單</t>
    <phoneticPr fontId="1" type="noConversion"/>
  </si>
  <si>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</si>
  <si>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</si>
  <si>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</si>
  <si>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</si>
  <si>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</si>
  <si>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當月結案</t>
    <phoneticPr fontId="1" type="noConversion"/>
  </si>
  <si>
    <t>上月結案</t>
    <phoneticPr fontId="1" type="noConversion"/>
  </si>
  <si>
    <t>平均結案</t>
    <phoneticPr fontId="1" type="noConversion"/>
  </si>
  <si>
    <t>當月MGM</t>
    <phoneticPr fontId="1" type="noConversion"/>
  </si>
  <si>
    <t>上月MGM</t>
    <phoneticPr fontId="1" type="noConversion"/>
  </si>
  <si>
    <t>平均MGM</t>
    <phoneticPr fontId="1" type="noConversion"/>
  </si>
  <si>
    <t>ismgm</t>
  </si>
  <si>
    <t>派發數</t>
  </si>
  <si>
    <t>TBD_業務部_BD1</t>
  </si>
  <si>
    <t>TBD_業務部_BD11</t>
  </si>
  <si>
    <t>TBD_業務部_BD15</t>
  </si>
  <si>
    <t>TBD_業務部_BD16</t>
  </si>
  <si>
    <t>TBD_業務部_BD17</t>
  </si>
  <si>
    <t>TBD_業務部_BD18</t>
  </si>
  <si>
    <t>TBD_業務部_BD19</t>
  </si>
  <si>
    <t>TBD_業務部_BD2</t>
  </si>
  <si>
    <t>TBD_業務部_BD20</t>
  </si>
  <si>
    <t>TBD_業務部_BD24</t>
  </si>
  <si>
    <t>TBD_業務部_BD35</t>
  </si>
  <si>
    <t>TBD_業務部_BD36</t>
  </si>
  <si>
    <t>TBD_業務部_BD40</t>
  </si>
  <si>
    <t>TBD_業務部_BD55</t>
  </si>
  <si>
    <t>TBD_業務部_BD59</t>
  </si>
  <si>
    <t>TBD_業務部_BD6</t>
  </si>
  <si>
    <t>TBD_業務部_BD65</t>
  </si>
  <si>
    <t>TBD_業務部_BD7</t>
  </si>
  <si>
    <t>TBD_業務部_BD9</t>
  </si>
  <si>
    <t>下拉式選單</t>
    <phoneticPr fontId="1" type="noConversion"/>
  </si>
  <si>
    <t>Deptshort_first</t>
  </si>
  <si>
    <t>預約率</t>
  </si>
  <si>
    <t>出席率</t>
  </si>
  <si>
    <t>成交率</t>
  </si>
  <si>
    <t>綁定率</t>
  </si>
  <si>
    <t>預約率_last</t>
  </si>
  <si>
    <t>出席率_last</t>
  </si>
  <si>
    <t>成交率_last</t>
  </si>
  <si>
    <t>綁定率_last</t>
  </si>
  <si>
    <t>達成率_last</t>
  </si>
  <si>
    <t>派發數_last</t>
  </si>
  <si>
    <t>預約率_min</t>
  </si>
  <si>
    <t>出席率_min</t>
  </si>
  <si>
    <t>成交率_min</t>
  </si>
  <si>
    <t>綁定率_min</t>
  </si>
  <si>
    <t>達成率_min</t>
  </si>
  <si>
    <t>預約率_max</t>
  </si>
  <si>
    <t>出席率_max</t>
  </si>
  <si>
    <t>成交率_max</t>
  </si>
  <si>
    <t>綁定率_max</t>
  </si>
  <si>
    <t>達成率_max</t>
  </si>
  <si>
    <t>預約率_last_min</t>
  </si>
  <si>
    <t>出席率_last_min</t>
  </si>
  <si>
    <t>成交率_last_min</t>
  </si>
  <si>
    <t>綁定率_last_min</t>
  </si>
  <si>
    <t>達成率_last_min</t>
  </si>
  <si>
    <t>預約率_last_max</t>
  </si>
  <si>
    <t>出席率_last_max</t>
  </si>
  <si>
    <t>成交率_last_max</t>
  </si>
  <si>
    <t>綁定率_last_max</t>
  </si>
  <si>
    <t>達成率_last_max</t>
  </si>
  <si>
    <t>mean</t>
  </si>
  <si>
    <t>ismgm1</t>
  </si>
  <si>
    <t>mean</t>
    <phoneticPr fontId="1" type="noConversion"/>
  </si>
  <si>
    <t>繪圖區</t>
    <phoneticPr fontId="1" type="noConversion"/>
  </si>
  <si>
    <t xml:space="preserve"> 出席率</t>
  </si>
  <si>
    <t xml:space="preserve"> 成交率 </t>
  </si>
  <si>
    <t>closed</t>
  </si>
  <si>
    <t>closed1</t>
  </si>
  <si>
    <t xml:space="preserve"> </t>
    <phoneticPr fontId="1" type="noConversion"/>
  </si>
  <si>
    <t>出席率</t>
    <phoneticPr fontId="1" type="noConversion"/>
  </si>
  <si>
    <t xml:space="preserve">成交率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</si>
</sst>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1">
    <dxf>
      <numFmt numFmtId="1" formatCode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new_this!$AX$2</c:f>
              <c:strCache>
                <c:ptCount val="1"/>
                <c:pt idx="0">
                  <c:v>當月新單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new_this!$AY$2:$BC$2</c:f>
              <c:numCache>
                <c:formatCode>General</c:formatCode>
                <c:ptCount val="5"/>
                <c:pt idx="0">
                  <c:v>0.76579379562343874</c:v>
                </c:pt>
                <c:pt idx="1">
                  <c:v>1</c:v>
                </c:pt>
                <c:pt idx="2">
                  <c:v>0.8</c:v>
                </c:pt>
                <c:pt idx="3">
                  <c:v>0.76579379562343874</c:v>
                </c:pt>
                <c:pt idx="4">
                  <c:v>0.27316796368352791</c:v>
                </c:pt>
              </c:numCache>
            </c:numRef>
          </c:val>
        </c:ser>
        <c:ser>
          <c:idx val="1"/>
          <c:order val="1"/>
          <c:tx>
            <c:strRef>
              <c:f>new_this!$AX$3</c:f>
              <c:strCache>
                <c:ptCount val="1"/>
                <c:pt idx="0">
                  <c:v>上月新單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new_this!$AY$3:$BC$3</c:f>
              <c:numCache>
                <c:formatCode>General</c:formatCode>
                <c:ptCount val="5"/>
                <c:pt idx="0">
                  <c:v>0</c:v>
                </c:pt>
                <c:pt idx="1">
                  <c:v>0.44680221081812516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new_this!$AX$4</c:f>
              <c:strCache>
                <c:ptCount val="1"/>
                <c:pt idx="0">
                  <c:v>平均新單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new_this!$AY$4:$BC$4</c:f>
              <c:numCache>
                <c:formatCode>General</c:formatCode>
                <c:ptCount val="5"/>
                <c:pt idx="0">
                  <c:v>0.43413633950584457</c:v>
                </c:pt>
                <c:pt idx="1">
                  <c:v>0.3184647864447534</c:v>
                </c:pt>
                <c:pt idx="2">
                  <c:v>0.63651999999999997</c:v>
                </c:pt>
                <c:pt idx="3">
                  <c:v>0.43413633950584457</c:v>
                </c:pt>
                <c:pt idx="4">
                  <c:v>0.59483100633249419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0688"/>
        <c:axId val="328712960"/>
      </c:radarChart>
      <c:catAx>
        <c:axId val="328690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28712960"/>
        <c:crosses val="autoZero"/>
        <c:auto val="1"/>
        <c:lblAlgn val="ctr"/>
        <c:lblOffset val="100"/>
        <c:noMultiLvlLbl val="0"/>
      </c:catAx>
      <c:valAx>
        <c:axId val="328712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690688"/>
        <c:crosses val="autoZero"/>
        <c:crossBetween val="between"/>
        <c:majorUnit val="0.5"/>
        <c:minorUnit val="0.1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closed_this!$AX$2</c:f>
              <c:strCache>
                <c:ptCount val="1"/>
                <c:pt idx="0">
                  <c:v>當月結案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closed_this!$AY$2:$BC$2</c:f>
              <c:numCache>
                <c:formatCode>General</c:formatCode>
                <c:ptCount val="5"/>
                <c:pt idx="0">
                  <c:v>0.26207063835962774</c:v>
                </c:pt>
                <c:pt idx="1">
                  <c:v>0</c:v>
                </c:pt>
                <c:pt idx="2">
                  <c:v>0</c:v>
                </c:pt>
                <c:pt idx="3">
                  <c:v>0.26207063835962774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closed_this!$AX$3</c:f>
              <c:strCache>
                <c:ptCount val="1"/>
                <c:pt idx="0">
                  <c:v>上月結案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closed_this!$AY$3:$BC$3</c:f>
              <c:numCache>
                <c:formatCode>General</c:formatCode>
                <c:ptCount val="5"/>
                <c:pt idx="0">
                  <c:v>0.25417548810646912</c:v>
                </c:pt>
                <c:pt idx="1">
                  <c:v>0</c:v>
                </c:pt>
                <c:pt idx="2">
                  <c:v>0</c:v>
                </c:pt>
                <c:pt idx="3">
                  <c:v>0.25417548810646912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closed_this!$AX$4</c:f>
              <c:strCache>
                <c:ptCount val="1"/>
                <c:pt idx="0">
                  <c:v>平均結案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closed_this!$AY$4:$BC$4</c:f>
              <c:numCache>
                <c:formatCode>General</c:formatCode>
                <c:ptCount val="5"/>
                <c:pt idx="0">
                  <c:v>0.51406598485203925</c:v>
                </c:pt>
                <c:pt idx="1">
                  <c:v>0.48023715414948021</c:v>
                </c:pt>
                <c:pt idx="2">
                  <c:v>0.27160493826977161</c:v>
                </c:pt>
                <c:pt idx="3">
                  <c:v>0.51406598485203925</c:v>
                </c:pt>
                <c:pt idx="4">
                  <c:v>0.14234311277391828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26016"/>
        <c:axId val="328727552"/>
      </c:radarChart>
      <c:catAx>
        <c:axId val="3287260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28727552"/>
        <c:crosses val="autoZero"/>
        <c:auto val="1"/>
        <c:lblAlgn val="ctr"/>
        <c:lblOffset val="100"/>
        <c:noMultiLvlLbl val="0"/>
      </c:catAx>
      <c:valAx>
        <c:axId val="328727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2872601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mgm_this!$AX$2</c:f>
              <c:strCache>
                <c:ptCount val="1"/>
                <c:pt idx="0">
                  <c:v>當月MGM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38100">
              <a:solidFill>
                <a:schemeClr val="accent3">
                  <a:lumMod val="60000"/>
                  <a:lumOff val="40000"/>
                </a:schemeClr>
              </a:solidFill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mgm_this!$AY$2:$BC$2</c:f>
              <c:numCache>
                <c:formatCode>General</c:formatCode>
                <c:ptCount val="5"/>
                <c:pt idx="0">
                  <c:v>0.72500000000002751</c:v>
                </c:pt>
                <c:pt idx="1">
                  <c:v>0.33333333333333331</c:v>
                </c:pt>
                <c:pt idx="2">
                  <c:v>0</c:v>
                </c:pt>
                <c:pt idx="3">
                  <c:v>0.72500000000002751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mgm_this!$AX$3</c:f>
              <c:strCache>
                <c:ptCount val="1"/>
                <c:pt idx="0">
                  <c:v>上月MGM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mgm_this!$AY$3:$BC$3</c:f>
              <c:numCache>
                <c:formatCode>General</c:formatCode>
                <c:ptCount val="5"/>
                <c:pt idx="0">
                  <c:v>0.35736688121777166</c:v>
                </c:pt>
                <c:pt idx="1">
                  <c:v>0.75862068965352436</c:v>
                </c:pt>
                <c:pt idx="2">
                  <c:v>0.24107180261521008</c:v>
                </c:pt>
                <c:pt idx="3">
                  <c:v>0.35736688121777166</c:v>
                </c:pt>
                <c:pt idx="4">
                  <c:v>0.4021687054506351</c:v>
                </c:pt>
              </c:numCache>
            </c:numRef>
          </c:val>
        </c:ser>
        <c:ser>
          <c:idx val="2"/>
          <c:order val="2"/>
          <c:tx>
            <c:strRef>
              <c:f>mgm_this!$AX$4</c:f>
              <c:strCache>
                <c:ptCount val="1"/>
                <c:pt idx="0">
                  <c:v>平均MGM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mgm_this!$AY$4:$BC$4</c:f>
              <c:numCache>
                <c:formatCode>General</c:formatCode>
                <c:ptCount val="5"/>
                <c:pt idx="0">
                  <c:v>0.59016620498544092</c:v>
                </c:pt>
                <c:pt idx="1">
                  <c:v>0.49080206033733331</c:v>
                </c:pt>
                <c:pt idx="2">
                  <c:v>0.28571400000000002</c:v>
                </c:pt>
                <c:pt idx="3">
                  <c:v>0.59016620498544092</c:v>
                </c:pt>
                <c:pt idx="4">
                  <c:v>0.30098709630385651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26784"/>
        <c:axId val="500328320"/>
      </c:radarChart>
      <c:catAx>
        <c:axId val="5003267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00328320"/>
        <c:crosses val="autoZero"/>
        <c:auto val="1"/>
        <c:lblAlgn val="ctr"/>
        <c:lblOffset val="100"/>
        <c:noMultiLvlLbl val="0"/>
      </c:catAx>
      <c:valAx>
        <c:axId val="500328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50032678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628090</xdr:colOff>
      <xdr:row>0</xdr:row>
      <xdr:rowOff>132898</xdr:rowOff>
    </xdr:from>
    <xdr:to>
      <xdr:col>17</xdr:col>
      <xdr:colOff>227096</xdr:colOff>
      <xdr:row>17</xdr:row>
      <xdr:rowOff>103873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361390</xdr:colOff>
      <xdr:row>18</xdr:row>
      <xdr:rowOff>108658</xdr:rowOff>
    </xdr:from>
    <xdr:to>
      <xdr:col>8</xdr:col>
      <xdr:colOff>424319</xdr:colOff>
      <xdr:row>35</xdr:row>
      <xdr:rowOff>89158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628090</xdr:colOff>
      <xdr:row>18</xdr:row>
      <xdr:rowOff>108658</xdr:rowOff>
    </xdr:from>
    <xdr:to>
      <xdr:col>17</xdr:col>
      <xdr:colOff>233819</xdr:colOff>
      <xdr:row>35</xdr:row>
      <xdr:rowOff>98683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_data" connectionId="3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2.xml><?xml version="1.0" encoding="utf-8"?>
<queryTable xmlns="http://schemas.openxmlformats.org/spreadsheetml/2006/main" name="mgm_data" connectionId="2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3.xml><?xml version="1.0" encoding="utf-8"?>
<queryTable xmlns="http://schemas.openxmlformats.org/spreadsheetml/2006/main" name="closed_data" connectionId="1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closed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closed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表格_new_data" displayName="表格_new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 dataDxfId="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格_mgm_data" displayName="表格_mgm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格_closed_data" displayName="表格_closed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closed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closed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T9" sqref="T9"/>
    </sheetView>
  </sheetViews>
  <sheetFormatPr defaultRowHeight="16.5" x14ac:dyDescent="0.25"/>
  <cols>
    <col min="7" max="7" width="12" bestFit="1" customWidth="1"/>
  </cols>
  <sheetData>
    <row r="1" spans="1:8" ht="17.25" thickBot="1" x14ac:dyDescent="0.3">
      <c r="A1" s="9" t="s">
        <v>45</v>
      </c>
      <c r="B1" s="10"/>
      <c r="C1" s="12" t="s">
        <v>26</v>
      </c>
      <c r="D1" s="13"/>
    </row>
    <row r="2" spans="1:8" x14ac:dyDescent="0.25">
      <c r="B2" s="4" t="s">
        <v>7</v>
      </c>
    </row>
    <row r="3" spans="1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B4" s="2" t="s">
        <v>10</v>
      </c>
      <c r="C4" s="3">
        <f>VLOOKUP($C$1,表格_new_data[[Deptshort_first]:[派發數]],2,FALSE)</f>
        <v>0.2</v>
      </c>
      <c r="D4" s="3">
        <f>VLOOKUP($C$1,表格_new_data[[Deptshort_first]:[派發數]],3,FALSE)</f>
        <v>0.83333333333299997</v>
      </c>
      <c r="E4" s="3">
        <f>VLOOKUP($C$1,表格_new_data[[Deptshort_first]:[派發數]],4,FALSE)</f>
        <v>0.2</v>
      </c>
      <c r="F4" s="3">
        <f>VLOOKUP($C$1,表格_new_data[[Deptshort_first]:[派發數]],5,FALSE)</f>
        <v>0.2</v>
      </c>
      <c r="G4" s="3">
        <f>VLOOKUP($C$1,表格_new_data[[Deptshort_first]:[派發數]],6,FALSE)</f>
        <v>0.28643299999999999</v>
      </c>
      <c r="H4" s="7">
        <f>VLOOKUP($C$1,表格_new_data[[Deptshort_first]:[派發數]],7,FALSE)</f>
        <v>30</v>
      </c>
    </row>
    <row r="5" spans="1:8" x14ac:dyDescent="0.25">
      <c r="B5" s="2" t="s">
        <v>11</v>
      </c>
      <c r="C5" s="3">
        <f>VLOOKUP($C$1,表格_new_data[[Deptshort_first]:[派發數_last]],8,FALSE)</f>
        <v>6.4935064929999998E-3</v>
      </c>
      <c r="D5" s="3">
        <f>VLOOKUP($C$1,表格_new_data[[Deptshort_first]:[派發數_last]],9,FALSE)</f>
        <v>0.5</v>
      </c>
      <c r="E5" s="3">
        <f>VLOOKUP($C$1,表格_new_data[[Deptshort_first]:[派發數_last]],10,FALSE)</f>
        <v>1</v>
      </c>
      <c r="F5" s="3">
        <f>VLOOKUP($C$1,表格_new_data[[Deptshort_first]:[派發數_last]],11,FALSE)</f>
        <v>6.4935064929999998E-3</v>
      </c>
      <c r="G5" s="3">
        <f>VLOOKUP($C$1,表格_new_data[[Deptshort_first]:[派發數_last]],12,FALSE)</f>
        <v>1.5454300000000001</v>
      </c>
      <c r="H5" s="7">
        <f>VLOOKUP($C$1,表格_new_data[[Deptshort_first]:[派發數_last]],13,FALSE)</f>
        <v>308</v>
      </c>
    </row>
    <row r="6" spans="1:8" x14ac:dyDescent="0.25">
      <c r="A6" s="11" t="s">
        <v>79</v>
      </c>
      <c r="B6" s="2" t="s">
        <v>12</v>
      </c>
      <c r="C6" s="3">
        <f>VLOOKUP($A$6,表格_new_data[[Deptshort_first]:[派發數]],2,FALSE)</f>
        <v>0.12876939592</v>
      </c>
      <c r="D6" s="3">
        <f>VLOOKUP($A$6,表格_new_data[[Deptshort_first]:[派發數]],3,FALSE)</f>
        <v>0.43577112542599999</v>
      </c>
      <c r="E6" s="3">
        <f>VLOOKUP($A$6,表格_new_data[[Deptshort_first]:[派發數]],4,FALSE)</f>
        <v>0.15912999999999999</v>
      </c>
      <c r="F6" s="3">
        <f>VLOOKUP($A$6,表格_new_data[[Deptshort_first]:[派發數]],5,FALSE)</f>
        <v>0.12876939592</v>
      </c>
      <c r="G6" s="3">
        <f>VLOOKUP($A$6,表格_new_data[[Deptshort_first]:[派發數]],6,FALSE)</f>
        <v>0.62371600000000005</v>
      </c>
      <c r="H6" s="7">
        <f>VLOOKUP($A$6,表格_new_data[[Deptshort_first]:[派發數]],7,FALSE)</f>
        <v>1078</v>
      </c>
    </row>
    <row r="8" spans="1:8" x14ac:dyDescent="0.25">
      <c r="B8" s="6" t="s">
        <v>9</v>
      </c>
    </row>
    <row r="9" spans="1:8" x14ac:dyDescent="0.25"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5</v>
      </c>
      <c r="H9" s="1" t="s">
        <v>6</v>
      </c>
    </row>
    <row r="10" spans="1:8" x14ac:dyDescent="0.25">
      <c r="B10" s="2" t="s">
        <v>18</v>
      </c>
      <c r="C10" s="3">
        <f>VLOOKUP($C$1,表格_closed_data[[Deptshort_first]:[派發數]],2,FALSE)</f>
        <v>1.5180265654E-2</v>
      </c>
      <c r="D10" s="3">
        <f>VLOOKUP($C$1,表格_closed_data[[Deptshort_first]:[派發數]],3,FALSE)</f>
        <v>0</v>
      </c>
      <c r="E10" s="3">
        <f>VLOOKUP($C$1,表格_closed_data[[Deptshort_first]:[派發數]],4,FALSE)</f>
        <v>0</v>
      </c>
      <c r="F10" s="3">
        <f>VLOOKUP($C$1,表格_closed_data[[Deptshort_first]:[派發數]],5,FALSE)</f>
        <v>1.5180265654E-2</v>
      </c>
      <c r="G10" s="3">
        <f>VLOOKUP($C$1,表格_closed_data[[Deptshort_first]:[派發數]],6,FALSE)</f>
        <v>0</v>
      </c>
      <c r="H10" s="7">
        <f>VLOOKUP($C$1,表格_closed_data[[Deptshort_first]:[派發數]],7,FALSE)</f>
        <v>527</v>
      </c>
    </row>
    <row r="11" spans="1:8" x14ac:dyDescent="0.25">
      <c r="B11" s="2" t="s">
        <v>19</v>
      </c>
      <c r="C11" s="3">
        <f>VLOOKUP($C$1,表格_closed_data[[Deptshort_first]:[派發數_last]],8,FALSE)</f>
        <v>9.1743119259999999E-3</v>
      </c>
      <c r="D11" s="3">
        <f>VLOOKUP($C$1,表格_closed_data[[Deptshort_first]:[派發數_last]],9,FALSE)</f>
        <v>0</v>
      </c>
      <c r="E11" s="3">
        <f>VLOOKUP($C$1,表格_closed_data[[Deptshort_first]:[派發數_last]],10,FALSE)</f>
        <v>0</v>
      </c>
      <c r="F11" s="3">
        <f>VLOOKUP($C$1,表格_closed_data[[Deptshort_first]:[派發數_last]],11,FALSE)</f>
        <v>9.1743119259999999E-3</v>
      </c>
      <c r="G11" s="3">
        <f>VLOOKUP($C$1,表格_closed_data[[Deptshort_first]:[派發數_last]],12,FALSE)</f>
        <v>0</v>
      </c>
      <c r="H11" s="7">
        <f>VLOOKUP($C$1,表格_closed_data[[Deptshort_first]:[派發數_last]],13,FALSE)</f>
        <v>109</v>
      </c>
    </row>
    <row r="12" spans="1:8" x14ac:dyDescent="0.25">
      <c r="B12" s="2" t="s">
        <v>20</v>
      </c>
      <c r="C12" s="3">
        <f>VLOOKUP($A$6,表格_closed_data[[Deptshort_first]:[派發數]],2,FALSE)</f>
        <v>2.5376217172999999E-2</v>
      </c>
      <c r="D12" s="3">
        <f>VLOOKUP($A$6,表格_closed_data[[Deptshort_first]:[派發數]],3,FALSE)</f>
        <v>0.32015810276599999</v>
      </c>
      <c r="E12" s="3">
        <f>VLOOKUP($A$6,表格_closed_data[[Deptshort_first]:[派發數]],4,FALSE)</f>
        <v>4.9382716048999999E-2</v>
      </c>
      <c r="F12" s="3">
        <f>VLOOKUP($A$6,表格_closed_data[[Deptshort_first]:[派發數]],5,FALSE)</f>
        <v>2.5376217172999999E-2</v>
      </c>
      <c r="G12" s="3">
        <f>VLOOKUP($A$6,表格_closed_data[[Deptshort_first]:[派發數]],6,FALSE)</f>
        <v>0.24931838300383591</v>
      </c>
      <c r="H12" s="7">
        <f>VLOOKUP($A$6,表格_closed_data[[Deptshort_first]:[派發數]],7,FALSE)</f>
        <v>713</v>
      </c>
    </row>
    <row r="14" spans="1:8" x14ac:dyDescent="0.25">
      <c r="B14" s="5" t="s">
        <v>8</v>
      </c>
    </row>
    <row r="15" spans="1:8" x14ac:dyDescent="0.25">
      <c r="B15" s="1" t="s">
        <v>13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5</v>
      </c>
      <c r="H15" s="1" t="s">
        <v>6</v>
      </c>
    </row>
    <row r="16" spans="1:8" x14ac:dyDescent="0.25">
      <c r="B16" s="2" t="s">
        <v>21</v>
      </c>
      <c r="C16" s="3">
        <f>VLOOKUP($C$1,表格_mgm_data[[Deptshort_first]:[派發數]],2,FALSE)</f>
        <v>0.75</v>
      </c>
      <c r="D16" s="3">
        <f>VLOOKUP($C$1,表格_mgm_data[[Deptshort_first]:[派發數]],3,FALSE)</f>
        <v>0.5</v>
      </c>
      <c r="E16" s="3">
        <f>VLOOKUP($C$1,表格_mgm_data[[Deptshort_first]:[派發數]],4,FALSE)</f>
        <v>0</v>
      </c>
      <c r="F16" s="3">
        <f>VLOOKUP($C$1,表格_mgm_data[[Deptshort_first]:[派發數]],5,FALSE)</f>
        <v>0.75</v>
      </c>
      <c r="G16" s="3">
        <f>VLOOKUP($C$1,表格_mgm_data[[Deptshort_first]:[派發數]],6,FALSE)</f>
        <v>0</v>
      </c>
      <c r="H16" s="7">
        <f>VLOOKUP($C$1,表格_mgm_data[[Deptshort_first]:[派發數]],7,FALSE)</f>
        <v>8</v>
      </c>
    </row>
    <row r="17" spans="2:8" x14ac:dyDescent="0.25">
      <c r="B17" s="2" t="s">
        <v>22</v>
      </c>
      <c r="C17" s="3">
        <f>VLOOKUP($C$1,表格_mgm_data[[Deptshort_first]:[派發數_last]],8,FALSE)</f>
        <v>0.45</v>
      </c>
      <c r="D17" s="3">
        <f>VLOOKUP($C$1,表格_mgm_data[[Deptshort_first]:[派發數_last]],9,FALSE)</f>
        <v>0.88888888888799999</v>
      </c>
      <c r="E17" s="3">
        <f>VLOOKUP($C$1,表格_mgm_data[[Deptshort_first]:[派發數_last]],10,FALSE)</f>
        <v>0.25</v>
      </c>
      <c r="F17" s="3">
        <f>VLOOKUP($C$1,表格_mgm_data[[Deptshort_first]:[派發數_last]],11,FALSE)</f>
        <v>0.45</v>
      </c>
      <c r="G17" s="3">
        <f>VLOOKUP($C$1,表格_mgm_data[[Deptshort_first]:[派發數_last]],12,FALSE)</f>
        <v>1.3873359999999999</v>
      </c>
      <c r="H17" s="7">
        <f>VLOOKUP($C$1,表格_mgm_data[[Deptshort_first]:[派發數_last]],13,FALSE)</f>
        <v>20</v>
      </c>
    </row>
    <row r="18" spans="2:8" x14ac:dyDescent="0.25">
      <c r="B18" s="2" t="s">
        <v>23</v>
      </c>
      <c r="C18" s="3">
        <f>VLOOKUP($A$6,表格_mgm_data[[Deptshort_first]:[派發數]],2,FALSE)</f>
        <v>0.62742382271399999</v>
      </c>
      <c r="D18" s="3">
        <f>VLOOKUP($A$6,表格_mgm_data[[Deptshort_first]:[派發數]],3,FALSE)</f>
        <v>0.61810154525299998</v>
      </c>
      <c r="E18" s="3">
        <f>VLOOKUP($A$6,表格_mgm_data[[Deptshort_first]:[派發數]],4,FALSE)</f>
        <v>0.14285700000000001</v>
      </c>
      <c r="F18" s="3">
        <f>VLOOKUP($A$6,表格_mgm_data[[Deptshort_first]:[派發數]],5,FALSE)</f>
        <v>0.62742382271399999</v>
      </c>
      <c r="G18" s="3">
        <f>VLOOKUP($A$6,表格_mgm_data[[Deptshort_first]:[派發數]],6,FALSE)</f>
        <v>0.61929599999999996</v>
      </c>
      <c r="H18" s="7">
        <f>VLOOKUP($A$6,表格_mgm_data[[Deptshort_first]:[派發數]],7,FALSE)</f>
        <v>38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new_this!$AK$2:$AK$25</xm:f>
          </x14:formula1>
          <xm:sqref>C1:D1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25" sqref="A25"/>
    </sheetView>
  </sheetViews>
  <sheetFormatPr defaultRowHeight="16.5" x14ac:dyDescent="0.25"/>
  <cols>
    <col min="1" max="1" width="18.75" bestFit="1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7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0.12876939592</v>
      </c>
      <c r="C2">
        <v>0.43577112542599999</v>
      </c>
      <c r="D2">
        <v>0.15912999999999999</v>
      </c>
      <c r="E2">
        <v>0.12876939592</v>
      </c>
      <c r="F2">
        <v>0.62371600000000005</v>
      </c>
      <c r="G2">
        <v>1078</v>
      </c>
      <c r="H2">
        <v>0.12751403039699999</v>
      </c>
      <c r="I2">
        <v>0.553834529656</v>
      </c>
      <c r="J2" s="8">
        <v>0.19167799999999999</v>
      </c>
      <c r="K2">
        <v>0.12751403039699999</v>
      </c>
      <c r="L2">
        <v>0.89099700000000004</v>
      </c>
      <c r="M2">
        <v>2185</v>
      </c>
      <c r="N2">
        <v>0</v>
      </c>
      <c r="O2">
        <v>3.5529237600999998E-2</v>
      </c>
      <c r="P2">
        <v>0.25</v>
      </c>
      <c r="Q2">
        <v>0</v>
      </c>
      <c r="R2">
        <v>3.5529237600999998E-2</v>
      </c>
      <c r="S2">
        <v>0</v>
      </c>
      <c r="T2">
        <v>0.25030084235799999</v>
      </c>
      <c r="U2">
        <v>0.83333333333299997</v>
      </c>
      <c r="V2">
        <v>0.25</v>
      </c>
      <c r="W2">
        <v>0.25030084235799999</v>
      </c>
      <c r="X2">
        <v>1.0485599999999999</v>
      </c>
      <c r="Y2">
        <v>0</v>
      </c>
      <c r="Z2">
        <v>6.4935064929999998E-3</v>
      </c>
      <c r="AA2">
        <v>0.26315789473599999</v>
      </c>
      <c r="AB2">
        <v>9.0909000000000004E-2</v>
      </c>
      <c r="AC2">
        <v>6.4935064929999998E-3</v>
      </c>
      <c r="AD2">
        <v>0.33824500000000002</v>
      </c>
      <c r="AE2">
        <v>0.18708971553600001</v>
      </c>
      <c r="AF2">
        <v>0.79324055666000004</v>
      </c>
      <c r="AG2">
        <v>1</v>
      </c>
      <c r="AH2">
        <v>0.18708971553600001</v>
      </c>
      <c r="AI2">
        <v>1.5454300000000001</v>
      </c>
      <c r="AK2" t="str">
        <f>IF(ISERROR(表格_new_data[[#This Row],[Deptshort_first]]),"",表格_new_data[[#This Row],[Deptshort_first]])</f>
        <v>mean</v>
      </c>
      <c r="AL2">
        <f>(表格_new_data[[#This Row],[預約率]]-表格_new_data[[#This Row],[預約率_min]])/(表格_new_data[[#This Row],[預約率_max]]-表格_new_data[[#This Row],[預約率_min]])</f>
        <v>0.43413633950584457</v>
      </c>
      <c r="AM2">
        <f>(表格_new_data[[#This Row],[出席率]]-表格_new_data[[#This Row],[出席率_min]])/(表格_new_data[[#This Row],[出席率_max]]-表格_new_data[[#This Row],[出席率_min]])</f>
        <v>0.3184647864447534</v>
      </c>
      <c r="AN2">
        <f>(表格_new_data[[#This Row],[成交率]]-表格_new_data[[#This Row],[成交率_min]])/(表格_new_data[[#This Row],[成交率_max]]-表格_new_data[[#This Row],[成交率_min]])</f>
        <v>0.63651999999999997</v>
      </c>
      <c r="AO2">
        <f>(表格_new_data[[#This Row],[綁定率]]-表格_new_data[[#This Row],[綁定率_min]])/(表格_new_data[[#This Row],[綁定率_max]]-表格_new_data[[#This Row],[綁定率_min]])</f>
        <v>0.43413633950584457</v>
      </c>
      <c r="AP2">
        <f>(表格_new_data[[#This Row],[達成率]]-表格_new_data[[#This Row],[達成率_min]])/(表格_new_data[[#This Row],[達成率_max]]-表格_new_data[[#This Row],[達成率_min]])</f>
        <v>0.59483100633249419</v>
      </c>
      <c r="AQ2" t="str">
        <f>IF(ISERROR(表格_new_data[[#This Row],[Deptshort_first]]),"",表格_new_data[[#This Row],[Deptshort_first]])</f>
        <v>mean</v>
      </c>
      <c r="AR2">
        <f>(表格_new_data[[#This Row],[預約率_last]]-表格_new_data[[#This Row],[預約率_last_min]])/(表格_new_data[[#This Row],[預約率_last_max]]-表格_new_data[[#This Row],[預約率_last_min]])</f>
        <v>0.67011663503515173</v>
      </c>
      <c r="AS2">
        <f>(表格_new_data[[#This Row],[出席率_last]]-表格_new_data[[#This Row],[出席率_last_min]])/(表格_new_data[[#This Row],[出席率_last_max]]-表格_new_data[[#This Row],[出席率_last_min]])</f>
        <v>0.54836095537430618</v>
      </c>
      <c r="AT2">
        <f>(表格_new_data[[#This Row],[成交率_last]]-表格_new_data[[#This Row],[成交率_last_min]])/(表格_new_data[[#This Row],[成交率_last_max]]-表格_new_data[[#This Row],[成交率_last_min]])</f>
        <v>0.1108458889154111</v>
      </c>
      <c r="AU2">
        <f>(表格_new_data[[#This Row],[綁定率_last]]-表格_new_data[[#This Row],[綁定率_last_min]])/(表格_new_data[[#This Row],[綁定率_last_max]]-表格_new_data[[#This Row],[綁定率_last_min]])</f>
        <v>0.67011663503515173</v>
      </c>
      <c r="AV2">
        <f>(表格_new_data[[#This Row],[達成率_last]]-表格_new_data[[#This Row],[達成率_last_min]])/(表格_new_data[[#This Row],[達成率_last_max]]-表格_new_data[[#This Row],[達成率_last_min]])</f>
        <v>0.45788507975165366</v>
      </c>
      <c r="AX2" s="2" t="s">
        <v>10</v>
      </c>
      <c r="AY2">
        <f>VLOOKUP(戰力表!$C$1,new_this!$AK2:$AP25,2,FALSE)</f>
        <v>0.76579379562343874</v>
      </c>
      <c r="AZ2">
        <f>VLOOKUP(戰力表!$C$1,new_this!$AK2:$AP25,3,FALSE)</f>
        <v>1</v>
      </c>
      <c r="BA2">
        <f>VLOOKUP(戰力表!$C$1,new_this!$AK2:$AP25,4,FALSE)</f>
        <v>0.8</v>
      </c>
      <c r="BB2">
        <f>VLOOKUP(戰力表!$C$1,new_this!$AK2:$AP25,5,FALSE)</f>
        <v>0.76579379562343874</v>
      </c>
      <c r="BC2">
        <f>VLOOKUP(戰力表!$C$1,new_this!$AK2:$AP25,6,FALSE)</f>
        <v>0.27316796368352791</v>
      </c>
    </row>
    <row r="3" spans="1:55" x14ac:dyDescent="0.25">
      <c r="A3" t="s">
        <v>26</v>
      </c>
      <c r="B3">
        <v>0.2</v>
      </c>
      <c r="C3">
        <v>0.83333333333299997</v>
      </c>
      <c r="D3">
        <v>0.2</v>
      </c>
      <c r="E3">
        <v>0.2</v>
      </c>
      <c r="F3">
        <v>0.28643299999999999</v>
      </c>
      <c r="G3">
        <v>30</v>
      </c>
      <c r="H3">
        <v>6.4935064929999998E-3</v>
      </c>
      <c r="I3">
        <v>0.5</v>
      </c>
      <c r="J3" s="8">
        <v>1</v>
      </c>
      <c r="K3">
        <v>6.4935064929999998E-3</v>
      </c>
      <c r="L3">
        <v>1.5454300000000001</v>
      </c>
      <c r="M3">
        <v>308</v>
      </c>
      <c r="N3">
        <v>0</v>
      </c>
      <c r="O3">
        <v>3.5529237600999998E-2</v>
      </c>
      <c r="P3">
        <v>0.25</v>
      </c>
      <c r="Q3">
        <v>0</v>
      </c>
      <c r="R3">
        <v>3.5529237600999998E-2</v>
      </c>
      <c r="S3">
        <v>0</v>
      </c>
      <c r="T3">
        <v>0.25030084235799999</v>
      </c>
      <c r="U3">
        <v>0.83333333333299997</v>
      </c>
      <c r="V3">
        <v>0.25</v>
      </c>
      <c r="W3">
        <v>0.25030084235799999</v>
      </c>
      <c r="X3">
        <v>1.0485599999999999</v>
      </c>
      <c r="Y3">
        <v>0</v>
      </c>
      <c r="Z3">
        <v>6.4935064929999998E-3</v>
      </c>
      <c r="AA3">
        <v>0.26315789473599999</v>
      </c>
      <c r="AB3">
        <v>9.0909000000000004E-2</v>
      </c>
      <c r="AC3">
        <v>6.4935064929999998E-3</v>
      </c>
      <c r="AD3">
        <v>0.33824500000000002</v>
      </c>
      <c r="AE3">
        <v>0.18708971553600001</v>
      </c>
      <c r="AF3">
        <v>0.79324055666000004</v>
      </c>
      <c r="AG3">
        <v>1</v>
      </c>
      <c r="AH3">
        <v>0.18708971553600001</v>
      </c>
      <c r="AI3">
        <v>1.5454300000000001</v>
      </c>
      <c r="AK3" t="str">
        <f>IF(ISERROR(表格_new_data[[#This Row],[Deptshort_first]]),"",表格_new_data[[#This Row],[Deptshort_first]])</f>
        <v>TBD_業務部_BD1</v>
      </c>
      <c r="AL3">
        <f>(表格_new_data[[#This Row],[預約率]]-表格_new_data[[#This Row],[預約率_min]])/(表格_new_data[[#This Row],[預約率_max]]-表格_new_data[[#This Row],[預約率_min]])</f>
        <v>0.76579379562343874</v>
      </c>
      <c r="AM3">
        <f>(表格_new_data[[#This Row],[出席率]]-表格_new_data[[#This Row],[出席率_min]])/(表格_new_data[[#This Row],[出席率_max]]-表格_new_data[[#This Row],[出席率_min]])</f>
        <v>1</v>
      </c>
      <c r="AN3">
        <f>(表格_new_data[[#This Row],[成交率]]-表格_new_data[[#This Row],[成交率_min]])/(表格_new_data[[#This Row],[成交率_max]]-表格_new_data[[#This Row],[成交率_min]])</f>
        <v>0.8</v>
      </c>
      <c r="AO3">
        <f>(表格_new_data[[#This Row],[綁定率]]-表格_new_data[[#This Row],[綁定率_min]])/(表格_new_data[[#This Row],[綁定率_max]]-表格_new_data[[#This Row],[綁定率_min]])</f>
        <v>0.76579379562343874</v>
      </c>
      <c r="AP3">
        <f>(表格_new_data[[#This Row],[達成率]]-表格_new_data[[#This Row],[達成率_min]])/(表格_new_data[[#This Row],[達成率_max]]-表格_new_data[[#This Row],[達成率_min]])</f>
        <v>0.27316796368352791</v>
      </c>
      <c r="AQ3" t="str">
        <f>IF(ISERROR(表格_new_data[[#This Row],[Deptshort_first]]),"",表格_new_data[[#This Row],[Deptshort_first]])</f>
        <v>TBD_業務部_BD1</v>
      </c>
      <c r="AR3">
        <f>(表格_new_data[[#This Row],[預約率_last]]-表格_new_data[[#This Row],[預約率_last_min]])/(表格_new_data[[#This Row],[預約率_last_max]]-表格_new_data[[#This Row],[預約率_last_min]])</f>
        <v>0</v>
      </c>
      <c r="AS3">
        <f>(表格_new_data[[#This Row],[出席率_last]]-表格_new_data[[#This Row],[出席率_last_min]])/(表格_new_data[[#This Row],[出席率_last_max]]-表格_new_data[[#This Row],[出席率_last_min]])</f>
        <v>0.44680221081812516</v>
      </c>
      <c r="AT3">
        <f>(表格_new_data[[#This Row],[成交率_last]]-表格_new_data[[#This Row],[成交率_last_min]])/(表格_new_data[[#This Row],[成交率_last_max]]-表格_new_data[[#This Row],[成交率_last_min]])</f>
        <v>1</v>
      </c>
      <c r="AU3">
        <f>(表格_new_data[[#This Row],[綁定率_last]]-表格_new_data[[#This Row],[綁定率_last_min]])/(表格_new_data[[#This Row],[綁定率_last_max]]-表格_new_data[[#This Row],[綁定率_last_min]])</f>
        <v>0</v>
      </c>
      <c r="AV3">
        <f>(表格_new_data[[#This Row],[達成率_last]]-表格_new_data[[#This Row],[達成率_last_min]])/(表格_new_data[[#This Row],[達成率_last_max]]-表格_new_data[[#This Row],[達成率_last_min]])</f>
        <v>1</v>
      </c>
      <c r="AX3" s="2" t="s">
        <v>11</v>
      </c>
      <c r="AY3">
        <f>VLOOKUP(戰力表!$C$1,new_this!$AQ2:$AV25,2,FALSE)</f>
        <v>0</v>
      </c>
      <c r="AZ3">
        <f>VLOOKUP(戰力表!$C$1,new_this!$AQ2:$AV25,3,FALSE)</f>
        <v>0.44680221081812516</v>
      </c>
      <c r="BA3">
        <f>VLOOKUP(戰力表!$C$1,new_this!$AQ2:$AV25,4,FALSE)</f>
        <v>1</v>
      </c>
      <c r="BB3">
        <f>VLOOKUP(戰力表!$C$1,new_this!$AQ2:$AV25,5,FALSE)</f>
        <v>0</v>
      </c>
      <c r="BC3">
        <f>VLOOKUP(戰力表!$C$1,new_this!$AQ2:$AV25,6,FALSE)</f>
        <v>1</v>
      </c>
    </row>
    <row r="4" spans="1:55" x14ac:dyDescent="0.25">
      <c r="A4" t="s">
        <v>27</v>
      </c>
      <c r="B4">
        <v>0.11904761904699999</v>
      </c>
      <c r="C4">
        <v>0.4</v>
      </c>
      <c r="D4">
        <v>0</v>
      </c>
      <c r="E4">
        <v>0.11904761904699999</v>
      </c>
      <c r="F4">
        <v>0</v>
      </c>
      <c r="G4">
        <v>42</v>
      </c>
      <c r="H4">
        <v>4.6683046683000003E-2</v>
      </c>
      <c r="I4">
        <v>0.26315789473599999</v>
      </c>
      <c r="J4" s="8">
        <v>0.2</v>
      </c>
      <c r="K4">
        <v>4.6683046683000003E-2</v>
      </c>
      <c r="L4">
        <v>0.33824500000000002</v>
      </c>
      <c r="M4">
        <v>407</v>
      </c>
      <c r="N4">
        <v>0</v>
      </c>
      <c r="O4">
        <v>3.5529237600999998E-2</v>
      </c>
      <c r="P4">
        <v>0.25</v>
      </c>
      <c r="Q4">
        <v>0</v>
      </c>
      <c r="R4">
        <v>3.5529237600999998E-2</v>
      </c>
      <c r="S4">
        <v>0</v>
      </c>
      <c r="T4">
        <v>0.25030084235799999</v>
      </c>
      <c r="U4">
        <v>0.83333333333299997</v>
      </c>
      <c r="V4">
        <v>0.25</v>
      </c>
      <c r="W4">
        <v>0.25030084235799999</v>
      </c>
      <c r="X4">
        <v>1.0485599999999999</v>
      </c>
      <c r="Y4">
        <v>0</v>
      </c>
      <c r="Z4">
        <v>6.4935064929999998E-3</v>
      </c>
      <c r="AA4">
        <v>0.26315789473599999</v>
      </c>
      <c r="AB4">
        <v>9.0909000000000004E-2</v>
      </c>
      <c r="AC4">
        <v>6.4935064929999998E-3</v>
      </c>
      <c r="AD4">
        <v>0.33824500000000002</v>
      </c>
      <c r="AE4">
        <v>0.18708971553600001</v>
      </c>
      <c r="AF4">
        <v>0.79324055666000004</v>
      </c>
      <c r="AG4">
        <v>1</v>
      </c>
      <c r="AH4">
        <v>0.18708971553600001</v>
      </c>
      <c r="AI4">
        <v>1.5454300000000001</v>
      </c>
      <c r="AK4" t="str">
        <f>IF(ISERROR(表格_new_data[[#This Row],[Deptshort_first]]),"",表格_new_data[[#This Row],[Deptshort_first]])</f>
        <v>TBD_業務部_BD11</v>
      </c>
      <c r="AL4">
        <f>(表格_new_data[[#This Row],[預約率]]-表格_new_data[[#This Row],[預約率_min]])/(表格_new_data[[#This Row],[預約率_max]]-表格_new_data[[#This Row],[預約率_min]])</f>
        <v>0.38887068679537767</v>
      </c>
      <c r="AM4">
        <f>(表格_new_data[[#This Row],[出席率]]-表格_new_data[[#This Row],[出席率_min]])/(表格_new_data[[#This Row],[出席率_max]]-表格_new_data[[#This Row],[出席率_min]])</f>
        <v>0.25714285714300411</v>
      </c>
      <c r="AN4">
        <f>(表格_new_data[[#This Row],[成交率]]-表格_new_data[[#This Row],[成交率_min]])/(表格_new_data[[#This Row],[成交率_max]]-表格_new_data[[#This Row],[成交率_min]])</f>
        <v>0</v>
      </c>
      <c r="AO4">
        <f>(表格_new_data[[#This Row],[綁定率]]-表格_new_data[[#This Row],[綁定率_min]])/(表格_new_data[[#This Row],[綁定率_max]]-表格_new_data[[#This Row],[綁定率_min]])</f>
        <v>0.38887068679537767</v>
      </c>
      <c r="AP4">
        <f>(表格_new_data[[#This Row],[達成率]]-表格_new_data[[#This Row],[達成率_min]])/(表格_new_data[[#This Row],[達成率_max]]-表格_new_data[[#This Row],[達成率_min]])</f>
        <v>0</v>
      </c>
      <c r="AQ4" t="str">
        <f>IF(ISERROR(表格_new_data[[#This Row],[Deptshort_first]]),"",表格_new_data[[#This Row],[Deptshort_first]])</f>
        <v>TBD_業務部_BD11</v>
      </c>
      <c r="AR4">
        <f>(表格_new_data[[#This Row],[預約率_last]]-表格_new_data[[#This Row],[預約率_last_min]])/(表格_new_data[[#This Row],[預約率_last_max]]-表格_new_data[[#This Row],[預約率_last_min]])</f>
        <v>0.22253811640326773</v>
      </c>
      <c r="AS4">
        <f>(表格_new_data[[#This Row],[出席率_last]]-表格_new_data[[#This Row],[出席率_last_min]])/(表格_new_data[[#This Row],[出席率_last_max]]-表格_new_data[[#This Row],[出席率_last_min]])</f>
        <v>0</v>
      </c>
      <c r="AT4">
        <f>(表格_new_data[[#This Row],[成交率_last]]-表格_new_data[[#This Row],[成交率_last_min]])/(表格_new_data[[#This Row],[成交率_last_max]]-表格_new_data[[#This Row],[成交率_last_min]])</f>
        <v>0.12000008799999121</v>
      </c>
      <c r="AU4">
        <f>(表格_new_data[[#This Row],[綁定率_last]]-表格_new_data[[#This Row],[綁定率_last_min]])/(表格_new_data[[#This Row],[綁定率_last_max]]-表格_new_data[[#This Row],[綁定率_last_min]])</f>
        <v>0.22253811640326773</v>
      </c>
      <c r="AV4">
        <f>(表格_new_data[[#This Row],[達成率_last]]-表格_new_data[[#This Row],[達成率_last_min]])/(表格_new_data[[#This Row],[達成率_last_max]]-表格_new_data[[#This Row],[達成率_last_min]])</f>
        <v>0</v>
      </c>
      <c r="AX4" s="2" t="s">
        <v>12</v>
      </c>
      <c r="AY4">
        <f>AL2</f>
        <v>0.43413633950584457</v>
      </c>
      <c r="AZ4">
        <f t="shared" ref="AZ4:BC4" si="0">AM2</f>
        <v>0.3184647864447534</v>
      </c>
      <c r="BA4">
        <f t="shared" si="0"/>
        <v>0.63651999999999997</v>
      </c>
      <c r="BB4">
        <f t="shared" si="0"/>
        <v>0.43413633950584457</v>
      </c>
      <c r="BC4">
        <f t="shared" si="0"/>
        <v>0.59483100633249419</v>
      </c>
    </row>
    <row r="5" spans="1:55" x14ac:dyDescent="0.25">
      <c r="A5" t="s">
        <v>28</v>
      </c>
      <c r="B5">
        <v>0.195294117647</v>
      </c>
      <c r="C5">
        <v>0.560240963855</v>
      </c>
      <c r="D5">
        <v>0.193548</v>
      </c>
      <c r="E5">
        <v>0.195294117647</v>
      </c>
      <c r="F5">
        <v>0.57614500000000002</v>
      </c>
      <c r="G5">
        <v>850</v>
      </c>
      <c r="H5">
        <v>0.164686825053</v>
      </c>
      <c r="I5">
        <v>0.65245901639299997</v>
      </c>
      <c r="J5" s="8">
        <v>0.26633099999999998</v>
      </c>
      <c r="K5">
        <v>0.164686825053</v>
      </c>
      <c r="L5">
        <v>0.91100499999999995</v>
      </c>
      <c r="M5">
        <v>1852</v>
      </c>
      <c r="N5">
        <v>0</v>
      </c>
      <c r="O5">
        <v>3.5529237600999998E-2</v>
      </c>
      <c r="P5">
        <v>0.25</v>
      </c>
      <c r="Q5">
        <v>0</v>
      </c>
      <c r="R5">
        <v>3.5529237600999998E-2</v>
      </c>
      <c r="S5">
        <v>0</v>
      </c>
      <c r="T5">
        <v>0.25030084235799999</v>
      </c>
      <c r="U5">
        <v>0.83333333333299997</v>
      </c>
      <c r="V5">
        <v>0.25</v>
      </c>
      <c r="W5">
        <v>0.25030084235799999</v>
      </c>
      <c r="X5">
        <v>1.0485599999999999</v>
      </c>
      <c r="Y5">
        <v>0</v>
      </c>
      <c r="Z5">
        <v>6.4935064929999998E-3</v>
      </c>
      <c r="AA5">
        <v>0.26315789473599999</v>
      </c>
      <c r="AB5">
        <v>9.0909000000000004E-2</v>
      </c>
      <c r="AC5">
        <v>6.4935064929999998E-3</v>
      </c>
      <c r="AD5">
        <v>0.33824500000000002</v>
      </c>
      <c r="AE5">
        <v>0.18708971553600001</v>
      </c>
      <c r="AF5">
        <v>0.79324055666000004</v>
      </c>
      <c r="AG5">
        <v>1</v>
      </c>
      <c r="AH5">
        <v>0.18708971553600001</v>
      </c>
      <c r="AI5">
        <v>1.5454300000000001</v>
      </c>
      <c r="AK5" t="str">
        <f>IF(ISERROR(表格_new_data[[#This Row],[Deptshort_first]]),"",表格_new_data[[#This Row],[Deptshort_first]])</f>
        <v>TBD_業務部_BD15</v>
      </c>
      <c r="AL5">
        <f>(表格_new_data[[#This Row],[預約率]]-表格_new_data[[#This Row],[預約率_min]])/(表格_new_data[[#This Row],[預約率_max]]-表格_new_data[[#This Row],[預約率_min]])</f>
        <v>0.74388269448730671</v>
      </c>
      <c r="AM5">
        <f>(表格_new_data[[#This Row],[出席率]]-表格_new_data[[#This Row],[出席率_min]])/(表格_new_data[[#This Row],[出席率_max]]-表格_new_data[[#This Row],[出席率_min]])</f>
        <v>0.53184165232316105</v>
      </c>
      <c r="AN5">
        <f>(表格_new_data[[#This Row],[成交率]]-表格_new_data[[#This Row],[成交率_min]])/(表格_new_data[[#This Row],[成交率_max]]-表格_new_data[[#This Row],[成交率_min]])</f>
        <v>0.77419199999999999</v>
      </c>
      <c r="AO5">
        <f>(表格_new_data[[#This Row],[綁定率]]-表格_new_data[[#This Row],[綁定率_min]])/(表格_new_data[[#This Row],[綁定率_max]]-表格_new_data[[#This Row],[綁定率_min]])</f>
        <v>0.74388269448730671</v>
      </c>
      <c r="AP5">
        <f>(表格_new_data[[#This Row],[達成率]]-表格_new_data[[#This Row],[達成率_min]])/(表格_new_data[[#This Row],[達成率_max]]-表格_new_data[[#This Row],[達成率_min]])</f>
        <v>0.54946307316701004</v>
      </c>
      <c r="AQ5" t="str">
        <f>IF(ISERROR(表格_new_data[[#This Row],[Deptshort_first]]),"",表格_new_data[[#This Row],[Deptshort_first]])</f>
        <v>TBD_業務部_BD15</v>
      </c>
      <c r="AR5">
        <f>(表格_new_data[[#This Row],[預約率_last]]-表格_new_data[[#This Row],[預約率_last_min]])/(表格_new_data[[#This Row],[預約率_last_max]]-表格_new_data[[#This Row],[預約率_last_min]])</f>
        <v>0.87595038344539189</v>
      </c>
      <c r="AS5">
        <f>(表格_new_data[[#This Row],[出席率_last]]-表格_new_data[[#This Row],[出席率_last_min]])/(表格_new_data[[#This Row],[出席率_last_max]]-表格_new_data[[#This Row],[出席率_last_min]])</f>
        <v>0.73441587439208789</v>
      </c>
      <c r="AT5">
        <f>(表格_new_data[[#This Row],[成交率_last]]-表格_new_data[[#This Row],[成交率_last_min]])/(表格_new_data[[#This Row],[成交率_last_max]]-表格_new_data[[#This Row],[成交率_last_min]])</f>
        <v>0.1929641807035819</v>
      </c>
      <c r="AU5">
        <f>(表格_new_data[[#This Row],[綁定率_last]]-表格_new_data[[#This Row],[綁定率_last_min]])/(表格_new_data[[#This Row],[綁定率_last_max]]-表格_new_data[[#This Row],[綁定率_last_min]])</f>
        <v>0.87595038344539189</v>
      </c>
      <c r="AV5">
        <f>(表格_new_data[[#This Row],[達成率_last]]-表格_new_data[[#This Row],[達成率_last_min]])/(表格_new_data[[#This Row],[達成率_last_max]]-表格_new_data[[#This Row],[達成率_last_min]])</f>
        <v>0.47445917568558255</v>
      </c>
    </row>
    <row r="6" spans="1:55" x14ac:dyDescent="0.25">
      <c r="A6" t="s">
        <v>29</v>
      </c>
      <c r="B6">
        <v>0.23276723276700001</v>
      </c>
      <c r="C6">
        <v>0.587982832618</v>
      </c>
      <c r="D6">
        <v>0.19708000000000001</v>
      </c>
      <c r="E6">
        <v>0.23276723276700001</v>
      </c>
      <c r="F6">
        <v>0.69032099999999996</v>
      </c>
      <c r="G6">
        <v>1001</v>
      </c>
      <c r="H6">
        <v>0.165787738958</v>
      </c>
      <c r="I6">
        <v>0.79324055666000004</v>
      </c>
      <c r="J6" s="8">
        <v>0.26065100000000002</v>
      </c>
      <c r="K6">
        <v>0.165787738958</v>
      </c>
      <c r="L6">
        <v>1.0695460000000001</v>
      </c>
      <c r="M6">
        <v>3034</v>
      </c>
      <c r="N6">
        <v>0</v>
      </c>
      <c r="O6">
        <v>3.5529237600999998E-2</v>
      </c>
      <c r="P6">
        <v>0.25</v>
      </c>
      <c r="Q6">
        <v>0</v>
      </c>
      <c r="R6">
        <v>3.5529237600999998E-2</v>
      </c>
      <c r="S6">
        <v>0</v>
      </c>
      <c r="T6">
        <v>0.25030084235799999</v>
      </c>
      <c r="U6">
        <v>0.83333333333299997</v>
      </c>
      <c r="V6">
        <v>0.25</v>
      </c>
      <c r="W6">
        <v>0.25030084235799999</v>
      </c>
      <c r="X6">
        <v>1.0485599999999999</v>
      </c>
      <c r="Y6">
        <v>0</v>
      </c>
      <c r="Z6">
        <v>6.4935064929999998E-3</v>
      </c>
      <c r="AA6">
        <v>0.26315789473599999</v>
      </c>
      <c r="AB6">
        <v>9.0909000000000004E-2</v>
      </c>
      <c r="AC6">
        <v>6.4935064929999998E-3</v>
      </c>
      <c r="AD6">
        <v>0.33824500000000002</v>
      </c>
      <c r="AE6">
        <v>0.18708971553600001</v>
      </c>
      <c r="AF6">
        <v>0.79324055666000004</v>
      </c>
      <c r="AG6">
        <v>1</v>
      </c>
      <c r="AH6">
        <v>0.18708971553600001</v>
      </c>
      <c r="AI6">
        <v>1.5454300000000001</v>
      </c>
      <c r="AK6" t="str">
        <f>IF(ISERROR(表格_new_data[[#This Row],[Deptshort_first]]),"",表格_new_data[[#This Row],[Deptshort_first]])</f>
        <v>TBD_業務部_BD16</v>
      </c>
      <c r="AL6">
        <f>(表格_new_data[[#This Row],[預約率]]-表格_new_data[[#This Row],[預約率_min]])/(表格_new_data[[#This Row],[預約率_max]]-表格_new_data[[#This Row],[預約率_min]])</f>
        <v>0.91836160273217626</v>
      </c>
      <c r="AM6">
        <f>(表格_new_data[[#This Row],[出席率]]-表格_new_data[[#This Row],[出席率_min]])/(表格_new_data[[#This Row],[出席率_max]]-表格_new_data[[#This Row],[出席率_min]])</f>
        <v>0.57939914163118822</v>
      </c>
      <c r="AN6">
        <f>(表格_new_data[[#This Row],[成交率]]-表格_new_data[[#This Row],[成交率_min]])/(表格_new_data[[#This Row],[成交率_max]]-表格_new_data[[#This Row],[成交率_min]])</f>
        <v>0.78832000000000002</v>
      </c>
      <c r="AO6">
        <f>(表格_new_data[[#This Row],[綁定率]]-表格_new_data[[#This Row],[綁定率_min]])/(表格_new_data[[#This Row],[綁定率_max]]-表格_new_data[[#This Row],[綁定率_min]])</f>
        <v>0.91836160273217626</v>
      </c>
      <c r="AP6">
        <f>(表格_new_data[[#This Row],[達成率]]-表格_new_data[[#This Row],[達成率_min]])/(表格_new_data[[#This Row],[達成率_max]]-表格_new_data[[#This Row],[達成率_min]])</f>
        <v>0.65835145342183565</v>
      </c>
      <c r="AQ6" t="str">
        <f>IF(ISERROR(表格_new_data[[#This Row],[Deptshort_first]]),"",表格_new_data[[#This Row],[Deptshort_first]])</f>
        <v>TBD_業務部_BD16</v>
      </c>
      <c r="AR6">
        <f>(表格_new_data[[#This Row],[預約率_last]]-表格_new_data[[#This Row],[預約率_last_min]])/(表格_new_data[[#This Row],[預約率_last_max]]-表格_new_data[[#This Row],[預約率_last_min]])</f>
        <v>0.88204638020431536</v>
      </c>
      <c r="AS6">
        <f>(表格_new_data[[#This Row],[出席率_last]]-表格_new_data[[#This Row],[出席率_last_min]])/(表格_new_data[[#This Row],[出席率_last_max]]-表格_new_data[[#This Row],[出席率_last_min]])</f>
        <v>1</v>
      </c>
      <c r="AT6">
        <f>(表格_new_data[[#This Row],[成交率_last]]-表格_new_data[[#This Row],[成交率_last_min]])/(表格_new_data[[#This Row],[成交率_last_max]]-表格_new_data[[#This Row],[成交率_last_min]])</f>
        <v>0.18671618132838189</v>
      </c>
      <c r="AU6">
        <f>(表格_new_data[[#This Row],[綁定率_last]]-表格_new_data[[#This Row],[綁定率_last_min]])/(表格_new_data[[#This Row],[綁定率_last_max]]-表格_new_data[[#This Row],[綁定率_last_min]])</f>
        <v>0.88204638020431536</v>
      </c>
      <c r="AV6">
        <f>(表格_new_data[[#This Row],[達成率_last]]-表格_new_data[[#This Row],[達成率_last_min]])/(表格_new_data[[#This Row],[達成率_last_max]]-表格_new_data[[#This Row],[達成率_last_min]])</f>
        <v>0.60579033039674957</v>
      </c>
    </row>
    <row r="7" spans="1:55" x14ac:dyDescent="0.25">
      <c r="A7" t="s">
        <v>30</v>
      </c>
      <c r="B7">
        <v>0.20572450805</v>
      </c>
      <c r="C7">
        <v>0.25217391304300002</v>
      </c>
      <c r="D7">
        <v>6.8964999999999999E-2</v>
      </c>
      <c r="E7">
        <v>0.20572450805</v>
      </c>
      <c r="F7">
        <v>0.42931399999999997</v>
      </c>
      <c r="G7">
        <v>559</v>
      </c>
      <c r="H7">
        <v>0.17423616845500001</v>
      </c>
      <c r="I7">
        <v>0.37440758293800003</v>
      </c>
      <c r="J7" s="8">
        <v>0.126582</v>
      </c>
      <c r="K7">
        <v>0.17423616845500001</v>
      </c>
      <c r="L7">
        <v>0.62622</v>
      </c>
      <c r="M7">
        <v>1211</v>
      </c>
      <c r="N7">
        <v>0</v>
      </c>
      <c r="O7">
        <v>3.5529237600999998E-2</v>
      </c>
      <c r="P7">
        <v>0.25</v>
      </c>
      <c r="Q7">
        <v>0</v>
      </c>
      <c r="R7">
        <v>3.5529237600999998E-2</v>
      </c>
      <c r="S7">
        <v>0</v>
      </c>
      <c r="T7">
        <v>0.25030084235799999</v>
      </c>
      <c r="U7">
        <v>0.83333333333299997</v>
      </c>
      <c r="V7">
        <v>0.25</v>
      </c>
      <c r="W7">
        <v>0.25030084235799999</v>
      </c>
      <c r="X7">
        <v>1.0485599999999999</v>
      </c>
      <c r="Y7">
        <v>0</v>
      </c>
      <c r="Z7">
        <v>6.4935064929999998E-3</v>
      </c>
      <c r="AA7">
        <v>0.26315789473599999</v>
      </c>
      <c r="AB7">
        <v>9.0909000000000004E-2</v>
      </c>
      <c r="AC7">
        <v>6.4935064929999998E-3</v>
      </c>
      <c r="AD7">
        <v>0.33824500000000002</v>
      </c>
      <c r="AE7">
        <v>0.18708971553600001</v>
      </c>
      <c r="AF7">
        <v>0.79324055666000004</v>
      </c>
      <c r="AG7">
        <v>1</v>
      </c>
      <c r="AH7">
        <v>0.18708971553600001</v>
      </c>
      <c r="AI7">
        <v>1.5454300000000001</v>
      </c>
      <c r="AK7" t="str">
        <f>IF(ISERROR(表格_new_data[[#This Row],[Deptshort_first]]),"",表格_new_data[[#This Row],[Deptshort_first]])</f>
        <v>TBD_業務部_BD17</v>
      </c>
      <c r="AL7">
        <f>(表格_new_data[[#This Row],[預約率]]-表格_new_data[[#This Row],[預約率_min]])/(表格_new_data[[#This Row],[預約率_max]]-表格_new_data[[#This Row],[預約率_min]])</f>
        <v>0.79244772902621285</v>
      </c>
      <c r="AM7">
        <f>(表格_new_data[[#This Row],[出席率]]-表格_new_data[[#This Row],[出席率_min]])/(表格_new_data[[#This Row],[出席率_max]]-表格_new_data[[#This Row],[出席率_min]])</f>
        <v>3.7267080737164492E-3</v>
      </c>
      <c r="AN7">
        <f>(表格_new_data[[#This Row],[成交率]]-表格_new_data[[#This Row],[成交率_min]])/(表格_new_data[[#This Row],[成交率_max]]-表格_new_data[[#This Row],[成交率_min]])</f>
        <v>0.27585999999999999</v>
      </c>
      <c r="AO7">
        <f>(表格_new_data[[#This Row],[綁定率]]-表格_new_data[[#This Row],[綁定率_min]])/(表格_new_data[[#This Row],[綁定率_max]]-表格_new_data[[#This Row],[綁定率_min]])</f>
        <v>0.79244772902621285</v>
      </c>
      <c r="AP7">
        <f>(表格_new_data[[#This Row],[達成率]]-表格_new_data[[#This Row],[達成率_min]])/(表格_new_data[[#This Row],[達成率_max]]-表格_new_data[[#This Row],[達成率_min]])</f>
        <v>0.40943198290989546</v>
      </c>
      <c r="AQ7" t="str">
        <f>IF(ISERROR(表格_new_data[[#This Row],[Deptshort_first]]),"",表格_new_data[[#This Row],[Deptshort_first]])</f>
        <v>TBD_業務部_BD17</v>
      </c>
      <c r="AR7">
        <f>(表格_new_data[[#This Row],[預約率_last]]-表格_new_data[[#This Row],[預約率_last_min]])/(表格_new_data[[#This Row],[預約率_last_max]]-表格_new_data[[#This Row],[預約率_last_min]])</f>
        <v>0.92882714897996799</v>
      </c>
      <c r="AS7">
        <f>(表格_new_data[[#This Row],[出席率_last]]-表格_new_data[[#This Row],[出席率_last_min]])/(表格_new_data[[#This Row],[出席率_last_max]]-表格_new_data[[#This Row],[出席率_last_min]])</f>
        <v>0.20987233915217235</v>
      </c>
      <c r="AT7">
        <f>(表格_new_data[[#This Row],[成交率_last]]-表格_new_data[[#This Row],[成交率_last_min]])/(表格_new_data[[#This Row],[成交率_last_max]]-表格_new_data[[#This Row],[成交率_last_min]])</f>
        <v>3.9240296075970391E-2</v>
      </c>
      <c r="AU7">
        <f>(表格_new_data[[#This Row],[綁定率_last]]-表格_new_data[[#This Row],[綁定率_last_min]])/(表格_new_data[[#This Row],[綁定率_last_max]]-表格_new_data[[#This Row],[綁定率_last_min]])</f>
        <v>0.92882714897996799</v>
      </c>
      <c r="AV7">
        <f>(表格_new_data[[#This Row],[達成率_last]]-表格_new_data[[#This Row],[達成率_last_min]])/(表格_new_data[[#This Row],[達成率_last_max]]-表格_new_data[[#This Row],[達成率_last_min]])</f>
        <v>0.23855084349126274</v>
      </c>
    </row>
    <row r="8" spans="1:55" x14ac:dyDescent="0.25">
      <c r="A8" t="s">
        <v>31</v>
      </c>
      <c r="B8">
        <v>0.15125049622799999</v>
      </c>
      <c r="C8">
        <v>0.37270341207300001</v>
      </c>
      <c r="D8">
        <v>0.169014</v>
      </c>
      <c r="E8">
        <v>0.15125049622799999</v>
      </c>
      <c r="F8">
        <v>0.74859600000000004</v>
      </c>
      <c r="G8">
        <v>2519</v>
      </c>
      <c r="H8">
        <v>0.16322657176700001</v>
      </c>
      <c r="I8">
        <v>0.44912790697600002</v>
      </c>
      <c r="J8" s="8">
        <v>0.20388300000000001</v>
      </c>
      <c r="K8">
        <v>0.16322657176700001</v>
      </c>
      <c r="L8">
        <v>1.1485609999999999</v>
      </c>
      <c r="M8">
        <v>4215</v>
      </c>
      <c r="N8">
        <v>0</v>
      </c>
      <c r="O8">
        <v>3.5529237600999998E-2</v>
      </c>
      <c r="P8">
        <v>0.25</v>
      </c>
      <c r="Q8">
        <v>0</v>
      </c>
      <c r="R8">
        <v>3.5529237600999998E-2</v>
      </c>
      <c r="S8">
        <v>0</v>
      </c>
      <c r="T8">
        <v>0.25030084235799999</v>
      </c>
      <c r="U8">
        <v>0.83333333333299997</v>
      </c>
      <c r="V8">
        <v>0.25</v>
      </c>
      <c r="W8">
        <v>0.25030084235799999</v>
      </c>
      <c r="X8">
        <v>1.0485599999999999</v>
      </c>
      <c r="Y8">
        <v>0</v>
      </c>
      <c r="Z8">
        <v>6.4935064929999998E-3</v>
      </c>
      <c r="AA8">
        <v>0.26315789473599999</v>
      </c>
      <c r="AB8">
        <v>9.0909000000000004E-2</v>
      </c>
      <c r="AC8">
        <v>6.4935064929999998E-3</v>
      </c>
      <c r="AD8">
        <v>0.33824500000000002</v>
      </c>
      <c r="AE8">
        <v>0.18708971553600001</v>
      </c>
      <c r="AF8">
        <v>0.79324055666000004</v>
      </c>
      <c r="AG8">
        <v>1</v>
      </c>
      <c r="AH8">
        <v>0.18708971553600001</v>
      </c>
      <c r="AI8">
        <v>1.5454300000000001</v>
      </c>
      <c r="AK8" t="str">
        <f>IF(ISERROR(表格_new_data[[#This Row],[Deptshort_first]]),"",表格_new_data[[#This Row],[Deptshort_first]])</f>
        <v>TBD_業務部_BD18</v>
      </c>
      <c r="AL8">
        <f>(表格_new_data[[#This Row],[預約率]]-表格_new_data[[#This Row],[預約率_min]])/(表格_new_data[[#This Row],[預約率_max]]-表格_new_data[[#This Row],[預約率_min]])</f>
        <v>0.5388107927858109</v>
      </c>
      <c r="AM8">
        <f>(表格_new_data[[#This Row],[出席率]]-表格_new_data[[#This Row],[出席率_min]])/(表格_new_data[[#This Row],[出席率_max]]-表格_new_data[[#This Row],[出席率_min]])</f>
        <v>0.21034870641097736</v>
      </c>
      <c r="AN8">
        <f>(表格_new_data[[#This Row],[成交率]]-表格_new_data[[#This Row],[成交率_min]])/(表格_new_data[[#This Row],[成交率_max]]-表格_new_data[[#This Row],[成交率_min]])</f>
        <v>0.67605599999999999</v>
      </c>
      <c r="AO8">
        <f>(表格_new_data[[#This Row],[綁定率]]-表格_new_data[[#This Row],[綁定率_min]])/(表格_new_data[[#This Row],[綁定率_max]]-表格_new_data[[#This Row],[綁定率_min]])</f>
        <v>0.5388107927858109</v>
      </c>
      <c r="AP8">
        <f>(表格_new_data[[#This Row],[達成率]]-表格_new_data[[#This Row],[達成率_min]])/(表格_new_data[[#This Row],[達成率_max]]-表格_new_data[[#This Row],[達成率_min]])</f>
        <v>0.71392767223620979</v>
      </c>
      <c r="AQ8" t="str">
        <f>IF(ISERROR(表格_new_data[[#This Row],[Deptshort_first]]),"",表格_new_data[[#This Row],[Deptshort_first]])</f>
        <v>TBD_業務部_BD18</v>
      </c>
      <c r="AR8">
        <f>(表格_new_data[[#This Row],[預約率_last]]-表格_new_data[[#This Row],[預約率_last_min]])/(表格_new_data[[#This Row],[預約率_last_max]]-表格_new_data[[#This Row],[預約率_last_min]])</f>
        <v>0.86786464735083013</v>
      </c>
      <c r="AS8">
        <f>(表格_new_data[[#This Row],[出席率_last]]-表格_new_data[[#This Row],[出席率_last_min]])/(表格_new_data[[#This Row],[出席率_last_max]]-表格_new_data[[#This Row],[出席率_last_min]])</f>
        <v>0.35083209770528823</v>
      </c>
      <c r="AT8">
        <f>(表格_new_data[[#This Row],[成交率_last]]-表格_new_data[[#This Row],[成交率_last_min]])/(表格_new_data[[#This Row],[成交率_last_max]]-表格_new_data[[#This Row],[成交率_last_min]])</f>
        <v>0.12427138757286126</v>
      </c>
      <c r="AU8">
        <f>(表格_new_data[[#This Row],[綁定率_last]]-表格_new_data[[#This Row],[綁定率_last_min]])/(表格_new_data[[#This Row],[綁定率_last_max]]-表格_new_data[[#This Row],[綁定率_last_min]])</f>
        <v>0.86786464735083013</v>
      </c>
      <c r="AV8">
        <f>(表格_new_data[[#This Row],[達成率_last]]-表格_new_data[[#This Row],[達成率_last_min]])/(表格_new_data[[#This Row],[達成率_last_max]]-表格_new_data[[#This Row],[達成率_last_min]])</f>
        <v>0.67124425833654322</v>
      </c>
    </row>
    <row r="9" spans="1:55" x14ac:dyDescent="0.25">
      <c r="A9" t="s">
        <v>32</v>
      </c>
      <c r="B9">
        <v>0.19440559440499999</v>
      </c>
      <c r="C9">
        <v>0.356115107913</v>
      </c>
      <c r="D9">
        <v>0.13131300000000001</v>
      </c>
      <c r="E9">
        <v>0.19440559440499999</v>
      </c>
      <c r="F9">
        <v>0.45358500000000002</v>
      </c>
      <c r="G9">
        <v>1430</v>
      </c>
      <c r="H9">
        <v>0.16716580451900001</v>
      </c>
      <c r="I9">
        <v>0.48208469055300002</v>
      </c>
      <c r="J9" s="8">
        <v>0.14527000000000001</v>
      </c>
      <c r="K9">
        <v>0.16716580451900001</v>
      </c>
      <c r="L9">
        <v>0.73472999999999999</v>
      </c>
      <c r="M9">
        <v>3673</v>
      </c>
      <c r="N9">
        <v>0</v>
      </c>
      <c r="O9">
        <v>3.5529237600999998E-2</v>
      </c>
      <c r="P9">
        <v>0.25</v>
      </c>
      <c r="Q9">
        <v>0</v>
      </c>
      <c r="R9">
        <v>3.5529237600999998E-2</v>
      </c>
      <c r="S9">
        <v>0</v>
      </c>
      <c r="T9">
        <v>0.25030084235799999</v>
      </c>
      <c r="U9">
        <v>0.83333333333299997</v>
      </c>
      <c r="V9">
        <v>0.25</v>
      </c>
      <c r="W9">
        <v>0.25030084235799999</v>
      </c>
      <c r="X9">
        <v>1.0485599999999999</v>
      </c>
      <c r="Y9">
        <v>0</v>
      </c>
      <c r="Z9">
        <v>6.4935064929999998E-3</v>
      </c>
      <c r="AA9">
        <v>0.26315789473599999</v>
      </c>
      <c r="AB9">
        <v>9.0909000000000004E-2</v>
      </c>
      <c r="AC9">
        <v>6.4935064929999998E-3</v>
      </c>
      <c r="AD9">
        <v>0.33824500000000002</v>
      </c>
      <c r="AE9">
        <v>0.18708971553600001</v>
      </c>
      <c r="AF9">
        <v>0.79324055666000004</v>
      </c>
      <c r="AG9">
        <v>1</v>
      </c>
      <c r="AH9">
        <v>0.18708971553600001</v>
      </c>
      <c r="AI9">
        <v>1.5454300000000001</v>
      </c>
      <c r="AK9" t="str">
        <f>IF(ISERROR(表格_new_data[[#This Row],[Deptshort_first]]),"",表格_new_data[[#This Row],[Deptshort_first]])</f>
        <v>TBD_業務部_BD19</v>
      </c>
      <c r="AL9">
        <f>(表格_new_data[[#This Row],[預約率]]-表格_new_data[[#This Row],[預約率_min]])/(表格_new_data[[#This Row],[預約率_max]]-表格_new_data[[#This Row],[預約率_min]])</f>
        <v>0.73974563343118938</v>
      </c>
      <c r="AM9">
        <f>(表格_new_data[[#This Row],[出席率]]-表格_new_data[[#This Row],[出席率_min]])/(表格_new_data[[#This Row],[出席率_max]]-表格_new_data[[#This Row],[出席率_min]])</f>
        <v>0.18191161356524682</v>
      </c>
      <c r="AN9">
        <f>(表格_new_data[[#This Row],[成交率]]-表格_new_data[[#This Row],[成交率_min]])/(表格_new_data[[#This Row],[成交率_max]]-表格_new_data[[#This Row],[成交率_min]])</f>
        <v>0.52525200000000005</v>
      </c>
      <c r="AO9">
        <f>(表格_new_data[[#This Row],[綁定率]]-表格_new_data[[#This Row],[綁定率_min]])/(表格_new_data[[#This Row],[綁定率_max]]-表格_new_data[[#This Row],[綁定率_min]])</f>
        <v>0.73974563343118938</v>
      </c>
      <c r="AP9">
        <f>(表格_new_data[[#This Row],[達成率]]-表格_new_data[[#This Row],[達成率_min]])/(表格_new_data[[#This Row],[達成率_max]]-表格_new_data[[#This Row],[達成率_min]])</f>
        <v>0.43257896543831542</v>
      </c>
      <c r="AQ9" t="str">
        <f>IF(ISERROR(表格_new_data[[#This Row],[Deptshort_first]]),"",表格_new_data[[#This Row],[Deptshort_first]])</f>
        <v>TBD_業務部_BD19</v>
      </c>
      <c r="AR9">
        <f>(表格_new_data[[#This Row],[預約率_last]]-表格_new_data[[#This Row],[預約率_last_min]])/(表格_new_data[[#This Row],[預約率_last_max]]-表格_new_data[[#This Row],[預約率_last_min]])</f>
        <v>0.88967702521232817</v>
      </c>
      <c r="AS9">
        <f>(表格_new_data[[#This Row],[出席率_last]]-表格_new_data[[#This Row],[出席率_last_min]])/(表格_new_data[[#This Row],[出席率_last_max]]-表格_new_data[[#This Row],[出席率_last_min]])</f>
        <v>0.41300501137384571</v>
      </c>
      <c r="AT9">
        <f>(表格_new_data[[#This Row],[成交率_last]]-表格_new_data[[#This Row],[成交率_last_min]])/(表格_new_data[[#This Row],[成交率_last_max]]-表格_new_data[[#This Row],[成交率_last_min]])</f>
        <v>5.9797094020290605E-2</v>
      </c>
      <c r="AU9">
        <f>(表格_new_data[[#This Row],[綁定率_last]]-表格_new_data[[#This Row],[綁定率_last_min]])/(表格_new_data[[#This Row],[綁定率_last_max]]-表格_new_data[[#This Row],[綁定率_last_min]])</f>
        <v>0.88967702521232817</v>
      </c>
      <c r="AV9">
        <f>(表格_new_data[[#This Row],[達成率_last]]-表格_new_data[[#This Row],[達成率_last_min]])/(表格_new_data[[#This Row],[達成率_last_max]]-表格_new_data[[#This Row],[達成率_last_min]])</f>
        <v>0.3284376462596868</v>
      </c>
    </row>
    <row r="10" spans="1:55" x14ac:dyDescent="0.25">
      <c r="A10" t="s">
        <v>33</v>
      </c>
      <c r="B10">
        <v>4.9586776859000002E-2</v>
      </c>
      <c r="C10">
        <v>0.5</v>
      </c>
      <c r="D10">
        <v>0</v>
      </c>
      <c r="E10">
        <v>4.9586776859000002E-2</v>
      </c>
      <c r="F10">
        <v>0</v>
      </c>
      <c r="G10">
        <v>121</v>
      </c>
      <c r="H10">
        <v>2.3508137432E-2</v>
      </c>
      <c r="I10">
        <v>0.34615384615299999</v>
      </c>
      <c r="J10" s="8">
        <v>0.222222</v>
      </c>
      <c r="K10">
        <v>2.3508137432E-2</v>
      </c>
      <c r="L10">
        <v>0.781501</v>
      </c>
      <c r="M10">
        <v>1106</v>
      </c>
      <c r="N10">
        <v>0</v>
      </c>
      <c r="O10">
        <v>3.5529237600999998E-2</v>
      </c>
      <c r="P10">
        <v>0.25</v>
      </c>
      <c r="Q10">
        <v>0</v>
      </c>
      <c r="R10">
        <v>3.5529237600999998E-2</v>
      </c>
      <c r="S10">
        <v>0</v>
      </c>
      <c r="T10">
        <v>0.25030084235799999</v>
      </c>
      <c r="U10">
        <v>0.83333333333299997</v>
      </c>
      <c r="V10">
        <v>0.25</v>
      </c>
      <c r="W10">
        <v>0.25030084235799999</v>
      </c>
      <c r="X10">
        <v>1.0485599999999999</v>
      </c>
      <c r="Y10">
        <v>0</v>
      </c>
      <c r="Z10">
        <v>6.4935064929999998E-3</v>
      </c>
      <c r="AA10">
        <v>0.26315789473599999</v>
      </c>
      <c r="AB10">
        <v>9.0909000000000004E-2</v>
      </c>
      <c r="AC10">
        <v>6.4935064929999998E-3</v>
      </c>
      <c r="AD10">
        <v>0.33824500000000002</v>
      </c>
      <c r="AE10">
        <v>0.18708971553600001</v>
      </c>
      <c r="AF10">
        <v>0.79324055666000004</v>
      </c>
      <c r="AG10">
        <v>1</v>
      </c>
      <c r="AH10">
        <v>0.18708971553600001</v>
      </c>
      <c r="AI10">
        <v>1.5454300000000001</v>
      </c>
      <c r="AK10" t="str">
        <f>IF(ISERROR(表格_new_data[[#This Row],[Deptshort_first]]),"",表格_new_data[[#This Row],[Deptshort_first]])</f>
        <v>TBD_業務部_BD2</v>
      </c>
      <c r="AL10">
        <f>(表格_new_data[[#This Row],[預約率]]-表格_new_data[[#This Row],[預約率_min]])/(表格_new_data[[#This Row],[預約率_max]]-表格_new_data[[#This Row],[預約率_min]])</f>
        <v>6.5453434935708515E-2</v>
      </c>
      <c r="AM10">
        <f>(表格_new_data[[#This Row],[出席率]]-表格_new_data[[#This Row],[出席率_min]])/(表格_new_data[[#This Row],[出席率_max]]-表格_new_data[[#This Row],[出席率_min]])</f>
        <v>0.42857142857167352</v>
      </c>
      <c r="AN10">
        <f>(表格_new_data[[#This Row],[成交率]]-表格_new_data[[#This Row],[成交率_min]])/(表格_new_data[[#This Row],[成交率_max]]-表格_new_data[[#This Row],[成交率_min]])</f>
        <v>0</v>
      </c>
      <c r="AO10">
        <f>(表格_new_data[[#This Row],[綁定率]]-表格_new_data[[#This Row],[綁定率_min]])/(表格_new_data[[#This Row],[綁定率_max]]-表格_new_data[[#This Row],[綁定率_min]])</f>
        <v>6.5453434935708515E-2</v>
      </c>
      <c r="AP10">
        <f>(表格_new_data[[#This Row],[達成率]]-表格_new_data[[#This Row],[達成率_min]])/(表格_new_data[[#This Row],[達成率_max]]-表格_new_data[[#This Row],[達成率_min]])</f>
        <v>0</v>
      </c>
      <c r="AQ10" t="str">
        <f>IF(ISERROR(表格_new_data[[#This Row],[Deptshort_first]]),"",表格_new_data[[#This Row],[Deptshort_first]])</f>
        <v>TBD_業務部_BD2</v>
      </c>
      <c r="AR10">
        <f>(表格_new_data[[#This Row],[預約率_last]]-表格_new_data[[#This Row],[預約率_last_min]])/(表格_new_data[[#This Row],[預約率_last_max]]-表格_new_data[[#This Row],[預約率_last_min]])</f>
        <v>9.4213666107181751E-2</v>
      </c>
      <c r="AS10">
        <f>(表格_new_data[[#This Row],[出席率_last]]-表格_new_data[[#This Row],[出席率_last_min]])/(表格_new_data[[#This Row],[出席率_last_max]]-表格_new_data[[#This Row],[出席率_last_min]])</f>
        <v>0.1565717149015137</v>
      </c>
      <c r="AT10">
        <f>(表格_new_data[[#This Row],[成交率_last]]-表格_new_data[[#This Row],[成交率_last_min]])/(表格_new_data[[#This Row],[成交率_last_max]]-表格_new_data[[#This Row],[成交率_last_min]])</f>
        <v>0.14444428555557146</v>
      </c>
      <c r="AU10">
        <f>(表格_new_data[[#This Row],[綁定率_last]]-表格_new_data[[#This Row],[綁定率_last_min]])/(表格_new_data[[#This Row],[綁定率_last_max]]-表格_new_data[[#This Row],[綁定率_last_min]])</f>
        <v>9.4213666107181751E-2</v>
      </c>
      <c r="AV10">
        <f>(表格_new_data[[#This Row],[達成率_last]]-表格_new_data[[#This Row],[達成率_last_min]])/(表格_new_data[[#This Row],[達成率_last_max]]-表格_new_data[[#This Row],[達成率_last_min]])</f>
        <v>0.3671815007641745</v>
      </c>
    </row>
    <row r="11" spans="1:55" x14ac:dyDescent="0.25">
      <c r="A11" t="s">
        <v>34</v>
      </c>
      <c r="B11">
        <v>3.5529237600999998E-2</v>
      </c>
      <c r="C11">
        <v>0.25</v>
      </c>
      <c r="D11">
        <v>0.25</v>
      </c>
      <c r="E11">
        <v>3.5529237600999998E-2</v>
      </c>
      <c r="F11">
        <v>0.84521800000000002</v>
      </c>
      <c r="G11">
        <v>1351</v>
      </c>
      <c r="H11">
        <v>8.9609675644999998E-2</v>
      </c>
      <c r="I11">
        <v>0.52147239263800005</v>
      </c>
      <c r="J11" s="8">
        <v>0.141176</v>
      </c>
      <c r="K11">
        <v>8.9609675644999998E-2</v>
      </c>
      <c r="L11">
        <v>0.78514300000000004</v>
      </c>
      <c r="M11">
        <v>1819</v>
      </c>
      <c r="N11">
        <v>0</v>
      </c>
      <c r="O11">
        <v>3.5529237600999998E-2</v>
      </c>
      <c r="P11">
        <v>0.25</v>
      </c>
      <c r="Q11">
        <v>0</v>
      </c>
      <c r="R11">
        <v>3.5529237600999998E-2</v>
      </c>
      <c r="S11">
        <v>0</v>
      </c>
      <c r="T11">
        <v>0.25030084235799999</v>
      </c>
      <c r="U11">
        <v>0.83333333333299997</v>
      </c>
      <c r="V11">
        <v>0.25</v>
      </c>
      <c r="W11">
        <v>0.25030084235799999</v>
      </c>
      <c r="X11">
        <v>1.0485599999999999</v>
      </c>
      <c r="Y11">
        <v>0</v>
      </c>
      <c r="Z11">
        <v>6.4935064929999998E-3</v>
      </c>
      <c r="AA11">
        <v>0.26315789473599999</v>
      </c>
      <c r="AB11">
        <v>9.0909000000000004E-2</v>
      </c>
      <c r="AC11">
        <v>6.4935064929999998E-3</v>
      </c>
      <c r="AD11">
        <v>0.33824500000000002</v>
      </c>
      <c r="AE11">
        <v>0.18708971553600001</v>
      </c>
      <c r="AF11">
        <v>0.79324055666000004</v>
      </c>
      <c r="AG11">
        <v>1</v>
      </c>
      <c r="AH11">
        <v>0.18708971553600001</v>
      </c>
      <c r="AI11">
        <v>1.5454300000000001</v>
      </c>
      <c r="AK11" t="str">
        <f>IF(ISERROR(表格_new_data[[#This Row],[Deptshort_first]]),"",表格_new_data[[#This Row],[Deptshort_first]])</f>
        <v>TBD_業務部_BD20</v>
      </c>
      <c r="AL11">
        <f>(表格_new_data[[#This Row],[預約率]]-表格_new_data[[#This Row],[預約率_min]])/(表格_new_data[[#This Row],[預約率_max]]-表格_new_data[[#This Row],[預約率_min]])</f>
        <v>0</v>
      </c>
      <c r="AM11">
        <f>(表格_new_data[[#This Row],[出席率]]-表格_new_data[[#This Row],[出席率_min]])/(表格_new_data[[#This Row],[出席率_max]]-表格_new_data[[#This Row],[出席率_min]])</f>
        <v>0</v>
      </c>
      <c r="AN11">
        <f>(表格_new_data[[#This Row],[成交率]]-表格_new_data[[#This Row],[成交率_min]])/(表格_new_data[[#This Row],[成交率_max]]-表格_new_data[[#This Row],[成交率_min]])</f>
        <v>1</v>
      </c>
      <c r="AO11">
        <f>(表格_new_data[[#This Row],[綁定率]]-表格_new_data[[#This Row],[綁定率_min]])/(表格_new_data[[#This Row],[綁定率_max]]-表格_new_data[[#This Row],[綁定率_min]])</f>
        <v>0</v>
      </c>
      <c r="AP11">
        <f>(表格_new_data[[#This Row],[達成率]]-表格_new_data[[#This Row],[達成率_min]])/(表格_new_data[[#This Row],[達成率_max]]-表格_new_data[[#This Row],[達成率_min]])</f>
        <v>0.80607499809262229</v>
      </c>
      <c r="AQ11" t="str">
        <f>IF(ISERROR(表格_new_data[[#This Row],[Deptshort_first]]),"",表格_new_data[[#This Row],[Deptshort_first]])</f>
        <v>TBD_業務部_BD20</v>
      </c>
      <c r="AR11">
        <f>(表格_new_data[[#This Row],[預約率_last]]-表格_new_data[[#This Row],[預約率_last_min]])/(表格_new_data[[#This Row],[預約率_last_max]]-表格_new_data[[#This Row],[預約率_last_min]])</f>
        <v>0.46023208124047621</v>
      </c>
      <c r="AS11">
        <f>(表格_new_data[[#This Row],[出席率_last]]-表格_new_data[[#This Row],[出席率_last_min]])/(表格_new_data[[#This Row],[出席率_last_max]]-表格_new_data[[#This Row],[出席率_last_min]])</f>
        <v>0.48730984138288153</v>
      </c>
      <c r="AT11">
        <f>(表格_new_data[[#This Row],[成交率_last]]-表格_new_data[[#This Row],[成交率_last_min]])/(表格_new_data[[#This Row],[成交率_last_max]]-表格_new_data[[#This Row],[成交率_last_min]])</f>
        <v>5.5293694470630546E-2</v>
      </c>
      <c r="AU11">
        <f>(表格_new_data[[#This Row],[綁定率_last]]-表格_new_data[[#This Row],[綁定率_last_min]])/(表格_new_data[[#This Row],[綁定率_last_max]]-表格_new_data[[#This Row],[綁定率_last_min]])</f>
        <v>0.46023208124047621</v>
      </c>
      <c r="AV11">
        <f>(表格_new_data[[#This Row],[達成率_last]]-表格_new_data[[#This Row],[達成率_last_min]])/(表格_new_data[[#This Row],[達成率_last_max]]-表格_new_data[[#This Row],[達成率_last_min]])</f>
        <v>0.37019843685930492</v>
      </c>
    </row>
    <row r="12" spans="1:55" x14ac:dyDescent="0.25">
      <c r="A12" t="s">
        <v>35</v>
      </c>
      <c r="B12">
        <v>0.25030084235799999</v>
      </c>
      <c r="C12">
        <v>0.35576923076900002</v>
      </c>
      <c r="D12">
        <v>0.175675</v>
      </c>
      <c r="E12">
        <v>0.25030084235799999</v>
      </c>
      <c r="F12">
        <v>1.0485599999999999</v>
      </c>
      <c r="G12">
        <v>831</v>
      </c>
      <c r="H12">
        <v>0.168234064785</v>
      </c>
      <c r="I12">
        <v>0.38509316770099999</v>
      </c>
      <c r="J12" s="8">
        <v>0.12903200000000001</v>
      </c>
      <c r="K12">
        <v>0.168234064785</v>
      </c>
      <c r="L12">
        <v>0.65722000000000003</v>
      </c>
      <c r="M12">
        <v>1914</v>
      </c>
      <c r="N12">
        <v>0</v>
      </c>
      <c r="O12">
        <v>3.5529237600999998E-2</v>
      </c>
      <c r="P12">
        <v>0.25</v>
      </c>
      <c r="Q12">
        <v>0</v>
      </c>
      <c r="R12">
        <v>3.5529237600999998E-2</v>
      </c>
      <c r="S12">
        <v>0</v>
      </c>
      <c r="T12">
        <v>0.25030084235799999</v>
      </c>
      <c r="U12">
        <v>0.83333333333299997</v>
      </c>
      <c r="V12">
        <v>0.25</v>
      </c>
      <c r="W12">
        <v>0.25030084235799999</v>
      </c>
      <c r="X12">
        <v>1.0485599999999999</v>
      </c>
      <c r="Y12">
        <v>0</v>
      </c>
      <c r="Z12">
        <v>6.4935064929999998E-3</v>
      </c>
      <c r="AA12">
        <v>0.26315789473599999</v>
      </c>
      <c r="AB12">
        <v>9.0909000000000004E-2</v>
      </c>
      <c r="AC12">
        <v>6.4935064929999998E-3</v>
      </c>
      <c r="AD12">
        <v>0.33824500000000002</v>
      </c>
      <c r="AE12">
        <v>0.18708971553600001</v>
      </c>
      <c r="AF12">
        <v>0.79324055666000004</v>
      </c>
      <c r="AG12">
        <v>1</v>
      </c>
      <c r="AH12">
        <v>0.18708971553600001</v>
      </c>
      <c r="AI12">
        <v>1.5454300000000001</v>
      </c>
      <c r="AK12" t="str">
        <f>IF(ISERROR(表格_new_data[[#This Row],[Deptshort_first]]),"",表格_new_data[[#This Row],[Deptshort_first]])</f>
        <v>TBD_業務部_BD24</v>
      </c>
      <c r="AL12">
        <f>(表格_new_data[[#This Row],[預約率]]-表格_new_data[[#This Row],[預約率_min]])/(表格_new_data[[#This Row],[預約率_max]]-表格_new_data[[#This Row],[預約率_min]])</f>
        <v>1</v>
      </c>
      <c r="AM12">
        <f>(表格_new_data[[#This Row],[出席率]]-表格_new_data[[#This Row],[出席率_min]])/(表格_new_data[[#This Row],[出席率_max]]-表格_new_data[[#This Row],[出席率_min]])</f>
        <v>0.18131868131838938</v>
      </c>
      <c r="AN12">
        <f>(表格_new_data[[#This Row],[成交率]]-表格_new_data[[#This Row],[成交率_min]])/(表格_new_data[[#This Row],[成交率_max]]-表格_new_data[[#This Row],[成交率_min]])</f>
        <v>0.70269999999999999</v>
      </c>
      <c r="AO12">
        <f>(表格_new_data[[#This Row],[綁定率]]-表格_new_data[[#This Row],[綁定率_min]])/(表格_new_data[[#This Row],[綁定率_max]]-表格_new_data[[#This Row],[綁定率_min]])</f>
        <v>1</v>
      </c>
      <c r="AP12">
        <f>(表格_new_data[[#This Row],[達成率]]-表格_new_data[[#This Row],[達成率_min]])/(表格_new_data[[#This Row],[達成率_max]]-表格_new_data[[#This Row],[達成率_min]])</f>
        <v>1</v>
      </c>
      <c r="AQ12" t="str">
        <f>IF(ISERROR(表格_new_data[[#This Row],[Deptshort_first]]),"",表格_new_data[[#This Row],[Deptshort_first]])</f>
        <v>TBD_業務部_BD24</v>
      </c>
      <c r="AR12">
        <f>(表格_new_data[[#This Row],[預約率_last]]-表格_new_data[[#This Row],[預約率_last_min]])/(表格_new_data[[#This Row],[預約率_last_max]]-表格_new_data[[#This Row],[預約率_last_min]])</f>
        <v>0.89559221175838477</v>
      </c>
      <c r="AS12">
        <f>(表格_new_data[[#This Row],[出席率_last]]-表格_new_data[[#This Row],[出席率_last_min]])/(表格_new_data[[#This Row],[出席率_last_max]]-表格_new_data[[#This Row],[出席率_last_min]])</f>
        <v>0.2300306758240705</v>
      </c>
      <c r="AT12">
        <f>(表格_new_data[[#This Row],[成交率_last]]-表格_new_data[[#This Row],[成交率_last_min]])/(表格_new_data[[#This Row],[成交率_last_max]]-表格_new_data[[#This Row],[成交率_last_min]])</f>
        <v>4.1935295806470423E-2</v>
      </c>
      <c r="AU12">
        <f>(表格_new_data[[#This Row],[綁定率_last]]-表格_new_data[[#This Row],[綁定率_last_min]])/(表格_new_data[[#This Row],[綁定率_last_max]]-表格_new_data[[#This Row],[綁定率_last_min]])</f>
        <v>0.89559221175838477</v>
      </c>
      <c r="AV12">
        <f>(表格_new_data[[#This Row],[達成率_last]]-表格_new_data[[#This Row],[達成率_last_min]])/(表格_new_data[[#This Row],[達成率_last_max]]-表格_new_data[[#This Row],[達成率_last_min]])</f>
        <v>0.26423042035810584</v>
      </c>
    </row>
    <row r="13" spans="1:55" x14ac:dyDescent="0.25">
      <c r="A13" t="s">
        <v>36</v>
      </c>
      <c r="B13">
        <v>9.9593495934000006E-2</v>
      </c>
      <c r="C13">
        <v>0.357142857142</v>
      </c>
      <c r="D13">
        <v>0.2</v>
      </c>
      <c r="E13">
        <v>9.9593495934000006E-2</v>
      </c>
      <c r="F13">
        <v>0.76616899999999999</v>
      </c>
      <c r="G13">
        <v>984</v>
      </c>
      <c r="H13">
        <v>8.0550098230999997E-2</v>
      </c>
      <c r="I13">
        <v>0.44715447154400001</v>
      </c>
      <c r="J13" s="8">
        <v>9.0909000000000004E-2</v>
      </c>
      <c r="K13">
        <v>8.0550098230999997E-2</v>
      </c>
      <c r="L13">
        <v>0.42290899999999998</v>
      </c>
      <c r="M13">
        <v>1527</v>
      </c>
      <c r="N13">
        <v>0</v>
      </c>
      <c r="O13">
        <v>3.5529237600999998E-2</v>
      </c>
      <c r="P13">
        <v>0.25</v>
      </c>
      <c r="Q13">
        <v>0</v>
      </c>
      <c r="R13">
        <v>3.5529237600999998E-2</v>
      </c>
      <c r="S13">
        <v>0</v>
      </c>
      <c r="T13">
        <v>0.25030084235799999</v>
      </c>
      <c r="U13">
        <v>0.83333333333299997</v>
      </c>
      <c r="V13">
        <v>0.25</v>
      </c>
      <c r="W13">
        <v>0.25030084235799999</v>
      </c>
      <c r="X13">
        <v>1.0485599999999999</v>
      </c>
      <c r="Y13">
        <v>0</v>
      </c>
      <c r="Z13">
        <v>6.4935064929999998E-3</v>
      </c>
      <c r="AA13">
        <v>0.26315789473599999</v>
      </c>
      <c r="AB13">
        <v>9.0909000000000004E-2</v>
      </c>
      <c r="AC13">
        <v>6.4935064929999998E-3</v>
      </c>
      <c r="AD13">
        <v>0.33824500000000002</v>
      </c>
      <c r="AE13">
        <v>0.18708971553600001</v>
      </c>
      <c r="AF13">
        <v>0.79324055666000004</v>
      </c>
      <c r="AG13">
        <v>1</v>
      </c>
      <c r="AH13">
        <v>0.18708971553600001</v>
      </c>
      <c r="AI13">
        <v>1.5454300000000001</v>
      </c>
      <c r="AK13" t="str">
        <f>IF(ISERROR(表格_new_data[[#This Row],[Deptshort_first]]),"",表格_new_data[[#This Row],[Deptshort_first]])</f>
        <v>TBD_業務部_BD35</v>
      </c>
      <c r="AL13">
        <f>(表格_new_data[[#This Row],[預約率]]-表格_new_data[[#This Row],[預約率_min]])/(表格_new_data[[#This Row],[預約率_max]]-表格_new_data[[#This Row],[預約率_min]])</f>
        <v>0.29829016924972235</v>
      </c>
      <c r="AM13">
        <f>(表格_new_data[[#This Row],[出席率]]-表格_new_data[[#This Row],[出席率_min]])/(表格_new_data[[#This Row],[出席率_max]]-表格_new_data[[#This Row],[出席率_min]])</f>
        <v>0.18367346938639068</v>
      </c>
      <c r="AN13">
        <f>(表格_new_data[[#This Row],[成交率]]-表格_new_data[[#This Row],[成交率_min]])/(表格_new_data[[#This Row],[成交率_max]]-表格_new_data[[#This Row],[成交率_min]])</f>
        <v>0.8</v>
      </c>
      <c r="AO13">
        <f>(表格_new_data[[#This Row],[綁定率]]-表格_new_data[[#This Row],[綁定率_min]])/(表格_new_data[[#This Row],[綁定率_max]]-表格_new_data[[#This Row],[綁定率_min]])</f>
        <v>0.29829016924972235</v>
      </c>
      <c r="AP13">
        <f>(表格_new_data[[#This Row],[達成率]]-表格_new_data[[#This Row],[達成率_min]])/(表格_new_data[[#This Row],[達成率_max]]-表格_new_data[[#This Row],[達成率_min]])</f>
        <v>0.73068684672312512</v>
      </c>
      <c r="AQ13" t="str">
        <f>IF(ISERROR(表格_new_data[[#This Row],[Deptshort_first]]),"",表格_new_data[[#This Row],[Deptshort_first]])</f>
        <v>TBD_業務部_BD35</v>
      </c>
      <c r="AR13">
        <f>(表格_new_data[[#This Row],[預約率_last]]-表格_new_data[[#This Row],[預約率_last_min]])/(表格_new_data[[#This Row],[預約率_last_max]]-表格_new_data[[#This Row],[預約率_last_min]])</f>
        <v>0.41006725517902265</v>
      </c>
      <c r="AS13">
        <f>(表格_new_data[[#This Row],[出席率_last]]-表格_new_data[[#This Row],[出席率_last_min]])/(表格_new_data[[#This Row],[出席率_last_max]]-表格_new_data[[#This Row],[出席率_last_min]])</f>
        <v>0.34710921526873167</v>
      </c>
      <c r="AT13">
        <f>(表格_new_data[[#This Row],[成交率_last]]-表格_new_data[[#This Row],[成交率_last_min]])/(表格_new_data[[#This Row],[成交率_last_max]]-表格_new_data[[#This Row],[成交率_last_min]])</f>
        <v>0</v>
      </c>
      <c r="AU13">
        <f>(表格_new_data[[#This Row],[綁定率_last]]-表格_new_data[[#This Row],[綁定率_last_min]])/(表格_new_data[[#This Row],[綁定率_last_max]]-表格_new_data[[#This Row],[綁定率_last_min]])</f>
        <v>0.41006725517902265</v>
      </c>
      <c r="AV13">
        <f>(表格_new_data[[#This Row],[達成率_last]]-表格_new_data[[#This Row],[達成率_last_min]])/(表格_new_data[[#This Row],[達成率_last_max]]-表格_new_data[[#This Row],[達成率_last_min]])</f>
        <v>7.0133409543690461E-2</v>
      </c>
    </row>
    <row r="14" spans="1:55" x14ac:dyDescent="0.25">
      <c r="A14" t="s">
        <v>37</v>
      </c>
      <c r="B14">
        <v>0.189448441247</v>
      </c>
      <c r="C14">
        <v>0.50632911392400004</v>
      </c>
      <c r="D14">
        <v>0.1125</v>
      </c>
      <c r="E14">
        <v>0.189448441247</v>
      </c>
      <c r="F14">
        <v>0.63655200000000001</v>
      </c>
      <c r="G14">
        <v>834</v>
      </c>
      <c r="H14">
        <v>0.14705882352899999</v>
      </c>
      <c r="I14">
        <v>0.62127659574399996</v>
      </c>
      <c r="J14" s="8">
        <v>0.164383</v>
      </c>
      <c r="K14">
        <v>0.14705882352899999</v>
      </c>
      <c r="L14">
        <v>0.90547999999999995</v>
      </c>
      <c r="M14">
        <v>1598</v>
      </c>
      <c r="N14">
        <v>0</v>
      </c>
      <c r="O14">
        <v>3.5529237600999998E-2</v>
      </c>
      <c r="P14">
        <v>0.25</v>
      </c>
      <c r="Q14">
        <v>0</v>
      </c>
      <c r="R14">
        <v>3.5529237600999998E-2</v>
      </c>
      <c r="S14">
        <v>0</v>
      </c>
      <c r="T14">
        <v>0.25030084235799999</v>
      </c>
      <c r="U14">
        <v>0.83333333333299997</v>
      </c>
      <c r="V14">
        <v>0.25</v>
      </c>
      <c r="W14">
        <v>0.25030084235799999</v>
      </c>
      <c r="X14">
        <v>1.0485599999999999</v>
      </c>
      <c r="Y14">
        <v>0</v>
      </c>
      <c r="Z14">
        <v>6.4935064929999998E-3</v>
      </c>
      <c r="AA14">
        <v>0.26315789473599999</v>
      </c>
      <c r="AB14">
        <v>9.0909000000000004E-2</v>
      </c>
      <c r="AC14">
        <v>6.4935064929999998E-3</v>
      </c>
      <c r="AD14">
        <v>0.33824500000000002</v>
      </c>
      <c r="AE14">
        <v>0.18708971553600001</v>
      </c>
      <c r="AF14">
        <v>0.79324055666000004</v>
      </c>
      <c r="AG14">
        <v>1</v>
      </c>
      <c r="AH14">
        <v>0.18708971553600001</v>
      </c>
      <c r="AI14">
        <v>1.5454300000000001</v>
      </c>
      <c r="AK14" t="str">
        <f>IF(ISERROR(表格_new_data[[#This Row],[Deptshort_first]]),"",表格_new_data[[#This Row],[Deptshort_first]])</f>
        <v>TBD_業務部_BD36</v>
      </c>
      <c r="AL14">
        <f>(表格_new_data[[#This Row],[預約率]]-表格_new_data[[#This Row],[預約率_min]])/(表格_new_data[[#This Row],[預約率_max]]-表格_new_data[[#This Row],[預約率_min]])</f>
        <v>0.71666458804062816</v>
      </c>
      <c r="AM14">
        <f>(表格_new_data[[#This Row],[出席率]]-表格_new_data[[#This Row],[出席率_min]])/(表格_new_data[[#This Row],[出席率_max]]-表格_new_data[[#This Row],[出席率_min]])</f>
        <v>0.43942133815567974</v>
      </c>
      <c r="AN14">
        <f>(表格_new_data[[#This Row],[成交率]]-表格_new_data[[#This Row],[成交率_min]])/(表格_new_data[[#This Row],[成交率_max]]-表格_new_data[[#This Row],[成交率_min]])</f>
        <v>0.45</v>
      </c>
      <c r="AO14">
        <f>(表格_new_data[[#This Row],[綁定率]]-表格_new_data[[#This Row],[綁定率_min]])/(表格_new_data[[#This Row],[綁定率_max]]-表格_new_data[[#This Row],[綁定率_min]])</f>
        <v>0.71666458804062816</v>
      </c>
      <c r="AP14">
        <f>(表格_new_data[[#This Row],[達成率]]-表格_new_data[[#This Row],[達成率_min]])/(表格_new_data[[#This Row],[達成率_max]]-表格_new_data[[#This Row],[達成率_min]])</f>
        <v>0.60707255664911886</v>
      </c>
      <c r="AQ14" t="str">
        <f>IF(ISERROR(表格_new_data[[#This Row],[Deptshort_first]]),"",表格_new_data[[#This Row],[Deptshort_first]])</f>
        <v>TBD_業務部_BD36</v>
      </c>
      <c r="AR14">
        <f>(表格_new_data[[#This Row],[預約率_last]]-表格_new_data[[#This Row],[預約率_last_min]])/(表格_new_data[[#This Row],[預約率_last_max]]-表格_new_data[[#This Row],[預約率_last_min]])</f>
        <v>0.77834035266228285</v>
      </c>
      <c r="AS14">
        <f>(表格_new_data[[#This Row],[出席率_last]]-表格_new_data[[#This Row],[出席率_last_min]])/(表格_new_data[[#This Row],[出席率_last_max]]-表格_new_data[[#This Row],[出席率_last_min]])</f>
        <v>0.67559029323495368</v>
      </c>
      <c r="AT14">
        <f>(表格_new_data[[#This Row],[成交率_last]]-表格_new_data[[#This Row],[成交率_last_min]])/(表格_new_data[[#This Row],[成交率_last_max]]-表格_new_data[[#This Row],[成交率_last_min]])</f>
        <v>8.0821391917860808E-2</v>
      </c>
      <c r="AU14">
        <f>(表格_new_data[[#This Row],[綁定率_last]]-表格_new_data[[#This Row],[綁定率_last_min]])/(表格_new_data[[#This Row],[綁定率_last_max]]-表格_new_data[[#This Row],[綁定率_last_min]])</f>
        <v>0.77834035266228285</v>
      </c>
      <c r="AV14">
        <f>(表格_new_data[[#This Row],[達成率_last]]-表格_new_data[[#This Row],[達成率_last_min]])/(表格_new_data[[#This Row],[達成率_last_max]]-表格_new_data[[#This Row],[達成率_last_min]])</f>
        <v>0.46988241238915324</v>
      </c>
    </row>
    <row r="15" spans="1:55" x14ac:dyDescent="0.25">
      <c r="A15" t="s">
        <v>38</v>
      </c>
      <c r="B15">
        <v>0.160629921259</v>
      </c>
      <c r="C15">
        <v>0.49019607843099999</v>
      </c>
      <c r="D15">
        <v>0.08</v>
      </c>
      <c r="E15">
        <v>0.160629921259</v>
      </c>
      <c r="F15">
        <v>0.56426500000000002</v>
      </c>
      <c r="G15">
        <v>635</v>
      </c>
      <c r="H15">
        <v>0.11309523809499999</v>
      </c>
      <c r="I15">
        <v>0.49707602339099999</v>
      </c>
      <c r="J15" s="8">
        <v>0.17646999999999999</v>
      </c>
      <c r="K15">
        <v>0.11309523809499999</v>
      </c>
      <c r="L15">
        <v>0.77042200000000005</v>
      </c>
      <c r="M15">
        <v>1512</v>
      </c>
      <c r="N15">
        <v>0</v>
      </c>
      <c r="O15">
        <v>3.5529237600999998E-2</v>
      </c>
      <c r="P15">
        <v>0.25</v>
      </c>
      <c r="Q15">
        <v>0</v>
      </c>
      <c r="R15">
        <v>3.5529237600999998E-2</v>
      </c>
      <c r="S15">
        <v>0</v>
      </c>
      <c r="T15">
        <v>0.25030084235799999</v>
      </c>
      <c r="U15">
        <v>0.83333333333299997</v>
      </c>
      <c r="V15">
        <v>0.25</v>
      </c>
      <c r="W15">
        <v>0.25030084235799999</v>
      </c>
      <c r="X15">
        <v>1.0485599999999999</v>
      </c>
      <c r="Y15">
        <v>0</v>
      </c>
      <c r="Z15">
        <v>6.4935064929999998E-3</v>
      </c>
      <c r="AA15">
        <v>0.26315789473599999</v>
      </c>
      <c r="AB15">
        <v>9.0909000000000004E-2</v>
      </c>
      <c r="AC15">
        <v>6.4935064929999998E-3</v>
      </c>
      <c r="AD15">
        <v>0.33824500000000002</v>
      </c>
      <c r="AE15">
        <v>0.18708971553600001</v>
      </c>
      <c r="AF15">
        <v>0.79324055666000004</v>
      </c>
      <c r="AG15">
        <v>1</v>
      </c>
      <c r="AH15">
        <v>0.18708971553600001</v>
      </c>
      <c r="AI15">
        <v>1.5454300000000001</v>
      </c>
      <c r="AK15" t="str">
        <f>IF(ISERROR(表格_new_data[[#This Row],[Deptshort_first]]),"",表格_new_data[[#This Row],[Deptshort_first]])</f>
        <v>TBD_業務部_BD40</v>
      </c>
      <c r="AL15">
        <f>(表格_new_data[[#This Row],[預約率]]-表格_new_data[[#This Row],[預約率_min]])/(表格_new_data[[#This Row],[預約率_max]]-表格_new_data[[#This Row],[預約率_min]])</f>
        <v>0.58248241800652945</v>
      </c>
      <c r="AM15">
        <f>(表格_new_data[[#This Row],[出席率]]-表格_new_data[[#This Row],[出席率_min]])/(表格_new_data[[#This Row],[出席率_max]]-表格_new_data[[#This Row],[出席率_min]])</f>
        <v>0.41176470588194958</v>
      </c>
      <c r="AN15">
        <f>(表格_new_data[[#This Row],[成交率]]-表格_new_data[[#This Row],[成交率_min]])/(表格_new_data[[#This Row],[成交率_max]]-表格_new_data[[#This Row],[成交率_min]])</f>
        <v>0.32</v>
      </c>
      <c r="AO15">
        <f>(表格_new_data[[#This Row],[綁定率]]-表格_new_data[[#This Row],[綁定率_min]])/(表格_new_data[[#This Row],[綁定率_max]]-表格_new_data[[#This Row],[綁定率_min]])</f>
        <v>0.58248241800652945</v>
      </c>
      <c r="AP15">
        <f>(表格_new_data[[#This Row],[達成率]]-表格_new_data[[#This Row],[達成率_min]])/(表格_new_data[[#This Row],[達成率_max]]-表格_new_data[[#This Row],[達成率_min]])</f>
        <v>0.53813324940871299</v>
      </c>
      <c r="AQ15" t="str">
        <f>IF(ISERROR(表格_new_data[[#This Row],[Deptshort_first]]),"",表格_new_data[[#This Row],[Deptshort_first]])</f>
        <v>TBD_業務部_BD40</v>
      </c>
      <c r="AR15">
        <f>(表格_new_data[[#This Row],[預約率_last]]-表格_new_data[[#This Row],[預約率_last_min]])/(表格_new_data[[#This Row],[預約率_last_max]]-表格_new_data[[#This Row],[預約率_last_min]])</f>
        <v>0.59027668502508879</v>
      </c>
      <c r="AS15">
        <f>(表格_new_data[[#This Row],[出席率_last]]-表格_new_data[[#This Row],[出席率_last_min]])/(表格_new_data[[#This Row],[出席率_last_max]]-表格_new_data[[#This Row],[出席率_last_min]])</f>
        <v>0.4412861341398443</v>
      </c>
      <c r="AT15">
        <f>(表格_new_data[[#This Row],[成交率_last]]-表格_new_data[[#This Row],[成交率_last_min]])/(表格_new_data[[#This Row],[成交率_last_max]]-表格_new_data[[#This Row],[成交率_last_min]])</f>
        <v>9.411709058829093E-2</v>
      </c>
      <c r="AU15">
        <f>(表格_new_data[[#This Row],[綁定率_last]]-表格_new_data[[#This Row],[綁定率_last_min]])/(表格_new_data[[#This Row],[綁定率_last_max]]-表格_new_data[[#This Row],[綁定率_last_min]])</f>
        <v>0.59027668502508879</v>
      </c>
      <c r="AV15">
        <f>(表格_new_data[[#This Row],[達成率_last]]-表格_new_data[[#This Row],[達成率_last_min]])/(表格_new_data[[#This Row],[達成率_last_max]]-表格_new_data[[#This Row],[達成率_last_min]])</f>
        <v>0.35800395134134377</v>
      </c>
    </row>
    <row r="16" spans="1:55" x14ac:dyDescent="0.25">
      <c r="A16" t="s">
        <v>39</v>
      </c>
      <c r="B16">
        <v>6.1728395061000002E-2</v>
      </c>
      <c r="C16">
        <v>0.37647058823500001</v>
      </c>
      <c r="D16">
        <v>0.109375</v>
      </c>
      <c r="E16">
        <v>6.1728395061000002E-2</v>
      </c>
      <c r="F16">
        <v>0.56318900000000005</v>
      </c>
      <c r="G16">
        <v>2754</v>
      </c>
      <c r="H16">
        <v>6.9498755775999996E-2</v>
      </c>
      <c r="I16">
        <v>0.437340153452</v>
      </c>
      <c r="J16" s="8">
        <v>0.11695899999999999</v>
      </c>
      <c r="K16">
        <v>6.9498755775999996E-2</v>
      </c>
      <c r="L16">
        <v>0.68298300000000001</v>
      </c>
      <c r="M16">
        <v>5626</v>
      </c>
      <c r="N16">
        <v>0</v>
      </c>
      <c r="O16">
        <v>3.5529237600999998E-2</v>
      </c>
      <c r="P16">
        <v>0.25</v>
      </c>
      <c r="Q16">
        <v>0</v>
      </c>
      <c r="R16">
        <v>3.5529237600999998E-2</v>
      </c>
      <c r="S16">
        <v>0</v>
      </c>
      <c r="T16">
        <v>0.25030084235799999</v>
      </c>
      <c r="U16">
        <v>0.83333333333299997</v>
      </c>
      <c r="V16">
        <v>0.25</v>
      </c>
      <c r="W16">
        <v>0.25030084235799999</v>
      </c>
      <c r="X16">
        <v>1.0485599999999999</v>
      </c>
      <c r="Y16">
        <v>0</v>
      </c>
      <c r="Z16">
        <v>6.4935064929999998E-3</v>
      </c>
      <c r="AA16">
        <v>0.26315789473599999</v>
      </c>
      <c r="AB16">
        <v>9.0909000000000004E-2</v>
      </c>
      <c r="AC16">
        <v>6.4935064929999998E-3</v>
      </c>
      <c r="AD16">
        <v>0.33824500000000002</v>
      </c>
      <c r="AE16">
        <v>0.18708971553600001</v>
      </c>
      <c r="AF16">
        <v>0.79324055666000004</v>
      </c>
      <c r="AG16">
        <v>1</v>
      </c>
      <c r="AH16">
        <v>0.18708971553600001</v>
      </c>
      <c r="AI16">
        <v>1.5454300000000001</v>
      </c>
      <c r="AK16" t="str">
        <f>IF(ISERROR(表格_new_data[[#This Row],[Deptshort_first]]),"",表格_new_data[[#This Row],[Deptshort_first]])</f>
        <v>TBD_業務部_BD55</v>
      </c>
      <c r="AL16">
        <f>(表格_new_data[[#This Row],[預約率]]-表格_new_data[[#This Row],[預約率_min]])/(表格_new_data[[#This Row],[預約率_max]]-表格_new_data[[#This Row],[預約率_min]])</f>
        <v>0.12198613261582059</v>
      </c>
      <c r="AM16">
        <f>(表格_new_data[[#This Row],[出席率]]-表格_new_data[[#This Row],[出席率_min]])/(表格_new_data[[#This Row],[出席率_max]]-表格_new_data[[#This Row],[出席率_min]])</f>
        <v>0.21680672268869536</v>
      </c>
      <c r="AN16">
        <f>(表格_new_data[[#This Row],[成交率]]-表格_new_data[[#This Row],[成交率_min]])/(表格_new_data[[#This Row],[成交率_max]]-表格_new_data[[#This Row],[成交率_min]])</f>
        <v>0.4375</v>
      </c>
      <c r="AO16">
        <f>(表格_new_data[[#This Row],[綁定率]]-表格_new_data[[#This Row],[綁定率_min]])/(表格_new_data[[#This Row],[綁定率_max]]-表格_new_data[[#This Row],[綁定率_min]])</f>
        <v>0.12198613261582059</v>
      </c>
      <c r="AP16">
        <f>(表格_new_data[[#This Row],[達成率]]-表格_new_data[[#This Row],[達成率_min]])/(表格_new_data[[#This Row],[達成率_max]]-表格_new_data[[#This Row],[達成率_min]])</f>
        <v>0.53710708018616016</v>
      </c>
      <c r="AQ16" t="str">
        <f>IF(ISERROR(表格_new_data[[#This Row],[Deptshort_first]]),"",表格_new_data[[#This Row],[Deptshort_first]])</f>
        <v>TBD_業務部_BD55</v>
      </c>
      <c r="AR16">
        <f>(表格_new_data[[#This Row],[預約率_last]]-表格_new_data[[#This Row],[預約率_last_min]])/(表格_new_data[[#This Row],[預約率_last_max]]-表格_new_data[[#This Row],[預約率_last_min]])</f>
        <v>0.34887359827137032</v>
      </c>
      <c r="AS16">
        <f>(表格_new_data[[#This Row],[出席率_last]]-表格_new_data[[#This Row],[出席率_last_min]])/(表格_new_data[[#This Row],[出席率_last_max]]-表格_new_data[[#This Row],[出席率_last_min]])</f>
        <v>0.32859452162382402</v>
      </c>
      <c r="AT16">
        <f>(表格_new_data[[#This Row],[成交率_last]]-表格_new_data[[#This Row],[成交率_last_min]])/(表格_new_data[[#This Row],[成交率_last_max]]-表格_new_data[[#This Row],[成交率_last_min]])</f>
        <v>2.8654997134500277E-2</v>
      </c>
      <c r="AU16">
        <f>(表格_new_data[[#This Row],[綁定率_last]]-表格_new_data[[#This Row],[綁定率_last_min]])/(表格_new_data[[#This Row],[綁定率_last_max]]-表格_new_data[[#This Row],[綁定率_last_min]])</f>
        <v>0.34887359827137032</v>
      </c>
      <c r="AV16">
        <f>(表格_new_data[[#This Row],[達成率_last]]-表格_new_data[[#This Row],[達成率_last_min]])/(表格_new_data[[#This Row],[達成率_last_max]]-表格_new_data[[#This Row],[達成率_last_min]])</f>
        <v>0.28557180548134709</v>
      </c>
    </row>
    <row r="17" spans="1:48" x14ac:dyDescent="0.25">
      <c r="A17" t="s">
        <v>40</v>
      </c>
      <c r="B17">
        <v>7.6223776223E-2</v>
      </c>
      <c r="C17">
        <v>0.42201834862299997</v>
      </c>
      <c r="D17">
        <v>0.17391300000000001</v>
      </c>
      <c r="E17">
        <v>7.6223776223E-2</v>
      </c>
      <c r="F17">
        <v>0.66545600000000005</v>
      </c>
      <c r="G17">
        <v>2860</v>
      </c>
      <c r="H17">
        <v>0.12885747938700001</v>
      </c>
      <c r="I17">
        <v>0.61974405850000003</v>
      </c>
      <c r="J17" s="8">
        <v>0.12684300000000001</v>
      </c>
      <c r="K17">
        <v>0.12885747938700001</v>
      </c>
      <c r="L17">
        <v>0.70255699999999999</v>
      </c>
      <c r="M17">
        <v>4245</v>
      </c>
      <c r="N17">
        <v>0</v>
      </c>
      <c r="O17">
        <v>3.5529237600999998E-2</v>
      </c>
      <c r="P17">
        <v>0.25</v>
      </c>
      <c r="Q17">
        <v>0</v>
      </c>
      <c r="R17">
        <v>3.5529237600999998E-2</v>
      </c>
      <c r="S17">
        <v>0</v>
      </c>
      <c r="T17">
        <v>0.25030084235799999</v>
      </c>
      <c r="U17">
        <v>0.83333333333299997</v>
      </c>
      <c r="V17">
        <v>0.25</v>
      </c>
      <c r="W17">
        <v>0.25030084235799999</v>
      </c>
      <c r="X17">
        <v>1.0485599999999999</v>
      </c>
      <c r="Y17">
        <v>0</v>
      </c>
      <c r="Z17">
        <v>6.4935064929999998E-3</v>
      </c>
      <c r="AA17">
        <v>0.26315789473599999</v>
      </c>
      <c r="AB17">
        <v>9.0909000000000004E-2</v>
      </c>
      <c r="AC17">
        <v>6.4935064929999998E-3</v>
      </c>
      <c r="AD17">
        <v>0.33824500000000002</v>
      </c>
      <c r="AE17">
        <v>0.18708971553600001</v>
      </c>
      <c r="AF17">
        <v>0.79324055666000004</v>
      </c>
      <c r="AG17">
        <v>1</v>
      </c>
      <c r="AH17">
        <v>0.18708971553600001</v>
      </c>
      <c r="AI17">
        <v>1.5454300000000001</v>
      </c>
      <c r="AK17" t="str">
        <f>IF(ISERROR(表格_new_data[[#This Row],[Deptshort_first]]),"",表格_new_data[[#This Row],[Deptshort_first]])</f>
        <v>TBD_業務部_BD59</v>
      </c>
      <c r="AL17">
        <f>(表格_new_data[[#This Row],[預約率]]-表格_new_data[[#This Row],[預約率_min]])/(表格_new_data[[#This Row],[預約率_max]]-表格_new_data[[#This Row],[預約率_min]])</f>
        <v>0.18947820717754196</v>
      </c>
      <c r="AM17">
        <f>(表格_new_data[[#This Row],[出席率]]-表格_new_data[[#This Row],[出席率_min]])/(表格_new_data[[#This Row],[出席率_max]]-表格_new_data[[#This Row],[出席率_min]])</f>
        <v>0.29488859763959707</v>
      </c>
      <c r="AN17">
        <f>(表格_new_data[[#This Row],[成交率]]-表格_new_data[[#This Row],[成交率_min]])/(表格_new_data[[#This Row],[成交率_max]]-表格_new_data[[#This Row],[成交率_min]])</f>
        <v>0.69565200000000005</v>
      </c>
      <c r="AO17">
        <f>(表格_new_data[[#This Row],[綁定率]]-表格_new_data[[#This Row],[綁定率_min]])/(表格_new_data[[#This Row],[綁定率_max]]-表格_new_data[[#This Row],[綁定率_min]])</f>
        <v>0.18947820717754196</v>
      </c>
      <c r="AP17">
        <f>(表格_new_data[[#This Row],[達成率]]-表格_new_data[[#This Row],[達成率_min]])/(表格_new_data[[#This Row],[達成率_max]]-表格_new_data[[#This Row],[達成率_min]])</f>
        <v>0.63463797970550095</v>
      </c>
      <c r="AQ17" t="str">
        <f>IF(ISERROR(表格_new_data[[#This Row],[Deptshort_first]]),"",表格_new_data[[#This Row],[Deptshort_first]])</f>
        <v>TBD_業務部_BD59</v>
      </c>
      <c r="AR17">
        <f>(表格_new_data[[#This Row],[預約率_last]]-表格_new_data[[#This Row],[預約率_last_min]])/(表格_new_data[[#This Row],[預約率_last_max]]-表格_new_data[[#This Row],[預約率_last_min]])</f>
        <v>0.67755560065419274</v>
      </c>
      <c r="AS17">
        <f>(表格_new_data[[#This Row],[出席率_last]]-表格_new_data[[#This Row],[出席率_last_min]])/(表格_new_data[[#This Row],[出席率_last_max]]-表格_new_data[[#This Row],[出席率_last_min]])</f>
        <v>0.67269916444678057</v>
      </c>
      <c r="AT17">
        <f>(表格_new_data[[#This Row],[成交率_last]]-表格_new_data[[#This Row],[成交率_last_min]])/(表格_new_data[[#This Row],[成交率_last_max]]-表格_new_data[[#This Row],[成交率_last_min]])</f>
        <v>3.9527396047260403E-2</v>
      </c>
      <c r="AU17">
        <f>(表格_new_data[[#This Row],[綁定率_last]]-表格_new_data[[#This Row],[綁定率_last_min]])/(表格_new_data[[#This Row],[綁定率_last_max]]-表格_new_data[[#This Row],[綁定率_last_min]])</f>
        <v>0.67755560065419274</v>
      </c>
      <c r="AV17">
        <f>(表格_new_data[[#This Row],[達成率_last]]-表格_new_data[[#This Row],[達成率_last_min]])/(表格_new_data[[#This Row],[達成率_last_max]]-表格_new_data[[#This Row],[達成率_last_min]])</f>
        <v>0.30178638733914021</v>
      </c>
    </row>
    <row r="18" spans="1:48" x14ac:dyDescent="0.25">
      <c r="A18" t="s">
        <v>41</v>
      </c>
      <c r="B18">
        <v>6.0669456066000001E-2</v>
      </c>
      <c r="C18">
        <v>0.25862068965500001</v>
      </c>
      <c r="D18">
        <v>0</v>
      </c>
      <c r="E18">
        <v>6.0669456066000001E-2</v>
      </c>
      <c r="F18">
        <v>0</v>
      </c>
      <c r="G18">
        <v>956</v>
      </c>
      <c r="H18">
        <v>0.110019646365</v>
      </c>
      <c r="I18">
        <v>0.44196428571399998</v>
      </c>
      <c r="J18" s="8">
        <v>0.16161600000000001</v>
      </c>
      <c r="K18">
        <v>0.110019646365</v>
      </c>
      <c r="L18">
        <v>0.97420300000000004</v>
      </c>
      <c r="M18">
        <v>2036</v>
      </c>
      <c r="N18">
        <v>0</v>
      </c>
      <c r="O18">
        <v>3.5529237600999998E-2</v>
      </c>
      <c r="P18">
        <v>0.25</v>
      </c>
      <c r="Q18">
        <v>0</v>
      </c>
      <c r="R18">
        <v>3.5529237600999998E-2</v>
      </c>
      <c r="S18">
        <v>0</v>
      </c>
      <c r="T18">
        <v>0.25030084235799999</v>
      </c>
      <c r="U18">
        <v>0.83333333333299997</v>
      </c>
      <c r="V18">
        <v>0.25</v>
      </c>
      <c r="W18">
        <v>0.25030084235799999</v>
      </c>
      <c r="X18">
        <v>1.0485599999999999</v>
      </c>
      <c r="Y18">
        <v>0</v>
      </c>
      <c r="Z18">
        <v>6.4935064929999998E-3</v>
      </c>
      <c r="AA18">
        <v>0.26315789473599999</v>
      </c>
      <c r="AB18">
        <v>9.0909000000000004E-2</v>
      </c>
      <c r="AC18">
        <v>6.4935064929999998E-3</v>
      </c>
      <c r="AD18">
        <v>0.33824500000000002</v>
      </c>
      <c r="AE18">
        <v>0.18708971553600001</v>
      </c>
      <c r="AF18">
        <v>0.79324055666000004</v>
      </c>
      <c r="AG18">
        <v>1</v>
      </c>
      <c r="AH18">
        <v>0.18708971553600001</v>
      </c>
      <c r="AI18">
        <v>1.5454300000000001</v>
      </c>
      <c r="AK18" t="str">
        <f>IF(ISERROR(表格_new_data[[#This Row],[Deptshort_first]]),"",表格_new_data[[#This Row],[Deptshort_first]])</f>
        <v>TBD_業務部_BD6</v>
      </c>
      <c r="AL18">
        <f>(表格_new_data[[#This Row],[預約率]]-表格_new_data[[#This Row],[預約率_min]])/(表格_new_data[[#This Row],[預約率_max]]-表格_new_data[[#This Row],[預約率_min]])</f>
        <v>0.11705559723988893</v>
      </c>
      <c r="AM18">
        <f>(表格_new_data[[#This Row],[出席率]]-表格_new_data[[#This Row],[出席率_min]])/(表格_new_data[[#This Row],[出席率_max]]-表格_new_data[[#This Row],[出席率_min]])</f>
        <v>1.4778325122865612E-2</v>
      </c>
      <c r="AN18">
        <f>(表格_new_data[[#This Row],[成交率]]-表格_new_data[[#This Row],[成交率_min]])/(表格_new_data[[#This Row],[成交率_max]]-表格_new_data[[#This Row],[成交率_min]])</f>
        <v>0</v>
      </c>
      <c r="AO18">
        <f>(表格_new_data[[#This Row],[綁定率]]-表格_new_data[[#This Row],[綁定率_min]])/(表格_new_data[[#This Row],[綁定率_max]]-表格_new_data[[#This Row],[綁定率_min]])</f>
        <v>0.11705559723988893</v>
      </c>
      <c r="AP18">
        <f>(表格_new_data[[#This Row],[達成率]]-表格_new_data[[#This Row],[達成率_min]])/(表格_new_data[[#This Row],[達成率_max]]-表格_new_data[[#This Row],[達成率_min]])</f>
        <v>0</v>
      </c>
      <c r="AQ18" t="str">
        <f>IF(ISERROR(表格_new_data[[#This Row],[Deptshort_first]]),"",表格_new_data[[#This Row],[Deptshort_first]])</f>
        <v>TBD_業務部_BD6</v>
      </c>
      <c r="AR18">
        <f>(表格_new_data[[#This Row],[預約率_last]]-表格_new_data[[#This Row],[預約率_last_min]])/(表格_new_data[[#This Row],[預約率_last_max]]-表格_new_data[[#This Row],[預約率_last_min]])</f>
        <v>0.57324647300514708</v>
      </c>
      <c r="AS18">
        <f>(表格_new_data[[#This Row],[出席率_last]]-表格_new_data[[#This Row],[出席率_last_min]])/(表格_new_data[[#This Row],[出席率_last_max]]-表格_new_data[[#This Row],[出席率_last_min]])</f>
        <v>0.3373179389210737</v>
      </c>
      <c r="AT18">
        <f>(表格_new_data[[#This Row],[成交率_last]]-表格_new_data[[#This Row],[成交率_last_min]])/(表格_new_data[[#This Row],[成交率_last_max]]-表格_new_data[[#This Row],[成交率_last_min]])</f>
        <v>7.7777692222230785E-2</v>
      </c>
      <c r="AU18">
        <f>(表格_new_data[[#This Row],[綁定率_last]]-表格_new_data[[#This Row],[綁定率_last_min]])/(表格_new_data[[#This Row],[綁定率_last_max]]-表格_new_data[[#This Row],[綁定率_last_min]])</f>
        <v>0.57324647300514708</v>
      </c>
      <c r="AV18">
        <f>(表格_new_data[[#This Row],[達成率_last]]-表格_new_data[[#This Row],[達成率_last_min]])/(表格_new_data[[#This Row],[達成率_last_max]]-表格_new_data[[#This Row],[達成率_last_min]])</f>
        <v>0.52681072080915525</v>
      </c>
    </row>
    <row r="19" spans="1:48" x14ac:dyDescent="0.25">
      <c r="A19" t="s">
        <v>42</v>
      </c>
      <c r="B19">
        <v>6.2295081967000003E-2</v>
      </c>
      <c r="C19">
        <v>0.44736842105199998</v>
      </c>
      <c r="D19">
        <v>0.17646999999999999</v>
      </c>
      <c r="E19">
        <v>6.2295081967000003E-2</v>
      </c>
      <c r="F19">
        <v>0.42308800000000002</v>
      </c>
      <c r="G19">
        <v>1220</v>
      </c>
      <c r="H19">
        <v>2.5267249756999999E-2</v>
      </c>
      <c r="I19">
        <v>0.5</v>
      </c>
      <c r="J19" s="8">
        <v>0.30769200000000002</v>
      </c>
      <c r="K19">
        <v>2.5267249756999999E-2</v>
      </c>
      <c r="L19">
        <v>0.37731399999999998</v>
      </c>
      <c r="M19">
        <v>1029</v>
      </c>
      <c r="N19">
        <v>0</v>
      </c>
      <c r="O19">
        <v>3.5529237600999998E-2</v>
      </c>
      <c r="P19">
        <v>0.25</v>
      </c>
      <c r="Q19">
        <v>0</v>
      </c>
      <c r="R19">
        <v>3.5529237600999998E-2</v>
      </c>
      <c r="S19">
        <v>0</v>
      </c>
      <c r="T19">
        <v>0.25030084235799999</v>
      </c>
      <c r="U19">
        <v>0.83333333333299997</v>
      </c>
      <c r="V19">
        <v>0.25</v>
      </c>
      <c r="W19">
        <v>0.25030084235799999</v>
      </c>
      <c r="X19">
        <v>1.0485599999999999</v>
      </c>
      <c r="Y19">
        <v>0</v>
      </c>
      <c r="Z19">
        <v>6.4935064929999998E-3</v>
      </c>
      <c r="AA19">
        <v>0.26315789473599999</v>
      </c>
      <c r="AB19">
        <v>9.0909000000000004E-2</v>
      </c>
      <c r="AC19">
        <v>6.4935064929999998E-3</v>
      </c>
      <c r="AD19">
        <v>0.33824500000000002</v>
      </c>
      <c r="AE19">
        <v>0.18708971553600001</v>
      </c>
      <c r="AF19">
        <v>0.79324055666000004</v>
      </c>
      <c r="AG19">
        <v>1</v>
      </c>
      <c r="AH19">
        <v>0.18708971553600001</v>
      </c>
      <c r="AI19">
        <v>1.5454300000000001</v>
      </c>
      <c r="AK19" t="str">
        <f>IF(ISERROR(表格_new_data[[#This Row],[Deptshort_first]]),"",表格_new_data[[#This Row],[Deptshort_first]])</f>
        <v>TBD_業務部_BD65</v>
      </c>
      <c r="AL19">
        <f>(表格_new_data[[#This Row],[預約率]]-表格_new_data[[#This Row],[預約率_min]])/(表格_new_data[[#This Row],[預約率_max]]-表格_new_data[[#This Row],[預約率_min]])</f>
        <v>0.12462468861413875</v>
      </c>
      <c r="AM19">
        <f>(表格_new_data[[#This Row],[出席率]]-表格_new_data[[#This Row],[出席率_min]])/(表格_new_data[[#This Row],[出席率_max]]-表格_new_data[[#This Row],[出席率_min]])</f>
        <v>0.33834586466076477</v>
      </c>
      <c r="AN19">
        <f>(表格_new_data[[#This Row],[成交率]]-表格_new_data[[#This Row],[成交率_min]])/(表格_new_data[[#This Row],[成交率_max]]-表格_new_data[[#This Row],[成交率_min]])</f>
        <v>0.70587999999999995</v>
      </c>
      <c r="AO19">
        <f>(表格_new_data[[#This Row],[綁定率]]-表格_new_data[[#This Row],[綁定率_min]])/(表格_new_data[[#This Row],[綁定率_max]]-表格_new_data[[#This Row],[綁定率_min]])</f>
        <v>0.12462468861413875</v>
      </c>
      <c r="AP19">
        <f>(表格_new_data[[#This Row],[達成率]]-表格_new_data[[#This Row],[達成率_min]])/(表格_new_data[[#This Row],[達成率_max]]-表格_new_data[[#This Row],[達成率_min]])</f>
        <v>0.40349431601434355</v>
      </c>
      <c r="AQ19" t="str">
        <f>IF(ISERROR(表格_new_data[[#This Row],[Deptshort_first]]),"",表格_new_data[[#This Row],[Deptshort_first]])</f>
        <v>TBD_業務部_BD65</v>
      </c>
      <c r="AR19">
        <f>(表格_new_data[[#This Row],[預約率_last]]-表格_new_data[[#This Row],[預約率_last_min]])/(表格_new_data[[#This Row],[預約率_last_max]]-表格_new_data[[#This Row],[預約率_last_min]])</f>
        <v>0.10395424889306489</v>
      </c>
      <c r="AS19">
        <f>(表格_new_data[[#This Row],[出席率_last]]-表格_new_data[[#This Row],[出席率_last_min]])/(表格_new_data[[#This Row],[出席率_last_max]]-表格_new_data[[#This Row],[出席率_last_min]])</f>
        <v>0.44680221081812516</v>
      </c>
      <c r="AT19">
        <f>(表格_new_data[[#This Row],[成交率_last]]-表格_new_data[[#This Row],[成交率_last_min]])/(表格_new_data[[#This Row],[成交率_last_max]]-表格_new_data[[#This Row],[成交率_last_min]])</f>
        <v>0.23846127615387239</v>
      </c>
      <c r="AU19">
        <f>(表格_new_data[[#This Row],[綁定率_last]]-表格_new_data[[#This Row],[綁定率_last_min]])/(表格_new_data[[#This Row],[綁定率_last_max]]-表格_new_data[[#This Row],[綁定率_last_min]])</f>
        <v>0.10395424889306489</v>
      </c>
      <c r="AV19">
        <f>(表格_new_data[[#This Row],[達成率_last]]-表格_new_data[[#This Row],[達成率_last_min]])/(表格_new_data[[#This Row],[達成率_last_max]]-表格_new_data[[#This Row],[達成率_last_min]])</f>
        <v>3.2363722213248146E-2</v>
      </c>
    </row>
    <row r="20" spans="1:48" x14ac:dyDescent="0.25">
      <c r="A20" t="s">
        <v>43</v>
      </c>
      <c r="B20">
        <v>0.21852731591399999</v>
      </c>
      <c r="C20">
        <v>0.47826086956500002</v>
      </c>
      <c r="D20">
        <v>0.113636</v>
      </c>
      <c r="E20">
        <v>0.21852731591399999</v>
      </c>
      <c r="F20">
        <v>0.60186600000000001</v>
      </c>
      <c r="G20">
        <v>421</v>
      </c>
      <c r="H20">
        <v>0.18708971553600001</v>
      </c>
      <c r="I20">
        <v>0.49122807017499998</v>
      </c>
      <c r="J20" s="8">
        <v>0.15476100000000001</v>
      </c>
      <c r="K20">
        <v>0.18708971553600001</v>
      </c>
      <c r="L20">
        <v>0.77787499999999998</v>
      </c>
      <c r="M20">
        <v>914</v>
      </c>
      <c r="N20">
        <v>0</v>
      </c>
      <c r="O20">
        <v>3.5529237600999998E-2</v>
      </c>
      <c r="P20">
        <v>0.25</v>
      </c>
      <c r="Q20">
        <v>0</v>
      </c>
      <c r="R20">
        <v>3.5529237600999998E-2</v>
      </c>
      <c r="S20">
        <v>0</v>
      </c>
      <c r="T20">
        <v>0.25030084235799999</v>
      </c>
      <c r="U20">
        <v>0.83333333333299997</v>
      </c>
      <c r="V20">
        <v>0.25</v>
      </c>
      <c r="W20">
        <v>0.25030084235799999</v>
      </c>
      <c r="X20">
        <v>1.0485599999999999</v>
      </c>
      <c r="Y20">
        <v>0</v>
      </c>
      <c r="Z20">
        <v>6.4935064929999998E-3</v>
      </c>
      <c r="AA20">
        <v>0.26315789473599999</v>
      </c>
      <c r="AB20">
        <v>9.0909000000000004E-2</v>
      </c>
      <c r="AC20">
        <v>6.4935064929999998E-3</v>
      </c>
      <c r="AD20">
        <v>0.33824500000000002</v>
      </c>
      <c r="AE20">
        <v>0.18708971553600001</v>
      </c>
      <c r="AF20">
        <v>0.79324055666000004</v>
      </c>
      <c r="AG20">
        <v>1</v>
      </c>
      <c r="AH20">
        <v>0.18708971553600001</v>
      </c>
      <c r="AI20">
        <v>1.5454300000000001</v>
      </c>
      <c r="AK20" t="str">
        <f>IF(ISERROR(表格_new_data[[#This Row],[Deptshort_first]]),"",表格_new_data[[#This Row],[Deptshort_first]])</f>
        <v>TBD_業務部_BD7</v>
      </c>
      <c r="AL20">
        <f>(表格_new_data[[#This Row],[預約率]]-表格_new_data[[#This Row],[預約率_min]])/(表格_new_data[[#This Row],[預約率_max]]-表格_new_data[[#This Row],[預約率_min]])</f>
        <v>0.8520589978365638</v>
      </c>
      <c r="AM20">
        <f>(表格_new_data[[#This Row],[出席率]]-表格_new_data[[#This Row],[出席率_min]])/(表格_new_data[[#This Row],[出席率_max]]-表格_new_data[[#This Row],[出席率_min]])</f>
        <v>0.39130434782593793</v>
      </c>
      <c r="AN20">
        <f>(表格_new_data[[#This Row],[成交率]]-表格_new_data[[#This Row],[成交率_min]])/(表格_new_data[[#This Row],[成交率_max]]-表格_new_data[[#This Row],[成交率_min]])</f>
        <v>0.454544</v>
      </c>
      <c r="AO20">
        <f>(表格_new_data[[#This Row],[綁定率]]-表格_new_data[[#This Row],[綁定率_min]])/(表格_new_data[[#This Row],[綁定率_max]]-表格_new_data[[#This Row],[綁定率_min]])</f>
        <v>0.8520589978365638</v>
      </c>
      <c r="AP20">
        <f>(表格_new_data[[#This Row],[達成率]]-表格_new_data[[#This Row],[達成率_min]])/(表格_new_data[[#This Row],[達成率_max]]-表格_new_data[[#This Row],[達成率_min]])</f>
        <v>0.57399290455481811</v>
      </c>
      <c r="AQ20" t="str">
        <f>IF(ISERROR(表格_new_data[[#This Row],[Deptshort_first]]),"",表格_new_data[[#This Row],[Deptshort_first]])</f>
        <v>TBD_業務部_BD7</v>
      </c>
      <c r="AR20">
        <f>(表格_new_data[[#This Row],[預約率_last]]-表格_new_data[[#This Row],[預約率_last_min]])/(表格_new_data[[#This Row],[預約率_last_max]]-表格_new_data[[#This Row],[預約率_last_min]])</f>
        <v>1</v>
      </c>
      <c r="AS20">
        <f>(表格_new_data[[#This Row],[出席率_last]]-表格_new_data[[#This Row],[出席率_last_min]])/(表格_new_data[[#This Row],[出席率_last_max]]-表格_new_data[[#This Row],[出席率_last_min]])</f>
        <v>0.43025398078705562</v>
      </c>
      <c r="AT20">
        <f>(表格_new_data[[#This Row],[成交率_last]]-表格_new_data[[#This Row],[成交率_last_min]])/(表格_new_data[[#This Row],[成交率_last_max]]-表格_new_data[[#This Row],[成交率_last_min]])</f>
        <v>7.0237192976280713E-2</v>
      </c>
      <c r="AU20">
        <f>(表格_new_data[[#This Row],[綁定率_last]]-表格_new_data[[#This Row],[綁定率_last_min]])/(表格_new_data[[#This Row],[綁定率_last_max]]-表格_new_data[[#This Row],[綁定率_last_min]])</f>
        <v>1</v>
      </c>
      <c r="AV20">
        <f>(表格_new_data[[#This Row],[達成率_last]]-表格_new_data[[#This Row],[達成率_last_min]])/(表格_new_data[[#This Row],[達成率_last_max]]-表格_new_data[[#This Row],[達成率_last_min]])</f>
        <v>0.36417781864420118</v>
      </c>
    </row>
    <row r="21" spans="1:48" x14ac:dyDescent="0.25">
      <c r="A21" t="s">
        <v>44</v>
      </c>
      <c r="B21">
        <v>0.20164233576599999</v>
      </c>
      <c r="C21">
        <v>0.63348416289499998</v>
      </c>
      <c r="D21">
        <v>0.2</v>
      </c>
      <c r="E21">
        <v>0.20164233576599999</v>
      </c>
      <c r="F21">
        <v>0.62487300000000001</v>
      </c>
      <c r="G21">
        <v>1096</v>
      </c>
      <c r="H21">
        <v>0.15840733314200001</v>
      </c>
      <c r="I21">
        <v>0.784810126582</v>
      </c>
      <c r="J21" s="8">
        <v>0.26958500000000002</v>
      </c>
      <c r="K21">
        <v>0.15840733314200001</v>
      </c>
      <c r="L21">
        <v>1.0218689999999999</v>
      </c>
      <c r="M21">
        <v>3491</v>
      </c>
      <c r="N21">
        <v>0</v>
      </c>
      <c r="O21">
        <v>3.5529237600999998E-2</v>
      </c>
      <c r="P21">
        <v>0.25</v>
      </c>
      <c r="Q21">
        <v>0</v>
      </c>
      <c r="R21">
        <v>3.5529237600999998E-2</v>
      </c>
      <c r="S21">
        <v>0</v>
      </c>
      <c r="T21">
        <v>0.25030084235799999</v>
      </c>
      <c r="U21">
        <v>0.83333333333299997</v>
      </c>
      <c r="V21">
        <v>0.25</v>
      </c>
      <c r="W21">
        <v>0.25030084235799999</v>
      </c>
      <c r="X21">
        <v>1.0485599999999999</v>
      </c>
      <c r="Y21">
        <v>0</v>
      </c>
      <c r="Z21">
        <v>6.4935064929999998E-3</v>
      </c>
      <c r="AA21">
        <v>0.26315789473599999</v>
      </c>
      <c r="AB21">
        <v>9.0909000000000004E-2</v>
      </c>
      <c r="AC21">
        <v>6.4935064929999998E-3</v>
      </c>
      <c r="AD21">
        <v>0.33824500000000002</v>
      </c>
      <c r="AE21">
        <v>0.18708971553600001</v>
      </c>
      <c r="AF21">
        <v>0.79324055666000004</v>
      </c>
      <c r="AG21">
        <v>1</v>
      </c>
      <c r="AH21">
        <v>0.18708971553600001</v>
      </c>
      <c r="AI21">
        <v>1.5454300000000001</v>
      </c>
      <c r="AK21" t="str">
        <f>IF(ISERROR(表格_new_data[[#This Row],[Deptshort_first]]),"",表格_new_data[[#This Row],[Deptshort_first]])</f>
        <v>TBD_業務部_BD9</v>
      </c>
      <c r="AL21">
        <f>(表格_new_data[[#This Row],[預約率]]-表格_new_data[[#This Row],[預約率_min]])/(表格_new_data[[#This Row],[預約率_max]]-表格_new_data[[#This Row],[預約率_min]])</f>
        <v>0.77344068995035953</v>
      </c>
      <c r="AM21">
        <f>(表格_new_data[[#This Row],[出席率]]-表格_new_data[[#This Row],[出席率_min]])/(表格_new_data[[#This Row],[出席率_max]]-表格_new_data[[#This Row],[出席率_min]])</f>
        <v>0.65740142210608998</v>
      </c>
      <c r="AN21">
        <f>(表格_new_data[[#This Row],[成交率]]-表格_new_data[[#This Row],[成交率_min]])/(表格_new_data[[#This Row],[成交率_max]]-表格_new_data[[#This Row],[成交率_min]])</f>
        <v>0.8</v>
      </c>
      <c r="AO21">
        <f>(表格_new_data[[#This Row],[綁定率]]-表格_new_data[[#This Row],[綁定率_min]])/(表格_new_data[[#This Row],[綁定率_max]]-表格_new_data[[#This Row],[綁定率_min]])</f>
        <v>0.77344068995035953</v>
      </c>
      <c r="AP21">
        <f>(表格_new_data[[#This Row],[達成率]]-表格_new_data[[#This Row],[達成率_min]])/(表格_new_data[[#This Row],[達成率_max]]-表格_new_data[[#This Row],[達成率_min]])</f>
        <v>0.59593442435339894</v>
      </c>
      <c r="AQ21" t="str">
        <f>IF(ISERROR(表格_new_data[[#This Row],[Deptshort_first]]),"",表格_new_data[[#This Row],[Deptshort_first]])</f>
        <v>TBD_業務部_BD9</v>
      </c>
      <c r="AR21">
        <f>(表格_new_data[[#This Row],[預約率_last]]-表格_new_data[[#This Row],[預約率_last_min]])/(表格_new_data[[#This Row],[預約率_last_max]]-表格_new_data[[#This Row],[預約率_last_min]])</f>
        <v>0.8411794879527581</v>
      </c>
      <c r="AS21">
        <f>(表格_new_data[[#This Row],[出席率_last]]-表格_new_data[[#This Row],[出席率_last_min]])/(表格_new_data[[#This Row],[出席率_last_max]]-表格_new_data[[#This Row],[出席率_last_min]])</f>
        <v>0.98409600863495372</v>
      </c>
      <c r="AT21">
        <f>(表格_new_data[[#This Row],[成交率_last]]-表格_new_data[[#This Row],[成交率_last_min]])/(表格_new_data[[#This Row],[成交率_last_max]]-表格_new_data[[#This Row],[成交率_last_min]])</f>
        <v>0.19654358034564198</v>
      </c>
      <c r="AU21">
        <f>(表格_new_data[[#This Row],[綁定率_last]]-表格_new_data[[#This Row],[綁定率_last_min]])/(表格_new_data[[#This Row],[綁定率_last_max]]-表格_new_data[[#This Row],[綁定率_last_min]])</f>
        <v>0.8411794879527581</v>
      </c>
      <c r="AV21">
        <f>(表格_new_data[[#This Row],[達成率_last]]-表格_new_data[[#This Row],[達成率_last_min]])/(表格_new_data[[#This Row],[達成率_last_max]]-表格_new_data[[#This Row],[達成率_last_min]])</f>
        <v>0.56629596954899197</v>
      </c>
    </row>
    <row r="22" spans="1:48" x14ac:dyDescent="0.25">
      <c r="J22" s="8"/>
      <c r="AK22" t="str">
        <f>IF(ISERROR(表格_new_data[[#This Row],[Deptshort_first]]),"",表格_new_data[[#This Row],[Deptshort_first]])</f>
        <v/>
      </c>
      <c r="AL22" t="e">
        <f>(表格_new_data[[#This Row],[預約率]]-表格_new_data[[#This Row],[預約率_min]])/(表格_new_data[[#This Row],[預約率_max]]-表格_new_data[[#This Row],[預約率_min]])</f>
        <v>#VALUE!</v>
      </c>
      <c r="AM22" t="e">
        <f>(表格_new_data[[#This Row],[出席率]]-表格_new_data[[#This Row],[出席率_min]])/(表格_new_data[[#This Row],[出席率_max]]-表格_new_data[[#This Row],[出席率_min]])</f>
        <v>#VALUE!</v>
      </c>
      <c r="AN22" t="e">
        <f>(表格_new_data[[#This Row],[成交率]]-表格_new_data[[#This Row],[成交率_min]])/(表格_new_data[[#This Row],[成交率_max]]-表格_new_data[[#This Row],[成交率_min]])</f>
        <v>#VALUE!</v>
      </c>
      <c r="AO22" t="e">
        <f>(表格_new_data[[#This Row],[綁定率]]-表格_new_data[[#This Row],[綁定率_min]])/(表格_new_data[[#This Row],[綁定率_max]]-表格_new_data[[#This Row],[綁定率_min]])</f>
        <v>#VALUE!</v>
      </c>
      <c r="AP22" t="e">
        <f>(表格_new_data[[#This Row],[達成率]]-表格_new_data[[#This Row],[達成率_min]])/(表格_new_data[[#This Row],[達成率_max]]-表格_new_data[[#This Row],[達成率_min]])</f>
        <v>#VALUE!</v>
      </c>
      <c r="AQ22" t="str">
        <f>IF(ISERROR(表格_new_data[[#This Row],[Deptshort_first]]),"",表格_new_data[[#This Row],[Deptshort_first]])</f>
        <v/>
      </c>
      <c r="AR22" t="e">
        <f>(表格_new_data[[#This Row],[預約率_last]]-表格_new_data[[#This Row],[預約率_last_min]])/(表格_new_data[[#This Row],[預約率_last_max]]-表格_new_data[[#This Row],[預約率_last_min]])</f>
        <v>#VALUE!</v>
      </c>
      <c r="AS22" t="e">
        <f>(表格_new_data[[#This Row],[出席率_last]]-表格_new_data[[#This Row],[出席率_last_min]])/(表格_new_data[[#This Row],[出席率_last_max]]-表格_new_data[[#This Row],[出席率_last_min]])</f>
        <v>#VALUE!</v>
      </c>
      <c r="AT22" t="e">
        <f>(表格_new_data[[#This Row],[成交率_last]]-表格_new_data[[#This Row],[成交率_last_min]])/(表格_new_data[[#This Row],[成交率_last_max]]-表格_new_data[[#This Row],[成交率_last_min]])</f>
        <v>#VALUE!</v>
      </c>
      <c r="AU22" t="e">
        <f>(表格_new_data[[#This Row],[綁定率_last]]-表格_new_data[[#This Row],[綁定率_last_min]])/(表格_new_data[[#This Row],[綁定率_last_max]]-表格_new_data[[#This Row],[綁定率_last_min]])</f>
        <v>#VALUE!</v>
      </c>
      <c r="AV22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3" spans="1:48" x14ac:dyDescent="0.25">
      <c r="J23" s="8"/>
      <c r="AK23" t="str">
        <f>IF(ISERROR(表格_new_data[[#This Row],[Deptshort_first]]),"",表格_new_data[[#This Row],[Deptshort_first]])</f>
        <v/>
      </c>
      <c r="AL23" t="e">
        <f>(表格_new_data[[#This Row],[預約率]]-表格_new_data[[#This Row],[預約率_min]])/(表格_new_data[[#This Row],[預約率_max]]-表格_new_data[[#This Row],[預約率_min]])</f>
        <v>#VALUE!</v>
      </c>
      <c r="AM23" t="e">
        <f>(表格_new_data[[#This Row],[出席率]]-表格_new_data[[#This Row],[出席率_min]])/(表格_new_data[[#This Row],[出席率_max]]-表格_new_data[[#This Row],[出席率_min]])</f>
        <v>#VALUE!</v>
      </c>
      <c r="AN23" t="e">
        <f>(表格_new_data[[#This Row],[成交率]]-表格_new_data[[#This Row],[成交率_min]])/(表格_new_data[[#This Row],[成交率_max]]-表格_new_data[[#This Row],[成交率_min]])</f>
        <v>#VALUE!</v>
      </c>
      <c r="AO23" t="e">
        <f>(表格_new_data[[#This Row],[綁定率]]-表格_new_data[[#This Row],[綁定率_min]])/(表格_new_data[[#This Row],[綁定率_max]]-表格_new_data[[#This Row],[綁定率_min]])</f>
        <v>#VALUE!</v>
      </c>
      <c r="AP23" t="e">
        <f>(表格_new_data[[#This Row],[達成率]]-表格_new_data[[#This Row],[達成率_min]])/(表格_new_data[[#This Row],[達成率_max]]-表格_new_data[[#This Row],[達成率_min]])</f>
        <v>#VALUE!</v>
      </c>
      <c r="AQ23" t="str">
        <f>IF(ISERROR(表格_new_data[[#This Row],[Deptshort_first]]),"",表格_new_data[[#This Row],[Deptshort_first]])</f>
        <v/>
      </c>
      <c r="AR23" t="e">
        <f>(表格_new_data[[#This Row],[預約率_last]]-表格_new_data[[#This Row],[預約率_last_min]])/(表格_new_data[[#This Row],[預約率_last_max]]-表格_new_data[[#This Row],[預約率_last_min]])</f>
        <v>#VALUE!</v>
      </c>
      <c r="AS23" t="e">
        <f>(表格_new_data[[#This Row],[出席率_last]]-表格_new_data[[#This Row],[出席率_last_min]])/(表格_new_data[[#This Row],[出席率_last_max]]-表格_new_data[[#This Row],[出席率_last_min]])</f>
        <v>#VALUE!</v>
      </c>
      <c r="AT23" t="e">
        <f>(表格_new_data[[#This Row],[成交率_last]]-表格_new_data[[#This Row],[成交率_last_min]])/(表格_new_data[[#This Row],[成交率_last_max]]-表格_new_data[[#This Row],[成交率_last_min]])</f>
        <v>#VALUE!</v>
      </c>
      <c r="AU23" t="e">
        <f>(表格_new_data[[#This Row],[綁定率_last]]-表格_new_data[[#This Row],[綁定率_last_min]])/(表格_new_data[[#This Row],[綁定率_last_max]]-表格_new_data[[#This Row],[綁定率_last_min]])</f>
        <v>#VALUE!</v>
      </c>
      <c r="AV23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4" spans="1:48" x14ac:dyDescent="0.25">
      <c r="J24" s="8"/>
      <c r="AK24" t="str">
        <f>IF(ISERROR(表格_new_data[[#This Row],[Deptshort_first]]),"",表格_new_data[[#This Row],[Deptshort_first]])</f>
        <v/>
      </c>
      <c r="AL24" t="e">
        <f>(表格_new_data[[#This Row],[預約率]]-表格_new_data[[#This Row],[預約率_min]])/(表格_new_data[[#This Row],[預約率_max]]-表格_new_data[[#This Row],[預約率_min]])</f>
        <v>#VALUE!</v>
      </c>
      <c r="AM24" t="e">
        <f>(表格_new_data[[#This Row],[出席率]]-表格_new_data[[#This Row],[出席率_min]])/(表格_new_data[[#This Row],[出席率_max]]-表格_new_data[[#This Row],[出席率_min]])</f>
        <v>#VALUE!</v>
      </c>
      <c r="AN24" t="e">
        <f>(表格_new_data[[#This Row],[成交率]]-表格_new_data[[#This Row],[成交率_min]])/(表格_new_data[[#This Row],[成交率_max]]-表格_new_data[[#This Row],[成交率_min]])</f>
        <v>#VALUE!</v>
      </c>
      <c r="AO24" t="e">
        <f>(表格_new_data[[#This Row],[綁定率]]-表格_new_data[[#This Row],[綁定率_min]])/(表格_new_data[[#This Row],[綁定率_max]]-表格_new_data[[#This Row],[綁定率_min]])</f>
        <v>#VALUE!</v>
      </c>
      <c r="AP24" t="e">
        <f>(表格_new_data[[#This Row],[達成率]]-表格_new_data[[#This Row],[達成率_min]])/(表格_new_data[[#This Row],[達成率_max]]-表格_new_data[[#This Row],[達成率_min]])</f>
        <v>#VALUE!</v>
      </c>
      <c r="AQ24" t="str">
        <f>IF(ISERROR(表格_new_data[[#This Row],[Deptshort_first]]),"",表格_new_data[[#This Row],[Deptshort_first]])</f>
        <v/>
      </c>
      <c r="AR24" t="e">
        <f>(表格_new_data[[#This Row],[預約率_last]]-表格_new_data[[#This Row],[預約率_last_min]])/(表格_new_data[[#This Row],[預約率_last_max]]-表格_new_data[[#This Row],[預約率_last_min]])</f>
        <v>#VALUE!</v>
      </c>
      <c r="AS24" t="e">
        <f>(表格_new_data[[#This Row],[出席率_last]]-表格_new_data[[#This Row],[出席率_last_min]])/(表格_new_data[[#This Row],[出席率_last_max]]-表格_new_data[[#This Row],[出席率_last_min]])</f>
        <v>#VALUE!</v>
      </c>
      <c r="AT24" t="e">
        <f>(表格_new_data[[#This Row],[成交率_last]]-表格_new_data[[#This Row],[成交率_last_min]])/(表格_new_data[[#This Row],[成交率_last_max]]-表格_new_data[[#This Row],[成交率_last_min]])</f>
        <v>#VALUE!</v>
      </c>
      <c r="AU24" t="e">
        <f>(表格_new_data[[#This Row],[綁定率_last]]-表格_new_data[[#This Row],[綁定率_last_min]])/(表格_new_data[[#This Row],[綁定率_last_max]]-表格_new_data[[#This Row],[綁定率_last_min]])</f>
        <v>#VALUE!</v>
      </c>
      <c r="AV24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5" spans="1:48" x14ac:dyDescent="0.25">
      <c r="AK25" t="str">
        <f>IF(ISERROR(表格_new_data[[#This Row],[Deptshort_first]]),"",表格_new_data[[#This Row],[Deptshort_first]])</f>
        <v/>
      </c>
      <c r="AL25" t="e">
        <f>(表格_new_data[[#This Row],[預約率]]-表格_new_data[[#This Row],[預約率_min]])/(表格_new_data[[#This Row],[預約率_max]]-表格_new_data[[#This Row],[預約率_min]])</f>
        <v>#VALUE!</v>
      </c>
      <c r="AM25" t="e">
        <f>(表格_new_data[[#This Row],[出席率]]-表格_new_data[[#This Row],[出席率_min]])/(表格_new_data[[#This Row],[出席率_max]]-表格_new_data[[#This Row],[出席率_min]])</f>
        <v>#VALUE!</v>
      </c>
      <c r="AN25" t="e">
        <f>(表格_new_data[[#This Row],[成交率]]-表格_new_data[[#This Row],[成交率_min]])/(表格_new_data[[#This Row],[成交率_max]]-表格_new_data[[#This Row],[成交率_min]])</f>
        <v>#VALUE!</v>
      </c>
      <c r="AO25" t="e">
        <f>(表格_new_data[[#This Row],[綁定率]]-表格_new_data[[#This Row],[綁定率_min]])/(表格_new_data[[#This Row],[綁定率_max]]-表格_new_data[[#This Row],[綁定率_min]])</f>
        <v>#VALUE!</v>
      </c>
      <c r="AP25" t="e">
        <f>(表格_new_data[[#This Row],[達成率]]-表格_new_data[[#This Row],[達成率_min]])/(表格_new_data[[#This Row],[達成率_max]]-表格_new_data[[#This Row],[達成率_min]])</f>
        <v>#VALUE!</v>
      </c>
      <c r="AQ25" t="str">
        <f>IF(ISERROR(表格_new_data[[#This Row],[Deptshort_first]]),"",表格_new_data[[#This Row],[Deptshort_first]])</f>
        <v/>
      </c>
      <c r="AR25" t="e">
        <f>(表格_new_data[[#This Row],[預約率_last]]-表格_new_data[[#This Row],[預約率_last_min]])/(表格_new_data[[#This Row],[預約率_last_max]]-表格_new_data[[#This Row],[預約率_last_min]])</f>
        <v>#VALUE!</v>
      </c>
      <c r="AS25" t="e">
        <f>(表格_new_data[[#This Row],[出席率_last]]-表格_new_data[[#This Row],[出席率_last_min]])/(表格_new_data[[#This Row],[出席率_last_max]]-表格_new_data[[#This Row],[出席率_last_min]])</f>
        <v>#VALUE!</v>
      </c>
      <c r="AT25" t="e">
        <f>(表格_new_data[[#This Row],[成交率_last]]-表格_new_data[[#This Row],[成交率_last_min]])/(表格_new_data[[#This Row],[成交率_last_max]]-表格_new_data[[#This Row],[成交率_last_min]])</f>
        <v>#VALUE!</v>
      </c>
      <c r="AU25" t="e">
        <f>(表格_new_data[[#This Row],[綁定率_last]]-表格_new_data[[#This Row],[綁定率_last_min]])/(表格_new_data[[#This Row],[綁定率_last_max]]-表格_new_data[[#This Row],[綁定率_last_min]])</f>
        <v>#VALUE!</v>
      </c>
      <c r="AV25" t="e">
        <f>(表格_new_data[[#This Row],[達成率_last]]-表格_new_data[[#This Row],[達成率_last_min]])/(表格_new_data[[#This Row],[達成率_last_max]]-表格_new_data[[#This Row],[達成率_last_min]])</f>
        <v>#VALUE!</v>
      </c>
    </row>
  </sheetData>
  <sortState ref="A2:Q20">
    <sortCondition ref="A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D6" sqref="D6"/>
    </sheetView>
  </sheetViews>
  <sheetFormatPr defaultRowHeight="16.5" x14ac:dyDescent="0.25"/>
  <cols>
    <col min="1" max="1" width="18.75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0.62742382271399999</v>
      </c>
      <c r="C2">
        <v>0.61810154525299998</v>
      </c>
      <c r="D2">
        <v>0.14285700000000001</v>
      </c>
      <c r="E2">
        <v>0.62742382271399999</v>
      </c>
      <c r="F2">
        <v>0.61929599999999996</v>
      </c>
      <c r="G2">
        <v>38</v>
      </c>
      <c r="H2">
        <v>0.3734241908</v>
      </c>
      <c r="I2">
        <v>0.76277372262700005</v>
      </c>
      <c r="J2">
        <v>0.188995</v>
      </c>
      <c r="K2">
        <v>0.3734241908</v>
      </c>
      <c r="L2">
        <v>0.74703600000000003</v>
      </c>
      <c r="M2">
        <v>154</v>
      </c>
      <c r="N2">
        <v>1</v>
      </c>
      <c r="O2">
        <v>9.0909090908999998E-2</v>
      </c>
      <c r="P2">
        <v>0.25</v>
      </c>
      <c r="Q2">
        <v>0</v>
      </c>
      <c r="R2">
        <v>9.0909090908999998E-2</v>
      </c>
      <c r="S2">
        <v>0</v>
      </c>
      <c r="T2">
        <v>1</v>
      </c>
      <c r="U2">
        <v>1</v>
      </c>
      <c r="V2">
        <v>0.5</v>
      </c>
      <c r="W2">
        <v>1</v>
      </c>
      <c r="X2">
        <v>2.05755</v>
      </c>
      <c r="Y2">
        <v>1</v>
      </c>
      <c r="Z2">
        <v>0.17504051863799999</v>
      </c>
      <c r="AA2">
        <v>0.53968253968199997</v>
      </c>
      <c r="AB2">
        <v>0.117647</v>
      </c>
      <c r="AC2">
        <v>0.17504051863799999</v>
      </c>
      <c r="AD2">
        <v>0.42619099999999999</v>
      </c>
      <c r="AE2">
        <v>0.944444444444</v>
      </c>
      <c r="AF2">
        <v>1</v>
      </c>
      <c r="AG2">
        <v>0.66666599999999998</v>
      </c>
      <c r="AH2">
        <v>0.944444444444</v>
      </c>
      <c r="AI2">
        <v>2.8160959999999999</v>
      </c>
      <c r="AK2" t="str">
        <f>IF(ISERROR(表格_mgm_data[[#This Row],[Deptshort_first]]),"",表格_mgm_data[[#This Row],[Deptshort_first]])</f>
        <v>mean</v>
      </c>
      <c r="AL2">
        <f>(表格_mgm_data[[#This Row],[預約率]]-表格_mgm_data[[#This Row],[預約率_min]])/(表格_mgm_data[[#This Row],[預約率_max]]-表格_mgm_data[[#This Row],[預約率_min]])</f>
        <v>0.59016620498544092</v>
      </c>
      <c r="AM2">
        <f>(表格_mgm_data[[#This Row],[出席率]]-表格_mgm_data[[#This Row],[出席率_min]])/(表格_mgm_data[[#This Row],[出席率_max]]-表格_mgm_data[[#This Row],[出席率_min]])</f>
        <v>0.49080206033733331</v>
      </c>
      <c r="AN2">
        <f>(表格_mgm_data[[#This Row],[成交率]]-表格_mgm_data[[#This Row],[成交率_min]])/(表格_mgm_data[[#This Row],[成交率_max]]-表格_mgm_data[[#This Row],[成交率_min]])</f>
        <v>0.28571400000000002</v>
      </c>
      <c r="AO2">
        <f>(表格_mgm_data[[#This Row],[綁定率]]-表格_mgm_data[[#This Row],[綁定率_min]])/(表格_mgm_data[[#This Row],[綁定率_max]]-表格_mgm_data[[#This Row],[綁定率_min]])</f>
        <v>0.59016620498544092</v>
      </c>
      <c r="AP2">
        <f>(表格_mgm_data[[#This Row],[達成率]]-表格_mgm_data[[#This Row],[達成率_min]])/(表格_mgm_data[[#This Row],[達成率_max]]-表格_mgm_data[[#This Row],[達成率_min]])</f>
        <v>0.30098709630385651</v>
      </c>
      <c r="AQ2" t="str">
        <f>IF(ISERROR(表格_mgm_data[[#This Row],[Deptshort_first]]),"",表格_mgm_data[[#This Row],[Deptshort_first]])</f>
        <v>mean</v>
      </c>
      <c r="AR2">
        <f>(表格_mgm_data[[#This Row],[預約率_last]]-表格_mgm_data[[#This Row],[預約率_last_min]])/(表格_mgm_data[[#This Row],[預約率_last_max]]-表格_mgm_data[[#This Row],[預約率_last_min]])</f>
        <v>0.25784073294684628</v>
      </c>
      <c r="AS2">
        <f>(表格_mgm_data[[#This Row],[出席率_last]]-表格_mgm_data[[#This Row],[出席率_last_min]])/(表格_mgm_data[[#This Row],[出席率_last_max]]-表格_mgm_data[[#This Row],[出席率_last_min]])</f>
        <v>0.48464636294891467</v>
      </c>
      <c r="AT2">
        <f>(表格_mgm_data[[#This Row],[成交率_last]]-表格_mgm_data[[#This Row],[成交率_last_min]])/(表格_mgm_data[[#This Row],[成交率_last_max]]-表格_mgm_data[[#This Row],[成交率_last_min]])</f>
        <v>0.12995542959351133</v>
      </c>
      <c r="AU2">
        <f>(表格_mgm_data[[#This Row],[綁定率_last]]-表格_mgm_data[[#This Row],[綁定率_last_min]])/(表格_mgm_data[[#This Row],[綁定率_last_max]]-表格_mgm_data[[#This Row],[綁定率_last_min]])</f>
        <v>0.25784073294684628</v>
      </c>
      <c r="AV2">
        <f>(表格_mgm_data[[#This Row],[達成率_last]]-表格_mgm_data[[#This Row],[達成率_last_min]])/(表格_mgm_data[[#This Row],[達成率_last_max]]-表格_mgm_data[[#This Row],[達成率_last_min]])</f>
        <v>0.13425010617576852</v>
      </c>
      <c r="AX2" s="2" t="s">
        <v>21</v>
      </c>
      <c r="AY2">
        <f>VLOOKUP(戰力表!$C$1,mgm_this!$AK2:$AP25,2,FALSE)</f>
        <v>0.72500000000002751</v>
      </c>
      <c r="AZ2">
        <f>VLOOKUP(戰力表!$C$1,mgm_this!$AK2:$AP25,3,FALSE)</f>
        <v>0.33333333333333331</v>
      </c>
      <c r="BA2">
        <f>VLOOKUP(戰力表!$C$1,mgm_this!$AK2:$AP25,4,FALSE)</f>
        <v>0</v>
      </c>
      <c r="BB2">
        <f>VLOOKUP(戰力表!$C$1,mgm_this!$AK2:$AP25,5,FALSE)</f>
        <v>0.72500000000002751</v>
      </c>
      <c r="BC2">
        <f>VLOOKUP(戰力表!$C$1,mgm_this!$AK2:$AP25,6,FALSE)</f>
        <v>0</v>
      </c>
    </row>
    <row r="3" spans="1:55" x14ac:dyDescent="0.25">
      <c r="A3" t="s">
        <v>26</v>
      </c>
      <c r="B3">
        <v>0.75</v>
      </c>
      <c r="C3">
        <v>0.5</v>
      </c>
      <c r="D3">
        <v>0</v>
      </c>
      <c r="E3">
        <v>0.75</v>
      </c>
      <c r="F3">
        <v>0</v>
      </c>
      <c r="G3">
        <v>8</v>
      </c>
      <c r="H3">
        <v>0.45</v>
      </c>
      <c r="I3">
        <v>0.88888888888799999</v>
      </c>
      <c r="J3">
        <v>0.25</v>
      </c>
      <c r="K3">
        <v>0.45</v>
      </c>
      <c r="L3">
        <v>1.3873359999999999</v>
      </c>
      <c r="M3">
        <v>20</v>
      </c>
      <c r="N3">
        <v>1</v>
      </c>
      <c r="O3">
        <v>9.0909090908999998E-2</v>
      </c>
      <c r="P3">
        <v>0.25</v>
      </c>
      <c r="Q3">
        <v>0</v>
      </c>
      <c r="R3">
        <v>9.0909090908999998E-2</v>
      </c>
      <c r="S3">
        <v>0</v>
      </c>
      <c r="T3">
        <v>1</v>
      </c>
      <c r="U3">
        <v>1</v>
      </c>
      <c r="V3">
        <v>0.5</v>
      </c>
      <c r="W3">
        <v>1</v>
      </c>
      <c r="X3">
        <v>2.05755</v>
      </c>
      <c r="Y3">
        <v>1</v>
      </c>
      <c r="Z3">
        <v>0.17504051863799999</v>
      </c>
      <c r="AA3">
        <v>0.53968253968199997</v>
      </c>
      <c r="AB3">
        <v>0.117647</v>
      </c>
      <c r="AC3">
        <v>0.17504051863799999</v>
      </c>
      <c r="AD3">
        <v>0.42619099999999999</v>
      </c>
      <c r="AE3">
        <v>0.944444444444</v>
      </c>
      <c r="AF3">
        <v>1</v>
      </c>
      <c r="AG3">
        <v>0.66666599999999998</v>
      </c>
      <c r="AH3">
        <v>0.944444444444</v>
      </c>
      <c r="AI3">
        <v>2.8160959999999999</v>
      </c>
      <c r="AK3" t="str">
        <f>IF(ISERROR(表格_mgm_data[[#This Row],[Deptshort_first]]),"",表格_mgm_data[[#This Row],[Deptshort_first]])</f>
        <v>TBD_業務部_BD1</v>
      </c>
      <c r="AL3">
        <f>(表格_mgm_data[[#This Row],[預約率]]-表格_mgm_data[[#This Row],[預約率_min]])/(表格_mgm_data[[#This Row],[預約率_max]]-表格_mgm_data[[#This Row],[預約率_min]])</f>
        <v>0.72500000000002751</v>
      </c>
      <c r="AM3">
        <f>(表格_mgm_data[[#This Row],[出席率]]-表格_mgm_data[[#This Row],[出席率_min]])/(表格_mgm_data[[#This Row],[出席率_max]]-表格_mgm_data[[#This Row],[出席率_min]])</f>
        <v>0.33333333333333331</v>
      </c>
      <c r="AN3">
        <f>(表格_mgm_data[[#This Row],[成交率]]-表格_mgm_data[[#This Row],[成交率_min]])/(表格_mgm_data[[#This Row],[成交率_max]]-表格_mgm_data[[#This Row],[成交率_min]])</f>
        <v>0</v>
      </c>
      <c r="AO3">
        <f>(表格_mgm_data[[#This Row],[綁定率]]-表格_mgm_data[[#This Row],[綁定率_min]])/(表格_mgm_data[[#This Row],[綁定率_max]]-表格_mgm_data[[#This Row],[綁定率_min]])</f>
        <v>0.72500000000002751</v>
      </c>
      <c r="AP3">
        <f>(表格_mgm_data[[#This Row],[達成率]]-表格_mgm_data[[#This Row],[達成率_min]])/(表格_mgm_data[[#This Row],[達成率_max]]-表格_mgm_data[[#This Row],[達成率_min]])</f>
        <v>0</v>
      </c>
      <c r="AQ3" t="str">
        <f>IF(ISERROR(表格_mgm_data[[#This Row],[Deptshort_first]]),"",表格_mgm_data[[#This Row],[Deptshort_first]])</f>
        <v>TBD_業務部_BD1</v>
      </c>
      <c r="AR3">
        <f>(表格_mgm_data[[#This Row],[預約率_last]]-表格_mgm_data[[#This Row],[預約率_last_min]])/(表格_mgm_data[[#This Row],[預約率_last_max]]-表格_mgm_data[[#This Row],[預約率_last_min]])</f>
        <v>0.35736688121777166</v>
      </c>
      <c r="AS3">
        <f>(表格_mgm_data[[#This Row],[出席率_last]]-表格_mgm_data[[#This Row],[出席率_last_min]])/(表格_mgm_data[[#This Row],[出席率_last_max]]-表格_mgm_data[[#This Row],[出席率_last_min]])</f>
        <v>0.75862068965352436</v>
      </c>
      <c r="AT3">
        <f>(表格_mgm_data[[#This Row],[成交率_last]]-表格_mgm_data[[#This Row],[成交率_last_min]])/(表格_mgm_data[[#This Row],[成交率_last_max]]-表格_mgm_data[[#This Row],[成交率_last_min]])</f>
        <v>0.24107180261521008</v>
      </c>
      <c r="AU3">
        <f>(表格_mgm_data[[#This Row],[綁定率_last]]-表格_mgm_data[[#This Row],[綁定率_last_min]])/(表格_mgm_data[[#This Row],[綁定率_last_max]]-表格_mgm_data[[#This Row],[綁定率_last_min]])</f>
        <v>0.35736688121777166</v>
      </c>
      <c r="AV3">
        <f>(表格_mgm_data[[#This Row],[達成率_last]]-表格_mgm_data[[#This Row],[達成率_last_min]])/(表格_mgm_data[[#This Row],[達成率_last_max]]-表格_mgm_data[[#This Row],[達成率_last_min]])</f>
        <v>0.4021687054506351</v>
      </c>
      <c r="AX3" s="2" t="s">
        <v>22</v>
      </c>
      <c r="AY3">
        <f>VLOOKUP(戰力表!$C$1,mgm_this!$AQ2:$AV25,2,FALSE)</f>
        <v>0.35736688121777166</v>
      </c>
      <c r="AZ3">
        <f>VLOOKUP(戰力表!$C$1,mgm_this!$AQ2:$AV25,3,FALSE)</f>
        <v>0.75862068965352436</v>
      </c>
      <c r="BA3">
        <f>VLOOKUP(戰力表!$C$1,mgm_this!$AQ2:$AV25,4,FALSE)</f>
        <v>0.24107180261521008</v>
      </c>
      <c r="BB3">
        <f>VLOOKUP(戰力表!$C$1,mgm_this!$AQ2:$AV25,5,FALSE)</f>
        <v>0.35736688121777166</v>
      </c>
      <c r="BC3">
        <f>VLOOKUP(戰力表!$C$1,mgm_this!$AQ2:$AV25,6,FALSE)</f>
        <v>0.4021687054506351</v>
      </c>
    </row>
    <row r="4" spans="1:55" x14ac:dyDescent="0.25">
      <c r="A4" t="s">
        <v>27</v>
      </c>
      <c r="B4">
        <v>0.35483870967699999</v>
      </c>
      <c r="C4">
        <v>0.63636363636299997</v>
      </c>
      <c r="D4">
        <v>0.28571400000000002</v>
      </c>
      <c r="E4">
        <v>0.35483870967699999</v>
      </c>
      <c r="F4">
        <v>0.73050300000000001</v>
      </c>
      <c r="G4">
        <v>31</v>
      </c>
      <c r="H4">
        <v>0.37837837837799998</v>
      </c>
      <c r="I4">
        <v>0.92857142857099995</v>
      </c>
      <c r="J4">
        <v>0.34615299999999999</v>
      </c>
      <c r="K4">
        <v>0.37837837837799998</v>
      </c>
      <c r="L4">
        <v>1.197586</v>
      </c>
      <c r="M4">
        <v>74</v>
      </c>
      <c r="N4">
        <v>1</v>
      </c>
      <c r="O4">
        <v>9.0909090908999998E-2</v>
      </c>
      <c r="P4">
        <v>0.25</v>
      </c>
      <c r="Q4">
        <v>0</v>
      </c>
      <c r="R4">
        <v>9.0909090908999998E-2</v>
      </c>
      <c r="S4">
        <v>0</v>
      </c>
      <c r="T4">
        <v>1</v>
      </c>
      <c r="U4">
        <v>1</v>
      </c>
      <c r="V4">
        <v>0.5</v>
      </c>
      <c r="W4">
        <v>1</v>
      </c>
      <c r="X4">
        <v>2.05755</v>
      </c>
      <c r="Y4">
        <v>1</v>
      </c>
      <c r="Z4">
        <v>0.17504051863799999</v>
      </c>
      <c r="AA4">
        <v>0.53968253968199997</v>
      </c>
      <c r="AB4">
        <v>0.117647</v>
      </c>
      <c r="AC4">
        <v>0.17504051863799999</v>
      </c>
      <c r="AD4">
        <v>0.42619099999999999</v>
      </c>
      <c r="AE4">
        <v>0.944444444444</v>
      </c>
      <c r="AF4">
        <v>1</v>
      </c>
      <c r="AG4">
        <v>0.66666599999999998</v>
      </c>
      <c r="AH4">
        <v>0.944444444444</v>
      </c>
      <c r="AI4">
        <v>2.8160959999999999</v>
      </c>
      <c r="AK4" t="str">
        <f>IF(ISERROR(表格_mgm_data[[#This Row],[Deptshort_first]]),"",表格_mgm_data[[#This Row],[Deptshort_first]])</f>
        <v>TBD_業務部_BD11</v>
      </c>
      <c r="AL4">
        <f>(表格_mgm_data[[#This Row],[預約率]]-表格_mgm_data[[#This Row],[預約率_min]])/(表格_mgm_data[[#This Row],[預約率_max]]-表格_mgm_data[[#This Row],[預約率_min]])</f>
        <v>0.29032258064477096</v>
      </c>
      <c r="AM4">
        <f>(表格_mgm_data[[#This Row],[出席率]]-表格_mgm_data[[#This Row],[出席率_min]])/(表格_mgm_data[[#This Row],[出席率_max]]-表格_mgm_data[[#This Row],[出席率_min]])</f>
        <v>0.51515151515066659</v>
      </c>
      <c r="AN4">
        <f>(表格_mgm_data[[#This Row],[成交率]]-表格_mgm_data[[#This Row],[成交率_min]])/(表格_mgm_data[[#This Row],[成交率_max]]-表格_mgm_data[[#This Row],[成交率_min]])</f>
        <v>0.57142800000000005</v>
      </c>
      <c r="AO4">
        <f>(表格_mgm_data[[#This Row],[綁定率]]-表格_mgm_data[[#This Row],[綁定率_min]])/(表格_mgm_data[[#This Row],[綁定率_max]]-表格_mgm_data[[#This Row],[綁定率_min]])</f>
        <v>0.29032258064477096</v>
      </c>
      <c r="AP4">
        <f>(表格_mgm_data[[#This Row],[達成率]]-表格_mgm_data[[#This Row],[達成率_min]])/(表格_mgm_data[[#This Row],[達成率_max]]-表格_mgm_data[[#This Row],[達成率_min]])</f>
        <v>0.35503535758547788</v>
      </c>
      <c r="AQ4" t="str">
        <f>IF(ISERROR(表格_mgm_data[[#This Row],[Deptshort_first]]),"",表格_mgm_data[[#This Row],[Deptshort_first]])</f>
        <v>TBD_業務部_BD11</v>
      </c>
      <c r="AR4">
        <f>(表格_mgm_data[[#This Row],[預約率_last]]-表格_mgm_data[[#This Row],[預約率_last_min]])/(表格_mgm_data[[#This Row],[預約率_last_max]]-表格_mgm_data[[#This Row],[預約率_last_min]])</f>
        <v>0.26427972735776012</v>
      </c>
      <c r="AS4">
        <f>(表格_mgm_data[[#This Row],[出席率_last]]-表格_mgm_data[[#This Row],[出席率_last_min]])/(表格_mgm_data[[#This Row],[出席率_last_max]]-表格_mgm_data[[#This Row],[出席率_last_min]])</f>
        <v>0.84482758620614729</v>
      </c>
      <c r="AT4">
        <f>(表格_mgm_data[[#This Row],[成交率_last]]-表格_mgm_data[[#This Row],[成交率_last_min]])/(表格_mgm_data[[#This Row],[成交率_last_max]]-表格_mgm_data[[#This Row],[成交率_last_min]])</f>
        <v>0.4162078179443699</v>
      </c>
      <c r="AU4">
        <f>(表格_mgm_data[[#This Row],[綁定率_last]]-表格_mgm_data[[#This Row],[綁定率_last_min]])/(表格_mgm_data[[#This Row],[綁定率_last_max]]-表格_mgm_data[[#This Row],[綁定率_last_min]])</f>
        <v>0.26427972735776012</v>
      </c>
      <c r="AV4">
        <f>(表格_mgm_data[[#This Row],[達成率_last]]-表格_mgm_data[[#This Row],[達成率_last_min]])/(表格_mgm_data[[#This Row],[達成率_last_max]]-表格_mgm_data[[#This Row],[達成率_last_min]])</f>
        <v>0.32277224408501598</v>
      </c>
      <c r="AX4" s="2" t="s">
        <v>23</v>
      </c>
      <c r="AY4">
        <f>AL2</f>
        <v>0.59016620498544092</v>
      </c>
      <c r="AZ4">
        <f t="shared" ref="AZ4:BC4" si="0">AM2</f>
        <v>0.49080206033733331</v>
      </c>
      <c r="BA4">
        <f t="shared" si="0"/>
        <v>0.28571400000000002</v>
      </c>
      <c r="BB4">
        <f t="shared" si="0"/>
        <v>0.59016620498544092</v>
      </c>
      <c r="BC4">
        <f t="shared" si="0"/>
        <v>0.30098709630385651</v>
      </c>
    </row>
    <row r="5" spans="1:55" x14ac:dyDescent="0.25">
      <c r="A5" t="s">
        <v>28</v>
      </c>
      <c r="B5">
        <v>0.70175438596399997</v>
      </c>
      <c r="C5">
        <v>0.57499999999999996</v>
      </c>
      <c r="D5">
        <v>0</v>
      </c>
      <c r="E5">
        <v>0.70175438596399997</v>
      </c>
      <c r="F5">
        <v>0</v>
      </c>
      <c r="G5">
        <v>57</v>
      </c>
      <c r="H5">
        <v>0.30065359477100001</v>
      </c>
      <c r="I5">
        <v>0.93478260869499996</v>
      </c>
      <c r="J5">
        <v>0.13953399999999999</v>
      </c>
      <c r="K5">
        <v>0.30065359477100001</v>
      </c>
      <c r="L5">
        <v>0.44058399999999998</v>
      </c>
      <c r="M5">
        <v>153</v>
      </c>
      <c r="N5">
        <v>1</v>
      </c>
      <c r="O5">
        <v>9.0909090908999998E-2</v>
      </c>
      <c r="P5">
        <v>0.25</v>
      </c>
      <c r="Q5">
        <v>0</v>
      </c>
      <c r="R5">
        <v>9.0909090908999998E-2</v>
      </c>
      <c r="S5">
        <v>0</v>
      </c>
      <c r="T5">
        <v>1</v>
      </c>
      <c r="U5">
        <v>1</v>
      </c>
      <c r="V5">
        <v>0.5</v>
      </c>
      <c r="W5">
        <v>1</v>
      </c>
      <c r="X5">
        <v>2.05755</v>
      </c>
      <c r="Y5">
        <v>1</v>
      </c>
      <c r="Z5">
        <v>0.17504051863799999</v>
      </c>
      <c r="AA5">
        <v>0.53968253968199997</v>
      </c>
      <c r="AB5">
        <v>0.117647</v>
      </c>
      <c r="AC5">
        <v>0.17504051863799999</v>
      </c>
      <c r="AD5">
        <v>0.42619099999999999</v>
      </c>
      <c r="AE5">
        <v>0.944444444444</v>
      </c>
      <c r="AF5">
        <v>1</v>
      </c>
      <c r="AG5">
        <v>0.66666599999999998</v>
      </c>
      <c r="AH5">
        <v>0.944444444444</v>
      </c>
      <c r="AI5">
        <v>2.8160959999999999</v>
      </c>
      <c r="AK5" t="str">
        <f>IF(ISERROR(表格_mgm_data[[#This Row],[Deptshort_first]]),"",表格_mgm_data[[#This Row],[Deptshort_first]])</f>
        <v>TBD_業務部_BD15</v>
      </c>
      <c r="AL5">
        <f>(表格_mgm_data[[#This Row],[預約率]]-表格_mgm_data[[#This Row],[預約率_min]])/(表格_mgm_data[[#This Row],[預約率_max]]-表格_mgm_data[[#This Row],[預約率_min]])</f>
        <v>0.67192982456043282</v>
      </c>
      <c r="AM5">
        <f>(表格_mgm_data[[#This Row],[出席率]]-表格_mgm_data[[#This Row],[出席率_min]])/(表格_mgm_data[[#This Row],[出席率_max]]-表格_mgm_data[[#This Row],[出席率_min]])</f>
        <v>0.43333333333333329</v>
      </c>
      <c r="AN5">
        <f>(表格_mgm_data[[#This Row],[成交率]]-表格_mgm_data[[#This Row],[成交率_min]])/(表格_mgm_data[[#This Row],[成交率_max]]-表格_mgm_data[[#This Row],[成交率_min]])</f>
        <v>0</v>
      </c>
      <c r="AO5">
        <f>(表格_mgm_data[[#This Row],[綁定率]]-表格_mgm_data[[#This Row],[綁定率_min]])/(表格_mgm_data[[#This Row],[綁定率_max]]-表格_mgm_data[[#This Row],[綁定率_min]])</f>
        <v>0.67192982456043282</v>
      </c>
      <c r="AP5">
        <f>(表格_mgm_data[[#This Row],[達成率]]-表格_mgm_data[[#This Row],[達成率_min]])/(表格_mgm_data[[#This Row],[達成率_max]]-表格_mgm_data[[#This Row],[達成率_min]])</f>
        <v>0</v>
      </c>
      <c r="AQ5" t="str">
        <f>IF(ISERROR(表格_mgm_data[[#This Row],[Deptshort_first]]),"",表格_mgm_data[[#This Row],[Deptshort_first]])</f>
        <v>TBD_業務部_BD15</v>
      </c>
      <c r="AR5">
        <f>(表格_mgm_data[[#This Row],[預約率_last]]-表格_mgm_data[[#This Row],[預約率_last_min]])/(表格_mgm_data[[#This Row],[預約率_last_max]]-表格_mgm_data[[#This Row],[預約率_last_min]])</f>
        <v>0.16326024851174531</v>
      </c>
      <c r="AS5">
        <f>(表格_mgm_data[[#This Row],[出席率_last]]-表格_mgm_data[[#This Row],[出席率_last_min]])/(表格_mgm_data[[#This Row],[出席率_last_max]]-表格_mgm_data[[#This Row],[出席率_last_min]])</f>
        <v>0.8583208395789591</v>
      </c>
      <c r="AT5">
        <f>(表格_mgm_data[[#This Row],[成交率_last]]-表格_mgm_data[[#This Row],[成交率_last_min]])/(表格_mgm_data[[#This Row],[成交率_last_max]]-表格_mgm_data[[#This Row],[成交率_last_min]])</f>
        <v>3.986565127982819E-2</v>
      </c>
      <c r="AU5">
        <f>(表格_mgm_data[[#This Row],[綁定率_last]]-表格_mgm_data[[#This Row],[綁定率_last_min]])/(表格_mgm_data[[#This Row],[綁定率_last_max]]-表格_mgm_data[[#This Row],[綁定率_last_min]])</f>
        <v>0.16326024851174531</v>
      </c>
      <c r="AV5">
        <f>(表格_mgm_data[[#This Row],[達成率_last]]-表格_mgm_data[[#This Row],[達成率_last_min]])/(表格_mgm_data[[#This Row],[達成率_last_max]]-表格_mgm_data[[#This Row],[達成率_last_min]])</f>
        <v>6.0224151169188693E-3</v>
      </c>
    </row>
    <row r="6" spans="1:55" x14ac:dyDescent="0.25">
      <c r="A6" t="s">
        <v>29</v>
      </c>
      <c r="B6">
        <v>0.48039215686199999</v>
      </c>
      <c r="C6">
        <v>0.55102040816300002</v>
      </c>
      <c r="D6">
        <v>7.4074000000000001E-2</v>
      </c>
      <c r="E6">
        <v>0.48039215686199999</v>
      </c>
      <c r="F6">
        <v>0.29807800000000001</v>
      </c>
      <c r="G6">
        <v>102</v>
      </c>
      <c r="H6">
        <v>0.17504051863799999</v>
      </c>
      <c r="I6">
        <v>0.80555555555500002</v>
      </c>
      <c r="J6">
        <v>0.16091900000000001</v>
      </c>
      <c r="K6">
        <v>0.17504051863799999</v>
      </c>
      <c r="L6">
        <v>0.45144000000000001</v>
      </c>
      <c r="M6">
        <v>617</v>
      </c>
      <c r="N6">
        <v>1</v>
      </c>
      <c r="O6">
        <v>9.0909090908999998E-2</v>
      </c>
      <c r="P6">
        <v>0.25</v>
      </c>
      <c r="Q6">
        <v>0</v>
      </c>
      <c r="R6">
        <v>9.0909090908999998E-2</v>
      </c>
      <c r="S6">
        <v>0</v>
      </c>
      <c r="T6">
        <v>1</v>
      </c>
      <c r="U6">
        <v>1</v>
      </c>
      <c r="V6">
        <v>0.5</v>
      </c>
      <c r="W6">
        <v>1</v>
      </c>
      <c r="X6">
        <v>2.05755</v>
      </c>
      <c r="Y6">
        <v>1</v>
      </c>
      <c r="Z6">
        <v>0.17504051863799999</v>
      </c>
      <c r="AA6">
        <v>0.53968253968199997</v>
      </c>
      <c r="AB6">
        <v>0.117647</v>
      </c>
      <c r="AC6">
        <v>0.17504051863799999</v>
      </c>
      <c r="AD6">
        <v>0.42619099999999999</v>
      </c>
      <c r="AE6">
        <v>0.944444444444</v>
      </c>
      <c r="AF6">
        <v>1</v>
      </c>
      <c r="AG6">
        <v>0.66666599999999998</v>
      </c>
      <c r="AH6">
        <v>0.944444444444</v>
      </c>
      <c r="AI6">
        <v>2.8160959999999999</v>
      </c>
      <c r="AK6" t="str">
        <f>IF(ISERROR(表格_mgm_data[[#This Row],[Deptshort_first]]),"",表格_mgm_data[[#This Row],[Deptshort_first]])</f>
        <v>TBD_業務部_BD16</v>
      </c>
      <c r="AL6">
        <f>(表格_mgm_data[[#This Row],[預約率]]-表格_mgm_data[[#This Row],[預約率_min]])/(表格_mgm_data[[#This Row],[預約率_max]]-表格_mgm_data[[#This Row],[預約率_min]])</f>
        <v>0.42843137254825714</v>
      </c>
      <c r="AM6">
        <f>(表格_mgm_data[[#This Row],[出席率]]-表格_mgm_data[[#This Row],[出席率_min]])/(表格_mgm_data[[#This Row],[出席率_max]]-表格_mgm_data[[#This Row],[出席率_min]])</f>
        <v>0.40136054421733336</v>
      </c>
      <c r="AN6">
        <f>(表格_mgm_data[[#This Row],[成交率]]-表格_mgm_data[[#This Row],[成交率_min]])/(表格_mgm_data[[#This Row],[成交率_max]]-表格_mgm_data[[#This Row],[成交率_min]])</f>
        <v>0.148148</v>
      </c>
      <c r="AO6">
        <f>(表格_mgm_data[[#This Row],[綁定率]]-表格_mgm_data[[#This Row],[綁定率_min]])/(表格_mgm_data[[#This Row],[綁定率_max]]-表格_mgm_data[[#This Row],[綁定率_min]])</f>
        <v>0.42843137254825714</v>
      </c>
      <c r="AP6">
        <f>(表格_mgm_data[[#This Row],[達成率]]-表格_mgm_data[[#This Row],[達成率_min]])/(表格_mgm_data[[#This Row],[達成率_max]]-表格_mgm_data[[#This Row],[達成率_min]])</f>
        <v>0.14487035551991448</v>
      </c>
      <c r="AQ6" t="str">
        <f>IF(ISERROR(表格_mgm_data[[#This Row],[Deptshort_first]]),"",表格_mgm_data[[#This Row],[Deptshort_first]])</f>
        <v>TBD_業務部_BD16</v>
      </c>
      <c r="AR6">
        <f>(表格_mgm_data[[#This Row],[預約率_last]]-表格_mgm_data[[#This Row],[預約率_last_min]])/(表格_mgm_data[[#This Row],[預約率_last_max]]-表格_mgm_data[[#This Row],[預約率_last_min]])</f>
        <v>0</v>
      </c>
      <c r="AS6">
        <f>(表格_mgm_data[[#This Row],[出席率_last]]-表格_mgm_data[[#This Row],[出席率_last_min]])/(表格_mgm_data[[#This Row],[出席率_last_max]]-表格_mgm_data[[#This Row],[出席率_last_min]])</f>
        <v>0.57758620689584017</v>
      </c>
      <c r="AT6">
        <f>(表格_mgm_data[[#This Row],[成交率_last]]-表格_mgm_data[[#This Row],[成交率_last_min]])/(表格_mgm_data[[#This Row],[成交率_last_max]]-表格_mgm_data[[#This Row],[成交率_last_min]])</f>
        <v>7.8816944404474176E-2</v>
      </c>
      <c r="AU6">
        <f>(表格_mgm_data[[#This Row],[綁定率_last]]-表格_mgm_data[[#This Row],[綁定率_last_min]])/(表格_mgm_data[[#This Row],[綁定率_last_max]]-表格_mgm_data[[#This Row],[綁定率_last_min]])</f>
        <v>0</v>
      </c>
      <c r="AV6">
        <f>(表格_mgm_data[[#This Row],[達成率_last]]-表格_mgm_data[[#This Row],[達成率_last_min]])/(表格_mgm_data[[#This Row],[達成率_last_max]]-表格_mgm_data[[#This Row],[達成率_last_min]])</f>
        <v>1.0564855088382185E-2</v>
      </c>
    </row>
    <row r="7" spans="1:55" x14ac:dyDescent="0.25">
      <c r="A7" t="s">
        <v>30</v>
      </c>
      <c r="B7">
        <v>0.72727272727199999</v>
      </c>
      <c r="C7">
        <v>0.75</v>
      </c>
      <c r="D7">
        <v>0</v>
      </c>
      <c r="E7">
        <v>0.72727272727199999</v>
      </c>
      <c r="F7">
        <v>0</v>
      </c>
      <c r="G7">
        <v>11</v>
      </c>
      <c r="H7">
        <v>0.42105263157799999</v>
      </c>
      <c r="I7">
        <v>1</v>
      </c>
      <c r="J7">
        <v>0.5</v>
      </c>
      <c r="K7">
        <v>0.42105263157799999</v>
      </c>
      <c r="L7">
        <v>2.3635470000000001</v>
      </c>
      <c r="M7">
        <v>19</v>
      </c>
      <c r="N7">
        <v>1</v>
      </c>
      <c r="O7">
        <v>9.0909090908999998E-2</v>
      </c>
      <c r="P7">
        <v>0.25</v>
      </c>
      <c r="Q7">
        <v>0</v>
      </c>
      <c r="R7">
        <v>9.0909090908999998E-2</v>
      </c>
      <c r="S7">
        <v>0</v>
      </c>
      <c r="T7">
        <v>1</v>
      </c>
      <c r="U7">
        <v>1</v>
      </c>
      <c r="V7">
        <v>0.5</v>
      </c>
      <c r="W7">
        <v>1</v>
      </c>
      <c r="X7">
        <v>2.05755</v>
      </c>
      <c r="Y7">
        <v>1</v>
      </c>
      <c r="Z7">
        <v>0.17504051863799999</v>
      </c>
      <c r="AA7">
        <v>0.53968253968199997</v>
      </c>
      <c r="AB7">
        <v>0.117647</v>
      </c>
      <c r="AC7">
        <v>0.17504051863799999</v>
      </c>
      <c r="AD7">
        <v>0.42619099999999999</v>
      </c>
      <c r="AE7">
        <v>0.944444444444</v>
      </c>
      <c r="AF7">
        <v>1</v>
      </c>
      <c r="AG7">
        <v>0.66666599999999998</v>
      </c>
      <c r="AH7">
        <v>0.944444444444</v>
      </c>
      <c r="AI7">
        <v>2.8160959999999999</v>
      </c>
      <c r="AK7" t="str">
        <f>IF(ISERROR(表格_mgm_data[[#This Row],[Deptshort_first]]),"",表格_mgm_data[[#This Row],[Deptshort_first]])</f>
        <v>TBD_業務部_BD17</v>
      </c>
      <c r="AL7">
        <f>(表格_mgm_data[[#This Row],[預約率]]-表格_mgm_data[[#This Row],[預約率_min]])/(表格_mgm_data[[#This Row],[預約率_max]]-表格_mgm_data[[#This Row],[預約率_min]])</f>
        <v>0.69999999999923002</v>
      </c>
      <c r="AM7">
        <f>(表格_mgm_data[[#This Row],[出席率]]-表格_mgm_data[[#This Row],[出席率_min]])/(表格_mgm_data[[#This Row],[出席率_max]]-表格_mgm_data[[#This Row],[出席率_min]])</f>
        <v>0.66666666666666663</v>
      </c>
      <c r="AN7">
        <f>(表格_mgm_data[[#This Row],[成交率]]-表格_mgm_data[[#This Row],[成交率_min]])/(表格_mgm_data[[#This Row],[成交率_max]]-表格_mgm_data[[#This Row],[成交率_min]])</f>
        <v>0</v>
      </c>
      <c r="AO7">
        <f>(表格_mgm_data[[#This Row],[綁定率]]-表格_mgm_data[[#This Row],[綁定率_min]])/(表格_mgm_data[[#This Row],[綁定率_max]]-表格_mgm_data[[#This Row],[綁定率_min]])</f>
        <v>0.69999999999923002</v>
      </c>
      <c r="AP7">
        <f>(表格_mgm_data[[#This Row],[達成率]]-表格_mgm_data[[#This Row],[達成率_min]])/(表格_mgm_data[[#This Row],[達成率_max]]-表格_mgm_data[[#This Row],[達成率_min]])</f>
        <v>0</v>
      </c>
      <c r="AQ7" t="str">
        <f>IF(ISERROR(表格_mgm_data[[#This Row],[Deptshort_first]]),"",表格_mgm_data[[#This Row],[Deptshort_first]])</f>
        <v>TBD_業務部_BD17</v>
      </c>
      <c r="AR7">
        <f>(表格_mgm_data[[#This Row],[預約率_last]]-表格_mgm_data[[#This Row],[預約率_last_min]])/(表格_mgm_data[[#This Row],[預約率_last_max]]-表格_mgm_data[[#This Row],[預約率_last_min]])</f>
        <v>0.31974377136467885</v>
      </c>
      <c r="AS7">
        <f>(表格_mgm_data[[#This Row],[出席率_last]]-表格_mgm_data[[#This Row],[出席率_last_min]])/(表格_mgm_data[[#This Row],[出席率_last_max]]-表格_mgm_data[[#This Row],[出席率_last_min]])</f>
        <v>1</v>
      </c>
      <c r="AT7">
        <f>(表格_mgm_data[[#This Row],[成交率_last]]-表格_mgm_data[[#This Row],[成交率_last_min]])/(表格_mgm_data[[#This Row],[成交率_last_max]]-表格_mgm_data[[#This Row],[成交率_last_min]])</f>
        <v>0.69642944961831932</v>
      </c>
      <c r="AU7">
        <f>(表格_mgm_data[[#This Row],[綁定率_last]]-表格_mgm_data[[#This Row],[綁定率_last_min]])/(表格_mgm_data[[#This Row],[綁定率_last_max]]-表格_mgm_data[[#This Row],[綁定率_last_min]])</f>
        <v>0.31974377136467885</v>
      </c>
      <c r="AV7">
        <f>(表格_mgm_data[[#This Row],[達成率_last]]-表格_mgm_data[[#This Row],[達成率_last_min]])/(表格_mgm_data[[#This Row],[達成率_last_max]]-表格_mgm_data[[#This Row],[達成率_last_min]])</f>
        <v>0.81064142716969934</v>
      </c>
    </row>
    <row r="8" spans="1:55" x14ac:dyDescent="0.25">
      <c r="A8" t="s">
        <v>31</v>
      </c>
      <c r="B8">
        <v>0.46666666666599999</v>
      </c>
      <c r="C8">
        <v>0.57142857142799997</v>
      </c>
      <c r="D8">
        <v>0.5</v>
      </c>
      <c r="E8">
        <v>0.46666666666599999</v>
      </c>
      <c r="F8">
        <v>2.05755</v>
      </c>
      <c r="G8">
        <v>15</v>
      </c>
      <c r="H8">
        <v>0.76470588235199999</v>
      </c>
      <c r="I8">
        <v>0.96153846153800004</v>
      </c>
      <c r="J8">
        <v>0.28000000000000003</v>
      </c>
      <c r="K8">
        <v>0.76470588235199999</v>
      </c>
      <c r="L8">
        <v>2.8160959999999999</v>
      </c>
      <c r="M8">
        <v>34</v>
      </c>
      <c r="N8">
        <v>1</v>
      </c>
      <c r="O8">
        <v>9.0909090908999998E-2</v>
      </c>
      <c r="P8">
        <v>0.25</v>
      </c>
      <c r="Q8">
        <v>0</v>
      </c>
      <c r="R8">
        <v>9.0909090908999998E-2</v>
      </c>
      <c r="S8">
        <v>0</v>
      </c>
      <c r="T8">
        <v>1</v>
      </c>
      <c r="U8">
        <v>1</v>
      </c>
      <c r="V8">
        <v>0.5</v>
      </c>
      <c r="W8">
        <v>1</v>
      </c>
      <c r="X8">
        <v>2.05755</v>
      </c>
      <c r="Y8">
        <v>1</v>
      </c>
      <c r="Z8">
        <v>0.17504051863799999</v>
      </c>
      <c r="AA8">
        <v>0.53968253968199997</v>
      </c>
      <c r="AB8">
        <v>0.117647</v>
      </c>
      <c r="AC8">
        <v>0.17504051863799999</v>
      </c>
      <c r="AD8">
        <v>0.42619099999999999</v>
      </c>
      <c r="AE8">
        <v>0.944444444444</v>
      </c>
      <c r="AF8">
        <v>1</v>
      </c>
      <c r="AG8">
        <v>0.66666599999999998</v>
      </c>
      <c r="AH8">
        <v>0.944444444444</v>
      </c>
      <c r="AI8">
        <v>2.8160959999999999</v>
      </c>
      <c r="AK8" t="str">
        <f>IF(ISERROR(表格_mgm_data[[#This Row],[Deptshort_first]]),"",表格_mgm_data[[#This Row],[Deptshort_first]])</f>
        <v>TBD_業務部_BD18</v>
      </c>
      <c r="AL8">
        <f>(表格_mgm_data[[#This Row],[預約率]]-表格_mgm_data[[#This Row],[預約率_min]])/(表格_mgm_data[[#This Row],[預約率_max]]-表格_mgm_data[[#This Row],[預約率_min]])</f>
        <v>0.41333333333265865</v>
      </c>
      <c r="AM8">
        <f>(表格_mgm_data[[#This Row],[出席率]]-表格_mgm_data[[#This Row],[出席率_min]])/(表格_mgm_data[[#This Row],[出席率_max]]-表格_mgm_data[[#This Row],[出席率_min]])</f>
        <v>0.4285714285706666</v>
      </c>
      <c r="AN8">
        <f>(表格_mgm_data[[#This Row],[成交率]]-表格_mgm_data[[#This Row],[成交率_min]])/(表格_mgm_data[[#This Row],[成交率_max]]-表格_mgm_data[[#This Row],[成交率_min]])</f>
        <v>1</v>
      </c>
      <c r="AO8">
        <f>(表格_mgm_data[[#This Row],[綁定率]]-表格_mgm_data[[#This Row],[綁定率_min]])/(表格_mgm_data[[#This Row],[綁定率_max]]-表格_mgm_data[[#This Row],[綁定率_min]])</f>
        <v>0.41333333333265865</v>
      </c>
      <c r="AP8">
        <f>(表格_mgm_data[[#This Row],[達成率]]-表格_mgm_data[[#This Row],[達成率_min]])/(表格_mgm_data[[#This Row],[達成率_max]]-表格_mgm_data[[#This Row],[達成率_min]])</f>
        <v>1</v>
      </c>
      <c r="AQ8" t="str">
        <f>IF(ISERROR(表格_mgm_data[[#This Row],[Deptshort_first]]),"",表格_mgm_data[[#This Row],[Deptshort_first]])</f>
        <v>TBD_業務部_BD18</v>
      </c>
      <c r="AR8">
        <f>(表格_mgm_data[[#This Row],[預約率_last]]-表格_mgm_data[[#This Row],[預約率_last_min]])/(表格_mgm_data[[#This Row],[預約率_last_max]]-表格_mgm_data[[#This Row],[預約率_last_min]])</f>
        <v>0.76639245516753463</v>
      </c>
      <c r="AS8">
        <f>(表格_mgm_data[[#This Row],[出席率_last]]-表格_mgm_data[[#This Row],[出席率_last_min]])/(表格_mgm_data[[#This Row],[出席率_last_max]]-表格_mgm_data[[#This Row],[出席率_last_min]])</f>
        <v>0.91644562334127044</v>
      </c>
      <c r="AT8">
        <f>(表格_mgm_data[[#This Row],[成交率_last]]-表格_mgm_data[[#This Row],[成交率_last_min]])/(表格_mgm_data[[#This Row],[成交率_last_max]]-表格_mgm_data[[#This Row],[成交率_last_min]])</f>
        <v>0.29571472025558321</v>
      </c>
      <c r="AU8">
        <f>(表格_mgm_data[[#This Row],[綁定率_last]]-表格_mgm_data[[#This Row],[綁定率_last_min]])/(表格_mgm_data[[#This Row],[綁定率_last_max]]-表格_mgm_data[[#This Row],[綁定率_last_min]])</f>
        <v>0.76639245516753463</v>
      </c>
      <c r="AV8">
        <f>(表格_mgm_data[[#This Row],[達成率_last]]-表格_mgm_data[[#This Row],[達成率_last_min]])/(表格_mgm_data[[#This Row],[達成率_last_max]]-表格_mgm_data[[#This Row],[達成率_last_min]])</f>
        <v>1</v>
      </c>
    </row>
    <row r="9" spans="1:55" x14ac:dyDescent="0.25">
      <c r="A9" t="s">
        <v>32</v>
      </c>
      <c r="B9">
        <v>0.57692307692300004</v>
      </c>
      <c r="C9">
        <v>0.73333333333299999</v>
      </c>
      <c r="D9">
        <v>0.18181800000000001</v>
      </c>
      <c r="E9">
        <v>0.57692307692300004</v>
      </c>
      <c r="F9">
        <v>1.0363009999999999</v>
      </c>
      <c r="G9">
        <v>26</v>
      </c>
      <c r="H9">
        <v>0.339130434782</v>
      </c>
      <c r="I9">
        <v>0.76923076923</v>
      </c>
      <c r="J9">
        <v>0.3</v>
      </c>
      <c r="K9">
        <v>0.339130434782</v>
      </c>
      <c r="L9">
        <v>1.0665210000000001</v>
      </c>
      <c r="M9">
        <v>115</v>
      </c>
      <c r="N9">
        <v>1</v>
      </c>
      <c r="O9">
        <v>9.0909090908999998E-2</v>
      </c>
      <c r="P9">
        <v>0.25</v>
      </c>
      <c r="Q9">
        <v>0</v>
      </c>
      <c r="R9">
        <v>9.0909090908999998E-2</v>
      </c>
      <c r="S9">
        <v>0</v>
      </c>
      <c r="T9">
        <v>1</v>
      </c>
      <c r="U9">
        <v>1</v>
      </c>
      <c r="V9">
        <v>0.5</v>
      </c>
      <c r="W9">
        <v>1</v>
      </c>
      <c r="X9">
        <v>2.05755</v>
      </c>
      <c r="Y9">
        <v>1</v>
      </c>
      <c r="Z9">
        <v>0.17504051863799999</v>
      </c>
      <c r="AA9">
        <v>0.53968253968199997</v>
      </c>
      <c r="AB9">
        <v>0.117647</v>
      </c>
      <c r="AC9">
        <v>0.17504051863799999</v>
      </c>
      <c r="AD9">
        <v>0.42619099999999999</v>
      </c>
      <c r="AE9">
        <v>0.944444444444</v>
      </c>
      <c r="AF9">
        <v>1</v>
      </c>
      <c r="AG9">
        <v>0.66666599999999998</v>
      </c>
      <c r="AH9">
        <v>0.944444444444</v>
      </c>
      <c r="AI9">
        <v>2.8160959999999999</v>
      </c>
      <c r="AK9" t="str">
        <f>IF(ISERROR(表格_mgm_data[[#This Row],[Deptshort_first]]),"",表格_mgm_data[[#This Row],[Deptshort_first]])</f>
        <v>TBD_業務部_BD19</v>
      </c>
      <c r="AL9">
        <f>(表格_mgm_data[[#This Row],[預約率]]-表格_mgm_data[[#This Row],[預約率_min]])/(表格_mgm_data[[#This Row],[預約率_max]]-表格_mgm_data[[#This Row],[預約率_min]])</f>
        <v>0.53461538461534663</v>
      </c>
      <c r="AM9">
        <f>(表格_mgm_data[[#This Row],[出席率]]-表格_mgm_data[[#This Row],[出席率_min]])/(表格_mgm_data[[#This Row],[出席率_max]]-表格_mgm_data[[#This Row],[出席率_min]])</f>
        <v>0.64444444444399995</v>
      </c>
      <c r="AN9">
        <f>(表格_mgm_data[[#This Row],[成交率]]-表格_mgm_data[[#This Row],[成交率_min]])/(表格_mgm_data[[#This Row],[成交率_max]]-表格_mgm_data[[#This Row],[成交率_min]])</f>
        <v>0.36363600000000001</v>
      </c>
      <c r="AO9">
        <f>(表格_mgm_data[[#This Row],[綁定率]]-表格_mgm_data[[#This Row],[綁定率_min]])/(表格_mgm_data[[#This Row],[綁定率_max]]-表格_mgm_data[[#This Row],[綁定率_min]])</f>
        <v>0.53461538461534663</v>
      </c>
      <c r="AP9">
        <f>(表格_mgm_data[[#This Row],[達成率]]-表格_mgm_data[[#This Row],[達成率_min]])/(表格_mgm_data[[#This Row],[達成率_max]]-表格_mgm_data[[#This Row],[達成率_min]])</f>
        <v>0.50365774829287258</v>
      </c>
      <c r="AQ9" t="str">
        <f>IF(ISERROR(表格_mgm_data[[#This Row],[Deptshort_first]]),"",表格_mgm_data[[#This Row],[Deptshort_first]])</f>
        <v>TBD_業務部_BD19</v>
      </c>
      <c r="AR9">
        <f>(表格_mgm_data[[#This Row],[預約率_last]]-表格_mgm_data[[#This Row],[預約率_last_min]])/(表格_mgm_data[[#This Row],[預約率_last_max]]-表格_mgm_data[[#This Row],[預約率_last_min]])</f>
        <v>0.21326888340491021</v>
      </c>
      <c r="AS9">
        <f>(表格_mgm_data[[#This Row],[出席率_last]]-表格_mgm_data[[#This Row],[出席率_last_min]])/(表格_mgm_data[[#This Row],[出席率_last_max]]-表格_mgm_data[[#This Row],[出席率_last_min]])</f>
        <v>0.49867374005196707</v>
      </c>
      <c r="AT9">
        <f>(表格_mgm_data[[#This Row],[成交率_last]]-表格_mgm_data[[#This Row],[成交率_last_min]])/(表格_mgm_data[[#This Row],[成交率_last_max]]-表格_mgm_data[[#This Row],[成交率_last_min]])</f>
        <v>0.3321433320158319</v>
      </c>
      <c r="AU9">
        <f>(表格_mgm_data[[#This Row],[綁定率_last]]-表格_mgm_data[[#This Row],[綁定率_last_min]])/(表格_mgm_data[[#This Row],[綁定率_last_max]]-表格_mgm_data[[#This Row],[綁定率_last_min]])</f>
        <v>0.21326888340491021</v>
      </c>
      <c r="AV9">
        <f>(表格_mgm_data[[#This Row],[達成率_last]]-表格_mgm_data[[#This Row],[達成率_last_min]])/(表格_mgm_data[[#This Row],[達成率_last_max]]-表格_mgm_data[[#This Row],[達成率_last_min]])</f>
        <v>0.26793115207508256</v>
      </c>
    </row>
    <row r="10" spans="1:55" x14ac:dyDescent="0.25">
      <c r="A10" t="s">
        <v>33</v>
      </c>
      <c r="B10">
        <v>0.46153846153799999</v>
      </c>
      <c r="C10">
        <v>0.66666666666600005</v>
      </c>
      <c r="D10">
        <v>0.125</v>
      </c>
      <c r="E10">
        <v>0.46153846153799999</v>
      </c>
      <c r="F10">
        <v>1.2570000000000001E-3</v>
      </c>
      <c r="G10">
        <v>26</v>
      </c>
      <c r="H10">
        <v>0.28749999999999998</v>
      </c>
      <c r="I10">
        <v>0.84782608695600004</v>
      </c>
      <c r="J10">
        <v>0.205128</v>
      </c>
      <c r="K10">
        <v>0.28749999999999998</v>
      </c>
      <c r="L10">
        <v>0.66460900000000001</v>
      </c>
      <c r="M10">
        <v>160</v>
      </c>
      <c r="N10">
        <v>1</v>
      </c>
      <c r="O10">
        <v>9.0909090908999998E-2</v>
      </c>
      <c r="P10">
        <v>0.25</v>
      </c>
      <c r="Q10">
        <v>0</v>
      </c>
      <c r="R10">
        <v>9.0909090908999998E-2</v>
      </c>
      <c r="S10">
        <v>0</v>
      </c>
      <c r="T10">
        <v>1</v>
      </c>
      <c r="U10">
        <v>1</v>
      </c>
      <c r="V10">
        <v>0.5</v>
      </c>
      <c r="W10">
        <v>1</v>
      </c>
      <c r="X10">
        <v>2.05755</v>
      </c>
      <c r="Y10">
        <v>1</v>
      </c>
      <c r="Z10">
        <v>0.17504051863799999</v>
      </c>
      <c r="AA10">
        <v>0.53968253968199997</v>
      </c>
      <c r="AB10">
        <v>0.117647</v>
      </c>
      <c r="AC10">
        <v>0.17504051863799999</v>
      </c>
      <c r="AD10">
        <v>0.42619099999999999</v>
      </c>
      <c r="AE10">
        <v>0.944444444444</v>
      </c>
      <c r="AF10">
        <v>1</v>
      </c>
      <c r="AG10">
        <v>0.66666599999999998</v>
      </c>
      <c r="AH10">
        <v>0.944444444444</v>
      </c>
      <c r="AI10">
        <v>2.8160959999999999</v>
      </c>
      <c r="AK10" t="str">
        <f>IF(ISERROR(表格_mgm_data[[#This Row],[Deptshort_first]]),"",表格_mgm_data[[#This Row],[Deptshort_first]])</f>
        <v>TBD_業務部_BD2</v>
      </c>
      <c r="AL10">
        <f>(表格_mgm_data[[#This Row],[預約率]]-表格_mgm_data[[#This Row],[預約率_min]])/(表格_mgm_data[[#This Row],[預約率_max]]-表格_mgm_data[[#This Row],[預約率_min]])</f>
        <v>0.40769230769185921</v>
      </c>
      <c r="AM10">
        <f>(表格_mgm_data[[#This Row],[出席率]]-表格_mgm_data[[#This Row],[出席率_min]])/(表格_mgm_data[[#This Row],[出席率_max]]-表格_mgm_data[[#This Row],[出席率_min]])</f>
        <v>0.55555555555466674</v>
      </c>
      <c r="AN10">
        <f>(表格_mgm_data[[#This Row],[成交率]]-表格_mgm_data[[#This Row],[成交率_min]])/(表格_mgm_data[[#This Row],[成交率_max]]-表格_mgm_data[[#This Row],[成交率_min]])</f>
        <v>0.25</v>
      </c>
      <c r="AO10">
        <f>(表格_mgm_data[[#This Row],[綁定率]]-表格_mgm_data[[#This Row],[綁定率_min]])/(表格_mgm_data[[#This Row],[綁定率_max]]-表格_mgm_data[[#This Row],[綁定率_min]])</f>
        <v>0.40769230769185921</v>
      </c>
      <c r="AP10">
        <f>(表格_mgm_data[[#This Row],[達成率]]-表格_mgm_data[[#This Row],[達成率_min]])/(表格_mgm_data[[#This Row],[達成率_max]]-表格_mgm_data[[#This Row],[達成率_min]])</f>
        <v>6.1092075526718672E-4</v>
      </c>
      <c r="AQ10" t="str">
        <f>IF(ISERROR(表格_mgm_data[[#This Row],[Deptshort_first]]),"",表格_mgm_data[[#This Row],[Deptshort_first]])</f>
        <v>TBD_業務部_BD2</v>
      </c>
      <c r="AR10">
        <f>(表格_mgm_data[[#This Row],[預約率_last]]-表格_mgm_data[[#This Row],[預約率_last_min]])/(表格_mgm_data[[#This Row],[預約率_last_max]]-表格_mgm_data[[#This Row],[預約率_last_min]])</f>
        <v>0.1461644236402764</v>
      </c>
      <c r="AS10">
        <f>(表格_mgm_data[[#This Row],[出席率_last]]-表格_mgm_data[[#This Row],[出席率_last_min]])/(表格_mgm_data[[#This Row],[出席率_last_max]]-表格_mgm_data[[#This Row],[出席率_last_min]])</f>
        <v>0.66941529235307728</v>
      </c>
      <c r="AT10">
        <f>(表格_mgm_data[[#This Row],[成交率_last]]-表格_mgm_data[[#This Row],[成交率_last_min]])/(表格_mgm_data[[#This Row],[成交率_last_max]]-表格_mgm_data[[#This Row],[成交率_last_min]])</f>
        <v>0.15934056926991599</v>
      </c>
      <c r="AU10">
        <f>(表格_mgm_data[[#This Row],[綁定率_last]]-表格_mgm_data[[#This Row],[綁定率_last_min]])/(表格_mgm_data[[#This Row],[綁定率_last_max]]-表格_mgm_data[[#This Row],[綁定率_last_min]])</f>
        <v>0.1461644236402764</v>
      </c>
      <c r="AV10">
        <f>(表格_mgm_data[[#This Row],[達成率_last]]-表格_mgm_data[[#This Row],[達成率_last_min]])/(表格_mgm_data[[#This Row],[達成率_last_max]]-表格_mgm_data[[#This Row],[達成率_last_min]])</f>
        <v>9.9760450729213107E-2</v>
      </c>
    </row>
    <row r="11" spans="1:55" x14ac:dyDescent="0.25">
      <c r="A11" t="s">
        <v>34</v>
      </c>
      <c r="B11">
        <v>0.80645161290300005</v>
      </c>
      <c r="C11">
        <v>0.6</v>
      </c>
      <c r="D11">
        <v>0.2</v>
      </c>
      <c r="E11">
        <v>0.80645161290300005</v>
      </c>
      <c r="F11">
        <v>0.74277199999999999</v>
      </c>
      <c r="G11">
        <v>31</v>
      </c>
      <c r="H11">
        <v>0.72413793103400004</v>
      </c>
      <c r="I11">
        <v>0.53968253968199997</v>
      </c>
      <c r="J11">
        <v>0.20588200000000001</v>
      </c>
      <c r="K11">
        <v>0.72413793103400004</v>
      </c>
      <c r="L11">
        <v>0.76859200000000005</v>
      </c>
      <c r="M11">
        <v>87</v>
      </c>
      <c r="N11">
        <v>1</v>
      </c>
      <c r="O11">
        <v>9.0909090908999998E-2</v>
      </c>
      <c r="P11">
        <v>0.25</v>
      </c>
      <c r="Q11">
        <v>0</v>
      </c>
      <c r="R11">
        <v>9.0909090908999998E-2</v>
      </c>
      <c r="S11">
        <v>0</v>
      </c>
      <c r="T11">
        <v>1</v>
      </c>
      <c r="U11">
        <v>1</v>
      </c>
      <c r="V11">
        <v>0.5</v>
      </c>
      <c r="W11">
        <v>1</v>
      </c>
      <c r="X11">
        <v>2.05755</v>
      </c>
      <c r="Y11">
        <v>1</v>
      </c>
      <c r="Z11">
        <v>0.17504051863799999</v>
      </c>
      <c r="AA11">
        <v>0.53968253968199997</v>
      </c>
      <c r="AB11">
        <v>0.117647</v>
      </c>
      <c r="AC11">
        <v>0.17504051863799999</v>
      </c>
      <c r="AD11">
        <v>0.42619099999999999</v>
      </c>
      <c r="AE11">
        <v>0.944444444444</v>
      </c>
      <c r="AF11">
        <v>1</v>
      </c>
      <c r="AG11">
        <v>0.66666599999999998</v>
      </c>
      <c r="AH11">
        <v>0.944444444444</v>
      </c>
      <c r="AI11">
        <v>2.8160959999999999</v>
      </c>
      <c r="AK11" t="str">
        <f>IF(ISERROR(表格_mgm_data[[#This Row],[Deptshort_first]]),"",表格_mgm_data[[#This Row],[Deptshort_first]])</f>
        <v>TBD_業務部_BD20</v>
      </c>
      <c r="AL11">
        <f>(表格_mgm_data[[#This Row],[預約率]]-表格_mgm_data[[#This Row],[預約率_min]])/(表格_mgm_data[[#This Row],[預約率_max]]-表格_mgm_data[[#This Row],[預約率_min]])</f>
        <v>0.78709677419332136</v>
      </c>
      <c r="AM11">
        <f>(表格_mgm_data[[#This Row],[出席率]]-表格_mgm_data[[#This Row],[出席率_min]])/(表格_mgm_data[[#This Row],[出席率_max]]-表格_mgm_data[[#This Row],[出席率_min]])</f>
        <v>0.46666666666666662</v>
      </c>
      <c r="AN11">
        <f>(表格_mgm_data[[#This Row],[成交率]]-表格_mgm_data[[#This Row],[成交率_min]])/(表格_mgm_data[[#This Row],[成交率_max]]-表格_mgm_data[[#This Row],[成交率_min]])</f>
        <v>0.4</v>
      </c>
      <c r="AO11">
        <f>(表格_mgm_data[[#This Row],[綁定率]]-表格_mgm_data[[#This Row],[綁定率_min]])/(表格_mgm_data[[#This Row],[綁定率_max]]-表格_mgm_data[[#This Row],[綁定率_min]])</f>
        <v>0.78709677419332136</v>
      </c>
      <c r="AP11">
        <f>(表格_mgm_data[[#This Row],[達成率]]-表格_mgm_data[[#This Row],[達成率_min]])/(表格_mgm_data[[#This Row],[達成率_max]]-表格_mgm_data[[#This Row],[達成率_min]])</f>
        <v>0.36099827464703166</v>
      </c>
      <c r="AQ11" t="str">
        <f>IF(ISERROR(表格_mgm_data[[#This Row],[Deptshort_first]]),"",表格_mgm_data[[#This Row],[Deptshort_first]])</f>
        <v>TBD_業務部_BD20</v>
      </c>
      <c r="AR11">
        <f>(表格_mgm_data[[#This Row],[預約率_last]]-表格_mgm_data[[#This Row],[預約率_last_min]])/(表格_mgm_data[[#This Row],[預約率_last_max]]-表格_mgm_data[[#This Row],[預約率_last_min]])</f>
        <v>0.71366598736909914</v>
      </c>
      <c r="AS11">
        <f>(表格_mgm_data[[#This Row],[出席率_last]]-表格_mgm_data[[#This Row],[出席率_last_min]])/(表格_mgm_data[[#This Row],[出席率_last_max]]-表格_mgm_data[[#This Row],[出席率_last_min]])</f>
        <v>0</v>
      </c>
      <c r="AT11">
        <f>(表格_mgm_data[[#This Row],[成交率_last]]-表格_mgm_data[[#This Row],[成交率_last_min]])/(表格_mgm_data[[#This Row],[成交率_last_max]]-表格_mgm_data[[#This Row],[成交率_last_min]])</f>
        <v>0.16071392793327738</v>
      </c>
      <c r="AU11">
        <f>(表格_mgm_data[[#This Row],[綁定率_last]]-表格_mgm_data[[#This Row],[綁定率_last_min]])/(表格_mgm_data[[#This Row],[綁定率_last_max]]-表格_mgm_data[[#This Row],[綁定率_last_min]])</f>
        <v>0.71366598736909914</v>
      </c>
      <c r="AV11">
        <f>(表格_mgm_data[[#This Row],[達成率_last]]-表格_mgm_data[[#This Row],[達成率_last_min]])/(表格_mgm_data[[#This Row],[達成率_last_max]]-表格_mgm_data[[#This Row],[達成率_last_min]])</f>
        <v>0.14326971155757243</v>
      </c>
    </row>
    <row r="12" spans="1:55" x14ac:dyDescent="0.25">
      <c r="A12" t="s">
        <v>35</v>
      </c>
      <c r="B12">
        <v>0.25</v>
      </c>
      <c r="C12">
        <v>1</v>
      </c>
      <c r="D12">
        <v>0</v>
      </c>
      <c r="E12">
        <v>0.25</v>
      </c>
      <c r="F12">
        <v>0</v>
      </c>
      <c r="G12">
        <v>4</v>
      </c>
      <c r="H12">
        <v>0.52777777777699997</v>
      </c>
      <c r="I12">
        <v>0.89473684210500004</v>
      </c>
      <c r="J12">
        <v>0.117647</v>
      </c>
      <c r="K12">
        <v>0.52777777777699997</v>
      </c>
      <c r="L12">
        <v>0.95258200000000004</v>
      </c>
      <c r="M12">
        <v>36</v>
      </c>
      <c r="N12">
        <v>1</v>
      </c>
      <c r="O12">
        <v>9.0909090908999998E-2</v>
      </c>
      <c r="P12">
        <v>0.25</v>
      </c>
      <c r="Q12">
        <v>0</v>
      </c>
      <c r="R12">
        <v>9.0909090908999998E-2</v>
      </c>
      <c r="S12">
        <v>0</v>
      </c>
      <c r="T12">
        <v>1</v>
      </c>
      <c r="U12">
        <v>1</v>
      </c>
      <c r="V12">
        <v>0.5</v>
      </c>
      <c r="W12">
        <v>1</v>
      </c>
      <c r="X12">
        <v>2.05755</v>
      </c>
      <c r="Y12">
        <v>1</v>
      </c>
      <c r="Z12">
        <v>0.17504051863799999</v>
      </c>
      <c r="AA12">
        <v>0.53968253968199997</v>
      </c>
      <c r="AB12">
        <v>0.117647</v>
      </c>
      <c r="AC12">
        <v>0.17504051863799999</v>
      </c>
      <c r="AD12">
        <v>0.42619099999999999</v>
      </c>
      <c r="AE12">
        <v>0.944444444444</v>
      </c>
      <c r="AF12">
        <v>1</v>
      </c>
      <c r="AG12">
        <v>0.66666599999999998</v>
      </c>
      <c r="AH12">
        <v>0.944444444444</v>
      </c>
      <c r="AI12">
        <v>2.8160959999999999</v>
      </c>
      <c r="AK12" t="str">
        <f>IF(ISERROR(表格_mgm_data[[#This Row],[Deptshort_first]]),"",表格_mgm_data[[#This Row],[Deptshort_first]])</f>
        <v>TBD_業務部_BD24</v>
      </c>
      <c r="AL12">
        <f>(表格_mgm_data[[#This Row],[預約率]]-表格_mgm_data[[#This Row],[預約率_min]])/(表格_mgm_data[[#This Row],[預約率_max]]-表格_mgm_data[[#This Row],[預約率_min]])</f>
        <v>0.17500000000008248</v>
      </c>
      <c r="AM12">
        <f>(表格_mgm_data[[#This Row],[出席率]]-表格_mgm_data[[#This Row],[出席率_min]])/(表格_mgm_data[[#This Row],[出席率_max]]-表格_mgm_data[[#This Row],[出席率_min]])</f>
        <v>1</v>
      </c>
      <c r="AN12">
        <f>(表格_mgm_data[[#This Row],[成交率]]-表格_mgm_data[[#This Row],[成交率_min]])/(表格_mgm_data[[#This Row],[成交率_max]]-表格_mgm_data[[#This Row],[成交率_min]])</f>
        <v>0</v>
      </c>
      <c r="AO12">
        <f>(表格_mgm_data[[#This Row],[綁定率]]-表格_mgm_data[[#This Row],[綁定率_min]])/(表格_mgm_data[[#This Row],[綁定率_max]]-表格_mgm_data[[#This Row],[綁定率_min]])</f>
        <v>0.17500000000008248</v>
      </c>
      <c r="AP12">
        <f>(表格_mgm_data[[#This Row],[達成率]]-表格_mgm_data[[#This Row],[達成率_min]])/(表格_mgm_data[[#This Row],[達成率_max]]-表格_mgm_data[[#This Row],[達成率_min]])</f>
        <v>0</v>
      </c>
      <c r="AQ12" t="str">
        <f>IF(ISERROR(表格_mgm_data[[#This Row],[Deptshort_first]]),"",表格_mgm_data[[#This Row],[Deptshort_first]])</f>
        <v>TBD_業務部_BD24</v>
      </c>
      <c r="AR12">
        <f>(表格_mgm_data[[#This Row],[預約率_last]]-表格_mgm_data[[#This Row],[預約率_last_min]])/(表格_mgm_data[[#This Row],[預約率_last_max]]-表格_mgm_data[[#This Row],[預約率_last_min]])</f>
        <v>0.45845523698034824</v>
      </c>
      <c r="AS12">
        <f>(表格_mgm_data[[#This Row],[出席率_last]]-表格_mgm_data[[#This Row],[出席率_last_min]])/(表格_mgm_data[[#This Row],[出席率_last_max]]-表格_mgm_data[[#This Row],[出席率_last_min]])</f>
        <v>0.77132486388354404</v>
      </c>
      <c r="AT12">
        <f>(表格_mgm_data[[#This Row],[成交率_last]]-表格_mgm_data[[#This Row],[成交率_last_min]])/(表格_mgm_data[[#This Row],[成交率_last_max]]-表格_mgm_data[[#This Row],[成交率_last_min]])</f>
        <v>0</v>
      </c>
      <c r="AU12">
        <f>(表格_mgm_data[[#This Row],[綁定率_last]]-表格_mgm_data[[#This Row],[綁定率_last_min]])/(表格_mgm_data[[#This Row],[綁定率_last_max]]-表格_mgm_data[[#This Row],[綁定率_last_min]])</f>
        <v>0.45845523698034824</v>
      </c>
      <c r="AV12">
        <f>(表格_mgm_data[[#This Row],[達成率_last]]-表格_mgm_data[[#This Row],[達成率_last_min]])/(表格_mgm_data[[#This Row],[達成率_last_max]]-表格_mgm_data[[#This Row],[達成率_last_min]])</f>
        <v>0.22025603528173718</v>
      </c>
    </row>
    <row r="13" spans="1:55" x14ac:dyDescent="0.25">
      <c r="A13" t="s">
        <v>36</v>
      </c>
      <c r="B13">
        <v>0.75</v>
      </c>
      <c r="C13">
        <v>0.66666666666600005</v>
      </c>
      <c r="D13">
        <v>0</v>
      </c>
      <c r="E13">
        <v>0.75</v>
      </c>
      <c r="F13">
        <v>0</v>
      </c>
      <c r="G13">
        <v>4</v>
      </c>
      <c r="H13">
        <v>0.23809523809499999</v>
      </c>
      <c r="I13">
        <v>1</v>
      </c>
      <c r="J13">
        <v>0.2</v>
      </c>
      <c r="K13">
        <v>0.23809523809499999</v>
      </c>
      <c r="L13">
        <v>0.74612699999999998</v>
      </c>
      <c r="M13">
        <v>21</v>
      </c>
      <c r="N13">
        <v>1</v>
      </c>
      <c r="O13">
        <v>9.0909090908999998E-2</v>
      </c>
      <c r="P13">
        <v>0.25</v>
      </c>
      <c r="Q13">
        <v>0</v>
      </c>
      <c r="R13">
        <v>9.0909090908999998E-2</v>
      </c>
      <c r="S13">
        <v>0</v>
      </c>
      <c r="T13">
        <v>1</v>
      </c>
      <c r="U13">
        <v>1</v>
      </c>
      <c r="V13">
        <v>0.5</v>
      </c>
      <c r="W13">
        <v>1</v>
      </c>
      <c r="X13">
        <v>2.05755</v>
      </c>
      <c r="Y13">
        <v>1</v>
      </c>
      <c r="Z13">
        <v>0.17504051863799999</v>
      </c>
      <c r="AA13">
        <v>0.53968253968199997</v>
      </c>
      <c r="AB13">
        <v>0.117647</v>
      </c>
      <c r="AC13">
        <v>0.17504051863799999</v>
      </c>
      <c r="AD13">
        <v>0.42619099999999999</v>
      </c>
      <c r="AE13">
        <v>0.944444444444</v>
      </c>
      <c r="AF13">
        <v>1</v>
      </c>
      <c r="AG13">
        <v>0.66666599999999998</v>
      </c>
      <c r="AH13">
        <v>0.944444444444</v>
      </c>
      <c r="AI13">
        <v>2.8160959999999999</v>
      </c>
      <c r="AK13" t="str">
        <f>IF(ISERROR(表格_mgm_data[[#This Row],[Deptshort_first]]),"",表格_mgm_data[[#This Row],[Deptshort_first]])</f>
        <v>TBD_業務部_BD35</v>
      </c>
      <c r="AL13">
        <f>(表格_mgm_data[[#This Row],[預約率]]-表格_mgm_data[[#This Row],[預約率_min]])/(表格_mgm_data[[#This Row],[預約率_max]]-表格_mgm_data[[#This Row],[預約率_min]])</f>
        <v>0.72500000000002751</v>
      </c>
      <c r="AM13">
        <f>(表格_mgm_data[[#This Row],[出席率]]-表格_mgm_data[[#This Row],[出席率_min]])/(表格_mgm_data[[#This Row],[出席率_max]]-表格_mgm_data[[#This Row],[出席率_min]])</f>
        <v>0.55555555555466674</v>
      </c>
      <c r="AN13">
        <f>(表格_mgm_data[[#This Row],[成交率]]-表格_mgm_data[[#This Row],[成交率_min]])/(表格_mgm_data[[#This Row],[成交率_max]]-表格_mgm_data[[#This Row],[成交率_min]])</f>
        <v>0</v>
      </c>
      <c r="AO13">
        <f>(表格_mgm_data[[#This Row],[綁定率]]-表格_mgm_data[[#This Row],[綁定率_min]])/(表格_mgm_data[[#This Row],[綁定率_max]]-表格_mgm_data[[#This Row],[綁定率_min]])</f>
        <v>0.72500000000002751</v>
      </c>
      <c r="AP13">
        <f>(表格_mgm_data[[#This Row],[達成率]]-表格_mgm_data[[#This Row],[達成率_min]])/(表格_mgm_data[[#This Row],[達成率_max]]-表格_mgm_data[[#This Row],[達成率_min]])</f>
        <v>0</v>
      </c>
      <c r="AQ13" t="str">
        <f>IF(ISERROR(表格_mgm_data[[#This Row],[Deptshort_first]]),"",表格_mgm_data[[#This Row],[Deptshort_first]])</f>
        <v>TBD_業務部_BD35</v>
      </c>
      <c r="AR13">
        <f>(表格_mgm_data[[#This Row],[預約率_last]]-表格_mgm_data[[#This Row],[預約率_last_min]])/(表格_mgm_data[[#This Row],[預約率_last_max]]-表格_mgm_data[[#This Row],[預約率_last_min]])</f>
        <v>8.1952687453402492E-2</v>
      </c>
      <c r="AS13">
        <f>(表格_mgm_data[[#This Row],[出席率_last]]-表格_mgm_data[[#This Row],[出席率_last_min]])/(表格_mgm_data[[#This Row],[出席率_last_max]]-表格_mgm_data[[#This Row],[出席率_last_min]])</f>
        <v>1</v>
      </c>
      <c r="AT13">
        <f>(表格_mgm_data[[#This Row],[成交率_last]]-表格_mgm_data[[#This Row],[成交率_last_min]])/(表格_mgm_data[[#This Row],[成交率_last_max]]-表格_mgm_data[[#This Row],[成交率_last_min]])</f>
        <v>0.15000027321458825</v>
      </c>
      <c r="AU13">
        <f>(表格_mgm_data[[#This Row],[綁定率_last]]-表格_mgm_data[[#This Row],[綁定率_last_min]])/(表格_mgm_data[[#This Row],[綁定率_last_max]]-表格_mgm_data[[#This Row],[綁定率_last_min]])</f>
        <v>8.1952687453402492E-2</v>
      </c>
      <c r="AV13">
        <f>(表格_mgm_data[[#This Row],[達成率_last]]-表格_mgm_data[[#This Row],[達成率_last_min]])/(表格_mgm_data[[#This Row],[達成率_last_max]]-表格_mgm_data[[#This Row],[達成率_last_min]])</f>
        <v>0.13386975632922649</v>
      </c>
    </row>
    <row r="14" spans="1:55" x14ac:dyDescent="0.25">
      <c r="A14" t="s">
        <v>37</v>
      </c>
      <c r="B14">
        <v>0.67816091954000002</v>
      </c>
      <c r="C14">
        <v>0.52542372881300003</v>
      </c>
      <c r="D14">
        <v>0.193548</v>
      </c>
      <c r="E14">
        <v>0.67816091954000002</v>
      </c>
      <c r="F14">
        <v>0.45289800000000002</v>
      </c>
      <c r="G14">
        <v>87</v>
      </c>
      <c r="H14">
        <v>0.31910112359499998</v>
      </c>
      <c r="I14">
        <v>0.74647887323899997</v>
      </c>
      <c r="J14">
        <v>0.122641</v>
      </c>
      <c r="K14">
        <v>0.31910112359499998</v>
      </c>
      <c r="L14">
        <v>0.42619099999999999</v>
      </c>
      <c r="M14">
        <v>445</v>
      </c>
      <c r="N14">
        <v>1</v>
      </c>
      <c r="O14">
        <v>9.0909090908999998E-2</v>
      </c>
      <c r="P14">
        <v>0.25</v>
      </c>
      <c r="Q14">
        <v>0</v>
      </c>
      <c r="R14">
        <v>9.0909090908999998E-2</v>
      </c>
      <c r="S14">
        <v>0</v>
      </c>
      <c r="T14">
        <v>1</v>
      </c>
      <c r="U14">
        <v>1</v>
      </c>
      <c r="V14">
        <v>0.5</v>
      </c>
      <c r="W14">
        <v>1</v>
      </c>
      <c r="X14">
        <v>2.05755</v>
      </c>
      <c r="Y14">
        <v>1</v>
      </c>
      <c r="Z14">
        <v>0.17504051863799999</v>
      </c>
      <c r="AA14">
        <v>0.53968253968199997</v>
      </c>
      <c r="AB14">
        <v>0.117647</v>
      </c>
      <c r="AC14">
        <v>0.17504051863799999</v>
      </c>
      <c r="AD14">
        <v>0.42619099999999999</v>
      </c>
      <c r="AE14">
        <v>0.944444444444</v>
      </c>
      <c r="AF14">
        <v>1</v>
      </c>
      <c r="AG14">
        <v>0.66666599999999998</v>
      </c>
      <c r="AH14">
        <v>0.944444444444</v>
      </c>
      <c r="AI14">
        <v>2.8160959999999999</v>
      </c>
      <c r="AK14" t="str">
        <f>IF(ISERROR(表格_mgm_data[[#This Row],[Deptshort_first]]),"",表格_mgm_data[[#This Row],[Deptshort_first]])</f>
        <v>TBD_業務部_BD36</v>
      </c>
      <c r="AL14">
        <f>(表格_mgm_data[[#This Row],[預約率]]-表格_mgm_data[[#This Row],[預約率_min]])/(表格_mgm_data[[#This Row],[預約率_max]]-表格_mgm_data[[#This Row],[預約率_min]])</f>
        <v>0.64597701149403541</v>
      </c>
      <c r="AM14">
        <f>(表格_mgm_data[[#This Row],[出席率]]-表格_mgm_data[[#This Row],[出席率_min]])/(表格_mgm_data[[#This Row],[出席率_max]]-表格_mgm_data[[#This Row],[出席率_min]])</f>
        <v>0.36723163841733336</v>
      </c>
      <c r="AN14">
        <f>(表格_mgm_data[[#This Row],[成交率]]-表格_mgm_data[[#This Row],[成交率_min]])/(表格_mgm_data[[#This Row],[成交率_max]]-表格_mgm_data[[#This Row],[成交率_min]])</f>
        <v>0.387096</v>
      </c>
      <c r="AO14">
        <f>(表格_mgm_data[[#This Row],[綁定率]]-表格_mgm_data[[#This Row],[綁定率_min]])/(表格_mgm_data[[#This Row],[綁定率_max]]-表格_mgm_data[[#This Row],[綁定率_min]])</f>
        <v>0.64597701149403541</v>
      </c>
      <c r="AP14">
        <f>(表格_mgm_data[[#This Row],[達成率]]-表格_mgm_data[[#This Row],[達成率_min]])/(表格_mgm_data[[#This Row],[達成率_max]]-表格_mgm_data[[#This Row],[達成率_min]])</f>
        <v>0.22011518553619597</v>
      </c>
      <c r="AQ14" t="str">
        <f>IF(ISERROR(表格_mgm_data[[#This Row],[Deptshort_first]]),"",表格_mgm_data[[#This Row],[Deptshort_first]])</f>
        <v>TBD_業務部_BD36</v>
      </c>
      <c r="AR14">
        <f>(表格_mgm_data[[#This Row],[預約率_last]]-表格_mgm_data[[#This Row],[預約率_last_min]])/(表格_mgm_data[[#This Row],[預約率_last_max]]-表格_mgm_data[[#This Row],[預約率_last_min]])</f>
        <v>0.18723663881242517</v>
      </c>
      <c r="AS14">
        <f>(表格_mgm_data[[#This Row],[出席率_last]]-表格_mgm_data[[#This Row],[出席率_last_min]])/(表格_mgm_data[[#This Row],[出席率_last_max]]-表格_mgm_data[[#This Row],[出席率_last_min]])</f>
        <v>0.44924720738192153</v>
      </c>
      <c r="AT14">
        <f>(表格_mgm_data[[#This Row],[成交率_last]]-表格_mgm_data[[#This Row],[成交率_last_min]])/(表格_mgm_data[[#This Row],[成交率_last_max]]-表格_mgm_data[[#This Row],[成交率_last_min]])</f>
        <v>9.0962243565341078E-3</v>
      </c>
      <c r="AU14">
        <f>(表格_mgm_data[[#This Row],[綁定率_last]]-表格_mgm_data[[#This Row],[綁定率_last_min]])/(表格_mgm_data[[#This Row],[綁定率_last_max]]-表格_mgm_data[[#This Row],[綁定率_last_min]])</f>
        <v>0.18723663881242517</v>
      </c>
      <c r="AV14">
        <f>(表格_mgm_data[[#This Row],[達成率_last]]-表格_mgm_data[[#This Row],[達成率_last_min]])/(表格_mgm_data[[#This Row],[達成率_last_max]]-表格_mgm_data[[#This Row],[達成率_last_min]])</f>
        <v>0</v>
      </c>
    </row>
    <row r="15" spans="1:55" x14ac:dyDescent="0.25">
      <c r="A15" t="s">
        <v>38</v>
      </c>
      <c r="B15">
        <v>0.82089552238800001</v>
      </c>
      <c r="C15">
        <v>0.63636363636299997</v>
      </c>
      <c r="D15">
        <v>0.31428499999999998</v>
      </c>
      <c r="E15">
        <v>0.82089552238800001</v>
      </c>
      <c r="F15">
        <v>1.8559909999999999</v>
      </c>
      <c r="G15">
        <v>67</v>
      </c>
      <c r="H15">
        <v>0.45054945054899997</v>
      </c>
      <c r="I15">
        <v>0.72357723577199995</v>
      </c>
      <c r="J15">
        <v>0.24719099999999999</v>
      </c>
      <c r="K15">
        <v>0.45054945054899997</v>
      </c>
      <c r="L15">
        <v>1.058138</v>
      </c>
      <c r="M15">
        <v>273</v>
      </c>
      <c r="N15">
        <v>1</v>
      </c>
      <c r="O15">
        <v>9.0909090908999998E-2</v>
      </c>
      <c r="P15">
        <v>0.25</v>
      </c>
      <c r="Q15">
        <v>0</v>
      </c>
      <c r="R15">
        <v>9.0909090908999998E-2</v>
      </c>
      <c r="S15">
        <v>0</v>
      </c>
      <c r="T15">
        <v>1</v>
      </c>
      <c r="U15">
        <v>1</v>
      </c>
      <c r="V15">
        <v>0.5</v>
      </c>
      <c r="W15">
        <v>1</v>
      </c>
      <c r="X15">
        <v>2.05755</v>
      </c>
      <c r="Y15">
        <v>1</v>
      </c>
      <c r="Z15">
        <v>0.17504051863799999</v>
      </c>
      <c r="AA15">
        <v>0.53968253968199997</v>
      </c>
      <c r="AB15">
        <v>0.117647</v>
      </c>
      <c r="AC15">
        <v>0.17504051863799999</v>
      </c>
      <c r="AD15">
        <v>0.42619099999999999</v>
      </c>
      <c r="AE15">
        <v>0.944444444444</v>
      </c>
      <c r="AF15">
        <v>1</v>
      </c>
      <c r="AG15">
        <v>0.66666599999999998</v>
      </c>
      <c r="AH15">
        <v>0.944444444444</v>
      </c>
      <c r="AI15">
        <v>2.8160959999999999</v>
      </c>
      <c r="AK15" t="str">
        <f>IF(ISERROR(表格_mgm_data[[#This Row],[Deptshort_first]]),"",表格_mgm_data[[#This Row],[Deptshort_first]])</f>
        <v>TBD_業務部_BD40</v>
      </c>
      <c r="AL15">
        <f>(表格_mgm_data[[#This Row],[預約率]]-表格_mgm_data[[#This Row],[預約率_min]])/(表格_mgm_data[[#This Row],[預約率_max]]-表格_mgm_data[[#This Row],[預約率_min]])</f>
        <v>0.80298507462681967</v>
      </c>
      <c r="AM15">
        <f>(表格_mgm_data[[#This Row],[出席率]]-表格_mgm_data[[#This Row],[出席率_min]])/(表格_mgm_data[[#This Row],[出席率_max]]-表格_mgm_data[[#This Row],[出席率_min]])</f>
        <v>0.51515151515066659</v>
      </c>
      <c r="AN15">
        <f>(表格_mgm_data[[#This Row],[成交率]]-表格_mgm_data[[#This Row],[成交率_min]])/(表格_mgm_data[[#This Row],[成交率_max]]-表格_mgm_data[[#This Row],[成交率_min]])</f>
        <v>0.62856999999999996</v>
      </c>
      <c r="AO15">
        <f>(表格_mgm_data[[#This Row],[綁定率]]-表格_mgm_data[[#This Row],[綁定率_min]])/(表格_mgm_data[[#This Row],[綁定率_max]]-表格_mgm_data[[#This Row],[綁定率_min]])</f>
        <v>0.80298507462681967</v>
      </c>
      <c r="AP15">
        <f>(表格_mgm_data[[#This Row],[達成率]]-表格_mgm_data[[#This Row],[達成率_min]])/(表格_mgm_data[[#This Row],[達成率_max]]-表格_mgm_data[[#This Row],[達成率_min]])</f>
        <v>0.9020393186070812</v>
      </c>
      <c r="AQ15" t="str">
        <f>IF(ISERROR(表格_mgm_data[[#This Row],[Deptshort_first]]),"",表格_mgm_data[[#This Row],[Deptshort_first]])</f>
        <v>TBD_業務部_BD40</v>
      </c>
      <c r="AR15">
        <f>(表格_mgm_data[[#This Row],[預約率_last]]-表格_mgm_data[[#This Row],[預約率_last_min]])/(表格_mgm_data[[#This Row],[預約率_last_max]]-表格_mgm_data[[#This Row],[預約率_last_min]])</f>
        <v>0.35808100617940924</v>
      </c>
      <c r="AS15">
        <f>(表格_mgm_data[[#This Row],[出席率_last]]-表格_mgm_data[[#This Row],[出席率_last_min]])/(表格_mgm_data[[#This Row],[出席率_last_max]]-表格_mgm_data[[#This Row],[出席率_last_min]])</f>
        <v>0.39949537426401432</v>
      </c>
      <c r="AT15">
        <f>(表格_mgm_data[[#This Row],[成交率_last]]-表格_mgm_data[[#This Row],[成交率_last_min]])/(表格_mgm_data[[#This Row],[成交率_last_max]]-表格_mgm_data[[#This Row],[成交率_last_min]])</f>
        <v>0.23595540409348312</v>
      </c>
      <c r="AU15">
        <f>(表格_mgm_data[[#This Row],[綁定率_last]]-表格_mgm_data[[#This Row],[綁定率_last_min]])/(表格_mgm_data[[#This Row],[綁定率_last_max]]-表格_mgm_data[[#This Row],[綁定率_last_min]])</f>
        <v>0.35808100617940924</v>
      </c>
      <c r="AV15">
        <f>(表格_mgm_data[[#This Row],[達成率_last]]-表格_mgm_data[[#This Row],[達成率_last_min]])/(表格_mgm_data[[#This Row],[達成率_last_max]]-表格_mgm_data[[#This Row],[達成率_last_min]])</f>
        <v>0.2644234812680839</v>
      </c>
    </row>
    <row r="16" spans="1:55" x14ac:dyDescent="0.25">
      <c r="A16" t="s">
        <v>39</v>
      </c>
      <c r="B16">
        <v>0.45714285714199998</v>
      </c>
      <c r="C16">
        <v>0.75</v>
      </c>
      <c r="D16">
        <v>0.25</v>
      </c>
      <c r="E16">
        <v>0.45714285714199998</v>
      </c>
      <c r="F16">
        <v>1.1825570000000001</v>
      </c>
      <c r="G16">
        <v>35</v>
      </c>
      <c r="H16">
        <v>0.26785714285700002</v>
      </c>
      <c r="I16">
        <v>0.93333333333299995</v>
      </c>
      <c r="J16">
        <v>0.28571400000000002</v>
      </c>
      <c r="K16">
        <v>0.26785714285700002</v>
      </c>
      <c r="L16">
        <v>0.97983699999999996</v>
      </c>
      <c r="M16">
        <v>112</v>
      </c>
      <c r="N16">
        <v>1</v>
      </c>
      <c r="O16">
        <v>9.0909090908999998E-2</v>
      </c>
      <c r="P16">
        <v>0.25</v>
      </c>
      <c r="Q16">
        <v>0</v>
      </c>
      <c r="R16">
        <v>9.0909090908999998E-2</v>
      </c>
      <c r="S16">
        <v>0</v>
      </c>
      <c r="T16">
        <v>1</v>
      </c>
      <c r="U16">
        <v>1</v>
      </c>
      <c r="V16">
        <v>0.5</v>
      </c>
      <c r="W16">
        <v>1</v>
      </c>
      <c r="X16">
        <v>2.05755</v>
      </c>
      <c r="Y16">
        <v>1</v>
      </c>
      <c r="Z16">
        <v>0.17504051863799999</v>
      </c>
      <c r="AA16">
        <v>0.53968253968199997</v>
      </c>
      <c r="AB16">
        <v>0.117647</v>
      </c>
      <c r="AC16">
        <v>0.17504051863799999</v>
      </c>
      <c r="AD16">
        <v>0.42619099999999999</v>
      </c>
      <c r="AE16">
        <v>0.944444444444</v>
      </c>
      <c r="AF16">
        <v>1</v>
      </c>
      <c r="AG16">
        <v>0.66666599999999998</v>
      </c>
      <c r="AH16">
        <v>0.944444444444</v>
      </c>
      <c r="AI16">
        <v>2.8160959999999999</v>
      </c>
      <c r="AK16" t="str">
        <f>IF(ISERROR(表格_mgm_data[[#This Row],[Deptshort_first]]),"",表格_mgm_data[[#This Row],[Deptshort_first]])</f>
        <v>TBD_業務部_BD55</v>
      </c>
      <c r="AL16">
        <f>(表格_mgm_data[[#This Row],[預約率]]-表格_mgm_data[[#This Row],[預約率_min]])/(表格_mgm_data[[#This Row],[預約率_max]]-表格_mgm_data[[#This Row],[預約率_min]])</f>
        <v>0.40285714285625968</v>
      </c>
      <c r="AM16">
        <f>(表格_mgm_data[[#This Row],[出席率]]-表格_mgm_data[[#This Row],[出席率_min]])/(表格_mgm_data[[#This Row],[出席率_max]]-表格_mgm_data[[#This Row],[出席率_min]])</f>
        <v>0.66666666666666663</v>
      </c>
      <c r="AN16">
        <f>(表格_mgm_data[[#This Row],[成交率]]-表格_mgm_data[[#This Row],[成交率_min]])/(表格_mgm_data[[#This Row],[成交率_max]]-表格_mgm_data[[#This Row],[成交率_min]])</f>
        <v>0.5</v>
      </c>
      <c r="AO16">
        <f>(表格_mgm_data[[#This Row],[綁定率]]-表格_mgm_data[[#This Row],[綁定率_min]])/(表格_mgm_data[[#This Row],[綁定率_max]]-表格_mgm_data[[#This Row],[綁定率_min]])</f>
        <v>0.40285714285625968</v>
      </c>
      <c r="AP16">
        <f>(表格_mgm_data[[#This Row],[達成率]]-表格_mgm_data[[#This Row],[達成率_min]])/(表格_mgm_data[[#This Row],[達成率_max]]-表格_mgm_data[[#This Row],[達成率_min]])</f>
        <v>0.57474034652863848</v>
      </c>
      <c r="AQ16" t="str">
        <f>IF(ISERROR(表格_mgm_data[[#This Row],[Deptshort_first]]),"",表格_mgm_data[[#This Row],[Deptshort_first]])</f>
        <v>TBD_業務部_BD55</v>
      </c>
      <c r="AR16">
        <f>(表格_mgm_data[[#This Row],[預約率_last]]-表格_mgm_data[[#This Row],[預約率_last_min]])/(表格_mgm_data[[#This Row],[預約率_last_max]]-表格_mgm_data[[#This Row],[預約率_last_min]])</f>
        <v>0.12063445624061335</v>
      </c>
      <c r="AS16">
        <f>(表格_mgm_data[[#This Row],[出席率_last]]-表格_mgm_data[[#This Row],[出席率_last_min]])/(表格_mgm_data[[#This Row],[出席率_last_max]]-表格_mgm_data[[#This Row],[出席率_last_min]])</f>
        <v>0.85517241379254905</v>
      </c>
      <c r="AT16">
        <f>(表格_mgm_data[[#This Row],[成交率_last]]-表格_mgm_data[[#This Row],[成交率_last_min]])/(表格_mgm_data[[#This Row],[成交率_last_max]]-表格_mgm_data[[#This Row],[成交率_last_min]])</f>
        <v>0.30612237463548631</v>
      </c>
      <c r="AU16">
        <f>(表格_mgm_data[[#This Row],[綁定率_last]]-表格_mgm_data[[#This Row],[綁定率_last_min]])/(表格_mgm_data[[#This Row],[綁定率_last_max]]-表格_mgm_data[[#This Row],[綁定率_last_min]])</f>
        <v>0.12063445624061335</v>
      </c>
      <c r="AV16">
        <f>(表格_mgm_data[[#This Row],[達成率_last]]-表格_mgm_data[[#This Row],[達成率_last_min]])/(表格_mgm_data[[#This Row],[達成率_last_max]]-表格_mgm_data[[#This Row],[達成率_last_min]])</f>
        <v>0.23166025427788972</v>
      </c>
    </row>
    <row r="17" spans="1:48" x14ac:dyDescent="0.25">
      <c r="A17" t="s">
        <v>40</v>
      </c>
      <c r="B17">
        <v>0.72321428571400004</v>
      </c>
      <c r="C17">
        <v>0.61728395061700003</v>
      </c>
      <c r="D17">
        <v>0.06</v>
      </c>
      <c r="E17">
        <v>0.72321428571400004</v>
      </c>
      <c r="F17">
        <v>0.30416599999999999</v>
      </c>
      <c r="G17">
        <v>112</v>
      </c>
      <c r="H17">
        <v>0.71206225680900004</v>
      </c>
      <c r="I17">
        <v>0.73224043715800002</v>
      </c>
      <c r="J17">
        <v>0.149253</v>
      </c>
      <c r="K17">
        <v>0.71206225680900004</v>
      </c>
      <c r="L17">
        <v>0.88676100000000002</v>
      </c>
      <c r="M17">
        <v>257</v>
      </c>
      <c r="N17">
        <v>1</v>
      </c>
      <c r="O17">
        <v>9.0909090908999998E-2</v>
      </c>
      <c r="P17">
        <v>0.25</v>
      </c>
      <c r="Q17">
        <v>0</v>
      </c>
      <c r="R17">
        <v>9.0909090908999998E-2</v>
      </c>
      <c r="S17">
        <v>0</v>
      </c>
      <c r="T17">
        <v>1</v>
      </c>
      <c r="U17">
        <v>1</v>
      </c>
      <c r="V17">
        <v>0.5</v>
      </c>
      <c r="W17">
        <v>1</v>
      </c>
      <c r="X17">
        <v>2.05755</v>
      </c>
      <c r="Y17">
        <v>1</v>
      </c>
      <c r="Z17">
        <v>0.17504051863799999</v>
      </c>
      <c r="AA17">
        <v>0.53968253968199997</v>
      </c>
      <c r="AB17">
        <v>0.117647</v>
      </c>
      <c r="AC17">
        <v>0.17504051863799999</v>
      </c>
      <c r="AD17">
        <v>0.42619099999999999</v>
      </c>
      <c r="AE17">
        <v>0.944444444444</v>
      </c>
      <c r="AF17">
        <v>1</v>
      </c>
      <c r="AG17">
        <v>0.66666599999999998</v>
      </c>
      <c r="AH17">
        <v>0.944444444444</v>
      </c>
      <c r="AI17">
        <v>2.8160959999999999</v>
      </c>
      <c r="AK17" t="str">
        <f>IF(ISERROR(表格_mgm_data[[#This Row],[Deptshort_first]]),"",表格_mgm_data[[#This Row],[Deptshort_first]])</f>
        <v>TBD_業務部_BD59</v>
      </c>
      <c r="AL17">
        <f>(表格_mgm_data[[#This Row],[預約率]]-表格_mgm_data[[#This Row],[預約率_min]])/(表格_mgm_data[[#This Row],[預約率_max]]-表格_mgm_data[[#This Row],[預約率_min]])</f>
        <v>0.69553571428543048</v>
      </c>
      <c r="AM17">
        <f>(表格_mgm_data[[#This Row],[出席率]]-表格_mgm_data[[#This Row],[出席率_min]])/(表格_mgm_data[[#This Row],[出席率_max]]-表格_mgm_data[[#This Row],[出席率_min]])</f>
        <v>0.48971193415600006</v>
      </c>
      <c r="AN17">
        <f>(表格_mgm_data[[#This Row],[成交率]]-表格_mgm_data[[#This Row],[成交率_min]])/(表格_mgm_data[[#This Row],[成交率_max]]-表格_mgm_data[[#This Row],[成交率_min]])</f>
        <v>0.12</v>
      </c>
      <c r="AO17">
        <f>(表格_mgm_data[[#This Row],[綁定率]]-表格_mgm_data[[#This Row],[綁定率_min]])/(表格_mgm_data[[#This Row],[綁定率_max]]-表格_mgm_data[[#This Row],[綁定率_min]])</f>
        <v>0.69553571428543048</v>
      </c>
      <c r="AP17">
        <f>(表格_mgm_data[[#This Row],[達成率]]-表格_mgm_data[[#This Row],[達成率_min]])/(表格_mgm_data[[#This Row],[達成率_max]]-表格_mgm_data[[#This Row],[達成率_min]])</f>
        <v>0.14782921435688076</v>
      </c>
      <c r="AQ17" t="str">
        <f>IF(ISERROR(表格_mgm_data[[#This Row],[Deptshort_first]]),"",表格_mgm_data[[#This Row],[Deptshort_first]])</f>
        <v>TBD_業務部_BD59</v>
      </c>
      <c r="AR17">
        <f>(表格_mgm_data[[#This Row],[預約率_last]]-表格_mgm_data[[#This Row],[預約率_last_min]])/(表格_mgm_data[[#This Row],[預約率_last_max]]-表格_mgm_data[[#This Row],[預約率_last_min]])</f>
        <v>0.69797114384155934</v>
      </c>
      <c r="AS17">
        <f>(表格_mgm_data[[#This Row],[出席率_last]]-表格_mgm_data[[#This Row],[出席率_last_min]])/(表格_mgm_data[[#This Row],[出席率_last_max]]-表格_mgm_data[[#This Row],[出席率_last_min]])</f>
        <v>0.41831543244737174</v>
      </c>
      <c r="AT17">
        <f>(表格_mgm_data[[#This Row],[成交率_last]]-表格_mgm_data[[#This Row],[成交率_last_min]])/(表格_mgm_data[[#This Row],[成交率_last_max]]-表格_mgm_data[[#This Row],[成交率_last_min]])</f>
        <v>5.7568135164721077E-2</v>
      </c>
      <c r="AU17">
        <f>(表格_mgm_data[[#This Row],[綁定率_last]]-表格_mgm_data[[#This Row],[綁定率_last_min]])/(表格_mgm_data[[#This Row],[綁定率_last_max]]-表格_mgm_data[[#This Row],[綁定率_last_min]])</f>
        <v>0.69797114384155934</v>
      </c>
      <c r="AV17">
        <f>(表格_mgm_data[[#This Row],[達成率_last]]-表格_mgm_data[[#This Row],[達成率_last_min]])/(表格_mgm_data[[#This Row],[達成率_last_max]]-表格_mgm_data[[#This Row],[達成率_last_min]])</f>
        <v>0.19271477318136079</v>
      </c>
    </row>
    <row r="18" spans="1:48" x14ac:dyDescent="0.25">
      <c r="A18" t="s">
        <v>41</v>
      </c>
      <c r="B18">
        <v>0.95</v>
      </c>
      <c r="C18">
        <v>0.47368421052600002</v>
      </c>
      <c r="D18">
        <v>0</v>
      </c>
      <c r="E18">
        <v>0.95</v>
      </c>
      <c r="F18">
        <v>0</v>
      </c>
      <c r="G18">
        <v>20</v>
      </c>
      <c r="H18">
        <v>0.90598290598200004</v>
      </c>
      <c r="I18">
        <v>0.61320754716899994</v>
      </c>
      <c r="J18">
        <v>0.138461</v>
      </c>
      <c r="K18">
        <v>0.90598290598200004</v>
      </c>
      <c r="L18">
        <v>0.76225900000000002</v>
      </c>
      <c r="M18">
        <v>117</v>
      </c>
      <c r="N18">
        <v>1</v>
      </c>
      <c r="O18">
        <v>9.0909090908999998E-2</v>
      </c>
      <c r="P18">
        <v>0.25</v>
      </c>
      <c r="Q18">
        <v>0</v>
      </c>
      <c r="R18">
        <v>9.0909090908999998E-2</v>
      </c>
      <c r="S18">
        <v>0</v>
      </c>
      <c r="T18">
        <v>1</v>
      </c>
      <c r="U18">
        <v>1</v>
      </c>
      <c r="V18">
        <v>0.5</v>
      </c>
      <c r="W18">
        <v>1</v>
      </c>
      <c r="X18">
        <v>2.05755</v>
      </c>
      <c r="Y18">
        <v>1</v>
      </c>
      <c r="Z18">
        <v>0.17504051863799999</v>
      </c>
      <c r="AA18">
        <v>0.53968253968199997</v>
      </c>
      <c r="AB18">
        <v>0.117647</v>
      </c>
      <c r="AC18">
        <v>0.17504051863799999</v>
      </c>
      <c r="AD18">
        <v>0.42619099999999999</v>
      </c>
      <c r="AE18">
        <v>0.944444444444</v>
      </c>
      <c r="AF18">
        <v>1</v>
      </c>
      <c r="AG18">
        <v>0.66666599999999998</v>
      </c>
      <c r="AH18">
        <v>0.944444444444</v>
      </c>
      <c r="AI18">
        <v>2.8160959999999999</v>
      </c>
      <c r="AK18" t="str">
        <f>IF(ISERROR(表格_mgm_data[[#This Row],[Deptshort_first]]),"",表格_mgm_data[[#This Row],[Deptshort_first]])</f>
        <v>TBD_業務部_BD6</v>
      </c>
      <c r="AL18">
        <f>(表格_mgm_data[[#This Row],[預約率]]-表格_mgm_data[[#This Row],[預約率_min]])/(表格_mgm_data[[#This Row],[預約率_max]]-表格_mgm_data[[#This Row],[預約率_min]])</f>
        <v>0.9450000000000055</v>
      </c>
      <c r="AM18">
        <f>(表格_mgm_data[[#This Row],[出席率]]-表格_mgm_data[[#This Row],[出席率_min]])/(表格_mgm_data[[#This Row],[出席率_max]]-表格_mgm_data[[#This Row],[出席率_min]])</f>
        <v>0.29824561403466671</v>
      </c>
      <c r="AN18">
        <f>(表格_mgm_data[[#This Row],[成交率]]-表格_mgm_data[[#This Row],[成交率_min]])/(表格_mgm_data[[#This Row],[成交率_max]]-表格_mgm_data[[#This Row],[成交率_min]])</f>
        <v>0</v>
      </c>
      <c r="AO18">
        <f>(表格_mgm_data[[#This Row],[綁定率]]-表格_mgm_data[[#This Row],[綁定率_min]])/(表格_mgm_data[[#This Row],[綁定率_max]]-表格_mgm_data[[#This Row],[綁定率_min]])</f>
        <v>0.9450000000000055</v>
      </c>
      <c r="AP18">
        <f>(表格_mgm_data[[#This Row],[達成率]]-表格_mgm_data[[#This Row],[達成率_min]])/(表格_mgm_data[[#This Row],[達成率_max]]-表格_mgm_data[[#This Row],[達成率_min]])</f>
        <v>0</v>
      </c>
      <c r="AQ18" t="str">
        <f>IF(ISERROR(表格_mgm_data[[#This Row],[Deptshort_first]]),"",表格_mgm_data[[#This Row],[Deptshort_first]])</f>
        <v>TBD_業務部_BD6</v>
      </c>
      <c r="AR18">
        <f>(表格_mgm_data[[#This Row],[預約率_last]]-表格_mgm_data[[#This Row],[預約率_last_min]])/(表格_mgm_data[[#This Row],[預約率_last_max]]-表格_mgm_data[[#This Row],[預約率_last_min]])</f>
        <v>0.95001125264378006</v>
      </c>
      <c r="AS18">
        <f>(表格_mgm_data[[#This Row],[出席率_last]]-表格_mgm_data[[#This Row],[出席率_last_min]])/(表格_mgm_data[[#This Row],[出席率_last_max]]-表格_mgm_data[[#This Row],[出席率_last_min]])</f>
        <v>0.15972674040260576</v>
      </c>
      <c r="AT18">
        <f>(表格_mgm_data[[#This Row],[成交率_last]]-表格_mgm_data[[#This Row],[成交率_last_min]])/(表格_mgm_data[[#This Row],[成交率_last_max]]-表格_mgm_data[[#This Row],[成交率_last_min]])</f>
        <v>3.7911256258890864E-2</v>
      </c>
      <c r="AU18">
        <f>(表格_mgm_data[[#This Row],[綁定率_last]]-表格_mgm_data[[#This Row],[綁定率_last_min]])/(表格_mgm_data[[#This Row],[綁定率_last_max]]-表格_mgm_data[[#This Row],[綁定率_last_min]])</f>
        <v>0.95001125264378006</v>
      </c>
      <c r="AV18">
        <f>(表格_mgm_data[[#This Row],[達成率_last]]-表格_mgm_data[[#This Row],[達成率_last_min]])/(表格_mgm_data[[#This Row],[達成率_last_max]]-表格_mgm_data[[#This Row],[達成率_last_min]])</f>
        <v>0.1406198154319942</v>
      </c>
    </row>
    <row r="19" spans="1:48" x14ac:dyDescent="0.25">
      <c r="A19" t="s">
        <v>42</v>
      </c>
      <c r="B19">
        <v>9.0909090908999998E-2</v>
      </c>
      <c r="C19">
        <v>1</v>
      </c>
      <c r="D19">
        <v>0</v>
      </c>
      <c r="E19">
        <v>9.0909090908999998E-2</v>
      </c>
      <c r="F19">
        <v>0</v>
      </c>
      <c r="G19">
        <v>11</v>
      </c>
      <c r="H19">
        <v>0.30769230769200001</v>
      </c>
      <c r="I19">
        <v>0.75</v>
      </c>
      <c r="J19">
        <v>0.66666599999999998</v>
      </c>
      <c r="K19">
        <v>0.30769230769200001</v>
      </c>
      <c r="L19">
        <v>0.88837900000000003</v>
      </c>
      <c r="M19">
        <v>13</v>
      </c>
      <c r="N19">
        <v>1</v>
      </c>
      <c r="O19">
        <v>9.0909090908999998E-2</v>
      </c>
      <c r="P19">
        <v>0.25</v>
      </c>
      <c r="Q19">
        <v>0</v>
      </c>
      <c r="R19">
        <v>9.0909090908999998E-2</v>
      </c>
      <c r="S19">
        <v>0</v>
      </c>
      <c r="T19">
        <v>1</v>
      </c>
      <c r="U19">
        <v>1</v>
      </c>
      <c r="V19">
        <v>0.5</v>
      </c>
      <c r="W19">
        <v>1</v>
      </c>
      <c r="X19">
        <v>2.05755</v>
      </c>
      <c r="Y19">
        <v>1</v>
      </c>
      <c r="Z19">
        <v>0.17504051863799999</v>
      </c>
      <c r="AA19">
        <v>0.53968253968199997</v>
      </c>
      <c r="AB19">
        <v>0.117647</v>
      </c>
      <c r="AC19">
        <v>0.17504051863799999</v>
      </c>
      <c r="AD19">
        <v>0.42619099999999999</v>
      </c>
      <c r="AE19">
        <v>0.944444444444</v>
      </c>
      <c r="AF19">
        <v>1</v>
      </c>
      <c r="AG19">
        <v>0.66666599999999998</v>
      </c>
      <c r="AH19">
        <v>0.944444444444</v>
      </c>
      <c r="AI19">
        <v>2.8160959999999999</v>
      </c>
      <c r="AK19" t="str">
        <f>IF(ISERROR(表格_mgm_data[[#This Row],[Deptshort_first]]),"",表格_mgm_data[[#This Row],[Deptshort_first]])</f>
        <v>TBD_業務部_BD65</v>
      </c>
      <c r="AL19">
        <f>(表格_mgm_data[[#This Row],[預約率]]-表格_mgm_data[[#This Row],[預約率_min]])/(表格_mgm_data[[#This Row],[預約率_max]]-表格_mgm_data[[#This Row],[預約率_min]])</f>
        <v>0</v>
      </c>
      <c r="AM19">
        <f>(表格_mgm_data[[#This Row],[出席率]]-表格_mgm_data[[#This Row],[出席率_min]])/(表格_mgm_data[[#This Row],[出席率_max]]-表格_mgm_data[[#This Row],[出席率_min]])</f>
        <v>1</v>
      </c>
      <c r="AN19">
        <f>(表格_mgm_data[[#This Row],[成交率]]-表格_mgm_data[[#This Row],[成交率_min]])/(表格_mgm_data[[#This Row],[成交率_max]]-表格_mgm_data[[#This Row],[成交率_min]])</f>
        <v>0</v>
      </c>
      <c r="AO19">
        <f>(表格_mgm_data[[#This Row],[綁定率]]-表格_mgm_data[[#This Row],[綁定率_min]])/(表格_mgm_data[[#This Row],[綁定率_max]]-表格_mgm_data[[#This Row],[綁定率_min]])</f>
        <v>0</v>
      </c>
      <c r="AP19">
        <f>(表格_mgm_data[[#This Row],[達成率]]-表格_mgm_data[[#This Row],[達成率_min]])/(表格_mgm_data[[#This Row],[達成率_max]]-表格_mgm_data[[#This Row],[達成率_min]])</f>
        <v>0</v>
      </c>
      <c r="AQ19" t="str">
        <f>IF(ISERROR(表格_mgm_data[[#This Row],[Deptshort_first]]),"",表格_mgm_data[[#This Row],[Deptshort_first]])</f>
        <v>TBD_業務部_BD65</v>
      </c>
      <c r="AR19">
        <f>(表格_mgm_data[[#This Row],[預約率_last]]-表格_mgm_data[[#This Row],[預約率_last_min]])/(表格_mgm_data[[#This Row],[預約率_last_max]]-表格_mgm_data[[#This Row],[預約率_last_min]])</f>
        <v>0.17240851600157714</v>
      </c>
      <c r="AS19">
        <f>(表格_mgm_data[[#This Row],[出席率_last]]-表格_mgm_data[[#This Row],[出席率_last_min]])/(表格_mgm_data[[#This Row],[出席率_last_max]]-表格_mgm_data[[#This Row],[出席率_last_min]])</f>
        <v>0.45689655172477472</v>
      </c>
      <c r="AT19">
        <f>(表格_mgm_data[[#This Row],[成交率_last]]-表格_mgm_data[[#This Row],[成交率_last_min]])/(表格_mgm_data[[#This Row],[成交率_last_max]]-表格_mgm_data[[#This Row],[成交率_last_min]])</f>
        <v>1</v>
      </c>
      <c r="AU19">
        <f>(表格_mgm_data[[#This Row],[綁定率_last]]-表格_mgm_data[[#This Row],[綁定率_last_min]])/(表格_mgm_data[[#This Row],[綁定率_last_max]]-表格_mgm_data[[#This Row],[綁定率_last_min]])</f>
        <v>0.17240851600157714</v>
      </c>
      <c r="AV19">
        <f>(表格_mgm_data[[#This Row],[達成率_last]]-表格_mgm_data[[#This Row],[達成率_last_min]])/(表格_mgm_data[[#This Row],[達成率_last_max]]-表格_mgm_data[[#This Row],[達成率_last_min]])</f>
        <v>0.19339178753967212</v>
      </c>
    </row>
    <row r="20" spans="1:48" x14ac:dyDescent="0.25">
      <c r="A20" t="s">
        <v>43</v>
      </c>
      <c r="B20">
        <v>1</v>
      </c>
      <c r="C20">
        <v>0.25</v>
      </c>
      <c r="D20">
        <v>0</v>
      </c>
      <c r="E20">
        <v>1</v>
      </c>
      <c r="F20">
        <v>0</v>
      </c>
      <c r="G20">
        <v>4</v>
      </c>
      <c r="H20">
        <v>0.944444444444</v>
      </c>
      <c r="I20">
        <v>0.88235294117600005</v>
      </c>
      <c r="J20">
        <v>0.2</v>
      </c>
      <c r="K20">
        <v>0.944444444444</v>
      </c>
      <c r="L20">
        <v>1.095032</v>
      </c>
      <c r="M20">
        <v>18</v>
      </c>
      <c r="N20">
        <v>1</v>
      </c>
      <c r="O20">
        <v>9.0909090908999998E-2</v>
      </c>
      <c r="P20">
        <v>0.25</v>
      </c>
      <c r="Q20">
        <v>0</v>
      </c>
      <c r="R20">
        <v>9.0909090908999998E-2</v>
      </c>
      <c r="S20">
        <v>0</v>
      </c>
      <c r="T20">
        <v>1</v>
      </c>
      <c r="U20">
        <v>1</v>
      </c>
      <c r="V20">
        <v>0.5</v>
      </c>
      <c r="W20">
        <v>1</v>
      </c>
      <c r="X20">
        <v>2.05755</v>
      </c>
      <c r="Y20">
        <v>1</v>
      </c>
      <c r="Z20">
        <v>0.17504051863799999</v>
      </c>
      <c r="AA20">
        <v>0.53968253968199997</v>
      </c>
      <c r="AB20">
        <v>0.117647</v>
      </c>
      <c r="AC20">
        <v>0.17504051863799999</v>
      </c>
      <c r="AD20">
        <v>0.42619099999999999</v>
      </c>
      <c r="AE20">
        <v>0.944444444444</v>
      </c>
      <c r="AF20">
        <v>1</v>
      </c>
      <c r="AG20">
        <v>0.66666599999999998</v>
      </c>
      <c r="AH20">
        <v>0.944444444444</v>
      </c>
      <c r="AI20">
        <v>2.8160959999999999</v>
      </c>
      <c r="AK20" t="str">
        <f>IF(ISERROR(表格_mgm_data[[#This Row],[Deptshort_first]]),"",表格_mgm_data[[#This Row],[Deptshort_first]])</f>
        <v>TBD_業務部_BD7</v>
      </c>
      <c r="AL20">
        <f>(表格_mgm_data[[#This Row],[預約率]]-表格_mgm_data[[#This Row],[預約率_min]])/(表格_mgm_data[[#This Row],[預約率_max]]-表格_mgm_data[[#This Row],[預約率_min]])</f>
        <v>1</v>
      </c>
      <c r="AM20">
        <f>(表格_mgm_data[[#This Row],[出席率]]-表格_mgm_data[[#This Row],[出席率_min]])/(表格_mgm_data[[#This Row],[出席率_max]]-表格_mgm_data[[#This Row],[出席率_min]])</f>
        <v>0</v>
      </c>
      <c r="AN20">
        <f>(表格_mgm_data[[#This Row],[成交率]]-表格_mgm_data[[#This Row],[成交率_min]])/(表格_mgm_data[[#This Row],[成交率_max]]-表格_mgm_data[[#This Row],[成交率_min]])</f>
        <v>0</v>
      </c>
      <c r="AO20">
        <f>(表格_mgm_data[[#This Row],[綁定率]]-表格_mgm_data[[#This Row],[綁定率_min]])/(表格_mgm_data[[#This Row],[綁定率_max]]-表格_mgm_data[[#This Row],[綁定率_min]])</f>
        <v>1</v>
      </c>
      <c r="AP20">
        <f>(表格_mgm_data[[#This Row],[達成率]]-表格_mgm_data[[#This Row],[達成率_min]])/(表格_mgm_data[[#This Row],[達成率_max]]-表格_mgm_data[[#This Row],[達成率_min]])</f>
        <v>0</v>
      </c>
      <c r="AQ20" t="str">
        <f>IF(ISERROR(表格_mgm_data[[#This Row],[Deptshort_first]]),"",表格_mgm_data[[#This Row],[Deptshort_first]])</f>
        <v>TBD_業務部_BD7</v>
      </c>
      <c r="AR20">
        <f>(表格_mgm_data[[#This Row],[預約率_last]]-表格_mgm_data[[#This Row],[預約率_last_min]])/(表格_mgm_data[[#This Row],[預約率_last_max]]-表格_mgm_data[[#This Row],[預約率_last_min]])</f>
        <v>1</v>
      </c>
      <c r="AS20">
        <f>(表格_mgm_data[[#This Row],[出席率_last]]-表格_mgm_data[[#This Row],[出席率_last_min]])/(表格_mgm_data[[#This Row],[出席率_last_max]]-表格_mgm_data[[#This Row],[出席率_last_min]])</f>
        <v>0.74442190669298947</v>
      </c>
      <c r="AT20">
        <f>(表格_mgm_data[[#This Row],[成交率_last]]-表格_mgm_data[[#This Row],[成交率_last_min]])/(表格_mgm_data[[#This Row],[成交率_last_max]]-表格_mgm_data[[#This Row],[成交率_last_min]])</f>
        <v>0.15000027321458825</v>
      </c>
      <c r="AU20">
        <f>(表格_mgm_data[[#This Row],[綁定率_last]]-表格_mgm_data[[#This Row],[綁定率_last_min]])/(表格_mgm_data[[#This Row],[綁定率_last_max]]-表格_mgm_data[[#This Row],[綁定率_last_min]])</f>
        <v>1</v>
      </c>
      <c r="AV20">
        <f>(表格_mgm_data[[#This Row],[達成率_last]]-表格_mgm_data[[#This Row],[達成率_last_min]])/(表格_mgm_data[[#This Row],[達成率_last_max]]-表格_mgm_data[[#This Row],[達成率_last_min]])</f>
        <v>0.27986091497360777</v>
      </c>
    </row>
    <row r="21" spans="1:48" x14ac:dyDescent="0.25">
      <c r="A21" t="s">
        <v>44</v>
      </c>
      <c r="B21">
        <v>0.57746478873200002</v>
      </c>
      <c r="C21">
        <v>0.82926829268199997</v>
      </c>
      <c r="D21">
        <v>0.14705799999999999</v>
      </c>
      <c r="E21">
        <v>0.57746478873200002</v>
      </c>
      <c r="F21">
        <v>0.99354100000000001</v>
      </c>
      <c r="G21">
        <v>71</v>
      </c>
      <c r="H21">
        <v>0.25824175824099999</v>
      </c>
      <c r="I21">
        <v>0.787234042553</v>
      </c>
      <c r="J21">
        <v>0.162162</v>
      </c>
      <c r="K21">
        <v>0.25824175824099999</v>
      </c>
      <c r="L21">
        <v>0.56140500000000004</v>
      </c>
      <c r="M21">
        <v>364</v>
      </c>
      <c r="N21">
        <v>1</v>
      </c>
      <c r="O21">
        <v>9.0909090908999998E-2</v>
      </c>
      <c r="P21">
        <v>0.25</v>
      </c>
      <c r="Q21">
        <v>0</v>
      </c>
      <c r="R21">
        <v>9.0909090908999998E-2</v>
      </c>
      <c r="S21">
        <v>0</v>
      </c>
      <c r="T21">
        <v>1</v>
      </c>
      <c r="U21">
        <v>1</v>
      </c>
      <c r="V21">
        <v>0.5</v>
      </c>
      <c r="W21">
        <v>1</v>
      </c>
      <c r="X21">
        <v>2.05755</v>
      </c>
      <c r="Y21">
        <v>1</v>
      </c>
      <c r="Z21">
        <v>0.17504051863799999</v>
      </c>
      <c r="AA21">
        <v>0.53968253968199997</v>
      </c>
      <c r="AB21">
        <v>0.117647</v>
      </c>
      <c r="AC21">
        <v>0.17504051863799999</v>
      </c>
      <c r="AD21">
        <v>0.42619099999999999</v>
      </c>
      <c r="AE21">
        <v>0.944444444444</v>
      </c>
      <c r="AF21">
        <v>1</v>
      </c>
      <c r="AG21">
        <v>0.66666599999999998</v>
      </c>
      <c r="AH21">
        <v>0.944444444444</v>
      </c>
      <c r="AI21">
        <v>2.8160959999999999</v>
      </c>
      <c r="AK21" t="str">
        <f>IF(ISERROR(表格_mgm_data[[#This Row],[Deptshort_first]]),"",表格_mgm_data[[#This Row],[Deptshort_first]])</f>
        <v>TBD_業務部_BD9</v>
      </c>
      <c r="AL21">
        <f>(表格_mgm_data[[#This Row],[預約率]]-表格_mgm_data[[#This Row],[預約率_min]])/(表格_mgm_data[[#This Row],[預約率_max]]-表格_mgm_data[[#This Row],[預約率_min]])</f>
        <v>0.53521126760524651</v>
      </c>
      <c r="AM21">
        <f>(表格_mgm_data[[#This Row],[出席率]]-表格_mgm_data[[#This Row],[出席率_min]])/(表格_mgm_data[[#This Row],[出席率_max]]-表格_mgm_data[[#This Row],[出席率_min]])</f>
        <v>0.77235772357599997</v>
      </c>
      <c r="AN21">
        <f>(表格_mgm_data[[#This Row],[成交率]]-表格_mgm_data[[#This Row],[成交率_min]])/(表格_mgm_data[[#This Row],[成交率_max]]-表格_mgm_data[[#This Row],[成交率_min]])</f>
        <v>0.29411599999999999</v>
      </c>
      <c r="AO21">
        <f>(表格_mgm_data[[#This Row],[綁定率]]-表格_mgm_data[[#This Row],[綁定率_min]])/(表格_mgm_data[[#This Row],[綁定率_max]]-表格_mgm_data[[#This Row],[綁定率_min]])</f>
        <v>0.53521126760524651</v>
      </c>
      <c r="AP21">
        <f>(表格_mgm_data[[#This Row],[達成率]]-表格_mgm_data[[#This Row],[達成率_min]])/(表格_mgm_data[[#This Row],[達成率_max]]-表格_mgm_data[[#This Row],[達成率_min]])</f>
        <v>0.48287575028553376</v>
      </c>
      <c r="AQ21" t="str">
        <f>IF(ISERROR(表格_mgm_data[[#This Row],[Deptshort_first]]),"",表格_mgm_data[[#This Row],[Deptshort_first]])</f>
        <v>TBD_業務部_BD9</v>
      </c>
      <c r="AR21">
        <f>(表格_mgm_data[[#This Row],[預約率_last]]-表格_mgm_data[[#This Row],[預約率_last_min]])/(表格_mgm_data[[#This Row],[預約率_last_max]]-表格_mgm_data[[#This Row],[預約率_last_min]])</f>
        <v>0.10813726940090844</v>
      </c>
      <c r="AS21">
        <f>(表格_mgm_data[[#This Row],[出席率_last]]-表格_mgm_data[[#This Row],[出席率_last_min]])/(表格_mgm_data[[#This Row],[出席率_last_max]]-表格_mgm_data[[#This Row],[出席率_last_min]])</f>
        <v>0.53778429933981775</v>
      </c>
      <c r="AT21">
        <f>(表格_mgm_data[[#This Row],[成交率_last]]-表格_mgm_data[[#This Row],[成交率_last_min]])/(表格_mgm_data[[#This Row],[成交率_last_max]]-表格_mgm_data[[#This Row],[成交率_last_min]])</f>
        <v>8.1080982625373624E-2</v>
      </c>
      <c r="AU21">
        <f>(表格_mgm_data[[#This Row],[綁定率_last]]-表格_mgm_data[[#This Row],[綁定率_last_min]])/(表格_mgm_data[[#This Row],[綁定率_last_max]]-表格_mgm_data[[#This Row],[綁定率_last_min]])</f>
        <v>0.10813726940090844</v>
      </c>
      <c r="AV21">
        <f>(表格_mgm_data[[#This Row],[達成率_last]]-表格_mgm_data[[#This Row],[達成率_last_min]])/(表格_mgm_data[[#This Row],[達成率_last_max]]-表格_mgm_data[[#This Row],[達成率_last_min]])</f>
        <v>5.657714427979358E-2</v>
      </c>
    </row>
    <row r="22" spans="1:48" x14ac:dyDescent="0.25">
      <c r="AK22" t="str">
        <f>IF(ISERROR(表格_mgm_data[[#This Row],[Deptshort_first]]),"",表格_mgm_data[[#This Row],[Deptshort_first]])</f>
        <v/>
      </c>
      <c r="AL22" t="e">
        <f>(表格_mgm_data[[#This Row],[預約率]]-表格_mgm_data[[#This Row],[預約率_min]])/(表格_mgm_data[[#This Row],[預約率_max]]-表格_mgm_data[[#This Row],[預約率_min]])</f>
        <v>#VALUE!</v>
      </c>
      <c r="AM22" t="e">
        <f>(表格_mgm_data[[#This Row],[出席率]]-表格_mgm_data[[#This Row],[出席率_min]])/(表格_mgm_data[[#This Row],[出席率_max]]-表格_mgm_data[[#This Row],[出席率_min]])</f>
        <v>#VALUE!</v>
      </c>
      <c r="AN22" t="e">
        <f>(表格_mgm_data[[#This Row],[成交率]]-表格_mgm_data[[#This Row],[成交率_min]])/(表格_mgm_data[[#This Row],[成交率_max]]-表格_mgm_data[[#This Row],[成交率_min]])</f>
        <v>#VALUE!</v>
      </c>
      <c r="AO22" t="e">
        <f>(表格_mgm_data[[#This Row],[綁定率]]-表格_mgm_data[[#This Row],[綁定率_min]])/(表格_mgm_data[[#This Row],[綁定率_max]]-表格_mgm_data[[#This Row],[綁定率_min]])</f>
        <v>#VALUE!</v>
      </c>
      <c r="AP22" t="e">
        <f>(表格_mgm_data[[#This Row],[達成率]]-表格_mgm_data[[#This Row],[達成率_min]])/(表格_mgm_data[[#This Row],[達成率_max]]-表格_mgm_data[[#This Row],[達成率_min]])</f>
        <v>#VALUE!</v>
      </c>
      <c r="AQ22" t="str">
        <f>IF(ISERROR(表格_mgm_data[[#This Row],[Deptshort_first]]),"",表格_mgm_data[[#This Row],[Deptshort_first]])</f>
        <v/>
      </c>
      <c r="AR22" t="e">
        <f>(表格_mgm_data[[#This Row],[預約率_last]]-表格_mgm_data[[#This Row],[預約率_last_min]])/(表格_mgm_data[[#This Row],[預約率_last_max]]-表格_mgm_data[[#This Row],[預約率_last_min]])</f>
        <v>#VALUE!</v>
      </c>
      <c r="AS22" t="e">
        <f>(表格_mgm_data[[#This Row],[出席率_last]]-表格_mgm_data[[#This Row],[出席率_last_min]])/(表格_mgm_data[[#This Row],[出席率_last_max]]-表格_mgm_data[[#This Row],[出席率_last_min]])</f>
        <v>#VALUE!</v>
      </c>
      <c r="AT22" t="e">
        <f>(表格_mgm_data[[#This Row],[成交率_last]]-表格_mgm_data[[#This Row],[成交率_last_min]])/(表格_mgm_data[[#This Row],[成交率_last_max]]-表格_mgm_data[[#This Row],[成交率_last_min]])</f>
        <v>#VALUE!</v>
      </c>
      <c r="AU22" t="e">
        <f>(表格_mgm_data[[#This Row],[綁定率_last]]-表格_mgm_data[[#This Row],[綁定率_last_min]])/(表格_mgm_data[[#This Row],[綁定率_last_max]]-表格_mgm_data[[#This Row],[綁定率_last_min]])</f>
        <v>#VALUE!</v>
      </c>
      <c r="AV22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3" spans="1:48" x14ac:dyDescent="0.25">
      <c r="AK23" t="str">
        <f>IF(ISERROR(表格_mgm_data[[#This Row],[Deptshort_first]]),"",表格_mgm_data[[#This Row],[Deptshort_first]])</f>
        <v/>
      </c>
      <c r="AL23" t="e">
        <f>(表格_mgm_data[[#This Row],[預約率]]-表格_mgm_data[[#This Row],[預約率_min]])/(表格_mgm_data[[#This Row],[預約率_max]]-表格_mgm_data[[#This Row],[預約率_min]])</f>
        <v>#VALUE!</v>
      </c>
      <c r="AM23" t="e">
        <f>(表格_mgm_data[[#This Row],[出席率]]-表格_mgm_data[[#This Row],[出席率_min]])/(表格_mgm_data[[#This Row],[出席率_max]]-表格_mgm_data[[#This Row],[出席率_min]])</f>
        <v>#VALUE!</v>
      </c>
      <c r="AN23" t="e">
        <f>(表格_mgm_data[[#This Row],[成交率]]-表格_mgm_data[[#This Row],[成交率_min]])/(表格_mgm_data[[#This Row],[成交率_max]]-表格_mgm_data[[#This Row],[成交率_min]])</f>
        <v>#VALUE!</v>
      </c>
      <c r="AO23" t="e">
        <f>(表格_mgm_data[[#This Row],[綁定率]]-表格_mgm_data[[#This Row],[綁定率_min]])/(表格_mgm_data[[#This Row],[綁定率_max]]-表格_mgm_data[[#This Row],[綁定率_min]])</f>
        <v>#VALUE!</v>
      </c>
      <c r="AP23" t="e">
        <f>(表格_mgm_data[[#This Row],[達成率]]-表格_mgm_data[[#This Row],[達成率_min]])/(表格_mgm_data[[#This Row],[達成率_max]]-表格_mgm_data[[#This Row],[達成率_min]])</f>
        <v>#VALUE!</v>
      </c>
      <c r="AQ23" t="str">
        <f>IF(ISERROR(表格_mgm_data[[#This Row],[Deptshort_first]]),"",表格_mgm_data[[#This Row],[Deptshort_first]])</f>
        <v/>
      </c>
      <c r="AR23" t="e">
        <f>(表格_mgm_data[[#This Row],[預約率_last]]-表格_mgm_data[[#This Row],[預約率_last_min]])/(表格_mgm_data[[#This Row],[預約率_last_max]]-表格_mgm_data[[#This Row],[預約率_last_min]])</f>
        <v>#VALUE!</v>
      </c>
      <c r="AS23" t="e">
        <f>(表格_mgm_data[[#This Row],[出席率_last]]-表格_mgm_data[[#This Row],[出席率_last_min]])/(表格_mgm_data[[#This Row],[出席率_last_max]]-表格_mgm_data[[#This Row],[出席率_last_min]])</f>
        <v>#VALUE!</v>
      </c>
      <c r="AT23" t="e">
        <f>(表格_mgm_data[[#This Row],[成交率_last]]-表格_mgm_data[[#This Row],[成交率_last_min]])/(表格_mgm_data[[#This Row],[成交率_last_max]]-表格_mgm_data[[#This Row],[成交率_last_min]])</f>
        <v>#VALUE!</v>
      </c>
      <c r="AU23" t="e">
        <f>(表格_mgm_data[[#This Row],[綁定率_last]]-表格_mgm_data[[#This Row],[綁定率_last_min]])/(表格_mgm_data[[#This Row],[綁定率_last_max]]-表格_mgm_data[[#This Row],[綁定率_last_min]])</f>
        <v>#VALUE!</v>
      </c>
      <c r="AV23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4" spans="1:48" x14ac:dyDescent="0.25">
      <c r="AK24" t="str">
        <f>IF(ISERROR(表格_mgm_data[[#This Row],[Deptshort_first]]),"",表格_mgm_data[[#This Row],[Deptshort_first]])</f>
        <v/>
      </c>
      <c r="AL24" t="e">
        <f>(表格_mgm_data[[#This Row],[預約率]]-表格_mgm_data[[#This Row],[預約率_min]])/(表格_mgm_data[[#This Row],[預約率_max]]-表格_mgm_data[[#This Row],[預約率_min]])</f>
        <v>#VALUE!</v>
      </c>
      <c r="AM24" t="e">
        <f>(表格_mgm_data[[#This Row],[出席率]]-表格_mgm_data[[#This Row],[出席率_min]])/(表格_mgm_data[[#This Row],[出席率_max]]-表格_mgm_data[[#This Row],[出席率_min]])</f>
        <v>#VALUE!</v>
      </c>
      <c r="AN24" t="e">
        <f>(表格_mgm_data[[#This Row],[成交率]]-表格_mgm_data[[#This Row],[成交率_min]])/(表格_mgm_data[[#This Row],[成交率_max]]-表格_mgm_data[[#This Row],[成交率_min]])</f>
        <v>#VALUE!</v>
      </c>
      <c r="AO24" t="e">
        <f>(表格_mgm_data[[#This Row],[綁定率]]-表格_mgm_data[[#This Row],[綁定率_min]])/(表格_mgm_data[[#This Row],[綁定率_max]]-表格_mgm_data[[#This Row],[綁定率_min]])</f>
        <v>#VALUE!</v>
      </c>
      <c r="AP24" t="e">
        <f>(表格_mgm_data[[#This Row],[達成率]]-表格_mgm_data[[#This Row],[達成率_min]])/(表格_mgm_data[[#This Row],[達成率_max]]-表格_mgm_data[[#This Row],[達成率_min]])</f>
        <v>#VALUE!</v>
      </c>
      <c r="AQ24" t="str">
        <f>IF(ISERROR(表格_mgm_data[[#This Row],[Deptshort_first]]),"",表格_mgm_data[[#This Row],[Deptshort_first]])</f>
        <v/>
      </c>
      <c r="AR24" t="e">
        <f>(表格_mgm_data[[#This Row],[預約率_last]]-表格_mgm_data[[#This Row],[預約率_last_min]])/(表格_mgm_data[[#This Row],[預約率_last_max]]-表格_mgm_data[[#This Row],[預約率_last_min]])</f>
        <v>#VALUE!</v>
      </c>
      <c r="AS24" t="e">
        <f>(表格_mgm_data[[#This Row],[出席率_last]]-表格_mgm_data[[#This Row],[出席率_last_min]])/(表格_mgm_data[[#This Row],[出席率_last_max]]-表格_mgm_data[[#This Row],[出席率_last_min]])</f>
        <v>#VALUE!</v>
      </c>
      <c r="AT24" t="e">
        <f>(表格_mgm_data[[#This Row],[成交率_last]]-表格_mgm_data[[#This Row],[成交率_last_min]])/(表格_mgm_data[[#This Row],[成交率_last_max]]-表格_mgm_data[[#This Row],[成交率_last_min]])</f>
        <v>#VALUE!</v>
      </c>
      <c r="AU24" t="e">
        <f>(表格_mgm_data[[#This Row],[綁定率_last]]-表格_mgm_data[[#This Row],[綁定率_last_min]])/(表格_mgm_data[[#This Row],[綁定率_last_max]]-表格_mgm_data[[#This Row],[綁定率_last_min]])</f>
        <v>#VALUE!</v>
      </c>
      <c r="AV24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5" spans="1:48" x14ac:dyDescent="0.25">
      <c r="AK25" t="str">
        <f>IF(ISERROR(表格_mgm_data[[#This Row],[Deptshort_first]]),"",表格_mgm_data[[#This Row],[Deptshort_first]])</f>
        <v/>
      </c>
      <c r="AL25" t="e">
        <f>(表格_mgm_data[[#This Row],[預約率]]-表格_mgm_data[[#This Row],[預約率_min]])/(表格_mgm_data[[#This Row],[預約率_max]]-表格_mgm_data[[#This Row],[預約率_min]])</f>
        <v>#VALUE!</v>
      </c>
      <c r="AM25" t="e">
        <f>(表格_mgm_data[[#This Row],[出席率]]-表格_mgm_data[[#This Row],[出席率_min]])/(表格_mgm_data[[#This Row],[出席率_max]]-表格_mgm_data[[#This Row],[出席率_min]])</f>
        <v>#VALUE!</v>
      </c>
      <c r="AN25" t="e">
        <f>(表格_mgm_data[[#This Row],[成交率]]-表格_mgm_data[[#This Row],[成交率_min]])/(表格_mgm_data[[#This Row],[成交率_max]]-表格_mgm_data[[#This Row],[成交率_min]])</f>
        <v>#VALUE!</v>
      </c>
      <c r="AO25" t="e">
        <f>(表格_mgm_data[[#This Row],[綁定率]]-表格_mgm_data[[#This Row],[綁定率_min]])/(表格_mgm_data[[#This Row],[綁定率_max]]-表格_mgm_data[[#This Row],[綁定率_min]])</f>
        <v>#VALUE!</v>
      </c>
      <c r="AP25" t="e">
        <f>(表格_mgm_data[[#This Row],[達成率]]-表格_mgm_data[[#This Row],[達成率_min]])/(表格_mgm_data[[#This Row],[達成率_max]]-表格_mgm_data[[#This Row],[達成率_min]])</f>
        <v>#VALUE!</v>
      </c>
      <c r="AQ25" t="str">
        <f>IF(ISERROR(表格_mgm_data[[#This Row],[Deptshort_first]]),"",表格_mgm_data[[#This Row],[Deptshort_first]])</f>
        <v/>
      </c>
      <c r="AR25" t="e">
        <f>(表格_mgm_data[[#This Row],[預約率_last]]-表格_mgm_data[[#This Row],[預約率_last_min]])/(表格_mgm_data[[#This Row],[預約率_last_max]]-表格_mgm_data[[#This Row],[預約率_last_min]])</f>
        <v>#VALUE!</v>
      </c>
      <c r="AS25" t="e">
        <f>(表格_mgm_data[[#This Row],[出席率_last]]-表格_mgm_data[[#This Row],[出席率_last_min]])/(表格_mgm_data[[#This Row],[出席率_last_max]]-表格_mgm_data[[#This Row],[出席率_last_min]])</f>
        <v>#VALUE!</v>
      </c>
      <c r="AT25" t="e">
        <f>(表格_mgm_data[[#This Row],[成交率_last]]-表格_mgm_data[[#This Row],[成交率_last_min]])/(表格_mgm_data[[#This Row],[成交率_last_max]]-表格_mgm_data[[#This Row],[成交率_last_min]])</f>
        <v>#VALUE!</v>
      </c>
      <c r="AU25" t="e">
        <f>(表格_mgm_data[[#This Row],[綁定率_last]]-表格_mgm_data[[#This Row],[綁定率_last_min]])/(表格_mgm_data[[#This Row],[綁定率_last_max]]-表格_mgm_data[[#This Row],[綁定率_last_min]])</f>
        <v>#VALUE!</v>
      </c>
      <c r="AV25" t="e">
        <f>(表格_mgm_data[[#This Row],[達成率_last]]-表格_mgm_data[[#This Row],[達成率_last_min]])/(表格_mgm_data[[#This Row],[達成率_last_max]]-表格_mgm_data[[#This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L10" sqref="AL10"/>
    </sheetView>
  </sheetViews>
  <sheetFormatPr defaultRowHeight="16.5" x14ac:dyDescent="0.25"/>
  <cols>
    <col min="1" max="1" width="18.75" customWidth="1"/>
    <col min="2" max="6" width="12.75" customWidth="1"/>
    <col min="7" max="7" width="10.125" customWidth="1"/>
    <col min="8" max="13" width="14.625" customWidth="1"/>
    <col min="14" max="14" width="9.5" bestFit="1" customWidth="1"/>
    <col min="15" max="19" width="14.875" customWidth="1"/>
    <col min="20" max="24" width="15.25" customWidth="1"/>
    <col min="25" max="25" width="10.62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83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84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85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2.5376217172999999E-2</v>
      </c>
      <c r="C2">
        <v>0.32015810276599999</v>
      </c>
      <c r="D2">
        <v>4.9382716048999999E-2</v>
      </c>
      <c r="E2">
        <v>2.5376217172999999E-2</v>
      </c>
      <c r="F2">
        <v>0.24931838300383591</v>
      </c>
      <c r="G2">
        <v>713</v>
      </c>
      <c r="H2">
        <v>2.4434846893E-2</v>
      </c>
      <c r="I2">
        <v>0.343585237258</v>
      </c>
      <c r="J2">
        <v>0.13554987212200001</v>
      </c>
      <c r="K2">
        <v>2.4434846893E-2</v>
      </c>
      <c r="L2">
        <v>0.81134741838838953</v>
      </c>
      <c r="M2">
        <v>2705</v>
      </c>
      <c r="N2" t="s">
        <v>83</v>
      </c>
      <c r="O2">
        <v>4.5766590380000001E-3</v>
      </c>
      <c r="P2">
        <v>0</v>
      </c>
      <c r="Q2">
        <v>0</v>
      </c>
      <c r="R2">
        <v>4.5766590380000001E-3</v>
      </c>
      <c r="S2">
        <v>0</v>
      </c>
      <c r="T2">
        <v>4.5037531275999999E-2</v>
      </c>
      <c r="U2">
        <v>0.66666666666600005</v>
      </c>
      <c r="V2">
        <v>0.181818181818</v>
      </c>
      <c r="W2">
        <v>4.5037531275999999E-2</v>
      </c>
      <c r="X2">
        <v>1.7515310586176731</v>
      </c>
      <c r="Y2" t="s">
        <v>83</v>
      </c>
      <c r="Z2">
        <v>0</v>
      </c>
      <c r="AA2">
        <v>0</v>
      </c>
      <c r="AB2">
        <v>0</v>
      </c>
      <c r="AC2">
        <v>0</v>
      </c>
      <c r="AD2">
        <v>0</v>
      </c>
      <c r="AE2">
        <v>3.6094400739999997E-2</v>
      </c>
      <c r="AF2">
        <v>0.52</v>
      </c>
      <c r="AG2">
        <v>1</v>
      </c>
      <c r="AH2">
        <v>3.6094400739999997E-2</v>
      </c>
      <c r="AI2">
        <v>1.86020618556701</v>
      </c>
      <c r="AK2" t="str">
        <f>IF(ISERROR(表格_closed_data[[#This Row],[Deptshort_first]]),"",表格_closed_data[[#This Row],[Deptshort_first]])</f>
        <v>mean</v>
      </c>
      <c r="AL2">
        <f>(表格_closed_data[[#This Row],[預約率]]-表格_closed_data[[#This Row],[預約率_min]])/(表格_closed_data[[#This Row],[預約率_max]]-表格_closed_data[[#This Row],[預約率_min]])</f>
        <v>0.51406598485203925</v>
      </c>
      <c r="AM2">
        <f>(表格_closed_data[[#This Row],[出席率]]-表格_closed_data[[#This Row],[出席率_min]])/(表格_closed_data[[#This Row],[出席率_max]]-表格_closed_data[[#This Row],[出席率_min]])</f>
        <v>0.48023715414948021</v>
      </c>
      <c r="AN2">
        <f>(表格_closed_data[[#This Row],[成交率]]-表格_closed_data[[#This Row],[成交率_min]])/(表格_closed_data[[#This Row],[成交率_max]]-表格_closed_data[[#This Row],[成交率_min]])</f>
        <v>0.27160493826977161</v>
      </c>
      <c r="AO2">
        <f>(表格_closed_data[[#This Row],[綁定率]]-表格_closed_data[[#This Row],[綁定率_min]])/(表格_closed_data[[#This Row],[綁定率_max]]-表格_closed_data[[#This Row],[綁定率_min]])</f>
        <v>0.51406598485203925</v>
      </c>
      <c r="AP2">
        <f>(表格_closed_data[[#This Row],[達成率]]-表格_closed_data[[#This Row],[達成率_min]])/(表格_closed_data[[#This Row],[達成率_max]]-表格_closed_data[[#This Row],[達成率_min]])</f>
        <v>0.14234311277391828</v>
      </c>
      <c r="AQ2" t="str">
        <f>IF(ISERROR(表格_closed_data[[#This Row],[Deptshort_first]]),"",表格_closed_data[[#This Row],[Deptshort_first]])</f>
        <v>mean</v>
      </c>
      <c r="AR2">
        <f>(表格_closed_data[[#This Row],[預約率_last]]-表格_closed_data[[#This Row],[預約率_last_min]])/(表格_closed_data[[#This Row],[預約率_last_max]]-表格_closed_data[[#This Row],[預約率_last_min]])</f>
        <v>0.6769705658507077</v>
      </c>
      <c r="AS2">
        <f>(表格_closed_data[[#This Row],[出席率_last]]-表格_closed_data[[#This Row],[出席率_last_min]])/(表格_closed_data[[#This Row],[出席率_last_max]]-表格_closed_data[[#This Row],[出席率_last_min]])</f>
        <v>0.66074084088076923</v>
      </c>
      <c r="AT2">
        <f>(表格_closed_data[[#This Row],[成交率_last]]-表格_closed_data[[#This Row],[成交率_last_min]])/(表格_closed_data[[#This Row],[成交率_last_max]]-表格_closed_data[[#This Row],[成交率_last_min]])</f>
        <v>0.13554987212200001</v>
      </c>
      <c r="AU2">
        <f>(表格_closed_data[[#This Row],[綁定率_last]]-表格_closed_data[[#This Row],[綁定率_last_min]])/(表格_closed_data[[#This Row],[綁定率_last_max]]-表格_closed_data[[#This Row],[綁定率_last_min]])</f>
        <v>0.6769705658507077</v>
      </c>
      <c r="AV2">
        <f>(表格_closed_data[[#This Row],[達成率_last]]-表格_closed_data[[#This Row],[達成率_last_min]])/(表格_closed_data[[#This Row],[達成率_last_max]]-表格_closed_data[[#This Row],[達成率_last_min]])</f>
        <v>0.43615994005582909</v>
      </c>
      <c r="AX2" s="2" t="s">
        <v>18</v>
      </c>
      <c r="AY2">
        <f>VLOOKUP(戰力表!$C$1,closed_this!$AK2:$AP25,2,FALSE)</f>
        <v>0.26207063835962774</v>
      </c>
      <c r="AZ2">
        <f>VLOOKUP(戰力表!$C$1,closed_this!$AK2:$AP25,3,FALSE)</f>
        <v>0</v>
      </c>
      <c r="BA2">
        <f>VLOOKUP(戰力表!$C$1,closed_this!$AK2:$AP25,4,FALSE)</f>
        <v>0</v>
      </c>
      <c r="BB2">
        <f>VLOOKUP(戰力表!$C$1,closed_this!$AK2:$AP25,5,FALSE)</f>
        <v>0.26207063835962774</v>
      </c>
      <c r="BC2">
        <f>VLOOKUP(戰力表!$C$1,closed_this!$AK2:$AP25,6,FALSE)</f>
        <v>0</v>
      </c>
    </row>
    <row r="3" spans="1:55" x14ac:dyDescent="0.25">
      <c r="A3" t="s">
        <v>26</v>
      </c>
      <c r="B3">
        <v>1.5180265654E-2</v>
      </c>
      <c r="C3">
        <v>0</v>
      </c>
      <c r="D3">
        <v>0</v>
      </c>
      <c r="E3">
        <v>1.5180265654E-2</v>
      </c>
      <c r="F3">
        <v>0</v>
      </c>
      <c r="G3">
        <v>527</v>
      </c>
      <c r="H3">
        <v>9.1743119259999999E-3</v>
      </c>
      <c r="I3">
        <v>0</v>
      </c>
      <c r="J3">
        <v>0</v>
      </c>
      <c r="K3">
        <v>9.1743119259999999E-3</v>
      </c>
      <c r="L3">
        <v>0</v>
      </c>
      <c r="M3">
        <v>109</v>
      </c>
      <c r="N3" t="s">
        <v>83</v>
      </c>
      <c r="O3">
        <v>4.5766590380000001E-3</v>
      </c>
      <c r="P3">
        <v>0</v>
      </c>
      <c r="Q3">
        <v>0</v>
      </c>
      <c r="R3">
        <v>4.5766590380000001E-3</v>
      </c>
      <c r="S3">
        <v>0</v>
      </c>
      <c r="T3">
        <v>4.5037531275999999E-2</v>
      </c>
      <c r="U3">
        <v>0.66666666666600005</v>
      </c>
      <c r="V3">
        <v>0.181818181818</v>
      </c>
      <c r="W3">
        <v>4.5037531275999999E-2</v>
      </c>
      <c r="X3">
        <v>1.7515310586176731</v>
      </c>
      <c r="Y3" t="s">
        <v>83</v>
      </c>
      <c r="Z3">
        <v>0</v>
      </c>
      <c r="AA3">
        <v>0</v>
      </c>
      <c r="AB3">
        <v>0</v>
      </c>
      <c r="AC3">
        <v>0</v>
      </c>
      <c r="AD3">
        <v>0</v>
      </c>
      <c r="AE3">
        <v>3.6094400739999997E-2</v>
      </c>
      <c r="AF3">
        <v>0.52</v>
      </c>
      <c r="AG3">
        <v>1</v>
      </c>
      <c r="AH3">
        <v>3.6094400739999997E-2</v>
      </c>
      <c r="AI3">
        <v>1.86020618556701</v>
      </c>
      <c r="AK3" t="str">
        <f>IF(ISERROR(表格_closed_data[[#This Row],[Deptshort_first]]),"",表格_closed_data[[#This Row],[Deptshort_first]])</f>
        <v>TBD_業務部_BD1</v>
      </c>
      <c r="AL3">
        <f>(表格_closed_data[[#This Row],[預約率]]-表格_closed_data[[#This Row],[預約率_min]])/(表格_closed_data[[#This Row],[預約率_max]]-表格_closed_data[[#This Row],[預約率_min]])</f>
        <v>0.26207063835962774</v>
      </c>
      <c r="AM3">
        <f>(表格_closed_data[[#This Row],[出席率]]-表格_closed_data[[#This Row],[出席率_min]])/(表格_closed_data[[#This Row],[出席率_max]]-表格_closed_data[[#This Row],[出席率_min]])</f>
        <v>0</v>
      </c>
      <c r="AN3">
        <f>(表格_closed_data[[#This Row],[成交率]]-表格_closed_data[[#This Row],[成交率_min]])/(表格_closed_data[[#This Row],[成交率_max]]-表格_closed_data[[#This Row],[成交率_min]])</f>
        <v>0</v>
      </c>
      <c r="AO3">
        <f>(表格_closed_data[[#This Row],[綁定率]]-表格_closed_data[[#This Row],[綁定率_min]])/(表格_closed_data[[#This Row],[綁定率_max]]-表格_closed_data[[#This Row],[綁定率_min]])</f>
        <v>0.26207063835962774</v>
      </c>
      <c r="AP3">
        <f>(表格_closed_data[[#This Row],[達成率]]-表格_closed_data[[#This Row],[達成率_min]])/(表格_closed_data[[#This Row],[達成率_max]]-表格_closed_data[[#This Row],[達成率_min]])</f>
        <v>0</v>
      </c>
      <c r="AQ3" t="str">
        <f>IF(ISERROR(表格_closed_data[[#This Row],[Deptshort_first]]),"",表格_closed_data[[#This Row],[Deptshort_first]])</f>
        <v>TBD_業務部_BD1</v>
      </c>
      <c r="AR3">
        <f>(表格_closed_data[[#This Row],[預約率_last]]-表格_closed_data[[#This Row],[預約率_last_min]])/(表格_closed_data[[#This Row],[預約率_last_max]]-表格_closed_data[[#This Row],[預約率_last_min]])</f>
        <v>0.25417548810646912</v>
      </c>
      <c r="AS3">
        <f>(表格_closed_data[[#This Row],[出席率_last]]-表格_closed_data[[#This Row],[出席率_last_min]])/(表格_closed_data[[#This Row],[出席率_last_max]]-表格_closed_data[[#This Row],[出席率_last_min]])</f>
        <v>0</v>
      </c>
      <c r="AT3">
        <f>(表格_closed_data[[#This Row],[成交率_last]]-表格_closed_data[[#This Row],[成交率_last_min]])/(表格_closed_data[[#This Row],[成交率_last_max]]-表格_closed_data[[#This Row],[成交率_last_min]])</f>
        <v>0</v>
      </c>
      <c r="AU3">
        <f>(表格_closed_data[[#This Row],[綁定率_last]]-表格_closed_data[[#This Row],[綁定率_last_min]])/(表格_closed_data[[#This Row],[綁定率_last_max]]-表格_closed_data[[#This Row],[綁定率_last_min]])</f>
        <v>0.25417548810646912</v>
      </c>
      <c r="AV3">
        <f>(表格_closed_data[[#This Row],[達成率_last]]-表格_closed_data[[#This Row],[達成率_last_min]])/(表格_closed_data[[#This Row],[達成率_last_max]]-表格_closed_data[[#This Row],[達成率_last_min]])</f>
        <v>0</v>
      </c>
      <c r="AX3" s="2" t="s">
        <v>19</v>
      </c>
      <c r="AY3">
        <f>VLOOKUP(戰力表!$C$1,closed_this!$AQ2:$AV25,2,FALSE)</f>
        <v>0.25417548810646912</v>
      </c>
      <c r="AZ3">
        <f>VLOOKUP(戰力表!$C$1,closed_this!$AQ2:$AV25,3,FALSE)</f>
        <v>0</v>
      </c>
      <c r="BA3">
        <f>VLOOKUP(戰力表!$C$1,closed_this!$AQ2:$AV25,4,FALSE)</f>
        <v>0</v>
      </c>
      <c r="BB3">
        <f>VLOOKUP(戰力表!$C$1,closed_this!$AQ2:$AV25,5,FALSE)</f>
        <v>0.25417548810646912</v>
      </c>
      <c r="BC3">
        <f>VLOOKUP(戰力表!$C$1,closed_this!$AQ2:$AV25,6,FALSE)</f>
        <v>0</v>
      </c>
    </row>
    <row r="4" spans="1:55" x14ac:dyDescent="0.25">
      <c r="A4" t="s">
        <v>27</v>
      </c>
      <c r="B4">
        <v>3.0303030303000002E-2</v>
      </c>
      <c r="C4">
        <v>0</v>
      </c>
      <c r="D4">
        <v>0</v>
      </c>
      <c r="E4">
        <v>3.0303030303000002E-2</v>
      </c>
      <c r="F4">
        <v>0</v>
      </c>
      <c r="G4">
        <v>33</v>
      </c>
      <c r="H4">
        <v>1.8041237113E-2</v>
      </c>
      <c r="I4">
        <v>0.14285714285699999</v>
      </c>
      <c r="J4">
        <v>1</v>
      </c>
      <c r="K4">
        <v>1.8041237113E-2</v>
      </c>
      <c r="L4">
        <v>1.86020618556701</v>
      </c>
      <c r="M4">
        <v>388</v>
      </c>
      <c r="N4" t="s">
        <v>83</v>
      </c>
      <c r="O4">
        <v>4.5766590380000001E-3</v>
      </c>
      <c r="P4">
        <v>0</v>
      </c>
      <c r="Q4">
        <v>0</v>
      </c>
      <c r="R4">
        <v>4.5766590380000001E-3</v>
      </c>
      <c r="S4">
        <v>0</v>
      </c>
      <c r="T4">
        <v>4.5037531275999999E-2</v>
      </c>
      <c r="U4">
        <v>0.66666666666600005</v>
      </c>
      <c r="V4">
        <v>0.181818181818</v>
      </c>
      <c r="W4">
        <v>4.5037531275999999E-2</v>
      </c>
      <c r="X4">
        <v>1.7515310586176731</v>
      </c>
      <c r="Y4" t="s">
        <v>83</v>
      </c>
      <c r="Z4">
        <v>0</v>
      </c>
      <c r="AA4">
        <v>0</v>
      </c>
      <c r="AB4">
        <v>0</v>
      </c>
      <c r="AC4">
        <v>0</v>
      </c>
      <c r="AD4">
        <v>0</v>
      </c>
      <c r="AE4">
        <v>3.6094400739999997E-2</v>
      </c>
      <c r="AF4">
        <v>0.52</v>
      </c>
      <c r="AG4">
        <v>1</v>
      </c>
      <c r="AH4">
        <v>3.6094400739999997E-2</v>
      </c>
      <c r="AI4">
        <v>1.86020618556701</v>
      </c>
      <c r="AK4" t="str">
        <f>IF(ISERROR(表格_closed_data[[#This Row],[Deptshort_first]]),"",表格_closed_data[[#This Row],[Deptshort_first]])</f>
        <v>TBD_業務部_BD11</v>
      </c>
      <c r="AL4">
        <f>(表格_closed_data[[#This Row],[預約率]]-表格_closed_data[[#This Row],[預約率_min]])/(表格_closed_data[[#This Row],[預約率_max]]-表格_closed_data[[#This Row],[預約率_min]])</f>
        <v>0.63583333334169545</v>
      </c>
      <c r="AM4">
        <f>(表格_closed_data[[#This Row],[出席率]]-表格_closed_data[[#This Row],[出席率_min]])/(表格_closed_data[[#This Row],[出席率_max]]-表格_closed_data[[#This Row],[出席率_min]])</f>
        <v>0</v>
      </c>
      <c r="AN4">
        <f>(表格_closed_data[[#This Row],[成交率]]-表格_closed_data[[#This Row],[成交率_min]])/(表格_closed_data[[#This Row],[成交率_max]]-表格_closed_data[[#This Row],[成交率_min]])</f>
        <v>0</v>
      </c>
      <c r="AO4">
        <f>(表格_closed_data[[#This Row],[綁定率]]-表格_closed_data[[#This Row],[綁定率_min]])/(表格_closed_data[[#This Row],[綁定率_max]]-表格_closed_data[[#This Row],[綁定率_min]])</f>
        <v>0.63583333334169545</v>
      </c>
      <c r="AP4">
        <f>(表格_closed_data[[#This Row],[達成率]]-表格_closed_data[[#This Row],[達成率_min]])/(表格_closed_data[[#This Row],[達成率_max]]-表格_closed_data[[#This Row],[達成率_min]])</f>
        <v>0</v>
      </c>
      <c r="AQ4" t="str">
        <f>IF(ISERROR(表格_closed_data[[#This Row],[Deptshort_first]]),"",表格_closed_data[[#This Row],[Deptshort_first]])</f>
        <v>TBD_業務部_BD11</v>
      </c>
      <c r="AR4">
        <f>(表格_closed_data[[#This Row],[預約率_last]]-表格_closed_data[[#This Row],[預約率_last_min]])/(表格_closed_data[[#This Row],[預約率_last_max]]-表格_closed_data[[#This Row],[預約率_last_min]])</f>
        <v>0.49983478720029306</v>
      </c>
      <c r="AS4">
        <f>(表格_closed_data[[#This Row],[出席率_last]]-表格_closed_data[[#This Row],[出席率_last_min]])/(表格_closed_data[[#This Row],[出席率_last_max]]-表格_closed_data[[#This Row],[出席率_last_min]])</f>
        <v>0.27472527472499997</v>
      </c>
      <c r="AT4">
        <f>(表格_closed_data[[#This Row],[成交率_last]]-表格_closed_data[[#This Row],[成交率_last_min]])/(表格_closed_data[[#This Row],[成交率_last_max]]-表格_closed_data[[#This Row],[成交率_last_min]])</f>
        <v>1</v>
      </c>
      <c r="AU4">
        <f>(表格_closed_data[[#This Row],[綁定率_last]]-表格_closed_data[[#This Row],[綁定率_last_min]])/(表格_closed_data[[#This Row],[綁定率_last_max]]-表格_closed_data[[#This Row],[綁定率_last_min]])</f>
        <v>0.49983478720029306</v>
      </c>
      <c r="AV4">
        <f>(表格_closed_data[[#This Row],[達成率_last]]-表格_closed_data[[#This Row],[達成率_last_min]])/(表格_closed_data[[#This Row],[達成率_last_max]]-表格_closed_data[[#This Row],[達成率_last_min]])</f>
        <v>1</v>
      </c>
      <c r="AX4" s="2" t="s">
        <v>20</v>
      </c>
      <c r="AY4">
        <f>AL2</f>
        <v>0.51406598485203925</v>
      </c>
      <c r="AZ4">
        <f t="shared" ref="AZ4:BC4" si="0">AM2</f>
        <v>0.48023715414948021</v>
      </c>
      <c r="BA4">
        <f t="shared" si="0"/>
        <v>0.27160493826977161</v>
      </c>
      <c r="BB4">
        <f t="shared" si="0"/>
        <v>0.51406598485203925</v>
      </c>
      <c r="BC4">
        <f t="shared" si="0"/>
        <v>0.14234311277391828</v>
      </c>
    </row>
    <row r="5" spans="1:55" x14ac:dyDescent="0.25">
      <c r="A5" t="s">
        <v>28</v>
      </c>
      <c r="B5">
        <v>1.6205910390000001E-2</v>
      </c>
      <c r="C5">
        <v>0.357142857142</v>
      </c>
      <c r="D5">
        <v>0</v>
      </c>
      <c r="E5">
        <v>1.6205910390000001E-2</v>
      </c>
      <c r="F5">
        <v>0</v>
      </c>
      <c r="G5">
        <v>1049</v>
      </c>
      <c r="H5">
        <v>2.3719165085E-2</v>
      </c>
      <c r="I5">
        <v>0.268292682926</v>
      </c>
      <c r="J5">
        <v>9.0909090908999998E-2</v>
      </c>
      <c r="K5">
        <v>2.3719165085E-2</v>
      </c>
      <c r="L5">
        <v>0.2215370018975332</v>
      </c>
      <c r="M5">
        <v>2108</v>
      </c>
      <c r="N5" t="s">
        <v>83</v>
      </c>
      <c r="O5">
        <v>4.5766590380000001E-3</v>
      </c>
      <c r="P5">
        <v>0</v>
      </c>
      <c r="Q5">
        <v>0</v>
      </c>
      <c r="R5">
        <v>4.5766590380000001E-3</v>
      </c>
      <c r="S5">
        <v>0</v>
      </c>
      <c r="T5">
        <v>4.5037531275999999E-2</v>
      </c>
      <c r="U5">
        <v>0.66666666666600005</v>
      </c>
      <c r="V5">
        <v>0.181818181818</v>
      </c>
      <c r="W5">
        <v>4.5037531275999999E-2</v>
      </c>
      <c r="X5">
        <v>1.7515310586176731</v>
      </c>
      <c r="Y5" t="s">
        <v>83</v>
      </c>
      <c r="Z5">
        <v>0</v>
      </c>
      <c r="AA5">
        <v>0</v>
      </c>
      <c r="AB5">
        <v>0</v>
      </c>
      <c r="AC5">
        <v>0</v>
      </c>
      <c r="AD5">
        <v>0</v>
      </c>
      <c r="AE5">
        <v>3.6094400739999997E-2</v>
      </c>
      <c r="AF5">
        <v>0.52</v>
      </c>
      <c r="AG5">
        <v>1</v>
      </c>
      <c r="AH5">
        <v>3.6094400739999997E-2</v>
      </c>
      <c r="AI5">
        <v>1.86020618556701</v>
      </c>
      <c r="AK5" t="str">
        <f>IF(ISERROR(表格_closed_data[[#This Row],[Deptshort_first]]),"",表格_closed_data[[#This Row],[Deptshort_first]])</f>
        <v>TBD_業務部_BD15</v>
      </c>
      <c r="AL5">
        <f>(表格_closed_data[[#This Row],[預約率]]-表格_closed_data[[#This Row],[預約率_min]])/(表格_closed_data[[#This Row],[預約率_max]]-表格_closed_data[[#This Row],[預約率_min]])</f>
        <v>0.28741968990668609</v>
      </c>
      <c r="AM5">
        <f>(表格_closed_data[[#This Row],[出席率]]-表格_closed_data[[#This Row],[出席率_min]])/(表格_closed_data[[#This Row],[出席率_max]]-表格_closed_data[[#This Row],[出席率_min]])</f>
        <v>0.53571428571353563</v>
      </c>
      <c r="AN5">
        <f>(表格_closed_data[[#This Row],[成交率]]-表格_closed_data[[#This Row],[成交率_min]])/(表格_closed_data[[#This Row],[成交率_max]]-表格_closed_data[[#This Row],[成交率_min]])</f>
        <v>0</v>
      </c>
      <c r="AO5">
        <f>(表格_closed_data[[#This Row],[綁定率]]-表格_closed_data[[#This Row],[綁定率_min]])/(表格_closed_data[[#This Row],[綁定率_max]]-表格_closed_data[[#This Row],[綁定率_min]])</f>
        <v>0.28741968990668609</v>
      </c>
      <c r="AP5">
        <f>(表格_closed_data[[#This Row],[達成率]]-表格_closed_data[[#This Row],[達成率_min]])/(表格_closed_data[[#This Row],[達成率_max]]-表格_closed_data[[#This Row],[達成率_min]])</f>
        <v>0</v>
      </c>
      <c r="AQ5" t="str">
        <f>IF(ISERROR(表格_closed_data[[#This Row],[Deptshort_first]]),"",表格_closed_data[[#This Row],[Deptshort_first]])</f>
        <v>TBD_業務部_BD15</v>
      </c>
      <c r="AR5">
        <f>(表格_closed_data[[#This Row],[預約率_last]]-表格_closed_data[[#This Row],[預約率_last_min]])/(表格_closed_data[[#This Row],[預約率_last_max]]-表格_closed_data[[#This Row],[預約率_last_min]])</f>
        <v>0.65714250960577114</v>
      </c>
      <c r="AS5">
        <f>(表格_closed_data[[#This Row],[出席率_last]]-表格_closed_data[[#This Row],[出席率_last_min]])/(表格_closed_data[[#This Row],[出席率_last_max]]-表格_closed_data[[#This Row],[出席率_last_min]])</f>
        <v>0.51594746716538464</v>
      </c>
      <c r="AT5">
        <f>(表格_closed_data[[#This Row],[成交率_last]]-表格_closed_data[[#This Row],[成交率_last_min]])/(表格_closed_data[[#This Row],[成交率_last_max]]-表格_closed_data[[#This Row],[成交率_last_min]])</f>
        <v>9.0909090908999998E-2</v>
      </c>
      <c r="AU5">
        <f>(表格_closed_data[[#This Row],[綁定率_last]]-表格_closed_data[[#This Row],[綁定率_last_min]])/(表格_closed_data[[#This Row],[綁定率_last_max]]-表格_closed_data[[#This Row],[綁定率_last_min]])</f>
        <v>0.65714250960577114</v>
      </c>
      <c r="AV5">
        <f>(表格_closed_data[[#This Row],[達成率_last]]-表格_closed_data[[#This Row],[達成率_last_min]])/(表格_closed_data[[#This Row],[達成率_last_max]]-表格_closed_data[[#This Row],[達成率_last_min]])</f>
        <v>0.11909271327898871</v>
      </c>
    </row>
    <row r="6" spans="1:55" x14ac:dyDescent="0.25">
      <c r="A6" t="s">
        <v>29</v>
      </c>
      <c r="B6">
        <v>2.4096385541999998E-2</v>
      </c>
      <c r="C6">
        <v>0</v>
      </c>
      <c r="D6">
        <v>0</v>
      </c>
      <c r="E6">
        <v>2.4096385541999998E-2</v>
      </c>
      <c r="F6">
        <v>0</v>
      </c>
      <c r="G6">
        <v>83</v>
      </c>
      <c r="H6">
        <v>2.5498891352000001E-2</v>
      </c>
      <c r="I6">
        <v>0.17391304347799999</v>
      </c>
      <c r="J6">
        <v>0</v>
      </c>
      <c r="K6">
        <v>2.5498891352000001E-2</v>
      </c>
      <c r="L6">
        <v>0</v>
      </c>
      <c r="M6">
        <v>902</v>
      </c>
      <c r="N6" t="s">
        <v>83</v>
      </c>
      <c r="O6">
        <v>4.5766590380000001E-3</v>
      </c>
      <c r="P6">
        <v>0</v>
      </c>
      <c r="Q6">
        <v>0</v>
      </c>
      <c r="R6">
        <v>4.5766590380000001E-3</v>
      </c>
      <c r="S6">
        <v>0</v>
      </c>
      <c r="T6">
        <v>4.5037531275999999E-2</v>
      </c>
      <c r="U6">
        <v>0.66666666666600005</v>
      </c>
      <c r="V6">
        <v>0.181818181818</v>
      </c>
      <c r="W6">
        <v>4.5037531275999999E-2</v>
      </c>
      <c r="X6">
        <v>1.7515310586176731</v>
      </c>
      <c r="Y6" t="s">
        <v>83</v>
      </c>
      <c r="Z6">
        <v>0</v>
      </c>
      <c r="AA6">
        <v>0</v>
      </c>
      <c r="AB6">
        <v>0</v>
      </c>
      <c r="AC6">
        <v>0</v>
      </c>
      <c r="AD6">
        <v>0</v>
      </c>
      <c r="AE6">
        <v>3.6094400739999997E-2</v>
      </c>
      <c r="AF6">
        <v>0.52</v>
      </c>
      <c r="AG6">
        <v>1</v>
      </c>
      <c r="AH6">
        <v>3.6094400739999997E-2</v>
      </c>
      <c r="AI6">
        <v>1.86020618556701</v>
      </c>
      <c r="AK6" t="str">
        <f>IF(ISERROR(表格_closed_data[[#This Row],[Deptshort_first]]),"",表格_closed_data[[#This Row],[Deptshort_first]])</f>
        <v>TBD_業務部_BD16</v>
      </c>
      <c r="AL6">
        <f>(表格_closed_data[[#This Row],[預約率]]-表格_closed_data[[#This Row],[預約率_min]])/(表格_closed_data[[#This Row],[預約率_max]]-表格_closed_data[[#This Row],[預約率_min]])</f>
        <v>0.48243464424544669</v>
      </c>
      <c r="AM6">
        <f>(表格_closed_data[[#This Row],[出席率]]-表格_closed_data[[#This Row],[出席率_min]])/(表格_closed_data[[#This Row],[出席率_max]]-表格_closed_data[[#This Row],[出席率_min]])</f>
        <v>0</v>
      </c>
      <c r="AN6">
        <f>(表格_closed_data[[#This Row],[成交率]]-表格_closed_data[[#This Row],[成交率_min]])/(表格_closed_data[[#This Row],[成交率_max]]-表格_closed_data[[#This Row],[成交率_min]])</f>
        <v>0</v>
      </c>
      <c r="AO6">
        <f>(表格_closed_data[[#This Row],[綁定率]]-表格_closed_data[[#This Row],[綁定率_min]])/(表格_closed_data[[#This Row],[綁定率_max]]-表格_closed_data[[#This Row],[綁定率_min]])</f>
        <v>0.48243464424544669</v>
      </c>
      <c r="AP6">
        <f>(表格_closed_data[[#This Row],[達成率]]-表格_closed_data[[#This Row],[達成率_min]])/(表格_closed_data[[#This Row],[達成率_max]]-表格_closed_data[[#This Row],[達成率_min]])</f>
        <v>0</v>
      </c>
      <c r="AQ6" t="str">
        <f>IF(ISERROR(表格_closed_data[[#This Row],[Deptshort_first]]),"",表格_closed_data[[#This Row],[Deptshort_first]])</f>
        <v>TBD_業務部_BD16</v>
      </c>
      <c r="AR6">
        <f>(表格_closed_data[[#This Row],[預約率_last]]-表格_closed_data[[#This Row],[預約率_last_min]])/(表格_closed_data[[#This Row],[預約率_last_max]]-表格_closed_data[[#This Row],[預約率_last_min]])</f>
        <v>0.70645005400358407</v>
      </c>
      <c r="AS6">
        <f>(表格_closed_data[[#This Row],[出席率_last]]-表格_closed_data[[#This Row],[出席率_last_min]])/(表格_closed_data[[#This Row],[出席率_last_max]]-表格_closed_data[[#This Row],[出席率_last_min]])</f>
        <v>0.33444816053461535</v>
      </c>
      <c r="AT6">
        <f>(表格_closed_data[[#This Row],[成交率_last]]-表格_closed_data[[#This Row],[成交率_last_min]])/(表格_closed_data[[#This Row],[成交率_last_max]]-表格_closed_data[[#This Row],[成交率_last_min]])</f>
        <v>0</v>
      </c>
      <c r="AU6">
        <f>(表格_closed_data[[#This Row],[綁定率_last]]-表格_closed_data[[#This Row],[綁定率_last_min]])/(表格_closed_data[[#This Row],[綁定率_last_max]]-表格_closed_data[[#This Row],[綁定率_last_min]])</f>
        <v>0.70645005400358407</v>
      </c>
      <c r="AV6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7" spans="1:55" x14ac:dyDescent="0.25">
      <c r="A7" t="s">
        <v>30</v>
      </c>
      <c r="B7">
        <v>4.2699724517E-2</v>
      </c>
      <c r="C7">
        <v>0.19047619047600001</v>
      </c>
      <c r="D7">
        <v>0</v>
      </c>
      <c r="E7">
        <v>4.2699724517E-2</v>
      </c>
      <c r="F7">
        <v>0</v>
      </c>
      <c r="G7">
        <v>726</v>
      </c>
      <c r="H7">
        <v>2.7357579658000002E-2</v>
      </c>
      <c r="I7">
        <v>0.38157894736800002</v>
      </c>
      <c r="J7">
        <v>0.17241379310300001</v>
      </c>
      <c r="K7">
        <v>2.7357579658000002E-2</v>
      </c>
      <c r="L7">
        <v>1.3059285484390091</v>
      </c>
      <c r="M7">
        <v>3107</v>
      </c>
      <c r="N7" t="s">
        <v>83</v>
      </c>
      <c r="O7">
        <v>4.5766590380000001E-3</v>
      </c>
      <c r="P7">
        <v>0</v>
      </c>
      <c r="Q7">
        <v>0</v>
      </c>
      <c r="R7">
        <v>4.5766590380000001E-3</v>
      </c>
      <c r="S7">
        <v>0</v>
      </c>
      <c r="T7">
        <v>4.5037531275999999E-2</v>
      </c>
      <c r="U7">
        <v>0.66666666666600005</v>
      </c>
      <c r="V7">
        <v>0.181818181818</v>
      </c>
      <c r="W7">
        <v>4.5037531275999999E-2</v>
      </c>
      <c r="X7">
        <v>1.7515310586176731</v>
      </c>
      <c r="Y7" t="s">
        <v>83</v>
      </c>
      <c r="Z7">
        <v>0</v>
      </c>
      <c r="AA7">
        <v>0</v>
      </c>
      <c r="AB7">
        <v>0</v>
      </c>
      <c r="AC7">
        <v>0</v>
      </c>
      <c r="AD7">
        <v>0</v>
      </c>
      <c r="AE7">
        <v>3.6094400739999997E-2</v>
      </c>
      <c r="AF7">
        <v>0.52</v>
      </c>
      <c r="AG7">
        <v>1</v>
      </c>
      <c r="AH7">
        <v>3.6094400739999997E-2</v>
      </c>
      <c r="AI7">
        <v>1.86020618556701</v>
      </c>
      <c r="AK7" t="str">
        <f>IF(ISERROR(表格_closed_data[[#This Row],[Deptshort_first]]),"",表格_closed_data[[#This Row],[Deptshort_first]])</f>
        <v>TBD_業務部_BD17</v>
      </c>
      <c r="AL7">
        <f>(表格_closed_data[[#This Row],[預約率]]-表格_closed_data[[#This Row],[預約率_min]])/(表格_closed_data[[#This Row],[預約率_max]]-表格_closed_data[[#This Row],[預約率_min]])</f>
        <v>0.94222055458299336</v>
      </c>
      <c r="AM7">
        <f>(表格_closed_data[[#This Row],[出席率]]-表格_closed_data[[#This Row],[出席率_min]])/(表格_closed_data[[#This Row],[出席率_max]]-表格_closed_data[[#This Row],[出席率_min]])</f>
        <v>0.2857142857142857</v>
      </c>
      <c r="AN7">
        <f>(表格_closed_data[[#This Row],[成交率]]-表格_closed_data[[#This Row],[成交率_min]])/(表格_closed_data[[#This Row],[成交率_max]]-表格_closed_data[[#This Row],[成交率_min]])</f>
        <v>0</v>
      </c>
      <c r="AO7">
        <f>(表格_closed_data[[#This Row],[綁定率]]-表格_closed_data[[#This Row],[綁定率_min]])/(表格_closed_data[[#This Row],[綁定率_max]]-表格_closed_data[[#This Row],[綁定率_min]])</f>
        <v>0.94222055458299336</v>
      </c>
      <c r="AP7">
        <f>(表格_closed_data[[#This Row],[達成率]]-表格_closed_data[[#This Row],[達成率_min]])/(表格_closed_data[[#This Row],[達成率_max]]-表格_closed_data[[#This Row],[達成率_min]])</f>
        <v>0</v>
      </c>
      <c r="AQ7" t="str">
        <f>IF(ISERROR(表格_closed_data[[#This Row],[Deptshort_first]]),"",表格_closed_data[[#This Row],[Deptshort_first]])</f>
        <v>TBD_業務部_BD17</v>
      </c>
      <c r="AR7">
        <f>(表格_closed_data[[#This Row],[預約率_last]]-表格_closed_data[[#This Row],[預約率_last_min]])/(表格_closed_data[[#This Row],[預約率_last_max]]-表格_closed_data[[#This Row],[預約率_last_min]])</f>
        <v>0.75794525181525441</v>
      </c>
      <c r="AS7">
        <f>(表格_closed_data[[#This Row],[出席率_last]]-表格_closed_data[[#This Row],[出席率_last_min]])/(表格_closed_data[[#This Row],[出席率_last_max]]-表格_closed_data[[#This Row],[出席率_last_min]])</f>
        <v>0.7338056680153846</v>
      </c>
      <c r="AT7">
        <f>(表格_closed_data[[#This Row],[成交率_last]]-表格_closed_data[[#This Row],[成交率_last_min]])/(表格_closed_data[[#This Row],[成交率_last_max]]-表格_closed_data[[#This Row],[成交率_last_min]])</f>
        <v>0.17241379310300001</v>
      </c>
      <c r="AU7">
        <f>(表格_closed_data[[#This Row],[綁定率_last]]-表格_closed_data[[#This Row],[綁定率_last_min]])/(表格_closed_data[[#This Row],[綁定率_last_max]]-表格_closed_data[[#This Row],[綁定率_last_min]])</f>
        <v>0.75794525181525441</v>
      </c>
      <c r="AV7">
        <f>(表格_closed_data[[#This Row],[達成率_last]]-表格_closed_data[[#This Row],[達成率_last_min]])/(表格_closed_data[[#This Row],[達成率_last_max]]-表格_closed_data[[#This Row],[達成率_last_min]])</f>
        <v>0.70203430059068883</v>
      </c>
    </row>
    <row r="8" spans="1:55" x14ac:dyDescent="0.25">
      <c r="A8" t="s">
        <v>31</v>
      </c>
      <c r="B8">
        <v>3.0927835051E-2</v>
      </c>
      <c r="C8">
        <v>0.21212121212099999</v>
      </c>
      <c r="D8">
        <v>0</v>
      </c>
      <c r="E8">
        <v>3.0927835051E-2</v>
      </c>
      <c r="F8">
        <v>0</v>
      </c>
      <c r="G8">
        <v>1261</v>
      </c>
      <c r="H8">
        <v>2.9002514667999999E-2</v>
      </c>
      <c r="I8">
        <v>0.25490196078400001</v>
      </c>
      <c r="J8">
        <v>0.25641025640999998</v>
      </c>
      <c r="K8">
        <v>2.9002514667999999E-2</v>
      </c>
      <c r="L8">
        <v>1.455369656328583</v>
      </c>
      <c r="M8">
        <v>5965</v>
      </c>
      <c r="N8" t="s">
        <v>83</v>
      </c>
      <c r="O8">
        <v>4.5766590380000001E-3</v>
      </c>
      <c r="P8">
        <v>0</v>
      </c>
      <c r="Q8">
        <v>0</v>
      </c>
      <c r="R8">
        <v>4.5766590380000001E-3</v>
      </c>
      <c r="S8">
        <v>0</v>
      </c>
      <c r="T8">
        <v>4.5037531275999999E-2</v>
      </c>
      <c r="U8">
        <v>0.66666666666600005</v>
      </c>
      <c r="V8">
        <v>0.181818181818</v>
      </c>
      <c r="W8">
        <v>4.5037531275999999E-2</v>
      </c>
      <c r="X8">
        <v>1.7515310586176731</v>
      </c>
      <c r="Y8" t="s">
        <v>83</v>
      </c>
      <c r="Z8">
        <v>0</v>
      </c>
      <c r="AA8">
        <v>0</v>
      </c>
      <c r="AB8">
        <v>0</v>
      </c>
      <c r="AC8">
        <v>0</v>
      </c>
      <c r="AD8">
        <v>0</v>
      </c>
      <c r="AE8">
        <v>3.6094400739999997E-2</v>
      </c>
      <c r="AF8">
        <v>0.52</v>
      </c>
      <c r="AG8">
        <v>1</v>
      </c>
      <c r="AH8">
        <v>3.6094400739999997E-2</v>
      </c>
      <c r="AI8">
        <v>1.86020618556701</v>
      </c>
      <c r="AK8" t="str">
        <f>IF(ISERROR(表格_closed_data[[#This Row],[Deptshort_first]]),"",表格_closed_data[[#This Row],[Deptshort_first]])</f>
        <v>TBD_業務部_BD18</v>
      </c>
      <c r="AL8">
        <f>(表格_closed_data[[#This Row],[預約率]]-表格_closed_data[[#This Row],[預約率_min]])/(表格_closed_data[[#This Row],[預約率_max]]-表格_closed_data[[#This Row],[預約率_min]])</f>
        <v>0.65127553004780592</v>
      </c>
      <c r="AM8">
        <f>(表格_closed_data[[#This Row],[出席率]]-表格_closed_data[[#This Row],[出席率_min]])/(表格_closed_data[[#This Row],[出席率_max]]-表格_closed_data[[#This Row],[出席率_min]])</f>
        <v>0.31818181818181812</v>
      </c>
      <c r="AN8">
        <f>(表格_closed_data[[#This Row],[成交率]]-表格_closed_data[[#This Row],[成交率_min]])/(表格_closed_data[[#This Row],[成交率_max]]-表格_closed_data[[#This Row],[成交率_min]])</f>
        <v>0</v>
      </c>
      <c r="AO8">
        <f>(表格_closed_data[[#This Row],[綁定率]]-表格_closed_data[[#This Row],[綁定率_min]])/(表格_closed_data[[#This Row],[綁定率_max]]-表格_closed_data[[#This Row],[綁定率_min]])</f>
        <v>0.65127553004780592</v>
      </c>
      <c r="AP8">
        <f>(表格_closed_data[[#This Row],[達成率]]-表格_closed_data[[#This Row],[達成率_min]])/(表格_closed_data[[#This Row],[達成率_max]]-表格_closed_data[[#This Row],[達成率_min]])</f>
        <v>0</v>
      </c>
      <c r="AQ8" t="str">
        <f>IF(ISERROR(表格_closed_data[[#This Row],[Deptshort_first]]),"",表格_closed_data[[#This Row],[Deptshort_first]])</f>
        <v>TBD_業務部_BD18</v>
      </c>
      <c r="AR8">
        <f>(表格_closed_data[[#This Row],[預約率_last]]-表格_closed_data[[#This Row],[預約率_last_min]])/(表格_closed_data[[#This Row],[預約率_last_max]]-表格_closed_data[[#This Row],[預約率_last_min]])</f>
        <v>0.8035183871569106</v>
      </c>
      <c r="AS8">
        <f>(表格_closed_data[[#This Row],[出席率_last]]-表格_closed_data[[#This Row],[出席率_last_min]])/(表格_closed_data[[#This Row],[出席率_last_max]]-表格_closed_data[[#This Row],[出席率_last_min]])</f>
        <v>0.49019607843076923</v>
      </c>
      <c r="AT8">
        <f>(表格_closed_data[[#This Row],[成交率_last]]-表格_closed_data[[#This Row],[成交率_last_min]])/(表格_closed_data[[#This Row],[成交率_last_max]]-表格_closed_data[[#This Row],[成交率_last_min]])</f>
        <v>0.25641025640999998</v>
      </c>
      <c r="AU8">
        <f>(表格_closed_data[[#This Row],[綁定率_last]]-表格_closed_data[[#This Row],[綁定率_last_min]])/(表格_closed_data[[#This Row],[綁定率_last_max]]-表格_closed_data[[#This Row],[綁定率_last_min]])</f>
        <v>0.8035183871569106</v>
      </c>
      <c r="AV8">
        <f>(表格_closed_data[[#This Row],[達成率_last]]-表格_closed_data[[#This Row],[達成率_last_min]])/(表格_closed_data[[#This Row],[達成率_last_max]]-表格_closed_data[[#This Row],[達成率_last_min]])</f>
        <v>0.78237007683369852</v>
      </c>
    </row>
    <row r="9" spans="1:55" x14ac:dyDescent="0.25">
      <c r="A9" t="s">
        <v>32</v>
      </c>
      <c r="B9">
        <v>2.7135678391E-2</v>
      </c>
      <c r="C9">
        <v>0.45</v>
      </c>
      <c r="D9">
        <v>0.111111111111</v>
      </c>
      <c r="E9">
        <v>2.7135678391E-2</v>
      </c>
      <c r="F9">
        <v>0.72538693467336679</v>
      </c>
      <c r="G9">
        <v>995</v>
      </c>
      <c r="H9">
        <v>1.6636957813000001E-2</v>
      </c>
      <c r="I9">
        <v>0.4</v>
      </c>
      <c r="J9">
        <v>0.23333333333299999</v>
      </c>
      <c r="K9">
        <v>1.6636957813000001E-2</v>
      </c>
      <c r="L9">
        <v>1.171035848682908</v>
      </c>
      <c r="M9">
        <v>5049</v>
      </c>
      <c r="N9" t="s">
        <v>83</v>
      </c>
      <c r="O9">
        <v>4.5766590380000001E-3</v>
      </c>
      <c r="P9">
        <v>0</v>
      </c>
      <c r="Q9">
        <v>0</v>
      </c>
      <c r="R9">
        <v>4.5766590380000001E-3</v>
      </c>
      <c r="S9">
        <v>0</v>
      </c>
      <c r="T9">
        <v>4.5037531275999999E-2</v>
      </c>
      <c r="U9">
        <v>0.66666666666600005</v>
      </c>
      <c r="V9">
        <v>0.181818181818</v>
      </c>
      <c r="W9">
        <v>4.5037531275999999E-2</v>
      </c>
      <c r="X9">
        <v>1.7515310586176731</v>
      </c>
      <c r="Y9" t="s">
        <v>83</v>
      </c>
      <c r="Z9">
        <v>0</v>
      </c>
      <c r="AA9">
        <v>0</v>
      </c>
      <c r="AB9">
        <v>0</v>
      </c>
      <c r="AC9">
        <v>0</v>
      </c>
      <c r="AD9">
        <v>0</v>
      </c>
      <c r="AE9">
        <v>3.6094400739999997E-2</v>
      </c>
      <c r="AF9">
        <v>0.52</v>
      </c>
      <c r="AG9">
        <v>1</v>
      </c>
      <c r="AH9">
        <v>3.6094400739999997E-2</v>
      </c>
      <c r="AI9">
        <v>1.86020618556701</v>
      </c>
      <c r="AK9" t="str">
        <f>IF(ISERROR(表格_closed_data[[#This Row],[Deptshort_first]]),"",表格_closed_data[[#This Row],[Deptshort_first]])</f>
        <v>TBD_業務部_BD19</v>
      </c>
      <c r="AL9">
        <f>(表格_closed_data[[#This Row],[預約率]]-表格_closed_data[[#This Row],[預約率_min]])/(表格_closed_data[[#This Row],[預約率_max]]-表格_closed_data[[#This Row],[預約率_min]])</f>
        <v>0.55755148382127673</v>
      </c>
      <c r="AM9">
        <f>(表格_closed_data[[#This Row],[出席率]]-表格_closed_data[[#This Row],[出席率_min]])/(表格_closed_data[[#This Row],[出席率_max]]-表格_closed_data[[#This Row],[出席率_min]])</f>
        <v>0.67500000000067495</v>
      </c>
      <c r="AN9">
        <f>(表格_closed_data[[#This Row],[成交率]]-表格_closed_data[[#This Row],[成交率_min]])/(表格_closed_data[[#This Row],[成交率_max]]-表格_closed_data[[#This Row],[成交率_min]])</f>
        <v>0.61111111111111116</v>
      </c>
      <c r="AO9">
        <f>(表格_closed_data[[#This Row],[綁定率]]-表格_closed_data[[#This Row],[綁定率_min]])/(表格_closed_data[[#This Row],[綁定率_max]]-表格_closed_data[[#This Row],[綁定率_min]])</f>
        <v>0.55755148382127673</v>
      </c>
      <c r="AP9">
        <f>(表格_closed_data[[#This Row],[達成率]]-表格_closed_data[[#This Row],[達成率_min]])/(表格_closed_data[[#This Row],[達成率_max]]-表格_closed_data[[#This Row],[達成率_min]])</f>
        <v>0.41414448867715187</v>
      </c>
      <c r="AQ9" t="str">
        <f>IF(ISERROR(表格_closed_data[[#This Row],[Deptshort_first]]),"",表格_closed_data[[#This Row],[Deptshort_first]])</f>
        <v>TBD_業務部_BD19</v>
      </c>
      <c r="AR9">
        <f>(表格_closed_data[[#This Row],[預約率_last]]-表格_closed_data[[#This Row],[預約率_last_min]])/(表格_closed_data[[#This Row],[預約率_last_max]]-表格_closed_data[[#This Row],[預約率_last_min]])</f>
        <v>0.46092904915755645</v>
      </c>
      <c r="AS9">
        <f>(表格_closed_data[[#This Row],[出席率_last]]-表格_closed_data[[#This Row],[出席率_last_min]])/(表格_closed_data[[#This Row],[出席率_last_max]]-表格_closed_data[[#This Row],[出席率_last_min]])</f>
        <v>0.76923076923076927</v>
      </c>
      <c r="AT9">
        <f>(表格_closed_data[[#This Row],[成交率_last]]-表格_closed_data[[#This Row],[成交率_last_min]])/(表格_closed_data[[#This Row],[成交率_last_max]]-表格_closed_data[[#This Row],[成交率_last_min]])</f>
        <v>0.23333333333299999</v>
      </c>
      <c r="AU9">
        <f>(表格_closed_data[[#This Row],[綁定率_last]]-表格_closed_data[[#This Row],[綁定率_last_min]])/(表格_closed_data[[#This Row],[綁定率_last_max]]-表格_closed_data[[#This Row],[綁定率_last_min]])</f>
        <v>0.46092904915755645</v>
      </c>
      <c r="AV9">
        <f>(表格_closed_data[[#This Row],[達成率_last]]-表格_closed_data[[#This Row],[達成率_last_min]])/(表格_closed_data[[#This Row],[達成率_last_max]]-表格_closed_data[[#This Row],[達成率_last_min]])</f>
        <v>0.62951938218932657</v>
      </c>
    </row>
    <row r="10" spans="1:55" x14ac:dyDescent="0.25">
      <c r="A10" t="s">
        <v>33</v>
      </c>
      <c r="B10">
        <v>9.3457943919999995E-3</v>
      </c>
      <c r="C10">
        <v>0</v>
      </c>
      <c r="D10">
        <v>0</v>
      </c>
      <c r="E10">
        <v>9.3457943919999995E-3</v>
      </c>
      <c r="F10">
        <v>0</v>
      </c>
      <c r="G10">
        <v>107</v>
      </c>
      <c r="H10">
        <v>1.1382113821E-2</v>
      </c>
      <c r="I10">
        <v>0.5</v>
      </c>
      <c r="J10">
        <v>0</v>
      </c>
      <c r="K10">
        <v>1.1382113821E-2</v>
      </c>
      <c r="L10">
        <v>0</v>
      </c>
      <c r="M10">
        <v>615</v>
      </c>
      <c r="N10" t="s">
        <v>83</v>
      </c>
      <c r="O10">
        <v>4.5766590380000001E-3</v>
      </c>
      <c r="P10">
        <v>0</v>
      </c>
      <c r="Q10">
        <v>0</v>
      </c>
      <c r="R10">
        <v>4.5766590380000001E-3</v>
      </c>
      <c r="S10">
        <v>0</v>
      </c>
      <c r="T10">
        <v>4.5037531275999999E-2</v>
      </c>
      <c r="U10">
        <v>0.66666666666600005</v>
      </c>
      <c r="V10">
        <v>0.181818181818</v>
      </c>
      <c r="W10">
        <v>4.5037531275999999E-2</v>
      </c>
      <c r="X10">
        <v>1.7515310586176731</v>
      </c>
      <c r="Y10" t="s">
        <v>83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3.6094400739999997E-2</v>
      </c>
      <c r="AF10">
        <v>0.52</v>
      </c>
      <c r="AG10">
        <v>1</v>
      </c>
      <c r="AH10">
        <v>3.6094400739999997E-2</v>
      </c>
      <c r="AI10">
        <v>1.86020618556701</v>
      </c>
      <c r="AK10" t="str">
        <f>IF(ISERROR(表格_closed_data[[#This Row],[Deptshort_first]]),"",表格_closed_data[[#This Row],[Deptshort_first]])</f>
        <v>TBD_業務部_BD2</v>
      </c>
      <c r="AL10">
        <f>(表格_closed_data[[#This Row],[預約率]]-表格_closed_data[[#This Row],[預約率_min]])/(表格_closed_data[[#This Row],[預約率_max]]-表格_closed_data[[#This Row],[預約率_min]])</f>
        <v>0.11787030506774217</v>
      </c>
      <c r="AM10">
        <f>(表格_closed_data[[#This Row],[出席率]]-表格_closed_data[[#This Row],[出席率_min]])/(表格_closed_data[[#This Row],[出席率_max]]-表格_closed_data[[#This Row],[出席率_min]])</f>
        <v>0</v>
      </c>
      <c r="AN10">
        <f>(表格_closed_data[[#This Row],[成交率]]-表格_closed_data[[#This Row],[成交率_min]])/(表格_closed_data[[#This Row],[成交率_max]]-表格_closed_data[[#This Row],[成交率_min]])</f>
        <v>0</v>
      </c>
      <c r="AO10">
        <f>(表格_closed_data[[#This Row],[綁定率]]-表格_closed_data[[#This Row],[綁定率_min]])/(表格_closed_data[[#This Row],[綁定率_max]]-表格_closed_data[[#This Row],[綁定率_min]])</f>
        <v>0.11787030506774217</v>
      </c>
      <c r="AP10">
        <f>(表格_closed_data[[#This Row],[達成率]]-表格_closed_data[[#This Row],[達成率_min]])/(表格_closed_data[[#This Row],[達成率_max]]-表格_closed_data[[#This Row],[達成率_min]])</f>
        <v>0</v>
      </c>
      <c r="AQ10" t="str">
        <f>IF(ISERROR(表格_closed_data[[#This Row],[Deptshort_first]]),"",表格_closed_data[[#This Row],[Deptshort_first]])</f>
        <v>TBD_業務部_BD2</v>
      </c>
      <c r="AR10">
        <f>(表格_closed_data[[#This Row],[預約率_last]]-表格_closed_data[[#This Row],[預約率_last_min]])/(表格_closed_data[[#This Row],[預約率_last_max]]-表格_closed_data[[#This Row],[預約率_last_min]])</f>
        <v>0.31534292265964353</v>
      </c>
      <c r="AS10">
        <f>(表格_closed_data[[#This Row],[出席率_last]]-表格_closed_data[[#This Row],[出席率_last_min]])/(表格_closed_data[[#This Row],[出席率_last_max]]-表格_closed_data[[#This Row],[出席率_last_min]])</f>
        <v>0.96153846153846145</v>
      </c>
      <c r="AT10">
        <f>(表格_closed_data[[#This Row],[成交率_last]]-表格_closed_data[[#This Row],[成交率_last_min]])/(表格_closed_data[[#This Row],[成交率_last_max]]-表格_closed_data[[#This Row],[成交率_last_min]])</f>
        <v>0</v>
      </c>
      <c r="AU10">
        <f>(表格_closed_data[[#This Row],[綁定率_last]]-表格_closed_data[[#This Row],[綁定率_last_min]])/(表格_closed_data[[#This Row],[綁定率_last_max]]-表格_closed_data[[#This Row],[綁定率_last_min]])</f>
        <v>0.31534292265964353</v>
      </c>
      <c r="AV1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11" spans="1:55" x14ac:dyDescent="0.25">
      <c r="A11" t="s">
        <v>34</v>
      </c>
      <c r="B11">
        <v>2.5371828520999999E-2</v>
      </c>
      <c r="C11">
        <v>0.52380952380900003</v>
      </c>
      <c r="D11">
        <v>0.181818181818</v>
      </c>
      <c r="E11">
        <v>2.5371828520999999E-2</v>
      </c>
      <c r="F11">
        <v>1.7515310586176731</v>
      </c>
      <c r="G11">
        <v>1143</v>
      </c>
      <c r="H11">
        <v>2.6082552544E-2</v>
      </c>
      <c r="I11">
        <v>0.41237113401999997</v>
      </c>
      <c r="J11">
        <v>0.125</v>
      </c>
      <c r="K11">
        <v>2.6082552544E-2</v>
      </c>
      <c r="L11">
        <v>1.056854899974677</v>
      </c>
      <c r="M11">
        <v>3949</v>
      </c>
      <c r="N11" t="s">
        <v>83</v>
      </c>
      <c r="O11">
        <v>4.5766590380000001E-3</v>
      </c>
      <c r="P11">
        <v>0</v>
      </c>
      <c r="Q11">
        <v>0</v>
      </c>
      <c r="R11">
        <v>4.5766590380000001E-3</v>
      </c>
      <c r="S11">
        <v>0</v>
      </c>
      <c r="T11">
        <v>4.5037531275999999E-2</v>
      </c>
      <c r="U11">
        <v>0.66666666666600005</v>
      </c>
      <c r="V11">
        <v>0.181818181818</v>
      </c>
      <c r="W11">
        <v>4.5037531275999999E-2</v>
      </c>
      <c r="X11">
        <v>1.7515310586176731</v>
      </c>
      <c r="Y11" t="s">
        <v>83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3.6094400739999997E-2</v>
      </c>
      <c r="AF11">
        <v>0.52</v>
      </c>
      <c r="AG11">
        <v>1</v>
      </c>
      <c r="AH11">
        <v>3.6094400739999997E-2</v>
      </c>
      <c r="AI11">
        <v>1.86020618556701</v>
      </c>
      <c r="AK11" t="str">
        <f>IF(ISERROR(表格_closed_data[[#This Row],[Deptshort_first]]),"",表格_closed_data[[#This Row],[Deptshort_first]])</f>
        <v>TBD_業務部_BD20</v>
      </c>
      <c r="AL11">
        <f>(表格_closed_data[[#This Row],[預約率]]-表格_closed_data[[#This Row],[預約率_min]])/(表格_closed_data[[#This Row],[預約率_max]]-表格_closed_data[[#This Row],[預約率_min]])</f>
        <v>0.51395751828280201</v>
      </c>
      <c r="AM11">
        <f>(表格_closed_data[[#This Row],[出席率]]-表格_closed_data[[#This Row],[出席率_min]])/(表格_closed_data[[#This Row],[出席率_max]]-表格_closed_data[[#This Row],[出席率_min]])</f>
        <v>0.7857142857142857</v>
      </c>
      <c r="AN11">
        <f>(表格_closed_data[[#This Row],[成交率]]-表格_closed_data[[#This Row],[成交率_min]])/(表格_closed_data[[#This Row],[成交率_max]]-表格_closed_data[[#This Row],[成交率_min]])</f>
        <v>1</v>
      </c>
      <c r="AO11">
        <f>(表格_closed_data[[#This Row],[綁定率]]-表格_closed_data[[#This Row],[綁定率_min]])/(表格_closed_data[[#This Row],[綁定率_max]]-表格_closed_data[[#This Row],[綁定率_min]])</f>
        <v>0.51395751828280201</v>
      </c>
      <c r="AP11">
        <f>(表格_closed_data[[#This Row],[達成率]]-表格_closed_data[[#This Row],[達成率_min]])/(表格_closed_data[[#This Row],[達成率_max]]-表格_closed_data[[#This Row],[達成率_min]])</f>
        <v>1</v>
      </c>
      <c r="AQ11" t="str">
        <f>IF(ISERROR(表格_closed_data[[#This Row],[Deptshort_first]]),"",表格_closed_data[[#This Row],[Deptshort_first]])</f>
        <v>TBD_業務部_BD20</v>
      </c>
      <c r="AR11">
        <f>(表格_closed_data[[#This Row],[預約率_last]]-表格_closed_data[[#This Row],[預約率_last_min]])/(表格_closed_data[[#This Row],[預約率_last_max]]-表格_closed_data[[#This Row],[預約率_last_min]])</f>
        <v>0.72262046215648024</v>
      </c>
      <c r="AS11">
        <f>(表格_closed_data[[#This Row],[出席率_last]]-表格_closed_data[[#This Row],[出席率_last_min]])/(表格_closed_data[[#This Row],[出席率_last_max]]-表格_closed_data[[#This Row],[出席率_last_min]])</f>
        <v>0.79302141157692296</v>
      </c>
      <c r="AT11">
        <f>(表格_closed_data[[#This Row],[成交率_last]]-表格_closed_data[[#This Row],[成交率_last_min]])/(表格_closed_data[[#This Row],[成交率_last_max]]-表格_closed_data[[#This Row],[成交率_last_min]])</f>
        <v>0.125</v>
      </c>
      <c r="AU11">
        <f>(表格_closed_data[[#This Row],[綁定率_last]]-表格_closed_data[[#This Row],[綁定率_last_min]])/(表格_closed_data[[#This Row],[綁定率_last_max]]-表格_closed_data[[#This Row],[綁定率_last_min]])</f>
        <v>0.72262046215648024</v>
      </c>
      <c r="AV11">
        <f>(表格_closed_data[[#This Row],[達成率_last]]-表格_closed_data[[#This Row],[達成率_last_min]])/(表格_closed_data[[#This Row],[達成率_last_max]]-表格_closed_data[[#This Row],[達成率_last_min]])</f>
        <v>0.56813857956962799</v>
      </c>
    </row>
    <row r="12" spans="1:55" x14ac:dyDescent="0.25">
      <c r="A12" t="s">
        <v>35</v>
      </c>
      <c r="B12">
        <v>4.5037531275999999E-2</v>
      </c>
      <c r="C12">
        <v>0.195121951219</v>
      </c>
      <c r="D12">
        <v>0</v>
      </c>
      <c r="E12">
        <v>4.5037531275999999E-2</v>
      </c>
      <c r="F12">
        <v>0</v>
      </c>
      <c r="G12">
        <v>1199</v>
      </c>
      <c r="H12">
        <v>2.9793103448E-2</v>
      </c>
      <c r="I12">
        <v>0.260869565217</v>
      </c>
      <c r="J12">
        <v>0.125</v>
      </c>
      <c r="K12">
        <v>2.9793103448E-2</v>
      </c>
      <c r="L12">
        <v>0.6872275862068965</v>
      </c>
      <c r="M12">
        <v>3625</v>
      </c>
      <c r="N12" t="s">
        <v>83</v>
      </c>
      <c r="O12">
        <v>4.5766590380000001E-3</v>
      </c>
      <c r="P12">
        <v>0</v>
      </c>
      <c r="Q12">
        <v>0</v>
      </c>
      <c r="R12">
        <v>4.5766590380000001E-3</v>
      </c>
      <c r="S12">
        <v>0</v>
      </c>
      <c r="T12">
        <v>4.5037531275999999E-2</v>
      </c>
      <c r="U12">
        <v>0.66666666666600005</v>
      </c>
      <c r="V12">
        <v>0.181818181818</v>
      </c>
      <c r="W12">
        <v>4.5037531275999999E-2</v>
      </c>
      <c r="X12">
        <v>1.7515310586176731</v>
      </c>
      <c r="Y12" t="s">
        <v>83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3.6094400739999997E-2</v>
      </c>
      <c r="AF12">
        <v>0.52</v>
      </c>
      <c r="AG12">
        <v>1</v>
      </c>
      <c r="AH12">
        <v>3.6094400739999997E-2</v>
      </c>
      <c r="AI12">
        <v>1.86020618556701</v>
      </c>
      <c r="AK12" t="str">
        <f>IF(ISERROR(表格_closed_data[[#This Row],[Deptshort_first]]),"",表格_closed_data[[#This Row],[Deptshort_first]])</f>
        <v>TBD_業務部_BD24</v>
      </c>
      <c r="AL12">
        <f>(表格_closed_data[[#This Row],[預約率]]-表格_closed_data[[#This Row],[預約率_min]])/(表格_closed_data[[#This Row],[預約率_max]]-表格_closed_data[[#This Row],[預約率_min]])</f>
        <v>1</v>
      </c>
      <c r="AM12">
        <f>(表格_closed_data[[#This Row],[出席率]]-表格_closed_data[[#This Row],[出席率_min]])/(表格_closed_data[[#This Row],[出席率_max]]-表格_closed_data[[#This Row],[出席率_min]])</f>
        <v>0.29268292682879266</v>
      </c>
      <c r="AN12">
        <f>(表格_closed_data[[#This Row],[成交率]]-表格_closed_data[[#This Row],[成交率_min]])/(表格_closed_data[[#This Row],[成交率_max]]-表格_closed_data[[#This Row],[成交率_min]])</f>
        <v>0</v>
      </c>
      <c r="AO12">
        <f>(表格_closed_data[[#This Row],[綁定率]]-表格_closed_data[[#This Row],[綁定率_min]])/(表格_closed_data[[#This Row],[綁定率_max]]-表格_closed_data[[#This Row],[綁定率_min]])</f>
        <v>1</v>
      </c>
      <c r="AP12">
        <f>(表格_closed_data[[#This Row],[達成率]]-表格_closed_data[[#This Row],[達成率_min]])/(表格_closed_data[[#This Row],[達成率_max]]-表格_closed_data[[#This Row],[達成率_min]])</f>
        <v>0</v>
      </c>
      <c r="AQ12" t="str">
        <f>IF(ISERROR(表格_closed_data[[#This Row],[Deptshort_first]]),"",表格_closed_data[[#This Row],[Deptshort_first]])</f>
        <v>TBD_業務部_BD24</v>
      </c>
      <c r="AR12">
        <f>(表格_closed_data[[#This Row],[預約率_last]]-表格_closed_data[[#This Row],[預約率_last_min]])/(表格_closed_data[[#This Row],[預約率_last_max]]-表格_closed_data[[#This Row],[預約率_last_min]])</f>
        <v>0.82542175066458801</v>
      </c>
      <c r="AS12">
        <f>(表格_closed_data[[#This Row],[出席率_last]]-表格_closed_data[[#This Row],[出席率_last_min]])/(表格_closed_data[[#This Row],[出席率_last_max]]-表格_closed_data[[#This Row],[出席率_last_min]])</f>
        <v>0.50167224080192308</v>
      </c>
      <c r="AT12">
        <f>(表格_closed_data[[#This Row],[成交率_last]]-表格_closed_data[[#This Row],[成交率_last_min]])/(表格_closed_data[[#This Row],[成交率_last_max]]-表格_closed_data[[#This Row],[成交率_last_min]])</f>
        <v>0.125</v>
      </c>
      <c r="AU12">
        <f>(表格_closed_data[[#This Row],[綁定率_last]]-表格_closed_data[[#This Row],[綁定率_last_min]])/(表格_closed_data[[#This Row],[綁定率_last_max]]-表格_closed_data[[#This Row],[綁定率_last_min]])</f>
        <v>0.82542175066458801</v>
      </c>
      <c r="AV12">
        <f>(表格_closed_data[[#This Row],[達成率_last]]-表格_closed_data[[#This Row],[達成率_last_min]])/(表格_closed_data[[#This Row],[達成率_last_max]]-表格_closed_data[[#This Row],[達成率_last_min]])</f>
        <v>0.36943624397067709</v>
      </c>
    </row>
    <row r="13" spans="1:55" x14ac:dyDescent="0.25">
      <c r="A13" t="s">
        <v>36</v>
      </c>
      <c r="B13">
        <v>2.6954177897000001E-2</v>
      </c>
      <c r="C13">
        <v>0.125</v>
      </c>
      <c r="D13">
        <v>0</v>
      </c>
      <c r="E13">
        <v>2.6954177897000001E-2</v>
      </c>
      <c r="F13">
        <v>0</v>
      </c>
      <c r="G13">
        <v>371</v>
      </c>
      <c r="H13">
        <v>3.0956329463000001E-2</v>
      </c>
      <c r="I13">
        <v>0.45238095237999998</v>
      </c>
      <c r="J13">
        <v>0.105263157894</v>
      </c>
      <c r="K13">
        <v>3.0956329463000001E-2</v>
      </c>
      <c r="L13">
        <v>0.81468214483139856</v>
      </c>
      <c r="M13">
        <v>1809</v>
      </c>
      <c r="N13" t="s">
        <v>83</v>
      </c>
      <c r="O13">
        <v>4.5766590380000001E-3</v>
      </c>
      <c r="P13">
        <v>0</v>
      </c>
      <c r="Q13">
        <v>0</v>
      </c>
      <c r="R13">
        <v>4.5766590380000001E-3</v>
      </c>
      <c r="S13">
        <v>0</v>
      </c>
      <c r="T13">
        <v>4.5037531275999999E-2</v>
      </c>
      <c r="U13">
        <v>0.66666666666600005</v>
      </c>
      <c r="V13">
        <v>0.181818181818</v>
      </c>
      <c r="W13">
        <v>4.5037531275999999E-2</v>
      </c>
      <c r="X13">
        <v>1.7515310586176731</v>
      </c>
      <c r="Y13" t="s">
        <v>83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3.6094400739999997E-2</v>
      </c>
      <c r="AF13">
        <v>0.52</v>
      </c>
      <c r="AG13">
        <v>1</v>
      </c>
      <c r="AH13">
        <v>3.6094400739999997E-2</v>
      </c>
      <c r="AI13">
        <v>1.86020618556701</v>
      </c>
      <c r="AK13" t="str">
        <f>IF(ISERROR(表格_closed_data[[#This Row],[Deptshort_first]]),"",表格_closed_data[[#This Row],[Deptshort_first]])</f>
        <v>TBD_業務部_BD35</v>
      </c>
      <c r="AL13">
        <f>(表格_closed_data[[#This Row],[預約率]]-表格_closed_data[[#This Row],[預約率_min]])/(表格_closed_data[[#This Row],[預約率_max]]-表格_closed_data[[#This Row],[預約率_min]])</f>
        <v>0.55306565630543947</v>
      </c>
      <c r="AM13">
        <f>(表格_closed_data[[#This Row],[出席率]]-表格_closed_data[[#This Row],[出席率_min]])/(表格_closed_data[[#This Row],[出席率_max]]-表格_closed_data[[#This Row],[出席率_min]])</f>
        <v>0.18750000000018749</v>
      </c>
      <c r="AN13">
        <f>(表格_closed_data[[#This Row],[成交率]]-表格_closed_data[[#This Row],[成交率_min]])/(表格_closed_data[[#This Row],[成交率_max]]-表格_closed_data[[#This Row],[成交率_min]])</f>
        <v>0</v>
      </c>
      <c r="AO13">
        <f>(表格_closed_data[[#This Row],[綁定率]]-表格_closed_data[[#This Row],[綁定率_min]])/(表格_closed_data[[#This Row],[綁定率_max]]-表格_closed_data[[#This Row],[綁定率_min]])</f>
        <v>0.55306565630543947</v>
      </c>
      <c r="AP13">
        <f>(表格_closed_data[[#This Row],[達成率]]-表格_closed_data[[#This Row],[達成率_min]])/(表格_closed_data[[#This Row],[達成率_max]]-表格_closed_data[[#This Row],[達成率_min]])</f>
        <v>0</v>
      </c>
      <c r="AQ13" t="str">
        <f>IF(ISERROR(表格_closed_data[[#This Row],[Deptshort_first]]),"",表格_closed_data[[#This Row],[Deptshort_first]])</f>
        <v>TBD_業務部_BD35</v>
      </c>
      <c r="AR13">
        <f>(表格_closed_data[[#This Row],[預約率_last]]-表格_closed_data[[#This Row],[預約率_last_min]])/(表格_closed_data[[#This Row],[預約率_last_max]]-表格_closed_data[[#This Row],[預約率_last_min]])</f>
        <v>0.8576490765420588</v>
      </c>
      <c r="AS13">
        <f>(表格_closed_data[[#This Row],[出席率_last]]-表格_closed_data[[#This Row],[出席率_last_min]])/(表格_closed_data[[#This Row],[出席率_last_max]]-表格_closed_data[[#This Row],[出席率_last_min]])</f>
        <v>0.86996336996153845</v>
      </c>
      <c r="AT13">
        <f>(表格_closed_data[[#This Row],[成交率_last]]-表格_closed_data[[#This Row],[成交率_last_min]])/(表格_closed_data[[#This Row],[成交率_last_max]]-表格_closed_data[[#This Row],[成交率_last_min]])</f>
        <v>0.105263157894</v>
      </c>
      <c r="AU13">
        <f>(表格_closed_data[[#This Row],[綁定率_last]]-表格_closed_data[[#This Row],[綁定率_last_min]])/(表格_closed_data[[#This Row],[綁定率_last_max]]-表格_closed_data[[#This Row],[綁定率_last_min]])</f>
        <v>0.8576490765420588</v>
      </c>
      <c r="AV13">
        <f>(表格_closed_data[[#This Row],[達成率_last]]-表格_closed_data[[#This Row],[達成率_last_min]])/(表格_closed_data[[#This Row],[達成率_last_max]]-表格_closed_data[[#This Row],[達成率_last_min]])</f>
        <v>0.43795260501355393</v>
      </c>
    </row>
    <row r="14" spans="1:55" x14ac:dyDescent="0.25">
      <c r="A14" t="s">
        <v>37</v>
      </c>
      <c r="B14">
        <v>2.294197031E-2</v>
      </c>
      <c r="C14">
        <v>0.66666666666600005</v>
      </c>
      <c r="D14">
        <v>0.125</v>
      </c>
      <c r="E14">
        <v>2.294197031E-2</v>
      </c>
      <c r="F14">
        <v>0.88529014844804321</v>
      </c>
      <c r="G14">
        <v>741</v>
      </c>
      <c r="H14">
        <v>2.9123571038999999E-2</v>
      </c>
      <c r="I14">
        <v>0.52</v>
      </c>
      <c r="J14">
        <v>9.6153846153000003E-2</v>
      </c>
      <c r="K14">
        <v>2.9123571038999999E-2</v>
      </c>
      <c r="L14">
        <v>0.98734893848666305</v>
      </c>
      <c r="M14">
        <v>3674</v>
      </c>
      <c r="N14" t="s">
        <v>83</v>
      </c>
      <c r="O14">
        <v>4.5766590380000001E-3</v>
      </c>
      <c r="P14">
        <v>0</v>
      </c>
      <c r="Q14">
        <v>0</v>
      </c>
      <c r="R14">
        <v>4.5766590380000001E-3</v>
      </c>
      <c r="S14">
        <v>0</v>
      </c>
      <c r="T14">
        <v>4.5037531275999999E-2</v>
      </c>
      <c r="U14">
        <v>0.66666666666600005</v>
      </c>
      <c r="V14">
        <v>0.181818181818</v>
      </c>
      <c r="W14">
        <v>4.5037531275999999E-2</v>
      </c>
      <c r="X14">
        <v>1.7515310586176731</v>
      </c>
      <c r="Y14" t="s">
        <v>83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3.6094400739999997E-2</v>
      </c>
      <c r="AF14">
        <v>0.52</v>
      </c>
      <c r="AG14">
        <v>1</v>
      </c>
      <c r="AH14">
        <v>3.6094400739999997E-2</v>
      </c>
      <c r="AI14">
        <v>1.86020618556701</v>
      </c>
      <c r="AK14" t="str">
        <f>IF(ISERROR(表格_closed_data[[#This Row],[Deptshort_first]]),"",表格_closed_data[[#This Row],[Deptshort_first]])</f>
        <v>TBD_業務部_BD36</v>
      </c>
      <c r="AL14">
        <f>(表格_closed_data[[#This Row],[預約率]]-表格_closed_data[[#This Row],[預約率_min]])/(表格_closed_data[[#This Row],[預約率_max]]-表格_closed_data[[#This Row],[預約率_min]])</f>
        <v>0.45390299951941443</v>
      </c>
      <c r="AM14">
        <f>(表格_closed_data[[#This Row],[出席率]]-表格_closed_data[[#This Row],[出席率_min]])/(表格_closed_data[[#This Row],[出席率_max]]-表格_closed_data[[#This Row],[出席率_min]])</f>
        <v>1</v>
      </c>
      <c r="AN14">
        <f>(表格_closed_data[[#This Row],[成交率]]-表格_closed_data[[#This Row],[成交率_min]])/(表格_closed_data[[#This Row],[成交率_max]]-表格_closed_data[[#This Row],[成交率_min]])</f>
        <v>0.68750000000068756</v>
      </c>
      <c r="AO14">
        <f>(表格_closed_data[[#This Row],[綁定率]]-表格_closed_data[[#This Row],[綁定率_min]])/(表格_closed_data[[#This Row],[綁定率_max]]-表格_closed_data[[#This Row],[綁定率_min]])</f>
        <v>0.45390299951941443</v>
      </c>
      <c r="AP14">
        <f>(表格_closed_data[[#This Row],[達成率]]-表格_closed_data[[#This Row],[達成率_min]])/(表格_closed_data[[#This Row],[達成率_max]]-表格_closed_data[[#This Row],[達成率_min]])</f>
        <v>0.50543788195610051</v>
      </c>
      <c r="AQ14" t="str">
        <f>IF(ISERROR(表格_closed_data[[#This Row],[Deptshort_first]]),"",表格_closed_data[[#This Row],[Deptshort_first]])</f>
        <v>TBD_業務部_BD36</v>
      </c>
      <c r="AR14">
        <f>(表格_closed_data[[#This Row],[預約率_last]]-表格_closed_data[[#This Row],[預約率_last_min]])/(表格_closed_data[[#This Row],[預約率_last_max]]-表格_closed_data[[#This Row],[預約率_last_min]])</f>
        <v>0.80687226943555013</v>
      </c>
      <c r="AS14">
        <f>(表格_closed_data[[#This Row],[出席率_last]]-表格_closed_data[[#This Row],[出席率_last_min]])/(表格_closed_data[[#This Row],[出席率_last_max]]-表格_closed_data[[#This Row],[出席率_last_min]])</f>
        <v>1</v>
      </c>
      <c r="AT14">
        <f>(表格_closed_data[[#This Row],[成交率_last]]-表格_closed_data[[#This Row],[成交率_last_min]])/(表格_closed_data[[#This Row],[成交率_last_max]]-表格_closed_data[[#This Row],[成交率_last_min]])</f>
        <v>9.6153846153000003E-2</v>
      </c>
      <c r="AU14">
        <f>(表格_closed_data[[#This Row],[綁定率_last]]-表格_closed_data[[#This Row],[綁定率_last_min]])/(表格_closed_data[[#This Row],[綁定率_last_max]]-表格_closed_data[[#This Row],[綁定率_last_min]])</f>
        <v>0.80687226943555013</v>
      </c>
      <c r="AV14">
        <f>(表格_closed_data[[#This Row],[達成率_last]]-表格_closed_data[[#This Row],[達成率_last_min]])/(表格_closed_data[[#This Row],[達成率_last_max]]-表格_closed_data[[#This Row],[達成率_last_min]])</f>
        <v>0.53077392503439558</v>
      </c>
    </row>
    <row r="15" spans="1:55" x14ac:dyDescent="0.25">
      <c r="A15" t="s">
        <v>38</v>
      </c>
      <c r="B15">
        <v>4.5766590380000001E-3</v>
      </c>
      <c r="C15">
        <v>0</v>
      </c>
      <c r="D15">
        <v>0</v>
      </c>
      <c r="E15">
        <v>4.5766590380000001E-3</v>
      </c>
      <c r="F15">
        <v>0</v>
      </c>
      <c r="G15">
        <v>437</v>
      </c>
      <c r="H15">
        <v>2.5792959218999999E-2</v>
      </c>
      <c r="I15">
        <v>0.21621621621600001</v>
      </c>
      <c r="J15">
        <v>6.25E-2</v>
      </c>
      <c r="K15">
        <v>2.5792959218999999E-2</v>
      </c>
      <c r="L15">
        <v>0.27256883931683512</v>
      </c>
      <c r="M15">
        <v>2869</v>
      </c>
      <c r="N15" t="s">
        <v>83</v>
      </c>
      <c r="O15">
        <v>4.5766590380000001E-3</v>
      </c>
      <c r="P15">
        <v>0</v>
      </c>
      <c r="Q15">
        <v>0</v>
      </c>
      <c r="R15">
        <v>4.5766590380000001E-3</v>
      </c>
      <c r="S15">
        <v>0</v>
      </c>
      <c r="T15">
        <v>4.5037531275999999E-2</v>
      </c>
      <c r="U15">
        <v>0.66666666666600005</v>
      </c>
      <c r="V15">
        <v>0.181818181818</v>
      </c>
      <c r="W15">
        <v>4.5037531275999999E-2</v>
      </c>
      <c r="X15">
        <v>1.7515310586176731</v>
      </c>
      <c r="Y15" t="s">
        <v>83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3.6094400739999997E-2</v>
      </c>
      <c r="AF15">
        <v>0.52</v>
      </c>
      <c r="AG15">
        <v>1</v>
      </c>
      <c r="AH15">
        <v>3.6094400739999997E-2</v>
      </c>
      <c r="AI15">
        <v>1.86020618556701</v>
      </c>
      <c r="AK15" t="str">
        <f>IF(ISERROR(表格_closed_data[[#This Row],[Deptshort_first]]),"",表格_closed_data[[#This Row],[Deptshort_first]])</f>
        <v>TBD_業務部_BD40</v>
      </c>
      <c r="AL15">
        <f>(表格_closed_data[[#This Row],[預約率]]-表格_closed_data[[#This Row],[預約率_min]])/(表格_closed_data[[#This Row],[預約率_max]]-表格_closed_data[[#This Row],[預約率_min]])</f>
        <v>0</v>
      </c>
      <c r="AM15">
        <f>(表格_closed_data[[#This Row],[出席率]]-表格_closed_data[[#This Row],[出席率_min]])/(表格_closed_data[[#This Row],[出席率_max]]-表格_closed_data[[#This Row],[出席率_min]])</f>
        <v>0</v>
      </c>
      <c r="AN15">
        <f>(表格_closed_data[[#This Row],[成交率]]-表格_closed_data[[#This Row],[成交率_min]])/(表格_closed_data[[#This Row],[成交率_max]]-表格_closed_data[[#This Row],[成交率_min]])</f>
        <v>0</v>
      </c>
      <c r="AO15">
        <f>(表格_closed_data[[#This Row],[綁定率]]-表格_closed_data[[#This Row],[綁定率_min]])/(表格_closed_data[[#This Row],[綁定率_max]]-表格_closed_data[[#This Row],[綁定率_min]])</f>
        <v>0</v>
      </c>
      <c r="AP15">
        <f>(表格_closed_data[[#This Row],[達成率]]-表格_closed_data[[#This Row],[達成率_min]])/(表格_closed_data[[#This Row],[達成率_max]]-表格_closed_data[[#This Row],[達成率_min]])</f>
        <v>0</v>
      </c>
      <c r="AQ15" t="str">
        <f>IF(ISERROR(表格_closed_data[[#This Row],[Deptshort_first]]),"",表格_closed_data[[#This Row],[Deptshort_first]])</f>
        <v>TBD_業務部_BD40</v>
      </c>
      <c r="AR15">
        <f>(表格_closed_data[[#This Row],[預約率_last]]-表格_closed_data[[#This Row],[預約率_last_min]])/(表格_closed_data[[#This Row],[預約率_last_max]]-表格_closed_data[[#This Row],[預約率_last_min]])</f>
        <v>0.71459724195991736</v>
      </c>
      <c r="AS15">
        <f>(表格_closed_data[[#This Row],[出席率_last]]-表格_closed_data[[#This Row],[出席率_last_min]])/(表格_closed_data[[#This Row],[出席率_last_max]]-表格_closed_data[[#This Row],[出席率_last_min]])</f>
        <v>0.41580041579999999</v>
      </c>
      <c r="AT15">
        <f>(表格_closed_data[[#This Row],[成交率_last]]-表格_closed_data[[#This Row],[成交率_last_min]])/(表格_closed_data[[#This Row],[成交率_last_max]]-表格_closed_data[[#This Row],[成交率_last_min]])</f>
        <v>6.25E-2</v>
      </c>
      <c r="AU15">
        <f>(表格_closed_data[[#This Row],[綁定率_last]]-表格_closed_data[[#This Row],[綁定率_last_min]])/(表格_closed_data[[#This Row],[綁定率_last_max]]-表格_closed_data[[#This Row],[綁定率_last_min]])</f>
        <v>0.71459724195991736</v>
      </c>
      <c r="AV15">
        <f>(表格_closed_data[[#This Row],[達成率_last]]-表格_closed_data[[#This Row],[達成率_last_min]])/(表格_closed_data[[#This Row],[達成率_last_max]]-表格_closed_data[[#This Row],[達成率_last_min]])</f>
        <v>0.14652614394664715</v>
      </c>
    </row>
    <row r="16" spans="1:55" x14ac:dyDescent="0.25">
      <c r="A16" t="s">
        <v>39</v>
      </c>
      <c r="B16">
        <v>2.2180273713999998E-2</v>
      </c>
      <c r="C16">
        <v>0.3</v>
      </c>
      <c r="D16">
        <v>0</v>
      </c>
      <c r="E16">
        <v>2.2180273713999998E-2</v>
      </c>
      <c r="F16">
        <v>0</v>
      </c>
      <c r="G16">
        <v>2119</v>
      </c>
      <c r="H16">
        <v>1.7630057803000001E-2</v>
      </c>
      <c r="I16">
        <v>0.33644859813</v>
      </c>
      <c r="J16">
        <v>0.194444444444</v>
      </c>
      <c r="K16">
        <v>1.7630057803000001E-2</v>
      </c>
      <c r="L16">
        <v>0.71780924855491335</v>
      </c>
      <c r="M16">
        <v>6920</v>
      </c>
      <c r="N16" t="s">
        <v>83</v>
      </c>
      <c r="O16">
        <v>4.5766590380000001E-3</v>
      </c>
      <c r="P16">
        <v>0</v>
      </c>
      <c r="Q16">
        <v>0</v>
      </c>
      <c r="R16">
        <v>4.5766590380000001E-3</v>
      </c>
      <c r="S16">
        <v>0</v>
      </c>
      <c r="T16">
        <v>4.5037531275999999E-2</v>
      </c>
      <c r="U16">
        <v>0.66666666666600005</v>
      </c>
      <c r="V16">
        <v>0.181818181818</v>
      </c>
      <c r="W16">
        <v>4.5037531275999999E-2</v>
      </c>
      <c r="X16">
        <v>1.7515310586176731</v>
      </c>
      <c r="Y16" t="s">
        <v>83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3.6094400739999997E-2</v>
      </c>
      <c r="AF16">
        <v>0.52</v>
      </c>
      <c r="AG16">
        <v>1</v>
      </c>
      <c r="AH16">
        <v>3.6094400739999997E-2</v>
      </c>
      <c r="AI16">
        <v>1.86020618556701</v>
      </c>
      <c r="AK16" t="str">
        <f>IF(ISERROR(表格_closed_data[[#This Row],[Deptshort_first]]),"",表格_closed_data[[#This Row],[Deptshort_first]])</f>
        <v>TBD_業務部_BD55</v>
      </c>
      <c r="AL16">
        <f>(表格_closed_data[[#This Row],[預約率]]-表格_closed_data[[#This Row],[預約率_min]])/(表格_closed_data[[#This Row],[預約率_max]]-表格_closed_data[[#This Row],[預約率_min]])</f>
        <v>0.43507748850424077</v>
      </c>
      <c r="AM16">
        <f>(表格_closed_data[[#This Row],[出席率]]-表格_closed_data[[#This Row],[出席率_min]])/(表格_closed_data[[#This Row],[出席率_max]]-表格_closed_data[[#This Row],[出席率_min]])</f>
        <v>0.45000000000044993</v>
      </c>
      <c r="AN16">
        <f>(表格_closed_data[[#This Row],[成交率]]-表格_closed_data[[#This Row],[成交率_min]])/(表格_closed_data[[#This Row],[成交率_max]]-表格_closed_data[[#This Row],[成交率_min]])</f>
        <v>0</v>
      </c>
      <c r="AO16">
        <f>(表格_closed_data[[#This Row],[綁定率]]-表格_closed_data[[#This Row],[綁定率_min]])/(表格_closed_data[[#This Row],[綁定率_max]]-表格_closed_data[[#This Row],[綁定率_min]])</f>
        <v>0.43507748850424077</v>
      </c>
      <c r="AP16">
        <f>(表格_closed_data[[#This Row],[達成率]]-表格_closed_data[[#This Row],[達成率_min]])/(表格_closed_data[[#This Row],[達成率_max]]-表格_closed_data[[#This Row],[達成率_min]])</f>
        <v>0</v>
      </c>
      <c r="AQ16" t="str">
        <f>IF(ISERROR(表格_closed_data[[#This Row],[Deptshort_first]]),"",表格_closed_data[[#This Row],[Deptshort_first]])</f>
        <v>TBD_業務部_BD55</v>
      </c>
      <c r="AR16">
        <f>(表格_closed_data[[#This Row],[預約率_last]]-表格_closed_data[[#This Row],[預約率_last_min]])/(表格_closed_data[[#This Row],[預約率_last_max]]-表格_closed_data[[#This Row],[預約率_last_min]])</f>
        <v>0.48844301170132137</v>
      </c>
      <c r="AS16">
        <f>(表格_closed_data[[#This Row],[出席率_last]]-表格_closed_data[[#This Row],[出席率_last_min]])/(表格_closed_data[[#This Row],[出席率_last_max]]-表格_closed_data[[#This Row],[出席率_last_min]])</f>
        <v>0.64701653486538457</v>
      </c>
      <c r="AT16">
        <f>(表格_closed_data[[#This Row],[成交率_last]]-表格_closed_data[[#This Row],[成交率_last_min]])/(表格_closed_data[[#This Row],[成交率_last_max]]-表格_closed_data[[#This Row],[成交率_last_min]])</f>
        <v>0.194444444444</v>
      </c>
      <c r="AU16">
        <f>(表格_closed_data[[#This Row],[綁定率_last]]-表格_closed_data[[#This Row],[綁定率_last_min]])/(表格_closed_data[[#This Row],[綁定率_last_max]]-表格_closed_data[[#This Row],[綁定率_last_min]])</f>
        <v>0.48844301170132137</v>
      </c>
      <c r="AV16">
        <f>(表格_closed_data[[#This Row],[達成率_last]]-表格_closed_data[[#This Row],[達成率_last_min]])/(表格_closed_data[[#This Row],[達成率_last_max]]-表格_closed_data[[#This Row],[達成率_last_min]])</f>
        <v>0.38587617551444581</v>
      </c>
    </row>
    <row r="17" spans="1:48" x14ac:dyDescent="0.25">
      <c r="A17" t="s">
        <v>40</v>
      </c>
      <c r="B17">
        <v>2.7956989246999998E-2</v>
      </c>
      <c r="C17">
        <v>0.5625</v>
      </c>
      <c r="D17">
        <v>0</v>
      </c>
      <c r="E17">
        <v>2.7956989246999998E-2</v>
      </c>
      <c r="F17">
        <v>0</v>
      </c>
      <c r="G17">
        <v>930</v>
      </c>
      <c r="H17">
        <v>2.4236846142000001E-2</v>
      </c>
      <c r="I17">
        <v>0.39735099337699997</v>
      </c>
      <c r="J17">
        <v>6.6666666666000005E-2</v>
      </c>
      <c r="K17">
        <v>2.4236846142000001E-2</v>
      </c>
      <c r="L17">
        <v>0.43653321061512501</v>
      </c>
      <c r="M17">
        <v>6519</v>
      </c>
      <c r="N17" t="s">
        <v>83</v>
      </c>
      <c r="O17">
        <v>4.5766590380000001E-3</v>
      </c>
      <c r="P17">
        <v>0</v>
      </c>
      <c r="Q17">
        <v>0</v>
      </c>
      <c r="R17">
        <v>4.5766590380000001E-3</v>
      </c>
      <c r="S17">
        <v>0</v>
      </c>
      <c r="T17">
        <v>4.5037531275999999E-2</v>
      </c>
      <c r="U17">
        <v>0.66666666666600005</v>
      </c>
      <c r="V17">
        <v>0.181818181818</v>
      </c>
      <c r="W17">
        <v>4.5037531275999999E-2</v>
      </c>
      <c r="X17">
        <v>1.7515310586176731</v>
      </c>
      <c r="Y17" t="s">
        <v>83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3.6094400739999997E-2</v>
      </c>
      <c r="AF17">
        <v>0.52</v>
      </c>
      <c r="AG17">
        <v>1</v>
      </c>
      <c r="AH17">
        <v>3.6094400739999997E-2</v>
      </c>
      <c r="AI17">
        <v>1.86020618556701</v>
      </c>
      <c r="AK17" t="str">
        <f>IF(ISERROR(表格_closed_data[[#This Row],[Deptshort_first]]),"",表格_closed_data[[#This Row],[Deptshort_first]])</f>
        <v>TBD_業務部_BD59</v>
      </c>
      <c r="AL17">
        <f>(表格_closed_data[[#This Row],[預約率]]-表格_closed_data[[#This Row],[預約率_min]])/(表格_closed_data[[#This Row],[預約率_max]]-表格_closed_data[[#This Row],[預約率_min]])</f>
        <v>0.57785037533228678</v>
      </c>
      <c r="AM17">
        <f>(表格_closed_data[[#This Row],[出席率]]-表格_closed_data[[#This Row],[出席率_min]])/(表格_closed_data[[#This Row],[出席率_max]]-表格_closed_data[[#This Row],[出席率_min]])</f>
        <v>0.84375000000084366</v>
      </c>
      <c r="AN17">
        <f>(表格_closed_data[[#This Row],[成交率]]-表格_closed_data[[#This Row],[成交率_min]])/(表格_closed_data[[#This Row],[成交率_max]]-表格_closed_data[[#This Row],[成交率_min]])</f>
        <v>0</v>
      </c>
      <c r="AO17">
        <f>(表格_closed_data[[#This Row],[綁定率]]-表格_closed_data[[#This Row],[綁定率_min]])/(表格_closed_data[[#This Row],[綁定率_max]]-表格_closed_data[[#This Row],[綁定率_min]])</f>
        <v>0.57785037533228678</v>
      </c>
      <c r="AP17">
        <f>(表格_closed_data[[#This Row],[達成率]]-表格_closed_data[[#This Row],[達成率_min]])/(表格_closed_data[[#This Row],[達成率_max]]-表格_closed_data[[#This Row],[達成率_min]])</f>
        <v>0</v>
      </c>
      <c r="AQ17" t="str">
        <f>IF(ISERROR(表格_closed_data[[#This Row],[Deptshort_first]]),"",表格_closed_data[[#This Row],[Deptshort_first]])</f>
        <v>TBD_業務部_BD59</v>
      </c>
      <c r="AR17">
        <f>(表格_closed_data[[#This Row],[預約率_last]]-表格_closed_data[[#This Row],[預約率_last_min]])/(表格_closed_data[[#This Row],[預約率_last_max]]-表格_closed_data[[#This Row],[預約率_last_min]])</f>
        <v>0.67148492965948059</v>
      </c>
      <c r="AS17">
        <f>(表格_closed_data[[#This Row],[出席率_last]]-表格_closed_data[[#This Row],[出席率_last_min]])/(表格_closed_data[[#This Row],[出席率_last_max]]-表格_closed_data[[#This Row],[出席率_last_min]])</f>
        <v>0.7641365257249999</v>
      </c>
      <c r="AT17">
        <f>(表格_closed_data[[#This Row],[成交率_last]]-表格_closed_data[[#This Row],[成交率_last_min]])/(表格_closed_data[[#This Row],[成交率_last_max]]-表格_closed_data[[#This Row],[成交率_last_min]])</f>
        <v>6.6666666666000005E-2</v>
      </c>
      <c r="AU17">
        <f>(表格_closed_data[[#This Row],[綁定率_last]]-表格_closed_data[[#This Row],[綁定率_last_min]])/(表格_closed_data[[#This Row],[綁定率_last_max]]-表格_closed_data[[#This Row],[綁定率_last_min]])</f>
        <v>0.67148492965948059</v>
      </c>
      <c r="AV17">
        <f>(表格_closed_data[[#This Row],[達成率_last]]-表格_closed_data[[#This Row],[達成率_last_min]])/(表格_closed_data[[#This Row],[達成率_last_max]]-表格_closed_data[[#This Row],[達成率_last_min]])</f>
        <v>0.23466926086049175</v>
      </c>
    </row>
    <row r="18" spans="1:48" x14ac:dyDescent="0.25">
      <c r="A18" t="s">
        <v>41</v>
      </c>
      <c r="B18">
        <v>2.4911032028000001E-2</v>
      </c>
      <c r="C18">
        <v>0.444444444444</v>
      </c>
      <c r="D18">
        <v>0</v>
      </c>
      <c r="E18">
        <v>2.4911032028000001E-2</v>
      </c>
      <c r="F18">
        <v>0</v>
      </c>
      <c r="G18">
        <v>562</v>
      </c>
      <c r="H18">
        <v>3.6094400739999997E-2</v>
      </c>
      <c r="I18">
        <v>0.28378378378300001</v>
      </c>
      <c r="J18">
        <v>9.5238095238000003E-2</v>
      </c>
      <c r="K18">
        <v>3.6094400739999997E-2</v>
      </c>
      <c r="L18">
        <v>0.69586302637667752</v>
      </c>
      <c r="M18">
        <v>2161</v>
      </c>
      <c r="N18" t="s">
        <v>83</v>
      </c>
      <c r="O18">
        <v>4.5766590380000001E-3</v>
      </c>
      <c r="P18">
        <v>0</v>
      </c>
      <c r="Q18">
        <v>0</v>
      </c>
      <c r="R18">
        <v>4.5766590380000001E-3</v>
      </c>
      <c r="S18">
        <v>0</v>
      </c>
      <c r="T18">
        <v>4.5037531275999999E-2</v>
      </c>
      <c r="U18">
        <v>0.66666666666600005</v>
      </c>
      <c r="V18">
        <v>0.181818181818</v>
      </c>
      <c r="W18">
        <v>4.5037531275999999E-2</v>
      </c>
      <c r="X18">
        <v>1.7515310586176731</v>
      </c>
      <c r="Y18" t="s">
        <v>83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3.6094400739999997E-2</v>
      </c>
      <c r="AF18">
        <v>0.52</v>
      </c>
      <c r="AG18">
        <v>1</v>
      </c>
      <c r="AH18">
        <v>3.6094400739999997E-2</v>
      </c>
      <c r="AI18">
        <v>1.86020618556701</v>
      </c>
      <c r="AK18" t="str">
        <f>IF(ISERROR(表格_closed_data[[#This Row],[Deptshort_first]]),"",表格_closed_data[[#This Row],[Deptshort_first]])</f>
        <v>TBD_業務部_BD6</v>
      </c>
      <c r="AL18">
        <f>(表格_closed_data[[#This Row],[預約率]]-表格_closed_data[[#This Row],[預約率_min]])/(表格_closed_data[[#This Row],[預約率_max]]-表格_closed_data[[#This Row],[預約率_min]])</f>
        <v>0.50256882428012484</v>
      </c>
      <c r="AM18">
        <f>(表格_closed_data[[#This Row],[出席率]]-表格_closed_data[[#This Row],[出席率_min]])/(表格_closed_data[[#This Row],[出席率_max]]-表格_closed_data[[#This Row],[出席率_min]])</f>
        <v>0.66666666666666663</v>
      </c>
      <c r="AN18">
        <f>(表格_closed_data[[#This Row],[成交率]]-表格_closed_data[[#This Row],[成交率_min]])/(表格_closed_data[[#This Row],[成交率_max]]-表格_closed_data[[#This Row],[成交率_min]])</f>
        <v>0</v>
      </c>
      <c r="AO18">
        <f>(表格_closed_data[[#This Row],[綁定率]]-表格_closed_data[[#This Row],[綁定率_min]])/(表格_closed_data[[#This Row],[綁定率_max]]-表格_closed_data[[#This Row],[綁定率_min]])</f>
        <v>0.50256882428012484</v>
      </c>
      <c r="AP18">
        <f>(表格_closed_data[[#This Row],[達成率]]-表格_closed_data[[#This Row],[達成率_min]])/(表格_closed_data[[#This Row],[達成率_max]]-表格_closed_data[[#This Row],[達成率_min]])</f>
        <v>0</v>
      </c>
      <c r="AQ18" t="str">
        <f>IF(ISERROR(表格_closed_data[[#This Row],[Deptshort_first]]),"",表格_closed_data[[#This Row],[Deptshort_first]])</f>
        <v>TBD_業務部_BD6</v>
      </c>
      <c r="AR18">
        <f>(表格_closed_data[[#This Row],[預約率_last]]-表格_closed_data[[#This Row],[預約率_last_min]])/(表格_closed_data[[#This Row],[預約率_last_max]]-表格_closed_data[[#This Row],[預約率_last_min]])</f>
        <v>1</v>
      </c>
      <c r="AS18">
        <f>(表格_closed_data[[#This Row],[出席率_last]]-表格_closed_data[[#This Row],[出席率_last_min]])/(表格_closed_data[[#This Row],[出席率_last_max]]-表格_closed_data[[#This Row],[出席率_last_min]])</f>
        <v>0.5457380457365385</v>
      </c>
      <c r="AT18">
        <f>(表格_closed_data[[#This Row],[成交率_last]]-表格_closed_data[[#This Row],[成交率_last_min]])/(表格_closed_data[[#This Row],[成交率_last_max]]-表格_closed_data[[#This Row],[成交率_last_min]])</f>
        <v>9.5238095238000003E-2</v>
      </c>
      <c r="AU18">
        <f>(表格_closed_data[[#This Row],[綁定率_last]]-表格_closed_data[[#This Row],[綁定率_last_min]])/(表格_closed_data[[#This Row],[綁定率_last_max]]-表格_closed_data[[#This Row],[綁定率_last_min]])</f>
        <v>1</v>
      </c>
      <c r="AV18">
        <f>(表格_closed_data[[#This Row],[達成率_last]]-表格_closed_data[[#This Row],[達成率_last_min]])/(表格_closed_data[[#This Row],[達成率_last_max]]-表格_closed_data[[#This Row],[達成率_last_min]])</f>
        <v>0.37407843914064359</v>
      </c>
    </row>
    <row r="19" spans="1:48" x14ac:dyDescent="0.25">
      <c r="A19" t="s">
        <v>42</v>
      </c>
      <c r="B19">
        <v>1.3114754098E-2</v>
      </c>
      <c r="C19">
        <v>0.33333333333300003</v>
      </c>
      <c r="D19">
        <v>0</v>
      </c>
      <c r="E19">
        <v>1.3114754098E-2</v>
      </c>
      <c r="F19">
        <v>0</v>
      </c>
      <c r="G19">
        <v>610</v>
      </c>
      <c r="H19">
        <v>0</v>
      </c>
      <c r="I19">
        <v>0</v>
      </c>
      <c r="J19">
        <v>0</v>
      </c>
      <c r="K19">
        <v>0</v>
      </c>
      <c r="L19">
        <v>0</v>
      </c>
      <c r="M19">
        <v>27</v>
      </c>
      <c r="N19" t="s">
        <v>83</v>
      </c>
      <c r="O19">
        <v>4.5766590380000001E-3</v>
      </c>
      <c r="P19">
        <v>0</v>
      </c>
      <c r="Q19">
        <v>0</v>
      </c>
      <c r="R19">
        <v>4.5766590380000001E-3</v>
      </c>
      <c r="S19">
        <v>0</v>
      </c>
      <c r="T19">
        <v>4.5037531275999999E-2</v>
      </c>
      <c r="U19">
        <v>0.66666666666600005</v>
      </c>
      <c r="V19">
        <v>0.181818181818</v>
      </c>
      <c r="W19">
        <v>4.5037531275999999E-2</v>
      </c>
      <c r="X19">
        <v>1.7515310586176731</v>
      </c>
      <c r="Y19" t="s">
        <v>83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3.6094400739999997E-2</v>
      </c>
      <c r="AF19">
        <v>0.52</v>
      </c>
      <c r="AG19">
        <v>1</v>
      </c>
      <c r="AH19">
        <v>3.6094400739999997E-2</v>
      </c>
      <c r="AI19">
        <v>1.86020618556701</v>
      </c>
      <c r="AK19" t="str">
        <f>IF(ISERROR(表格_closed_data[[#This Row],[Deptshort_first]]),"",表格_closed_data[[#This Row],[Deptshort_first]])</f>
        <v>TBD_業務部_BD65</v>
      </c>
      <c r="AL19">
        <f>(表格_closed_data[[#This Row],[預約率]]-表格_closed_data[[#This Row],[預約率_min]])/(表格_closed_data[[#This Row],[預約率_max]]-表格_closed_data[[#This Row],[預約率_min]])</f>
        <v>0.21102103310519346</v>
      </c>
      <c r="AM19">
        <f>(表格_closed_data[[#This Row],[出席率]]-表格_closed_data[[#This Row],[出席率_min]])/(表格_closed_data[[#This Row],[出席率_max]]-表格_closed_data[[#This Row],[出席率_min]])</f>
        <v>0.5</v>
      </c>
      <c r="AN19">
        <f>(表格_closed_data[[#This Row],[成交率]]-表格_closed_data[[#This Row],[成交率_min]])/(表格_closed_data[[#This Row],[成交率_max]]-表格_closed_data[[#This Row],[成交率_min]])</f>
        <v>0</v>
      </c>
      <c r="AO19">
        <f>(表格_closed_data[[#This Row],[綁定率]]-表格_closed_data[[#This Row],[綁定率_min]])/(表格_closed_data[[#This Row],[綁定率_max]]-表格_closed_data[[#This Row],[綁定率_min]])</f>
        <v>0.21102103310519346</v>
      </c>
      <c r="AP19">
        <f>(表格_closed_data[[#This Row],[達成率]]-表格_closed_data[[#This Row],[達成率_min]])/(表格_closed_data[[#This Row],[達成率_max]]-表格_closed_data[[#This Row],[達成率_min]])</f>
        <v>0</v>
      </c>
      <c r="AQ19" t="str">
        <f>IF(ISERROR(表格_closed_data[[#This Row],[Deptshort_first]]),"",表格_closed_data[[#This Row],[Deptshort_first]])</f>
        <v>TBD_業務部_BD65</v>
      </c>
      <c r="AR19">
        <f>(表格_closed_data[[#This Row],[預約率_last]]-表格_closed_data[[#This Row],[預約率_last_min]])/(表格_closed_data[[#This Row],[預約率_last_max]]-表格_closed_data[[#This Row],[預約率_last_min]])</f>
        <v>0</v>
      </c>
      <c r="AS19">
        <f>(表格_closed_data[[#This Row],[出席率_last]]-表格_closed_data[[#This Row],[出席率_last_min]])/(表格_closed_data[[#This Row],[出席率_last_max]]-表格_closed_data[[#This Row],[出席率_last_min]])</f>
        <v>0</v>
      </c>
      <c r="AT19">
        <f>(表格_closed_data[[#This Row],[成交率_last]]-表格_closed_data[[#This Row],[成交率_last_min]])/(表格_closed_data[[#This Row],[成交率_last_max]]-表格_closed_data[[#This Row],[成交率_last_min]])</f>
        <v>0</v>
      </c>
      <c r="AU19">
        <f>(表格_closed_data[[#This Row],[綁定率_last]]-表格_closed_data[[#This Row],[綁定率_last_min]])/(表格_closed_data[[#This Row],[綁定率_last_max]]-表格_closed_data[[#This Row],[綁定率_last_min]])</f>
        <v>0</v>
      </c>
      <c r="AV19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0" spans="1:48" x14ac:dyDescent="0.25">
      <c r="A20" t="s">
        <v>43</v>
      </c>
      <c r="B20">
        <v>1.5625E-2</v>
      </c>
      <c r="C20">
        <v>0.166666666666</v>
      </c>
      <c r="D20">
        <v>0</v>
      </c>
      <c r="E20">
        <v>1.5625E-2</v>
      </c>
      <c r="F20">
        <v>0</v>
      </c>
      <c r="G20">
        <v>448</v>
      </c>
      <c r="H20">
        <v>1.4476614699000001E-2</v>
      </c>
      <c r="I20">
        <v>0.25</v>
      </c>
      <c r="J20">
        <v>0</v>
      </c>
      <c r="K20">
        <v>1.4476614699000001E-2</v>
      </c>
      <c r="L20">
        <v>0</v>
      </c>
      <c r="M20">
        <v>898</v>
      </c>
      <c r="N20" t="s">
        <v>83</v>
      </c>
      <c r="O20">
        <v>4.5766590380000001E-3</v>
      </c>
      <c r="P20">
        <v>0</v>
      </c>
      <c r="Q20">
        <v>0</v>
      </c>
      <c r="R20">
        <v>4.5766590380000001E-3</v>
      </c>
      <c r="S20">
        <v>0</v>
      </c>
      <c r="T20">
        <v>4.5037531275999999E-2</v>
      </c>
      <c r="U20">
        <v>0.66666666666600005</v>
      </c>
      <c r="V20">
        <v>0.181818181818</v>
      </c>
      <c r="W20">
        <v>4.5037531275999999E-2</v>
      </c>
      <c r="X20">
        <v>1.7515310586176731</v>
      </c>
      <c r="Y20" t="s">
        <v>83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3.6094400739999997E-2</v>
      </c>
      <c r="AF20">
        <v>0.52</v>
      </c>
      <c r="AG20">
        <v>1</v>
      </c>
      <c r="AH20">
        <v>3.6094400739999997E-2</v>
      </c>
      <c r="AI20">
        <v>1.86020618556701</v>
      </c>
      <c r="AK20" t="str">
        <f>IF(ISERROR(表格_closed_data[[#This Row],[Deptshort_first]]),"",表格_closed_data[[#This Row],[Deptshort_first]])</f>
        <v>TBD_業務部_BD7</v>
      </c>
      <c r="AL20">
        <f>(表格_closed_data[[#This Row],[預約率]]-表格_closed_data[[#This Row],[預約率_min]])/(表格_closed_data[[#This Row],[預約率_max]]-表格_closed_data[[#This Row],[預約率_min]])</f>
        <v>0.27306235261096601</v>
      </c>
      <c r="AM20">
        <f>(表格_closed_data[[#This Row],[出席率]]-表格_closed_data[[#This Row],[出席率_min]])/(表格_closed_data[[#This Row],[出席率_max]]-表格_closed_data[[#This Row],[出席率_min]])</f>
        <v>0.24999999999924999</v>
      </c>
      <c r="AN20">
        <f>(表格_closed_data[[#This Row],[成交率]]-表格_closed_data[[#This Row],[成交率_min]])/(表格_closed_data[[#This Row],[成交率_max]]-表格_closed_data[[#This Row],[成交率_min]])</f>
        <v>0</v>
      </c>
      <c r="AO20">
        <f>(表格_closed_data[[#This Row],[綁定率]]-表格_closed_data[[#This Row],[綁定率_min]])/(表格_closed_data[[#This Row],[綁定率_max]]-表格_closed_data[[#This Row],[綁定率_min]])</f>
        <v>0.27306235261096601</v>
      </c>
      <c r="AP20">
        <f>(表格_closed_data[[#This Row],[達成率]]-表格_closed_data[[#This Row],[達成率_min]])/(表格_closed_data[[#This Row],[達成率_max]]-表格_closed_data[[#This Row],[達成率_min]])</f>
        <v>0</v>
      </c>
      <c r="AQ20" t="str">
        <f>IF(ISERROR(表格_closed_data[[#This Row],[Deptshort_first]]),"",表格_closed_data[[#This Row],[Deptshort_first]])</f>
        <v>TBD_業務部_BD7</v>
      </c>
      <c r="AR20">
        <f>(表格_closed_data[[#This Row],[預約率_last]]-表格_closed_data[[#This Row],[預約率_last_min]])/(表格_closed_data[[#This Row],[預約率_last_max]]-表格_closed_data[[#This Row],[預約率_last_min]])</f>
        <v>0.40107646621646065</v>
      </c>
      <c r="AS20">
        <f>(表格_closed_data[[#This Row],[出席率_last]]-表格_closed_data[[#This Row],[出席率_last_min]])/(表格_closed_data[[#This Row],[出席率_last_max]]-表格_closed_data[[#This Row],[出席率_last_min]])</f>
        <v>0.48076923076923073</v>
      </c>
      <c r="AT20">
        <f>(表格_closed_data[[#This Row],[成交率_last]]-表格_closed_data[[#This Row],[成交率_last_min]])/(表格_closed_data[[#This Row],[成交率_last_max]]-表格_closed_data[[#This Row],[成交率_last_min]])</f>
        <v>0</v>
      </c>
      <c r="AU20">
        <f>(表格_closed_data[[#This Row],[綁定率_last]]-表格_closed_data[[#This Row],[綁定率_last_min]])/(表格_closed_data[[#This Row],[綁定率_last_max]]-表格_closed_data[[#This Row],[綁定率_last_min]])</f>
        <v>0.40107646621646065</v>
      </c>
      <c r="AV2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1" spans="1:48" x14ac:dyDescent="0.25">
      <c r="A21" t="s">
        <v>44</v>
      </c>
      <c r="B21">
        <v>1.8604651162E-2</v>
      </c>
      <c r="C21">
        <v>0</v>
      </c>
      <c r="D21">
        <v>0</v>
      </c>
      <c r="E21">
        <v>1.8604651162E-2</v>
      </c>
      <c r="F21">
        <v>0</v>
      </c>
      <c r="G21">
        <v>215</v>
      </c>
      <c r="H21">
        <v>9.8870056490000004E-3</v>
      </c>
      <c r="I21">
        <v>0.428571428571</v>
      </c>
      <c r="J21">
        <v>0</v>
      </c>
      <c r="K21">
        <v>9.8870056490000004E-3</v>
      </c>
      <c r="L21">
        <v>0</v>
      </c>
      <c r="M21">
        <v>708</v>
      </c>
      <c r="N21" t="s">
        <v>83</v>
      </c>
      <c r="O21">
        <v>4.5766590380000001E-3</v>
      </c>
      <c r="P21">
        <v>0</v>
      </c>
      <c r="Q21">
        <v>0</v>
      </c>
      <c r="R21">
        <v>4.5766590380000001E-3</v>
      </c>
      <c r="S21">
        <v>0</v>
      </c>
      <c r="T21">
        <v>4.5037531275999999E-2</v>
      </c>
      <c r="U21">
        <v>0.66666666666600005</v>
      </c>
      <c r="V21">
        <v>0.181818181818</v>
      </c>
      <c r="W21">
        <v>4.5037531275999999E-2</v>
      </c>
      <c r="X21">
        <v>1.7515310586176731</v>
      </c>
      <c r="Y21" t="s">
        <v>83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3.6094400739999997E-2</v>
      </c>
      <c r="AF21">
        <v>0.52</v>
      </c>
      <c r="AG21">
        <v>1</v>
      </c>
      <c r="AH21">
        <v>3.6094400739999997E-2</v>
      </c>
      <c r="AI21">
        <v>1.86020618556701</v>
      </c>
      <c r="AK21" t="str">
        <f>IF(ISERROR(表格_closed_data[[#This Row],[Deptshort_first]]),"",表格_closed_data[[#This Row],[Deptshort_first]])</f>
        <v>TBD_業務部_BD9</v>
      </c>
      <c r="AL21">
        <f>(表格_closed_data[[#This Row],[預約率]]-表格_closed_data[[#This Row],[預約率_min]])/(表格_closed_data[[#This Row],[預約率_max]]-表格_closed_data[[#This Row],[預約率_min]])</f>
        <v>0.34670513382618595</v>
      </c>
      <c r="AM21">
        <f>(表格_closed_data[[#This Row],[出席率]]-表格_closed_data[[#This Row],[出席率_min]])/(表格_closed_data[[#This Row],[出席率_max]]-表格_closed_data[[#This Row],[出席率_min]])</f>
        <v>0</v>
      </c>
      <c r="AN21">
        <f>(表格_closed_data[[#This Row],[成交率]]-表格_closed_data[[#This Row],[成交率_min]])/(表格_closed_data[[#This Row],[成交率_max]]-表格_closed_data[[#This Row],[成交率_min]])</f>
        <v>0</v>
      </c>
      <c r="AO21">
        <f>(表格_closed_data[[#This Row],[綁定率]]-表格_closed_data[[#This Row],[綁定率_min]])/(表格_closed_data[[#This Row],[綁定率_max]]-表格_closed_data[[#This Row],[綁定率_min]])</f>
        <v>0.34670513382618595</v>
      </c>
      <c r="AP21">
        <f>(表格_closed_data[[#This Row],[達成率]]-表格_closed_data[[#This Row],[達成率_min]])/(表格_closed_data[[#This Row],[達成率_max]]-表格_closed_data[[#This Row],[達成率_min]])</f>
        <v>0</v>
      </c>
      <c r="AQ21" t="str">
        <f>IF(ISERROR(表格_closed_data[[#This Row],[Deptshort_first]]),"",表格_closed_data[[#This Row],[Deptshort_first]])</f>
        <v>TBD_業務部_BD9</v>
      </c>
      <c r="AR21">
        <f>(表格_closed_data[[#This Row],[預約率_last]]-表格_closed_data[[#This Row],[預約率_last_min]])/(表格_closed_data[[#This Row],[預約率_last_max]]-表格_closed_data[[#This Row],[預約率_last_min]])</f>
        <v>0.27392075907339197</v>
      </c>
      <c r="AS21">
        <f>(表格_closed_data[[#This Row],[出席率_last]]-表格_closed_data[[#This Row],[出席率_last_min]])/(表格_closed_data[[#This Row],[出席率_last_max]]-表格_closed_data[[#This Row],[出席率_last_min]])</f>
        <v>0.82417582417500002</v>
      </c>
      <c r="AT21">
        <f>(表格_closed_data[[#This Row],[成交率_last]]-表格_closed_data[[#This Row],[成交率_last_min]])/(表格_closed_data[[#This Row],[成交率_last_max]]-表格_closed_data[[#This Row],[成交率_last_min]])</f>
        <v>0</v>
      </c>
      <c r="AU21">
        <f>(表格_closed_data[[#This Row],[綁定率_last]]-表格_closed_data[[#This Row],[綁定率_last_min]])/(表格_closed_data[[#This Row],[綁定率_last_max]]-表格_closed_data[[#This Row],[綁定率_last_min]])</f>
        <v>0.27392075907339197</v>
      </c>
      <c r="AV21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2" spans="1:48" x14ac:dyDescent="0.25">
      <c r="AK22" t="str">
        <f>IF(ISERROR(表格_closed_data[[#This Row],[Deptshort_first]]),"",表格_closed_data[[#This Row],[Deptshort_first]])</f>
        <v/>
      </c>
      <c r="AL22" t="e">
        <f>(表格_closed_data[[#This Row],[預約率]]-表格_closed_data[[#This Row],[預約率_min]])/(表格_closed_data[[#This Row],[預約率_max]]-表格_closed_data[[#This Row],[預約率_min]])</f>
        <v>#VALUE!</v>
      </c>
      <c r="AM22" t="e">
        <f>(表格_closed_data[[#This Row],[出席率]]-表格_closed_data[[#This Row],[出席率_min]])/(表格_closed_data[[#This Row],[出席率_max]]-表格_closed_data[[#This Row],[出席率_min]])</f>
        <v>#VALUE!</v>
      </c>
      <c r="AN22" t="e">
        <f>(表格_closed_data[[#This Row],[成交率]]-表格_closed_data[[#This Row],[成交率_min]])/(表格_closed_data[[#This Row],[成交率_max]]-表格_closed_data[[#This Row],[成交率_min]])</f>
        <v>#VALUE!</v>
      </c>
      <c r="AO22" t="e">
        <f>(表格_closed_data[[#This Row],[綁定率]]-表格_closed_data[[#This Row],[綁定率_min]])/(表格_closed_data[[#This Row],[綁定率_max]]-表格_closed_data[[#This Row],[綁定率_min]])</f>
        <v>#VALUE!</v>
      </c>
      <c r="AP22" t="e">
        <f>(表格_closed_data[[#This Row],[達成率]]-表格_closed_data[[#This Row],[達成率_min]])/(表格_closed_data[[#This Row],[達成率_max]]-表格_closed_data[[#This Row],[達成率_min]])</f>
        <v>#VALUE!</v>
      </c>
      <c r="AQ22" t="str">
        <f>IF(ISERROR(表格_closed_data[[#This Row],[Deptshort_first]]),"",表格_closed_data[[#This Row],[Deptshort_first]])</f>
        <v/>
      </c>
      <c r="AR22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2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2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2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2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3" spans="1:48" x14ac:dyDescent="0.25">
      <c r="AK23" t="str">
        <f>IF(ISERROR(表格_closed_data[[#This Row],[Deptshort_first]]),"",表格_closed_data[[#This Row],[Deptshort_first]])</f>
        <v/>
      </c>
      <c r="AL23" t="e">
        <f>(表格_closed_data[[#This Row],[預約率]]-表格_closed_data[[#This Row],[預約率_min]])/(表格_closed_data[[#This Row],[預約率_max]]-表格_closed_data[[#This Row],[預約率_min]])</f>
        <v>#VALUE!</v>
      </c>
      <c r="AM23" t="e">
        <f>(表格_closed_data[[#This Row],[出席率]]-表格_closed_data[[#This Row],[出席率_min]])/(表格_closed_data[[#This Row],[出席率_max]]-表格_closed_data[[#This Row],[出席率_min]])</f>
        <v>#VALUE!</v>
      </c>
      <c r="AN23" t="e">
        <f>(表格_closed_data[[#This Row],[成交率]]-表格_closed_data[[#This Row],[成交率_min]])/(表格_closed_data[[#This Row],[成交率_max]]-表格_closed_data[[#This Row],[成交率_min]])</f>
        <v>#VALUE!</v>
      </c>
      <c r="AO23" t="e">
        <f>(表格_closed_data[[#This Row],[綁定率]]-表格_closed_data[[#This Row],[綁定率_min]])/(表格_closed_data[[#This Row],[綁定率_max]]-表格_closed_data[[#This Row],[綁定率_min]])</f>
        <v>#VALUE!</v>
      </c>
      <c r="AP23" t="e">
        <f>(表格_closed_data[[#This Row],[達成率]]-表格_closed_data[[#This Row],[達成率_min]])/(表格_closed_data[[#This Row],[達成率_max]]-表格_closed_data[[#This Row],[達成率_min]])</f>
        <v>#VALUE!</v>
      </c>
      <c r="AQ23" t="str">
        <f>IF(ISERROR(表格_closed_data[[#This Row],[Deptshort_first]]),"",表格_closed_data[[#This Row],[Deptshort_first]])</f>
        <v/>
      </c>
      <c r="AR23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3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3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3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3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4" spans="1:48" x14ac:dyDescent="0.25">
      <c r="AK24" t="str">
        <f>IF(ISERROR(表格_closed_data[[#This Row],[Deptshort_first]]),"",表格_closed_data[[#This Row],[Deptshort_first]])</f>
        <v/>
      </c>
      <c r="AL24" t="e">
        <f>(表格_closed_data[[#This Row],[預約率]]-表格_closed_data[[#This Row],[預約率_min]])/(表格_closed_data[[#This Row],[預約率_max]]-表格_closed_data[[#This Row],[預約率_min]])</f>
        <v>#VALUE!</v>
      </c>
      <c r="AM24" t="e">
        <f>(表格_closed_data[[#This Row],[出席率]]-表格_closed_data[[#This Row],[出席率_min]])/(表格_closed_data[[#This Row],[出席率_max]]-表格_closed_data[[#This Row],[出席率_min]])</f>
        <v>#VALUE!</v>
      </c>
      <c r="AN24" t="e">
        <f>(表格_closed_data[[#This Row],[成交率]]-表格_closed_data[[#This Row],[成交率_min]])/(表格_closed_data[[#This Row],[成交率_max]]-表格_closed_data[[#This Row],[成交率_min]])</f>
        <v>#VALUE!</v>
      </c>
      <c r="AO24" t="e">
        <f>(表格_closed_data[[#This Row],[綁定率]]-表格_closed_data[[#This Row],[綁定率_min]])/(表格_closed_data[[#This Row],[綁定率_max]]-表格_closed_data[[#This Row],[綁定率_min]])</f>
        <v>#VALUE!</v>
      </c>
      <c r="AP24" t="e">
        <f>(表格_closed_data[[#This Row],[達成率]]-表格_closed_data[[#This Row],[達成率_min]])/(表格_closed_data[[#This Row],[達成率_max]]-表格_closed_data[[#This Row],[達成率_min]])</f>
        <v>#VALUE!</v>
      </c>
      <c r="AQ24" t="str">
        <f>IF(ISERROR(表格_closed_data[[#This Row],[Deptshort_first]]),"",表格_closed_data[[#This Row],[Deptshort_first]])</f>
        <v/>
      </c>
      <c r="AR24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4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4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4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4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5" spans="1:48" x14ac:dyDescent="0.25">
      <c r="AK25" t="str">
        <f>IF(ISERROR(表格_closed_data[[#This Row],[Deptshort_first]]),"",表格_closed_data[[#This Row],[Deptshort_first]])</f>
        <v/>
      </c>
      <c r="AL25" t="e">
        <f>(表格_closed_data[[#This Row],[預約率]]-表格_closed_data[[#This Row],[預約率_min]])/(表格_closed_data[[#This Row],[預約率_max]]-表格_closed_data[[#This Row],[預約率_min]])</f>
        <v>#VALUE!</v>
      </c>
      <c r="AM25" t="e">
        <f>(表格_closed_data[[#This Row],[出席率]]-表格_closed_data[[#This Row],[出席率_min]])/(表格_closed_data[[#This Row],[出席率_max]]-表格_closed_data[[#This Row],[出席率_min]])</f>
        <v>#VALUE!</v>
      </c>
      <c r="AN25" t="e">
        <f>(表格_closed_data[[#This Row],[成交率]]-表格_closed_data[[#This Row],[成交率_min]])/(表格_closed_data[[#This Row],[成交率_max]]-表格_closed_data[[#This Row],[成交率_min]])</f>
        <v>#VALUE!</v>
      </c>
      <c r="AO25" t="e">
        <f>(表格_closed_data[[#This Row],[綁定率]]-表格_closed_data[[#This Row],[綁定率_min]])/(表格_closed_data[[#This Row],[綁定率_max]]-表格_closed_data[[#This Row],[綁定率_min]])</f>
        <v>#VALUE!</v>
      </c>
      <c r="AP25" t="e">
        <f>(表格_closed_data[[#This Row],[達成率]]-表格_closed_data[[#This Row],[達成率_min]])/(表格_closed_data[[#This Row],[達成率_max]]-表格_closed_data[[#This Row],[達成率_min]])</f>
        <v>#VALUE!</v>
      </c>
      <c r="AQ25" t="str">
        <f>IF(ISERROR(表格_closed_data[[#This Row],[Deptshort_first]]),"",表格_closed_data[[#This Row],[Deptshort_first]])</f>
        <v/>
      </c>
      <c r="AR25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5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5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5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5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戰力表</vt:lpstr>
      <vt:lpstr>new_this</vt:lpstr>
      <vt:lpstr>mgm_this</vt:lpstr>
      <vt:lpstr>closed_this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Lin_林鴻儒</dc:creator>
  <cp:lastModifiedBy>Julian Lin_林鴻儒</cp:lastModifiedBy>
  <cp:lastPrinted>2021-05-18T01:45:38Z</cp:lastPrinted>
  <dcterms:created xsi:type="dcterms:W3CDTF">2021-05-17T09:58:58Z</dcterms:created>
  <dcterms:modified xsi:type="dcterms:W3CDTF">2021-06-11T00:01:28Z</dcterms:modified>
</cp:coreProperties>
</file>