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ml.chartshapes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ngc\OneDrive - AGR-AGR\AAFC\Project 7_surface area ratio\1_paper\figure\"/>
    </mc:Choice>
  </mc:AlternateContent>
  <bookViews>
    <workbookView xWindow="0" yWindow="0" windowWidth="19170" windowHeight="2720"/>
  </bookViews>
  <sheets>
    <sheet name="MCF Model_Atlantic+2 C" sheetId="3" r:id="rId1"/>
    <sheet name="MCF Model_Atlantic" sheetId="2" r:id="rId2"/>
  </sheets>
  <definedNames>
    <definedName name="B0" localSheetId="1">'MCF Model_Atlantic'!$I$17</definedName>
    <definedName name="B0" localSheetId="0">'MCF Model_Atlantic+2 C'!$I$17</definedName>
    <definedName name="B0">#REF!</definedName>
    <definedName name="CH4_DENSITY" localSheetId="1">'MCF Model_Atlantic'!$I$21</definedName>
    <definedName name="CH4_DENSITY" localSheetId="0">'MCF Model_Atlantic+2 C'!$I$21</definedName>
    <definedName name="CH4_DENSITY">#REF!</definedName>
    <definedName name="EMPTY_EFFICIENCY" localSheetId="1">'MCF Model_Atlantic'!$I$20</definedName>
    <definedName name="EMPTY_EFFICIENCY" localSheetId="0">'MCF Model_Atlantic+2 C'!$I$20</definedName>
    <definedName name="EMPTY_EFFICIENCY">#REF!</definedName>
    <definedName name="Emptying" localSheetId="1">'MCF Model_Atlantic'!$I$35:$I$70</definedName>
    <definedName name="Emptying" localSheetId="0">'MCF Model_Atlantic+2 C'!$I$35:$I$70</definedName>
    <definedName name="Emptying">#REF!</definedName>
    <definedName name="f" localSheetId="1">'MCF Model_Atlantic'!$F$35:$F$70</definedName>
    <definedName name="f" localSheetId="0">'MCF Model_Atlantic+2 C'!$F$35:$F$70</definedName>
    <definedName name="f">#REF!</definedName>
    <definedName name="f_Ea" localSheetId="1">'MCF Model_Atlantic'!$I$13</definedName>
    <definedName name="f_Ea" localSheetId="0">'MCF Model_Atlantic+2 C'!$I$13</definedName>
    <definedName name="f_Ea">#REF!</definedName>
    <definedName name="f_R" localSheetId="1">'MCF Model_Atlantic'!$I$14</definedName>
    <definedName name="f_R" localSheetId="0">'MCF Model_Atlantic+2 C'!$I$14</definedName>
    <definedName name="f_R">#REF!</definedName>
    <definedName name="f_T1" localSheetId="1">'MCF Model_Atlantic'!$I$11</definedName>
    <definedName name="f_T1" localSheetId="0">'MCF Model_Atlantic+2 C'!$I$11</definedName>
    <definedName name="f_T1">#REF!</definedName>
    <definedName name="f_T2damping" localSheetId="1">'MCF Model_Atlantic'!$I$16</definedName>
    <definedName name="f_T2damping" localSheetId="0">'MCF Model_Atlantic+2 C'!$I$16</definedName>
    <definedName name="f_T2damping">#REF!</definedName>
    <definedName name="f_Tmin" localSheetId="1">'MCF Model_Atlantic'!$I$15</definedName>
    <definedName name="f_Tmin" localSheetId="0">'MCF Model_Atlantic+2 C'!$I$15</definedName>
    <definedName name="f_Tmin">#REF!</definedName>
    <definedName name="ManureRemoved" localSheetId="1">'MCF Model_Atlantic'!$F$9:$F$20</definedName>
    <definedName name="ManureRemoved" localSheetId="0">'MCF Model_Atlantic+2 C'!$F$9:$F$20</definedName>
    <definedName name="ManureRemoved">#REF!</definedName>
    <definedName name="ManureTemperature" localSheetId="1">'MCF Model_Atlantic'!$E$9:$E$20</definedName>
    <definedName name="ManureTemperature" localSheetId="0">'MCF Model_Atlantic+2 C'!$E$9:$E$20</definedName>
    <definedName name="ManureTemperature">#REF!</definedName>
    <definedName name="Month" localSheetId="1">'MCF Model_Atlantic'!$C$35:$C$70</definedName>
    <definedName name="Month" localSheetId="0">'MCF Model_Atlantic+2 C'!$C$35:$C$70</definedName>
    <definedName name="Month">#REF!</definedName>
    <definedName name="months" localSheetId="1">'MCF Model_Atlantic'!$C$9:$C$20</definedName>
    <definedName name="months" localSheetId="0">'MCF Model_Atlantic+2 C'!$C$9:$C$20</definedName>
    <definedName name="months">#REF!</definedName>
    <definedName name="Tav_C" localSheetId="1">'MCF Model_Atlantic'!$D$35:$D$70</definedName>
    <definedName name="Tav_C" localSheetId="0">'MCF Model_Atlantic+2 C'!$D$35:$D$70</definedName>
    <definedName name="Tav_C">#REF!</definedName>
    <definedName name="Tav_K" localSheetId="1">'MCF Model_Atlantic'!$E$35:$E$70</definedName>
    <definedName name="Tav_K" localSheetId="0">'MCF Model_Atlantic+2 C'!$E$35:$E$70</definedName>
    <definedName name="Tav_K">#REF!</definedName>
    <definedName name="VS_PCT_LIQUID" localSheetId="1">'MCF Model_Atlantic'!$I$8</definedName>
    <definedName name="VS_PCT_LIQUID" localSheetId="0">'MCF Model_Atlantic+2 C'!$I$8</definedName>
    <definedName name="VS_PCT_LIQUID">#REF!</definedName>
    <definedName name="VS_PROD_YR" localSheetId="1">'MCF Model_Atlantic'!$I$7</definedName>
    <definedName name="VS_PROD_YR" localSheetId="0">'MCF Model_Atlantic+2 C'!$I$7</definedName>
    <definedName name="VS_PROD_YR">#REF!</definedName>
    <definedName name="VSavailable" localSheetId="1">'MCF Model_Atlantic'!$K$35:$K$70</definedName>
    <definedName name="VSavailable" localSheetId="0">'MCF Model_Atlantic+2 C'!$K$35:$K$70</definedName>
    <definedName name="VSavailable">#REF!</definedName>
    <definedName name="VSconsumed" localSheetId="1">'MCF Model_Atlantic'!$L$35:$L$70</definedName>
    <definedName name="VSconsumed" localSheetId="0">'MCF Model_Atlantic+2 C'!$L$35:$L$70</definedName>
    <definedName name="VSconsumed">#REF!</definedName>
    <definedName name="VSemptied" localSheetId="1">'MCF Model_Atlantic'!$J$35:$J$70</definedName>
    <definedName name="VSemptied" localSheetId="0">'MCF Model_Atlantic+2 C'!$J$35:$J$70</definedName>
    <definedName name="VSemptied">#REF!</definedName>
    <definedName name="VSexcreted" localSheetId="1">'MCF Model_Atlantic'!$G$35:$G$70</definedName>
    <definedName name="VSexcreted" localSheetId="0">'MCF Model_Atlantic+2 C'!$G$35:$G$70</definedName>
    <definedName name="VSexcreted">#REF!</definedName>
    <definedName name="VSload" localSheetId="1">'MCF Model_Atlantic'!$H$35:$H$70</definedName>
    <definedName name="VSload" localSheetId="0">'MCF Model_Atlantic+2 C'!$H$35:$H$70</definedName>
    <definedName name="VSload">#REF!</definedName>
  </definedNames>
  <calcPr calcId="162913"/>
</workbook>
</file>

<file path=xl/calcChain.xml><?xml version="1.0" encoding="utf-8"?>
<calcChain xmlns="http://schemas.openxmlformats.org/spreadsheetml/2006/main">
  <c r="G70" i="3" l="1"/>
  <c r="H70" i="3" s="1"/>
  <c r="G69" i="3"/>
  <c r="G74" i="3" s="1"/>
  <c r="E26" i="3" s="1"/>
  <c r="G68" i="3"/>
  <c r="H68" i="3" s="1"/>
  <c r="G67" i="3"/>
  <c r="H67" i="3" s="1"/>
  <c r="G66" i="3"/>
  <c r="H66" i="3" s="1"/>
  <c r="H65" i="3"/>
  <c r="G65" i="3"/>
  <c r="G64" i="3"/>
  <c r="H64" i="3" s="1"/>
  <c r="G63" i="3"/>
  <c r="H63" i="3" s="1"/>
  <c r="G62" i="3"/>
  <c r="H62" i="3" s="1"/>
  <c r="G61" i="3"/>
  <c r="H61" i="3" s="1"/>
  <c r="G60" i="3"/>
  <c r="H60" i="3" s="1"/>
  <c r="I70" i="3"/>
  <c r="J70" i="3" s="1"/>
  <c r="I69" i="3"/>
  <c r="J69" i="3" s="1"/>
  <c r="I59" i="3" a="1"/>
  <c r="H59" i="3"/>
  <c r="G59" i="3"/>
  <c r="G58" i="3"/>
  <c r="H58" i="3" s="1"/>
  <c r="G57" i="3"/>
  <c r="H57" i="3" s="1"/>
  <c r="G56" i="3"/>
  <c r="H56" i="3" s="1"/>
  <c r="H55" i="3"/>
  <c r="G55" i="3"/>
  <c r="G54" i="3"/>
  <c r="H54" i="3" s="1"/>
  <c r="J53" i="3"/>
  <c r="H53" i="3"/>
  <c r="G53" i="3"/>
  <c r="H52" i="3"/>
  <c r="G52" i="3"/>
  <c r="H51" i="3"/>
  <c r="G51" i="3"/>
  <c r="G50" i="3"/>
  <c r="H50" i="3" s="1"/>
  <c r="H49" i="3"/>
  <c r="G49" i="3"/>
  <c r="C49" i="3"/>
  <c r="C50" i="3" s="1"/>
  <c r="C51" i="3" s="1"/>
  <c r="C52" i="3" s="1"/>
  <c r="C53" i="3" s="1"/>
  <c r="H48" i="3"/>
  <c r="G48" i="3"/>
  <c r="G73" i="3" s="1"/>
  <c r="I54" i="3"/>
  <c r="J54" i="3" s="1"/>
  <c r="I53" i="3"/>
  <c r="I48" i="3"/>
  <c r="J48" i="3" s="1"/>
  <c r="I47" i="3" a="1"/>
  <c r="I55" i="3" s="1"/>
  <c r="G47" i="3"/>
  <c r="H47" i="3" s="1"/>
  <c r="C47" i="3"/>
  <c r="C48" i="3" s="1"/>
  <c r="H46" i="3"/>
  <c r="G46" i="3"/>
  <c r="G45" i="3"/>
  <c r="H45" i="3" s="1"/>
  <c r="H44" i="3"/>
  <c r="G44" i="3"/>
  <c r="G43" i="3"/>
  <c r="H43" i="3" s="1"/>
  <c r="G42" i="3"/>
  <c r="H42" i="3" s="1"/>
  <c r="G41" i="3"/>
  <c r="H41" i="3" s="1"/>
  <c r="G40" i="3"/>
  <c r="H40" i="3" s="1"/>
  <c r="G39" i="3"/>
  <c r="H39" i="3" s="1"/>
  <c r="G38" i="3"/>
  <c r="H38" i="3" s="1"/>
  <c r="J37" i="3"/>
  <c r="H37" i="3"/>
  <c r="G37" i="3"/>
  <c r="G36" i="3"/>
  <c r="H36" i="3" s="1"/>
  <c r="I45" i="3"/>
  <c r="J45" i="3" s="1"/>
  <c r="I44" i="3"/>
  <c r="J44" i="3" s="1"/>
  <c r="I43" i="3"/>
  <c r="I39" i="3"/>
  <c r="J39" i="3" s="1"/>
  <c r="I38" i="3"/>
  <c r="I37" i="3"/>
  <c r="I36" i="3"/>
  <c r="J36" i="3" s="1"/>
  <c r="I35" i="3" a="1"/>
  <c r="I35" i="3" s="1"/>
  <c r="G35" i="3"/>
  <c r="F21" i="3"/>
  <c r="E18" i="3" s="1"/>
  <c r="D21" i="3"/>
  <c r="C54" i="3" l="1"/>
  <c r="C55" i="3" s="1"/>
  <c r="E16" i="3"/>
  <c r="I67" i="3"/>
  <c r="I66" i="3"/>
  <c r="J66" i="3" s="1"/>
  <c r="I62" i="3"/>
  <c r="I59" i="3"/>
  <c r="J59" i="3" s="1"/>
  <c r="I61" i="3"/>
  <c r="J61" i="3" s="1"/>
  <c r="I60" i="3"/>
  <c r="J60" i="3" s="1"/>
  <c r="E11" i="3"/>
  <c r="I63" i="3"/>
  <c r="J63" i="3" s="1"/>
  <c r="I64" i="3"/>
  <c r="J64" i="3" s="1"/>
  <c r="I58" i="3"/>
  <c r="J58" i="3" s="1"/>
  <c r="I65" i="3"/>
  <c r="J65" i="3" s="1"/>
  <c r="E14" i="3"/>
  <c r="E9" i="3"/>
  <c r="E20" i="3"/>
  <c r="E19" i="3"/>
  <c r="E15" i="3"/>
  <c r="E17" i="3"/>
  <c r="I68" i="3"/>
  <c r="J68" i="3" s="1"/>
  <c r="E10" i="3"/>
  <c r="H69" i="3"/>
  <c r="H73" i="3"/>
  <c r="E12" i="3"/>
  <c r="G72" i="3"/>
  <c r="I57" i="3"/>
  <c r="J57" i="3" s="1"/>
  <c r="I56" i="3"/>
  <c r="J56" i="3" s="1"/>
  <c r="I52" i="3"/>
  <c r="J52" i="3" s="1"/>
  <c r="I49" i="3"/>
  <c r="J49" i="3" s="1"/>
  <c r="I51" i="3"/>
  <c r="J51" i="3" s="1"/>
  <c r="I50" i="3"/>
  <c r="H74" i="3"/>
  <c r="E27" i="3" s="1"/>
  <c r="E28" i="3" s="1"/>
  <c r="K27" i="3" s="1"/>
  <c r="E13" i="3"/>
  <c r="H35" i="3"/>
  <c r="I47" i="3"/>
  <c r="J47" i="3" s="1"/>
  <c r="I40" i="3"/>
  <c r="J40" i="3" s="1"/>
  <c r="I41" i="3"/>
  <c r="J41" i="3" s="1"/>
  <c r="I42" i="3"/>
  <c r="J42" i="3" s="1"/>
  <c r="I46" i="3"/>
  <c r="J46" i="3" s="1"/>
  <c r="G70" i="2"/>
  <c r="H70" i="2" s="1"/>
  <c r="G69" i="2"/>
  <c r="H69" i="2" s="1"/>
  <c r="G68" i="2"/>
  <c r="H68" i="2" s="1"/>
  <c r="G67" i="2"/>
  <c r="H67" i="2" s="1"/>
  <c r="G66" i="2"/>
  <c r="H66" i="2" s="1"/>
  <c r="G65" i="2"/>
  <c r="H65" i="2" s="1"/>
  <c r="G64" i="2"/>
  <c r="H64" i="2" s="1"/>
  <c r="G63" i="2"/>
  <c r="H63" i="2" s="1"/>
  <c r="G62" i="2"/>
  <c r="H62" i="2" s="1"/>
  <c r="G61" i="2"/>
  <c r="H61" i="2" s="1"/>
  <c r="G60" i="2"/>
  <c r="H60" i="2" s="1"/>
  <c r="I59" i="2" a="1"/>
  <c r="I68" i="2" s="1"/>
  <c r="G59" i="2"/>
  <c r="G58" i="2"/>
  <c r="H58" i="2" s="1"/>
  <c r="H57" i="2"/>
  <c r="G57" i="2"/>
  <c r="G56" i="2"/>
  <c r="H56" i="2" s="1"/>
  <c r="G55" i="2"/>
  <c r="H55" i="2" s="1"/>
  <c r="G54" i="2"/>
  <c r="H54" i="2" s="1"/>
  <c r="G53" i="2"/>
  <c r="H53" i="2" s="1"/>
  <c r="G52" i="2"/>
  <c r="H52" i="2" s="1"/>
  <c r="G51" i="2"/>
  <c r="H51" i="2" s="1"/>
  <c r="G50" i="2"/>
  <c r="H50" i="2" s="1"/>
  <c r="H49" i="2"/>
  <c r="G49" i="2"/>
  <c r="G48" i="2"/>
  <c r="H48" i="2" s="1"/>
  <c r="I47" i="2" a="1"/>
  <c r="I58" i="2" s="1"/>
  <c r="J58" i="2" s="1"/>
  <c r="G47" i="2"/>
  <c r="H47" i="2" s="1"/>
  <c r="C47" i="2"/>
  <c r="C48" i="2" s="1"/>
  <c r="C49" i="2" s="1"/>
  <c r="G46" i="2"/>
  <c r="H46" i="2" s="1"/>
  <c r="G45" i="2"/>
  <c r="H45" i="2" s="1"/>
  <c r="G44" i="2"/>
  <c r="H44" i="2" s="1"/>
  <c r="G43" i="2"/>
  <c r="H43" i="2" s="1"/>
  <c r="G42" i="2"/>
  <c r="H42" i="2" s="1"/>
  <c r="G41" i="2"/>
  <c r="H41" i="2" s="1"/>
  <c r="G40" i="2"/>
  <c r="H40" i="2" s="1"/>
  <c r="G39" i="2"/>
  <c r="H39" i="2" s="1"/>
  <c r="G38" i="2"/>
  <c r="H38" i="2" s="1"/>
  <c r="G37" i="2"/>
  <c r="H37" i="2" s="1"/>
  <c r="G36" i="2"/>
  <c r="H36" i="2" s="1"/>
  <c r="I35" i="2" a="1"/>
  <c r="I35" i="2" s="1"/>
  <c r="G35" i="2"/>
  <c r="F21" i="2"/>
  <c r="E14" i="2" s="1"/>
  <c r="D21" i="2"/>
  <c r="G72" i="2" l="1"/>
  <c r="H72" i="3"/>
  <c r="K35" i="3"/>
  <c r="D35" i="3" a="1"/>
  <c r="E21" i="3"/>
  <c r="D59" i="3" a="1"/>
  <c r="D47" i="3" a="1"/>
  <c r="C56" i="3"/>
  <c r="G74" i="2"/>
  <c r="E26" i="2" s="1"/>
  <c r="H59" i="2"/>
  <c r="C50" i="2"/>
  <c r="C51" i="2" s="1"/>
  <c r="C52" i="2" s="1"/>
  <c r="C53" i="2" s="1"/>
  <c r="H73" i="2"/>
  <c r="H74" i="2"/>
  <c r="E27" i="2" s="1"/>
  <c r="E28" i="2" s="1"/>
  <c r="K27" i="2" s="1"/>
  <c r="I46" i="2"/>
  <c r="J46" i="2" s="1"/>
  <c r="I57" i="2"/>
  <c r="J57" i="2" s="1"/>
  <c r="E15" i="2"/>
  <c r="I36" i="2"/>
  <c r="J36" i="2" s="1"/>
  <c r="E16" i="2"/>
  <c r="I37" i="2"/>
  <c r="J37" i="2" s="1"/>
  <c r="I47" i="2"/>
  <c r="J47" i="2" s="1"/>
  <c r="I69" i="2"/>
  <c r="J69" i="2" s="1"/>
  <c r="I70" i="2"/>
  <c r="J70" i="2" s="1"/>
  <c r="E12" i="2"/>
  <c r="I45" i="2"/>
  <c r="J45" i="2" s="1"/>
  <c r="I59" i="2"/>
  <c r="J59" i="2" s="1"/>
  <c r="G73" i="2"/>
  <c r="I44" i="2"/>
  <c r="H35" i="2"/>
  <c r="E17" i="2"/>
  <c r="I38" i="2"/>
  <c r="I48" i="2"/>
  <c r="J48" i="2" s="1"/>
  <c r="E18" i="2"/>
  <c r="I39" i="2"/>
  <c r="J39" i="2" s="1"/>
  <c r="I49" i="2"/>
  <c r="J49" i="2" s="1"/>
  <c r="E19" i="2"/>
  <c r="I40" i="2"/>
  <c r="J40" i="2" s="1"/>
  <c r="I50" i="2"/>
  <c r="I60" i="2"/>
  <c r="J60" i="2" s="1"/>
  <c r="I41" i="2"/>
  <c r="J41" i="2" s="1"/>
  <c r="I51" i="2"/>
  <c r="J51" i="2" s="1"/>
  <c r="I61" i="2"/>
  <c r="J61" i="2" s="1"/>
  <c r="E20" i="2"/>
  <c r="I42" i="2"/>
  <c r="I52" i="2"/>
  <c r="J52" i="2" s="1"/>
  <c r="I62" i="2"/>
  <c r="E10" i="2"/>
  <c r="I43" i="2"/>
  <c r="I53" i="2"/>
  <c r="J53" i="2" s="1"/>
  <c r="I63" i="2"/>
  <c r="J63" i="2" s="1"/>
  <c r="I54" i="2"/>
  <c r="I64" i="2"/>
  <c r="J64" i="2" s="1"/>
  <c r="E11" i="2"/>
  <c r="I65" i="2"/>
  <c r="J65" i="2" s="1"/>
  <c r="E9" i="2"/>
  <c r="E13" i="2"/>
  <c r="I56" i="2"/>
  <c r="I66" i="2"/>
  <c r="I55" i="2"/>
  <c r="I67" i="2"/>
  <c r="C57" i="3" l="1"/>
  <c r="D50" i="3"/>
  <c r="E50" i="3" s="1"/>
  <c r="F50" i="3" s="1"/>
  <c r="D49" i="3"/>
  <c r="E49" i="3" s="1"/>
  <c r="F49" i="3" s="1"/>
  <c r="D57" i="3"/>
  <c r="E57" i="3" s="1"/>
  <c r="F57" i="3" s="1"/>
  <c r="D56" i="3"/>
  <c r="E56" i="3" s="1"/>
  <c r="F56" i="3" s="1"/>
  <c r="D55" i="3"/>
  <c r="E55" i="3" s="1"/>
  <c r="F55" i="3" s="1"/>
  <c r="D54" i="3"/>
  <c r="E54" i="3" s="1"/>
  <c r="F54" i="3" s="1"/>
  <c r="D53" i="3"/>
  <c r="E53" i="3" s="1"/>
  <c r="F53" i="3" s="1"/>
  <c r="D51" i="3"/>
  <c r="E51" i="3" s="1"/>
  <c r="F51" i="3" s="1"/>
  <c r="D48" i="3"/>
  <c r="E48" i="3" s="1"/>
  <c r="F48" i="3" s="1"/>
  <c r="D47" i="3"/>
  <c r="E47" i="3" s="1"/>
  <c r="F47" i="3" s="1"/>
  <c r="D52" i="3"/>
  <c r="E52" i="3" s="1"/>
  <c r="F52" i="3" s="1"/>
  <c r="D58" i="3"/>
  <c r="E58" i="3" s="1"/>
  <c r="F58" i="3" s="1"/>
  <c r="D60" i="3"/>
  <c r="E60" i="3" s="1"/>
  <c r="F60" i="3" s="1"/>
  <c r="D59" i="3"/>
  <c r="E59" i="3" s="1"/>
  <c r="F59" i="3" s="1"/>
  <c r="D67" i="3"/>
  <c r="E67" i="3" s="1"/>
  <c r="F67" i="3" s="1"/>
  <c r="D66" i="3"/>
  <c r="E66" i="3" s="1"/>
  <c r="F66" i="3" s="1"/>
  <c r="D65" i="3"/>
  <c r="E65" i="3" s="1"/>
  <c r="F65" i="3" s="1"/>
  <c r="D64" i="3"/>
  <c r="E64" i="3" s="1"/>
  <c r="F64" i="3" s="1"/>
  <c r="D70" i="3"/>
  <c r="E70" i="3" s="1"/>
  <c r="F70" i="3" s="1"/>
  <c r="D63" i="3"/>
  <c r="E63" i="3" s="1"/>
  <c r="F63" i="3" s="1"/>
  <c r="D69" i="3"/>
  <c r="E69" i="3" s="1"/>
  <c r="F69" i="3" s="1"/>
  <c r="D68" i="3"/>
  <c r="E68" i="3" s="1"/>
  <c r="F68" i="3" s="1"/>
  <c r="D61" i="3"/>
  <c r="E61" i="3" s="1"/>
  <c r="F61" i="3" s="1"/>
  <c r="D62" i="3"/>
  <c r="E62" i="3" s="1"/>
  <c r="F62" i="3" s="1"/>
  <c r="D40" i="3"/>
  <c r="E40" i="3" s="1"/>
  <c r="F40" i="3" s="1"/>
  <c r="D35" i="3"/>
  <c r="E35" i="3" s="1"/>
  <c r="F35" i="3" s="1"/>
  <c r="L35" i="3" s="1"/>
  <c r="D46" i="3"/>
  <c r="E46" i="3" s="1"/>
  <c r="F46" i="3" s="1"/>
  <c r="D45" i="3"/>
  <c r="E45" i="3" s="1"/>
  <c r="F45" i="3" s="1"/>
  <c r="D44" i="3"/>
  <c r="E44" i="3" s="1"/>
  <c r="F44" i="3" s="1"/>
  <c r="D41" i="3"/>
  <c r="E41" i="3" s="1"/>
  <c r="F41" i="3" s="1"/>
  <c r="D39" i="3"/>
  <c r="E39" i="3" s="1"/>
  <c r="F39" i="3" s="1"/>
  <c r="D38" i="3"/>
  <c r="E38" i="3" s="1"/>
  <c r="F38" i="3" s="1"/>
  <c r="D37" i="3"/>
  <c r="E37" i="3" s="1"/>
  <c r="F37" i="3" s="1"/>
  <c r="D43" i="3"/>
  <c r="E43" i="3" s="1"/>
  <c r="F43" i="3" s="1"/>
  <c r="D42" i="3"/>
  <c r="E42" i="3" s="1"/>
  <c r="F42" i="3" s="1"/>
  <c r="D36" i="3"/>
  <c r="E36" i="3" s="1"/>
  <c r="F36" i="3" s="1"/>
  <c r="H72" i="2"/>
  <c r="K35" i="2"/>
  <c r="C54" i="2"/>
  <c r="D59" i="2" a="1"/>
  <c r="D47" i="2" a="1"/>
  <c r="E21" i="2"/>
  <c r="D35" i="2" a="1"/>
  <c r="M35" i="3" l="1"/>
  <c r="C58" i="3"/>
  <c r="K36" i="3"/>
  <c r="L36" i="3" s="1"/>
  <c r="D50" i="2"/>
  <c r="E50" i="2" s="1"/>
  <c r="F50" i="2" s="1"/>
  <c r="D47" i="2"/>
  <c r="E47" i="2" s="1"/>
  <c r="F47" i="2" s="1"/>
  <c r="D58" i="2"/>
  <c r="E58" i="2" s="1"/>
  <c r="F58" i="2" s="1"/>
  <c r="D57" i="2"/>
  <c r="E57" i="2" s="1"/>
  <c r="F57" i="2" s="1"/>
  <c r="D56" i="2"/>
  <c r="E56" i="2" s="1"/>
  <c r="F56" i="2" s="1"/>
  <c r="D55" i="2"/>
  <c r="E55" i="2" s="1"/>
  <c r="F55" i="2" s="1"/>
  <c r="D54" i="2"/>
  <c r="E54" i="2" s="1"/>
  <c r="F54" i="2" s="1"/>
  <c r="D53" i="2"/>
  <c r="E53" i="2" s="1"/>
  <c r="F53" i="2" s="1"/>
  <c r="D48" i="2"/>
  <c r="E48" i="2" s="1"/>
  <c r="F48" i="2" s="1"/>
  <c r="D52" i="2"/>
  <c r="E52" i="2" s="1"/>
  <c r="F52" i="2" s="1"/>
  <c r="D51" i="2"/>
  <c r="E51" i="2" s="1"/>
  <c r="F51" i="2" s="1"/>
  <c r="D49" i="2"/>
  <c r="E49" i="2" s="1"/>
  <c r="F49" i="2" s="1"/>
  <c r="C55" i="2"/>
  <c r="D61" i="2"/>
  <c r="E61" i="2" s="1"/>
  <c r="F61" i="2" s="1"/>
  <c r="D60" i="2"/>
  <c r="E60" i="2" s="1"/>
  <c r="F60" i="2" s="1"/>
  <c r="D59" i="2"/>
  <c r="E59" i="2" s="1"/>
  <c r="F59" i="2" s="1"/>
  <c r="D70" i="2"/>
  <c r="E70" i="2" s="1"/>
  <c r="F70" i="2" s="1"/>
  <c r="D69" i="2"/>
  <c r="E69" i="2" s="1"/>
  <c r="F69" i="2" s="1"/>
  <c r="D68" i="2"/>
  <c r="E68" i="2" s="1"/>
  <c r="F68" i="2" s="1"/>
  <c r="D67" i="2"/>
  <c r="E67" i="2" s="1"/>
  <c r="F67" i="2" s="1"/>
  <c r="D66" i="2"/>
  <c r="E66" i="2" s="1"/>
  <c r="F66" i="2" s="1"/>
  <c r="D65" i="2"/>
  <c r="E65" i="2" s="1"/>
  <c r="F65" i="2" s="1"/>
  <c r="D64" i="2"/>
  <c r="E64" i="2" s="1"/>
  <c r="F64" i="2" s="1"/>
  <c r="D63" i="2"/>
  <c r="E63" i="2" s="1"/>
  <c r="F63" i="2" s="1"/>
  <c r="D62" i="2"/>
  <c r="E62" i="2" s="1"/>
  <c r="F62" i="2" s="1"/>
  <c r="D39" i="2"/>
  <c r="E39" i="2" s="1"/>
  <c r="F39" i="2" s="1"/>
  <c r="D38" i="2"/>
  <c r="E38" i="2" s="1"/>
  <c r="F38" i="2" s="1"/>
  <c r="D37" i="2"/>
  <c r="E37" i="2" s="1"/>
  <c r="F37" i="2" s="1"/>
  <c r="D36" i="2"/>
  <c r="E36" i="2" s="1"/>
  <c r="F36" i="2" s="1"/>
  <c r="D35" i="2"/>
  <c r="E35" i="2" s="1"/>
  <c r="F35" i="2" s="1"/>
  <c r="L35" i="2" s="1"/>
  <c r="K36" i="2" s="1"/>
  <c r="D46" i="2"/>
  <c r="E46" i="2" s="1"/>
  <c r="F46" i="2" s="1"/>
  <c r="D45" i="2"/>
  <c r="E45" i="2" s="1"/>
  <c r="F45" i="2" s="1"/>
  <c r="D44" i="2"/>
  <c r="E44" i="2" s="1"/>
  <c r="F44" i="2" s="1"/>
  <c r="D43" i="2"/>
  <c r="E43" i="2" s="1"/>
  <c r="F43" i="2" s="1"/>
  <c r="D42" i="2"/>
  <c r="E42" i="2" s="1"/>
  <c r="F42" i="2" s="1"/>
  <c r="D41" i="2"/>
  <c r="E41" i="2" s="1"/>
  <c r="F41" i="2" s="1"/>
  <c r="D40" i="2"/>
  <c r="E40" i="2" s="1"/>
  <c r="F40" i="2" s="1"/>
  <c r="M36" i="3" l="1"/>
  <c r="C59" i="3"/>
  <c r="K37" i="3"/>
  <c r="L36" i="2"/>
  <c r="M36" i="2" s="1"/>
  <c r="M35" i="2"/>
  <c r="K37" i="2"/>
  <c r="L37" i="2" s="1"/>
  <c r="C56" i="2"/>
  <c r="L37" i="3" l="1"/>
  <c r="C60" i="3"/>
  <c r="M37" i="2"/>
  <c r="J38" i="2"/>
  <c r="C57" i="2"/>
  <c r="C61" i="3" l="1"/>
  <c r="M37" i="3"/>
  <c r="J38" i="3"/>
  <c r="C58" i="2"/>
  <c r="K38" i="2"/>
  <c r="K38" i="3" l="1"/>
  <c r="C62" i="3"/>
  <c r="L38" i="2"/>
  <c r="C59" i="2"/>
  <c r="C63" i="3" l="1"/>
  <c r="L38" i="3"/>
  <c r="C60" i="2"/>
  <c r="M38" i="2"/>
  <c r="K39" i="2"/>
  <c r="M38" i="3" l="1"/>
  <c r="K39" i="3"/>
  <c r="C64" i="3"/>
  <c r="L39" i="2"/>
  <c r="C61" i="2"/>
  <c r="C65" i="3" l="1"/>
  <c r="L39" i="3"/>
  <c r="C62" i="2"/>
  <c r="M39" i="2"/>
  <c r="M39" i="3" l="1"/>
  <c r="C66" i="3"/>
  <c r="C63" i="2"/>
  <c r="C67" i="3" l="1"/>
  <c r="C64" i="2"/>
  <c r="C68" i="3" l="1"/>
  <c r="C65" i="2"/>
  <c r="C69" i="3" l="1"/>
  <c r="C66" i="2"/>
  <c r="C70" i="3" l="1"/>
  <c r="C67" i="2"/>
  <c r="C68" i="2" l="1"/>
  <c r="C69" i="2" l="1"/>
  <c r="C70" i="2" l="1"/>
  <c r="K40" i="2" l="1"/>
  <c r="L40" i="2" s="1"/>
  <c r="M40" i="2" l="1"/>
  <c r="K41" i="2"/>
  <c r="L41" i="2" l="1"/>
  <c r="J42" i="2" l="1"/>
  <c r="K42" i="2" s="1"/>
  <c r="L42" i="2" s="1"/>
  <c r="M42" i="2" s="1"/>
  <c r="M41" i="2"/>
  <c r="J43" i="2" l="1"/>
  <c r="K43" i="2" l="1"/>
  <c r="L43" i="2" l="1"/>
  <c r="J44" i="2"/>
  <c r="J72" i="2" s="1"/>
  <c r="M43" i="2"/>
  <c r="K44" i="2" l="1"/>
  <c r="L44" i="2" s="1"/>
  <c r="K45" i="2" s="1"/>
  <c r="L45" i="2" l="1"/>
  <c r="M45" i="2" s="1"/>
  <c r="M44" i="2"/>
  <c r="K46" i="2" l="1"/>
  <c r="L46" i="2" s="1"/>
  <c r="K47" i="2" l="1"/>
  <c r="L47" i="2" s="1"/>
  <c r="M46" i="2"/>
  <c r="M72" i="2" s="1"/>
  <c r="L72" i="2"/>
  <c r="K48" i="2" l="1"/>
  <c r="L48" i="2" s="1"/>
  <c r="M48" i="2" s="1"/>
  <c r="M47" i="2"/>
  <c r="K49" i="2" l="1"/>
  <c r="L49" i="2" l="1"/>
  <c r="J50" i="2" s="1"/>
  <c r="M49" i="2" l="1"/>
  <c r="K50" i="2"/>
  <c r="L50" i="2" l="1"/>
  <c r="M50" i="2" l="1"/>
  <c r="K51" i="2"/>
  <c r="L51" i="2" l="1"/>
  <c r="K52" i="2" s="1"/>
  <c r="L52" i="2" l="1"/>
  <c r="M52" i="2" s="1"/>
  <c r="M51" i="2"/>
  <c r="K53" i="2" l="1"/>
  <c r="L53" i="2" l="1"/>
  <c r="J54" i="2"/>
  <c r="K54" i="2" s="1"/>
  <c r="M53" i="2"/>
  <c r="L54" i="2" l="1"/>
  <c r="M54" i="2" s="1"/>
  <c r="J55" i="2" l="1"/>
  <c r="K55" i="2" s="1"/>
  <c r="L55" i="2" l="1"/>
  <c r="J56" i="2"/>
  <c r="J73" i="2" s="1"/>
  <c r="M55" i="2"/>
  <c r="K56" i="2" l="1"/>
  <c r="L56" i="2" s="1"/>
  <c r="M56" i="2" s="1"/>
  <c r="K57" i="2"/>
  <c r="L57" i="2" s="1"/>
  <c r="M57" i="2" s="1"/>
  <c r="K58" i="2" l="1"/>
  <c r="L58" i="2" s="1"/>
  <c r="K59" i="2" l="1"/>
  <c r="L59" i="2" s="1"/>
  <c r="M58" i="2"/>
  <c r="M73" i="2" s="1"/>
  <c r="L73" i="2"/>
  <c r="K60" i="2" l="1"/>
  <c r="L60" i="2" s="1"/>
  <c r="M60" i="2" s="1"/>
  <c r="M59" i="2"/>
  <c r="K61" i="2" l="1"/>
  <c r="L61" i="2" l="1"/>
  <c r="J62" i="2" s="1"/>
  <c r="K62" i="2" s="1"/>
  <c r="L62" i="2" l="1"/>
  <c r="M62" i="2" s="1"/>
  <c r="M61" i="2"/>
  <c r="K63" i="2" l="1"/>
  <c r="L63" i="2" l="1"/>
  <c r="K64" i="2" s="1"/>
  <c r="L64" i="2" l="1"/>
  <c r="M64" i="2" s="1"/>
  <c r="M63" i="2"/>
  <c r="K65" i="2" l="1"/>
  <c r="L65" i="2" l="1"/>
  <c r="J66" i="2" l="1"/>
  <c r="K66" i="2" s="1"/>
  <c r="L66" i="2" s="1"/>
  <c r="M66" i="2" s="1"/>
  <c r="M65" i="2"/>
  <c r="J67" i="2" l="1"/>
  <c r="K67" i="2" l="1"/>
  <c r="L67" i="2" l="1"/>
  <c r="M67" i="2" s="1"/>
  <c r="J68" i="2"/>
  <c r="J74" i="2" s="1"/>
  <c r="K68" i="2" l="1"/>
  <c r="L68" i="2" s="1"/>
  <c r="M68" i="2" s="1"/>
  <c r="K69" i="2"/>
  <c r="L69" i="2" l="1"/>
  <c r="M69" i="2" s="1"/>
  <c r="K70" i="2" l="1"/>
  <c r="L70" i="2" s="1"/>
  <c r="M70" i="2" s="1"/>
  <c r="M74" i="2" s="1"/>
  <c r="I27" i="2" s="1"/>
  <c r="K26" i="2" s="1"/>
  <c r="M26" i="2" s="1"/>
  <c r="L74" i="2" l="1"/>
  <c r="I26" i="2" s="1"/>
  <c r="K40" i="3" l="1"/>
  <c r="L40" i="3" s="1"/>
  <c r="M40" i="3" l="1"/>
  <c r="K41" i="3"/>
  <c r="L41" i="3" l="1"/>
  <c r="K42" i="3"/>
  <c r="L42" i="3" l="1"/>
  <c r="M42" i="3" s="1"/>
  <c r="M41" i="3"/>
  <c r="J43" i="3" l="1"/>
  <c r="J72" i="3" s="1"/>
  <c r="K43" i="3" l="1"/>
  <c r="L43" i="3"/>
  <c r="M43" i="3" l="1"/>
  <c r="K44" i="3"/>
  <c r="L44" i="3" l="1"/>
  <c r="K45" i="3"/>
  <c r="L45" i="3" l="1"/>
  <c r="M45" i="3" s="1"/>
  <c r="M44" i="3"/>
  <c r="K46" i="3" l="1"/>
  <c r="L46" i="3" s="1"/>
  <c r="K47" i="3" s="1"/>
  <c r="L47" i="3" l="1"/>
  <c r="M46" i="3"/>
  <c r="M72" i="3" s="1"/>
  <c r="L72" i="3"/>
  <c r="M47" i="3" l="1"/>
  <c r="K48" i="3"/>
  <c r="L48" i="3" l="1"/>
  <c r="K49" i="3"/>
  <c r="L49" i="3" l="1"/>
  <c r="M49" i="3" s="1"/>
  <c r="M48" i="3"/>
  <c r="J50" i="3" l="1"/>
  <c r="K50" i="3" s="1"/>
  <c r="L50" i="3" l="1"/>
  <c r="K51" i="3"/>
  <c r="L51" i="3" l="1"/>
  <c r="M51" i="3" s="1"/>
  <c r="K52" i="3"/>
  <c r="M50" i="3"/>
  <c r="L52" i="3" l="1"/>
  <c r="K53" i="3"/>
  <c r="L53" i="3" l="1"/>
  <c r="M53" i="3" s="1"/>
  <c r="K54" i="3"/>
  <c r="M52" i="3"/>
  <c r="L54" i="3" l="1"/>
  <c r="J55" i="3"/>
  <c r="J73" i="3" s="1"/>
  <c r="M54" i="3" l="1"/>
  <c r="K55" i="3"/>
  <c r="L55" i="3" l="1"/>
  <c r="M55" i="3" s="1"/>
  <c r="K56" i="3"/>
  <c r="L56" i="3" l="1"/>
  <c r="M56" i="3" s="1"/>
  <c r="K57" i="3"/>
  <c r="L57" i="3" l="1"/>
  <c r="M57" i="3" s="1"/>
  <c r="K58" i="3"/>
  <c r="L58" i="3" l="1"/>
  <c r="M58" i="3" l="1"/>
  <c r="M73" i="3" s="1"/>
  <c r="L73" i="3"/>
  <c r="K59" i="3"/>
  <c r="L59" i="3" l="1"/>
  <c r="K60" i="3"/>
  <c r="L60" i="3" l="1"/>
  <c r="M60" i="3" s="1"/>
  <c r="M59" i="3"/>
  <c r="K61" i="3" l="1"/>
  <c r="L61" i="3" l="1"/>
  <c r="J62" i="3"/>
  <c r="K62" i="3" s="1"/>
  <c r="L62" i="3" l="1"/>
  <c r="M62" i="3" s="1"/>
  <c r="K63" i="3"/>
  <c r="M61" i="3"/>
  <c r="L63" i="3" l="1"/>
  <c r="M63" i="3" l="1"/>
  <c r="K64" i="3"/>
  <c r="L64" i="3" l="1"/>
  <c r="K65" i="3"/>
  <c r="L65" i="3" l="1"/>
  <c r="M65" i="3" s="1"/>
  <c r="M64" i="3"/>
  <c r="K66" i="3" l="1"/>
  <c r="L66" i="3" s="1"/>
  <c r="M66" i="3" l="1"/>
  <c r="J67" i="3"/>
  <c r="J74" i="3" s="1"/>
  <c r="K67" i="3" l="1"/>
  <c r="L67" i="3" l="1"/>
  <c r="M67" i="3" s="1"/>
  <c r="K68" i="3" l="1"/>
  <c r="L68" i="3" l="1"/>
  <c r="M68" i="3" s="1"/>
  <c r="K69" i="3"/>
  <c r="L69" i="3" l="1"/>
  <c r="M69" i="3" s="1"/>
  <c r="K70" i="3"/>
  <c r="L70" i="3" s="1"/>
  <c r="M70" i="3" l="1"/>
  <c r="M74" i="3" s="1"/>
  <c r="I27" i="3" s="1"/>
  <c r="K26" i="3" s="1"/>
  <c r="M26" i="3" s="1"/>
  <c r="L74" i="3"/>
  <c r="I26" i="3" s="1"/>
</calcChain>
</file>

<file path=xl/sharedStrings.xml><?xml version="1.0" encoding="utf-8"?>
<sst xmlns="http://schemas.openxmlformats.org/spreadsheetml/2006/main" count="318" uniqueCount="129">
  <si>
    <t>COLOUR CODE:</t>
  </si>
  <si>
    <t>REQUIRED
 USER INPUT</t>
  </si>
  <si>
    <t>OPTIONAL
USER INPUT</t>
  </si>
  <si>
    <t>FIXED INPUT
 DON'T EDIT</t>
  </si>
  <si>
    <t>CALCULATION 
DON'T EDIT</t>
  </si>
  <si>
    <t>Andrew VanderZaag</t>
  </si>
  <si>
    <t>INPUTS:</t>
  </si>
  <si>
    <t>DATA VALIDATION</t>
  </si>
  <si>
    <t>Air</t>
  </si>
  <si>
    <t>Manure</t>
  </si>
  <si>
    <t>Parameter:</t>
  </si>
  <si>
    <t>Value</t>
  </si>
  <si>
    <t>Units</t>
  </si>
  <si>
    <t>Source:</t>
  </si>
  <si>
    <t>Notes</t>
  </si>
  <si>
    <t>Default Value:</t>
  </si>
  <si>
    <t>Named Cell</t>
  </si>
  <si>
    <t>Temperature</t>
  </si>
  <si>
    <t>VS Excretion:</t>
  </si>
  <si>
    <t>kg/year</t>
  </si>
  <si>
    <t>user input</t>
  </si>
  <si>
    <t>based on VS excretion, and manure handling</t>
  </si>
  <si>
    <t>n/a</t>
  </si>
  <si>
    <t>VS_PROD_YR</t>
  </si>
  <si>
    <t>Data Menu 1</t>
  </si>
  <si>
    <t>Month</t>
  </si>
  <si>
    <t>°C</t>
  </si>
  <si>
    <t>Removed (Y/N)</t>
  </si>
  <si>
    <t>VS % liquid storage:</t>
  </si>
  <si>
    <t>%</t>
  </si>
  <si>
    <t xml:space="preserve">% going to liquid storage (e.g. solid-liquid separation) </t>
  </si>
  <si>
    <t>VS_PCT_LIQUID</t>
  </si>
  <si>
    <t>January</t>
  </si>
  <si>
    <t>N</t>
  </si>
  <si>
    <t>note emissions from solid must be handled separately</t>
  </si>
  <si>
    <t>February</t>
  </si>
  <si>
    <t>f equation:</t>
  </si>
  <si>
    <t>f = EXP((Ea*(T2-T1))/(R*T2*303.16))</t>
  </si>
  <si>
    <t>van’t Hoff-Arrhenius equation (Mangino et al. 2001; IPCC 2006), with updated input parameters (see Annex Fig. 3)</t>
  </si>
  <si>
    <t>March</t>
  </si>
  <si>
    <t>T1</t>
  </si>
  <si>
    <t xml:space="preserve">K </t>
  </si>
  <si>
    <t>Temperature of B0 assays</t>
  </si>
  <si>
    <t>f_T1</t>
  </si>
  <si>
    <t>Data Menu 2</t>
  </si>
  <si>
    <t>April</t>
  </si>
  <si>
    <t>T2</t>
  </si>
  <si>
    <t>monthly input</t>
  </si>
  <si>
    <t>K</t>
  </si>
  <si>
    <t>Enter in Column D (D9:D20)</t>
  </si>
  <si>
    <t>Y</t>
  </si>
  <si>
    <t>May</t>
  </si>
  <si>
    <t>Ea</t>
  </si>
  <si>
    <t>cal/mol</t>
  </si>
  <si>
    <t>Petersen et al. PLoS One</t>
  </si>
  <si>
    <t>(compare: 15175 from Mangino et al. 2001)</t>
  </si>
  <si>
    <t>f_Ea</t>
  </si>
  <si>
    <t>June</t>
  </si>
  <si>
    <t>R</t>
  </si>
  <si>
    <t>cal/K.mol</t>
  </si>
  <si>
    <t>Mangino et al. 2001</t>
  </si>
  <si>
    <t>f_R</t>
  </si>
  <si>
    <t>July</t>
  </si>
  <si>
    <t>Minimum T2</t>
  </si>
  <si>
    <t>C</t>
  </si>
  <si>
    <t>Judgement.</t>
  </si>
  <si>
    <t>converted to K in calculation</t>
  </si>
  <si>
    <t>f_Tmin</t>
  </si>
  <si>
    <t>August</t>
  </si>
  <si>
    <t>Damping T2</t>
  </si>
  <si>
    <r>
      <t xml:space="preserve">Judgement </t>
    </r>
    <r>
      <rPr>
        <sz val="10"/>
        <color theme="1"/>
        <rFont val="Calibri"/>
        <family val="2"/>
        <scheme val="minor"/>
      </rPr>
      <t>(Rennie et al. 2017.)</t>
    </r>
  </si>
  <si>
    <t>applied only when manure removed once per year</t>
  </si>
  <si>
    <t>f_T2damping</t>
  </si>
  <si>
    <t>September</t>
  </si>
  <si>
    <r>
      <t>B</t>
    </r>
    <r>
      <rPr>
        <b/>
        <sz val="8"/>
        <color theme="1"/>
        <rFont val="Calibri"/>
        <family val="2"/>
        <scheme val="minor"/>
      </rPr>
      <t>0</t>
    </r>
  </si>
  <si>
    <t>m3/kg VS added</t>
  </si>
  <si>
    <r>
      <t>refer to IPCC guidance for default B</t>
    </r>
    <r>
      <rPr>
        <sz val="8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values</t>
    </r>
  </si>
  <si>
    <t>B0</t>
  </si>
  <si>
    <t>October</t>
  </si>
  <si>
    <t>MDP</t>
  </si>
  <si>
    <t>unitless</t>
  </si>
  <si>
    <t>MDP is not used (i.e. =1.0). Adjust VS % liquid storage or excretion instead.</t>
  </si>
  <si>
    <t>November</t>
  </si>
  <si>
    <t>December</t>
  </si>
  <si>
    <t>emptying efficiency</t>
  </si>
  <si>
    <t>Judgement. Default 95%</t>
  </si>
  <si>
    <t>Percent of manure removed (1-residual)</t>
  </si>
  <si>
    <t>EMPTY_EFFICIENCY</t>
  </si>
  <si>
    <t>CH4 density</t>
  </si>
  <si>
    <t>kg/m3</t>
  </si>
  <si>
    <t>IPCC guidance</t>
  </si>
  <si>
    <t>CH4_DENSITY</t>
  </si>
  <si>
    <t>Average</t>
  </si>
  <si>
    <t>Count of "Y"</t>
  </si>
  <si>
    <t>RESULTS:</t>
  </si>
  <si>
    <t xml:space="preserve">  Analysis of model year 3</t>
  </si>
  <si>
    <t>VS Excreted (kg)</t>
  </si>
  <si>
    <t>VS "consumed" (kg)</t>
  </si>
  <si>
    <t>MCF =</t>
  </si>
  <si>
    <t>=</t>
  </si>
  <si>
    <t>VS Loaded (kg)</t>
  </si>
  <si>
    <t>CH4 emissions (m3)</t>
  </si>
  <si>
    <t xml:space="preserve">Potential CH4 (m3) </t>
  </si>
  <si>
    <r>
      <t xml:space="preserve">MODEL: </t>
    </r>
    <r>
      <rPr>
        <i/>
        <sz val="16"/>
        <color theme="1"/>
        <rFont val="Calibri"/>
        <family val="2"/>
        <scheme val="minor"/>
      </rPr>
      <t>Runs for three years  in order to ensure VS available has stabilized on an annual basis. The results from the third year (stabilized conditions) are used</t>
    </r>
  </si>
  <si>
    <t>GRAPH OF MODEL YEAR 3</t>
  </si>
  <si>
    <t>(lookup)</t>
  </si>
  <si>
    <t>(converted)</t>
  </si>
  <si>
    <t>(calculated - van't Hoff)</t>
  </si>
  <si>
    <t>VS Excreted</t>
  </si>
  <si>
    <t>VS Loaded</t>
  </si>
  <si>
    <t>Emptying</t>
  </si>
  <si>
    <t>VS Emptied</t>
  </si>
  <si>
    <t>VS "Available"</t>
  </si>
  <si>
    <t>VS "consumed"</t>
  </si>
  <si>
    <r>
      <t>CH</t>
    </r>
    <r>
      <rPr>
        <b/>
        <sz val="8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 xml:space="preserve"> Produced</t>
    </r>
  </si>
  <si>
    <t>Year</t>
  </si>
  <si>
    <t>Tav_C</t>
  </si>
  <si>
    <t>Tav_K</t>
  </si>
  <si>
    <t>f</t>
  </si>
  <si>
    <t>kg/month</t>
  </si>
  <si>
    <t>Y/N</t>
  </si>
  <si>
    <t>kg</t>
  </si>
  <si>
    <t>m3</t>
  </si>
  <si>
    <t>SUM:</t>
  </si>
  <si>
    <t>Year 1</t>
  </si>
  <si>
    <t>Year 2</t>
  </si>
  <si>
    <t>Year 3</t>
  </si>
  <si>
    <t>N</t>
    <phoneticPr fontId="14" type="noConversion"/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</si>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</sst>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-;\-* #,##0.00_-;_-* &quot;-&quot;??_-;_-@_-"/>
    <numFmt numFmtId="165" formatCode="0.0"/>
    <numFmt numFmtId="166" formatCode="_-* #,##0_-;\-* #,##0_-;_-* &quot;-&quot;??_-;_-@_-"/>
    <numFmt numFmtId="167" formatCode="0.0%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1" fontId="0" fillId="0" borderId="0" xfId="0" applyNumberFormat="1"/>
    <xf numFmtId="0" fontId="0" fillId="2" borderId="5" xfId="0" applyFill="1" applyBorder="1"/>
    <xf numFmtId="0" fontId="0" fillId="0" borderId="9" xfId="0" applyBorder="1"/>
    <xf numFmtId="0" fontId="2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/>
    <xf numFmtId="9" fontId="0" fillId="0" borderId="11" xfId="0" applyNumberFormat="1" applyBorder="1" applyAlignment="1">
      <alignment horizontal="center"/>
    </xf>
    <xf numFmtId="0" fontId="0" fillId="0" borderId="0" xfId="0" applyAlignment="1">
      <alignment horizontal="left"/>
    </xf>
    <xf numFmtId="165" fontId="0" fillId="0" borderId="11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165" fontId="0" fillId="0" borderId="0" xfId="0" applyNumberFormat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4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0" xfId="0" applyFill="1"/>
    <xf numFmtId="0" fontId="0" fillId="2" borderId="2" xfId="0" applyFill="1" applyBorder="1"/>
    <xf numFmtId="165" fontId="0" fillId="5" borderId="5" xfId="0" applyNumberFormat="1" applyFill="1" applyBorder="1"/>
    <xf numFmtId="0" fontId="0" fillId="5" borderId="5" xfId="0" applyFill="1" applyBorder="1"/>
    <xf numFmtId="0" fontId="2" fillId="0" borderId="16" xfId="0" applyFont="1" applyBorder="1"/>
    <xf numFmtId="0" fontId="2" fillId="0" borderId="17" xfId="0" applyFont="1" applyBorder="1"/>
    <xf numFmtId="0" fontId="2" fillId="0" borderId="17" xfId="0" applyFont="1" applyBorder="1" applyAlignment="1">
      <alignment horizontal="left"/>
    </xf>
    <xf numFmtId="0" fontId="2" fillId="0" borderId="17" xfId="0" applyFont="1" applyBorder="1" applyAlignment="1">
      <alignment horizontal="right"/>
    </xf>
    <xf numFmtId="0" fontId="0" fillId="0" borderId="18" xfId="0" applyBorder="1"/>
    <xf numFmtId="9" fontId="0" fillId="0" borderId="0" xfId="0" applyNumberFormat="1" applyAlignment="1">
      <alignment horizontal="center"/>
    </xf>
    <xf numFmtId="0" fontId="0" fillId="0" borderId="0" xfId="0" quotePrefix="1"/>
    <xf numFmtId="9" fontId="0" fillId="2" borderId="5" xfId="2" applyFont="1" applyFill="1" applyBorder="1"/>
    <xf numFmtId="0" fontId="0" fillId="0" borderId="0" xfId="0" applyAlignment="1">
      <alignment horizontal="right"/>
    </xf>
    <xf numFmtId="0" fontId="9" fillId="4" borderId="7" xfId="0" applyFont="1" applyFill="1" applyBorder="1"/>
    <xf numFmtId="0" fontId="0" fillId="0" borderId="15" xfId="0" applyBorder="1"/>
    <xf numFmtId="0" fontId="4" fillId="0" borderId="0" xfId="0" applyFont="1" applyAlignment="1">
      <alignment horizontal="center"/>
    </xf>
    <xf numFmtId="165" fontId="0" fillId="2" borderId="27" xfId="0" applyNumberFormat="1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165" fontId="0" fillId="2" borderId="17" xfId="0" applyNumberFormat="1" applyFill="1" applyBorder="1" applyAlignment="1">
      <alignment horizontal="center"/>
    </xf>
    <xf numFmtId="165" fontId="0" fillId="2" borderId="23" xfId="0" applyNumberForma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6" borderId="5" xfId="0" applyNumberFormat="1" applyFill="1" applyBorder="1"/>
    <xf numFmtId="9" fontId="0" fillId="6" borderId="5" xfId="2" applyFont="1" applyFill="1" applyBorder="1"/>
    <xf numFmtId="166" fontId="0" fillId="0" borderId="0" xfId="1" applyNumberFormat="1" applyFont="1" applyAlignment="1">
      <alignment horizontal="center"/>
    </xf>
    <xf numFmtId="166" fontId="0" fillId="0" borderId="14" xfId="1" applyNumberFormat="1" applyFont="1" applyBorder="1" applyAlignment="1">
      <alignment horizontal="center"/>
    </xf>
    <xf numFmtId="0" fontId="3" fillId="4" borderId="7" xfId="0" applyFont="1" applyFill="1" applyBorder="1"/>
    <xf numFmtId="0" fontId="0" fillId="4" borderId="31" xfId="0" applyFill="1" applyBorder="1"/>
    <xf numFmtId="0" fontId="7" fillId="0" borderId="0" xfId="0" applyFont="1" applyAlignment="1">
      <alignment horizontal="center"/>
    </xf>
    <xf numFmtId="9" fontId="10" fillId="0" borderId="0" xfId="2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14" xfId="0" applyBorder="1" applyAlignment="1">
      <alignment horizontal="left"/>
    </xf>
    <xf numFmtId="0" fontId="2" fillId="3" borderId="21" xfId="0" applyFont="1" applyFill="1" applyBorder="1"/>
    <xf numFmtId="0" fontId="2" fillId="3" borderId="22" xfId="0" applyFont="1" applyFill="1" applyBorder="1"/>
    <xf numFmtId="0" fontId="2" fillId="3" borderId="9" xfId="0" applyFont="1" applyFill="1" applyBorder="1"/>
    <xf numFmtId="0" fontId="0" fillId="3" borderId="9" xfId="0" applyFill="1" applyBorder="1"/>
    <xf numFmtId="0" fontId="0" fillId="3" borderId="13" xfId="0" applyFill="1" applyBorder="1"/>
    <xf numFmtId="0" fontId="7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165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166" fontId="0" fillId="3" borderId="0" xfId="1" applyNumberFormat="1" applyFont="1" applyFill="1" applyAlignment="1">
      <alignment horizontal="center"/>
    </xf>
    <xf numFmtId="166" fontId="0" fillId="3" borderId="19" xfId="1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6" fontId="0" fillId="3" borderId="1" xfId="1" applyNumberFormat="1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0" fillId="3" borderId="14" xfId="0" applyFill="1" applyBorder="1"/>
    <xf numFmtId="0" fontId="2" fillId="3" borderId="14" xfId="0" applyFont="1" applyFill="1" applyBorder="1" applyAlignment="1">
      <alignment horizontal="right"/>
    </xf>
    <xf numFmtId="166" fontId="0" fillId="3" borderId="14" xfId="1" applyNumberFormat="1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166" fontId="0" fillId="3" borderId="30" xfId="1" applyNumberFormat="1" applyFont="1" applyFill="1" applyBorder="1" applyAlignment="1">
      <alignment horizontal="center"/>
    </xf>
    <xf numFmtId="0" fontId="0" fillId="3" borderId="11" xfId="0" applyFill="1" applyBorder="1"/>
    <xf numFmtId="0" fontId="0" fillId="3" borderId="9" xfId="0" applyFill="1" applyBorder="1" applyAlignment="1">
      <alignment horizontal="right"/>
    </xf>
    <xf numFmtId="166" fontId="0" fillId="3" borderId="0" xfId="1" applyNumberFormat="1" applyFont="1" applyFill="1" applyAlignment="1">
      <alignment horizontal="left"/>
    </xf>
    <xf numFmtId="1" fontId="0" fillId="3" borderId="0" xfId="0" applyNumberFormat="1" applyFill="1" applyAlignment="1">
      <alignment horizontal="left"/>
    </xf>
    <xf numFmtId="166" fontId="2" fillId="3" borderId="1" xfId="1" applyNumberFormat="1" applyFont="1" applyFill="1" applyBorder="1" applyAlignment="1">
      <alignment horizontal="center"/>
    </xf>
    <xf numFmtId="166" fontId="2" fillId="3" borderId="0" xfId="1" applyNumberFormat="1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15" xfId="0" applyFill="1" applyBorder="1"/>
    <xf numFmtId="165" fontId="0" fillId="3" borderId="2" xfId="0" applyNumberFormat="1" applyFill="1" applyBorder="1" applyAlignment="1">
      <alignment horizontal="center"/>
    </xf>
    <xf numFmtId="165" fontId="0" fillId="3" borderId="3" xfId="0" applyNumberFormat="1" applyFill="1" applyBorder="1" applyAlignment="1">
      <alignment horizontal="center"/>
    </xf>
    <xf numFmtId="165" fontId="0" fillId="3" borderId="4" xfId="0" applyNumberFormat="1" applyFill="1" applyBorder="1" applyAlignment="1">
      <alignment horizontal="center"/>
    </xf>
    <xf numFmtId="166" fontId="0" fillId="3" borderId="0" xfId="1" applyNumberFormat="1" applyFont="1" applyFill="1" applyAlignment="1">
      <alignment horizontal="right"/>
    </xf>
    <xf numFmtId="0" fontId="7" fillId="3" borderId="0" xfId="0" applyFont="1" applyFill="1" applyAlignment="1">
      <alignment horizontal="right"/>
    </xf>
    <xf numFmtId="0" fontId="7" fillId="3" borderId="1" xfId="0" applyFont="1" applyFill="1" applyBorder="1" applyAlignment="1">
      <alignment horizontal="right"/>
    </xf>
    <xf numFmtId="0" fontId="2" fillId="3" borderId="28" xfId="0" applyFont="1" applyFill="1" applyBorder="1" applyAlignment="1">
      <alignment horizontal="right"/>
    </xf>
    <xf numFmtId="0" fontId="7" fillId="3" borderId="20" xfId="0" applyFont="1" applyFill="1" applyBorder="1" applyAlignment="1">
      <alignment horizontal="right"/>
    </xf>
    <xf numFmtId="0" fontId="0" fillId="5" borderId="5" xfId="0" applyFill="1" applyBorder="1" applyAlignment="1">
      <alignment horizontal="center"/>
    </xf>
    <xf numFmtId="1" fontId="0" fillId="3" borderId="0" xfId="0" applyNumberFormat="1" applyFill="1" applyAlignment="1">
      <alignment horizontal="center"/>
    </xf>
    <xf numFmtId="0" fontId="11" fillId="0" borderId="14" xfId="0" applyFont="1" applyBorder="1" applyAlignment="1">
      <alignment horizontal="center" vertical="center"/>
    </xf>
    <xf numFmtId="15" fontId="12" fillId="0" borderId="0" xfId="0" applyNumberFormat="1" applyFont="1"/>
    <xf numFmtId="0" fontId="12" fillId="0" borderId="0" xfId="0" applyFont="1" applyAlignment="1">
      <alignment horizontal="right"/>
    </xf>
    <xf numFmtId="0" fontId="2" fillId="4" borderId="24" xfId="0" applyFont="1" applyFill="1" applyBorder="1"/>
    <xf numFmtId="0" fontId="0" fillId="0" borderId="32" xfId="0" applyBorder="1"/>
    <xf numFmtId="0" fontId="0" fillId="0" borderId="29" xfId="0" applyBorder="1"/>
    <xf numFmtId="0" fontId="2" fillId="3" borderId="29" xfId="0" applyFont="1" applyFill="1" applyBorder="1" applyAlignment="1">
      <alignment horizontal="center" vertical="center"/>
    </xf>
    <xf numFmtId="0" fontId="0" fillId="3" borderId="25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164" fontId="0" fillId="3" borderId="0" xfId="1" applyNumberFormat="1" applyFont="1" applyFill="1" applyAlignment="1">
      <alignment horizontal="center"/>
    </xf>
    <xf numFmtId="1" fontId="0" fillId="2" borderId="17" xfId="0" applyNumberFormat="1" applyFill="1" applyBorder="1" applyAlignment="1">
      <alignment horizontal="center"/>
    </xf>
    <xf numFmtId="0" fontId="10" fillId="3" borderId="0" xfId="0" quotePrefix="1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167" fontId="10" fillId="3" borderId="11" xfId="2" applyNumberFormat="1" applyFont="1" applyFill="1" applyBorder="1" applyAlignment="1">
      <alignment horizontal="left" vertical="center"/>
    </xf>
    <xf numFmtId="167" fontId="8" fillId="3" borderId="11" xfId="0" applyNumberFormat="1" applyFont="1" applyFill="1" applyBorder="1" applyAlignment="1">
      <alignment horizontal="left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Methane Produced (m</a:t>
            </a:r>
            <a:r>
              <a:rPr lang="en-US" sz="1600" baseline="30000"/>
              <a:t>3</a:t>
            </a:r>
            <a:r>
              <a:rPr lang="en-US" sz="1600"/>
              <a:t>) </a:t>
            </a:r>
          </a:p>
        </c:rich>
      </c:tx>
      <c:layout>
        <c:manualLayout>
          <c:xMode val="edge"/>
          <c:yMode val="edge"/>
          <c:x val="0.41052415713603546"/>
          <c:y val="1.7031820600643323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6877826702903864"/>
          <c:y val="0.12786428379418738"/>
          <c:w val="0.7920309109218906"/>
          <c:h val="0.73135995991566194"/>
        </c:manualLayout>
      </c:layout>
      <c:areaChart>
        <c:grouping val="standard"/>
        <c:varyColors val="0"/>
        <c:ser>
          <c:idx val="1"/>
          <c:order val="0"/>
          <c:spPr>
            <a:solidFill>
              <a:schemeClr val="bg1">
                <a:lumMod val="95000"/>
              </a:schemeClr>
            </a:solidFill>
            <a:ln w="38100">
              <a:solidFill>
                <a:schemeClr val="tx1">
                  <a:lumMod val="50000"/>
                  <a:lumOff val="50000"/>
                </a:schemeClr>
              </a:solidFill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val>
            <c:numRef>
              <c:f>'MCF Model_Atlantic+2 C'!$M$59:$M$70</c:f>
              <c:numCache>
                <c:formatCode>_-* #,##0_-;\-* #,##0_-;_-* "-"??_-;_-@_-</c:formatCode>
                <c:ptCount val="12"/>
                <c:pt idx="0">
                  <c:v>2.1393768942719302</c:v>
                </c:pt>
                <c:pt idx="1">
                  <c:v>2.5732259474624324</c:v>
                </c:pt>
                <c:pt idx="2">
                  <c:v>2.9984647702837468</c:v>
                </c:pt>
                <c:pt idx="3">
                  <c:v>0.62325527353656196</c:v>
                </c:pt>
                <c:pt idx="4">
                  <c:v>1.8159610889381512</c:v>
                </c:pt>
                <c:pt idx="5">
                  <c:v>6.0135369945074331</c:v>
                </c:pt>
                <c:pt idx="6">
                  <c:v>17.392620221901435</c:v>
                </c:pt>
                <c:pt idx="7">
                  <c:v>26.67370180803135</c:v>
                </c:pt>
                <c:pt idx="8">
                  <c:v>5.4405205245455086</c:v>
                </c:pt>
                <c:pt idx="9">
                  <c:v>5.5684511231966836</c:v>
                </c:pt>
                <c:pt idx="10">
                  <c:v>3.2057692181611133</c:v>
                </c:pt>
                <c:pt idx="11">
                  <c:v>1.7313480347554373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C5-4E79-B9E9-134C917D7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820112"/>
        <c:axId val="261820672"/>
      </c:areaChart>
      <c:catAx>
        <c:axId val="261820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CA" sz="1200"/>
                  <a:t>Month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61820672"/>
        <c:crosses val="autoZero"/>
        <c:auto val="1"/>
        <c:lblAlgn val="ctr"/>
        <c:lblOffset val="100"/>
        <c:noMultiLvlLbl val="0"/>
      </c:catAx>
      <c:valAx>
        <c:axId val="2618206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Methane</a:t>
                </a:r>
                <a:r>
                  <a:rPr lang="en-US" baseline="0"/>
                  <a:t> (m</a:t>
                </a:r>
                <a:r>
                  <a:rPr lang="en-US" baseline="30000"/>
                  <a:t>3</a:t>
                </a:r>
                <a:r>
                  <a:rPr lang="en-US" baseline="0"/>
                  <a:t>)</a:t>
                </a:r>
                <a:endParaRPr lang="en-US"/>
              </a:p>
            </c:rich>
          </c:tx>
          <c:layout/>
          <c:overlay val="0"/>
        </c:title>
        <c:numFmt formatCode="#,##0" sourceLinked="0"/>
        <c:majorTickMark val="out"/>
        <c:minorTickMark val="none"/>
        <c:tickLblPos val="nextTo"/>
        <c:crossAx val="261820112"/>
        <c:crosses val="autoZero"/>
        <c:crossBetween val="midCat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VS Available (left) &amp; Emptied (right)</a:t>
            </a:r>
          </a:p>
        </c:rich>
      </c:tx>
      <c:layout>
        <c:manualLayout>
          <c:xMode val="edge"/>
          <c:yMode val="edge"/>
          <c:x val="0.25574051199182712"/>
          <c:y val="1.667293694814158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5153202329709173"/>
          <c:y val="0.15436290753973991"/>
          <c:w val="0.71206514578682878"/>
          <c:h val="0.69092718525922359"/>
        </c:manualLayout>
      </c:layout>
      <c:areaChart>
        <c:grouping val="standard"/>
        <c:varyColors val="0"/>
        <c:ser>
          <c:idx val="1"/>
          <c:order val="0"/>
          <c:tx>
            <c:strRef>
              <c:f>'MCF Model_Atlantic+2 C'!$K$33</c:f>
              <c:strCache>
                <c:ptCount val="1"/>
                <c:pt idx="0">
                  <c:v>VS "Available"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38100">
              <a:solidFill>
                <a:schemeClr val="tx1">
                  <a:lumMod val="50000"/>
                  <a:lumOff val="50000"/>
                </a:schemeClr>
              </a:solidFill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val>
            <c:numRef>
              <c:f>'MCF Model_Atlantic+2 C'!$K$59:$K$70</c:f>
              <c:numCache>
                <c:formatCode>_-* #,##0_-;\-* #,##0_-;_-* "-"??_-;_-@_-</c:formatCode>
                <c:ptCount val="12"/>
                <c:pt idx="0">
                  <c:v>449.15883015505477</c:v>
                </c:pt>
                <c:pt idx="1">
                  <c:v>540.24475976225517</c:v>
                </c:pt>
                <c:pt idx="2">
                  <c:v>629.5229849811617</c:v>
                </c:pt>
                <c:pt idx="3">
                  <c:v>130.85146908858235</c:v>
                </c:pt>
                <c:pt idx="4">
                  <c:v>228.25457211551333</c:v>
                </c:pt>
                <c:pt idx="5">
                  <c:v>320.68806757827105</c:v>
                </c:pt>
                <c:pt idx="6">
                  <c:v>395.63166343449006</c:v>
                </c:pt>
                <c:pt idx="7">
                  <c:v>423.16241250990072</c:v>
                </c:pt>
                <c:pt idx="8">
                  <c:v>115.60109941548853</c:v>
                </c:pt>
                <c:pt idx="9">
                  <c:v>192.9322638965489</c:v>
                </c:pt>
                <c:pt idx="10">
                  <c:v>269.7303842165627</c:v>
                </c:pt>
                <c:pt idx="11">
                  <c:v>356.37301247422471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E1-4DC2-B78A-FB03E9BCFFC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59407024"/>
        <c:axId val="259407584"/>
      </c:areaChart>
      <c:areaChart>
        <c:grouping val="stacked"/>
        <c:varyColors val="0"/>
        <c:ser>
          <c:idx val="0"/>
          <c:order val="1"/>
          <c:tx>
            <c:strRef>
              <c:f>'MCF Model_Atlantic+2 C'!$J$33</c:f>
              <c:strCache>
                <c:ptCount val="1"/>
                <c:pt idx="0">
                  <c:v>VS Emptied</c:v>
                </c:pt>
              </c:strCache>
            </c:strRef>
          </c:tx>
          <c:spPr>
            <a:solidFill>
              <a:schemeClr val="bg1">
                <a:lumMod val="50000"/>
                <a:alpha val="25000"/>
              </a:schemeClr>
            </a:solidFill>
            <a:ln>
              <a:noFill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val>
            <c:numRef>
              <c:f>'MCF Model_Atlantic+2 C'!$J$59:$J$70</c:f>
              <c:numCache>
                <c:formatCode>_-* #,##0_-;\-* #,##0_-;_-*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586.17791268306371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296.42088889428157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E1-4DC2-B78A-FB03E9BCFFC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59408704"/>
        <c:axId val="259408144"/>
      </c:areaChart>
      <c:catAx>
        <c:axId val="259407024"/>
        <c:scaling>
          <c:orientation val="minMax"/>
        </c:scaling>
        <c:delete val="0"/>
        <c:axPos val="b"/>
        <c:majorTickMark val="out"/>
        <c:minorTickMark val="none"/>
        <c:tickLblPos val="nextTo"/>
        <c:crossAx val="259407584"/>
        <c:crosses val="autoZero"/>
        <c:auto val="1"/>
        <c:lblAlgn val="ctr"/>
        <c:lblOffset val="100"/>
        <c:noMultiLvlLbl val="0"/>
      </c:catAx>
      <c:valAx>
        <c:axId val="2594075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VS (kg)</a:t>
                </a:r>
              </a:p>
            </c:rich>
          </c:tx>
          <c:layout/>
          <c:overlay val="0"/>
        </c:title>
        <c:numFmt formatCode="#,##0" sourceLinked="0"/>
        <c:majorTickMark val="out"/>
        <c:minorTickMark val="none"/>
        <c:tickLblPos val="nextTo"/>
        <c:crossAx val="259407024"/>
        <c:crosses val="autoZero"/>
        <c:crossBetween val="midCat"/>
      </c:valAx>
      <c:valAx>
        <c:axId val="259408144"/>
        <c:scaling>
          <c:orientation val="maxMin"/>
        </c:scaling>
        <c:delete val="0"/>
        <c:axPos val="r"/>
        <c:title>
          <c:layout/>
          <c:overlay val="0"/>
        </c:title>
        <c:numFmt formatCode="#,##0" sourceLinked="0"/>
        <c:majorTickMark val="out"/>
        <c:minorTickMark val="none"/>
        <c:tickLblPos val="nextTo"/>
        <c:crossAx val="259408704"/>
        <c:crosses val="max"/>
        <c:crossBetween val="midCat"/>
      </c:valAx>
      <c:catAx>
        <c:axId val="259408704"/>
        <c:scaling>
          <c:orientation val="minMax"/>
        </c:scaling>
        <c:delete val="1"/>
        <c:axPos val="t"/>
        <c:majorTickMark val="out"/>
        <c:minorTickMark val="none"/>
        <c:tickLblPos val="nextTo"/>
        <c:crossAx val="259408144"/>
        <c:crosses val="autoZero"/>
        <c:auto val="1"/>
        <c:lblAlgn val="ctr"/>
        <c:lblOffset val="100"/>
        <c:noMultiLvlLbl val="0"/>
      </c:catAx>
      <c:spPr>
        <a:ln>
          <a:solidFill>
            <a:schemeClr val="bg1">
              <a:lumMod val="50000"/>
            </a:schemeClr>
          </a:solidFill>
        </a:ln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87285055123319"/>
          <c:y val="0.10855324188835959"/>
          <c:w val="0.81478316694772834"/>
          <c:h val="0.7367368999265772"/>
        </c:manualLayout>
      </c:layout>
      <c:areaChart>
        <c:grouping val="standard"/>
        <c:varyColors val="0"/>
        <c:ser>
          <c:idx val="0"/>
          <c:order val="0"/>
          <c:spPr>
            <a:solidFill>
              <a:schemeClr val="bg1">
                <a:lumMod val="95000"/>
              </a:schemeClr>
            </a:solidFill>
            <a:ln w="38100">
              <a:solidFill>
                <a:schemeClr val="tx1">
                  <a:lumMod val="50000"/>
                  <a:lumOff val="50000"/>
                </a:schemeClr>
              </a:solidFill>
            </a:ln>
          </c:spPr>
          <c:val>
            <c:numRef>
              <c:f>'MCF Model_Atlantic+2 C'!$D$59:$D$70</c:f>
              <c:numCache>
                <c:formatCode>0.0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5.0179999999999998</c:v>
                </c:pt>
                <c:pt idx="5">
                  <c:v>12.002700000000001</c:v>
                </c:pt>
                <c:pt idx="6">
                  <c:v>19.3</c:v>
                </c:pt>
                <c:pt idx="7">
                  <c:v>22.5</c:v>
                </c:pt>
                <c:pt idx="8">
                  <c:v>19.899999999999999</c:v>
                </c:pt>
                <c:pt idx="9">
                  <c:v>15.65</c:v>
                </c:pt>
                <c:pt idx="10">
                  <c:v>8.2446999999999999</c:v>
                </c:pt>
                <c:pt idx="11">
                  <c:v>1.1528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3D-4E9E-BF3A-9F489FCE6546}"/>
            </c:ext>
          </c:extLst>
        </c:ser>
        <c:ser>
          <c:idx val="1"/>
          <c:order val="1"/>
          <c:spPr>
            <a:noFill/>
            <a:ln w="38100">
              <a:solidFill>
                <a:schemeClr val="tx2">
                  <a:lumMod val="60000"/>
                  <a:lumOff val="40000"/>
                </a:schemeClr>
              </a:solidFill>
            </a:ln>
          </c:spPr>
          <c:val>
            <c:numRef>
              <c:f>'MCF Model_Atlantic+2 C'!$D$9:$D$20</c:f>
              <c:numCache>
                <c:formatCode>0.0</c:formatCode>
                <c:ptCount val="12"/>
                <c:pt idx="0">
                  <c:v>-10.151</c:v>
                </c:pt>
                <c:pt idx="1">
                  <c:v>-8.72668</c:v>
                </c:pt>
                <c:pt idx="2">
                  <c:v>-2.7290000000000001</c:v>
                </c:pt>
                <c:pt idx="3">
                  <c:v>5.0179999999999998</c:v>
                </c:pt>
                <c:pt idx="4">
                  <c:v>12.002700000000001</c:v>
                </c:pt>
                <c:pt idx="5">
                  <c:v>19.3</c:v>
                </c:pt>
                <c:pt idx="6">
                  <c:v>22.5</c:v>
                </c:pt>
                <c:pt idx="7">
                  <c:v>19.899999999999999</c:v>
                </c:pt>
                <c:pt idx="8">
                  <c:v>15.65</c:v>
                </c:pt>
                <c:pt idx="9">
                  <c:v>8.2446999999999999</c:v>
                </c:pt>
                <c:pt idx="10">
                  <c:v>1.1528</c:v>
                </c:pt>
                <c:pt idx="11">
                  <c:v>-5.798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3D-4E9E-BF3A-9F489FCE6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410944"/>
        <c:axId val="259411504"/>
      </c:areaChart>
      <c:catAx>
        <c:axId val="259410944"/>
        <c:scaling>
          <c:orientation val="minMax"/>
        </c:scaling>
        <c:delete val="0"/>
        <c:axPos val="b"/>
        <c:majorTickMark val="out"/>
        <c:minorTickMark val="none"/>
        <c:tickLblPos val="nextTo"/>
        <c:crossAx val="259411504"/>
        <c:crosses val="autoZero"/>
        <c:auto val="1"/>
        <c:lblAlgn val="ctr"/>
        <c:lblOffset val="100"/>
        <c:noMultiLvlLbl val="0"/>
      </c:catAx>
      <c:valAx>
        <c:axId val="2594115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CA" sz="1200"/>
                  <a:t>Tempearture</a:t>
                </a:r>
                <a:r>
                  <a:rPr lang="en-CA" sz="1200" baseline="0"/>
                  <a:t>  (°C)</a:t>
                </a:r>
                <a:endParaRPr lang="en-CA" sz="1200"/>
              </a:p>
            </c:rich>
          </c:tx>
          <c:layout>
            <c:manualLayout>
              <c:xMode val="edge"/>
              <c:yMode val="edge"/>
              <c:x val="1.5535707045609803E-2"/>
              <c:y val="0.25770427166239496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259410944"/>
        <c:crosses val="autoZero"/>
        <c:crossBetween val="midCat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87285055123319"/>
          <c:y val="0.10855324188835959"/>
          <c:w val="0.81478316694772834"/>
          <c:h val="0.7367368999265772"/>
        </c:manualLayout>
      </c:layout>
      <c:areaChart>
        <c:grouping val="standard"/>
        <c:varyColors val="0"/>
        <c:ser>
          <c:idx val="1"/>
          <c:order val="0"/>
          <c:spPr>
            <a:noFill/>
            <a:ln w="38100">
              <a:solidFill>
                <a:schemeClr val="tx2">
                  <a:lumMod val="60000"/>
                  <a:lumOff val="40000"/>
                </a:schemeClr>
              </a:solidFill>
            </a:ln>
          </c:spPr>
          <c:val>
            <c:numRef>
              <c:f>'MCF Model_Atlantic+2 C'!$D$9:$D$20</c:f>
              <c:numCache>
                <c:formatCode>0.0</c:formatCode>
                <c:ptCount val="12"/>
                <c:pt idx="0">
                  <c:v>-10.151</c:v>
                </c:pt>
                <c:pt idx="1">
                  <c:v>-8.72668</c:v>
                </c:pt>
                <c:pt idx="2">
                  <c:v>-2.7290000000000001</c:v>
                </c:pt>
                <c:pt idx="3">
                  <c:v>5.0179999999999998</c:v>
                </c:pt>
                <c:pt idx="4">
                  <c:v>12.002700000000001</c:v>
                </c:pt>
                <c:pt idx="5">
                  <c:v>19.3</c:v>
                </c:pt>
                <c:pt idx="6">
                  <c:v>22.5</c:v>
                </c:pt>
                <c:pt idx="7">
                  <c:v>19.899999999999999</c:v>
                </c:pt>
                <c:pt idx="8">
                  <c:v>15.65</c:v>
                </c:pt>
                <c:pt idx="9">
                  <c:v>8.2446999999999999</c:v>
                </c:pt>
                <c:pt idx="10">
                  <c:v>1.1528</c:v>
                </c:pt>
                <c:pt idx="11">
                  <c:v>-5.798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3F-4F2E-8480-3819DFE4F8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410944"/>
        <c:axId val="259411504"/>
      </c:areaChart>
      <c:catAx>
        <c:axId val="259410944"/>
        <c:scaling>
          <c:orientation val="minMax"/>
        </c:scaling>
        <c:delete val="0"/>
        <c:axPos val="b"/>
        <c:majorTickMark val="out"/>
        <c:minorTickMark val="none"/>
        <c:tickLblPos val="nextTo"/>
        <c:crossAx val="259411504"/>
        <c:crosses val="autoZero"/>
        <c:auto val="1"/>
        <c:lblAlgn val="ctr"/>
        <c:lblOffset val="100"/>
        <c:noMultiLvlLbl val="0"/>
      </c:catAx>
      <c:valAx>
        <c:axId val="2594115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CA" sz="1200"/>
                  <a:t>Tempearture</a:t>
                </a:r>
                <a:r>
                  <a:rPr lang="en-CA" sz="1200" baseline="0"/>
                  <a:t>  (°C)</a:t>
                </a:r>
                <a:endParaRPr lang="en-CA" sz="1200"/>
              </a:p>
            </c:rich>
          </c:tx>
          <c:layout>
            <c:manualLayout>
              <c:xMode val="edge"/>
              <c:yMode val="edge"/>
              <c:x val="1.5535707045609803E-2"/>
              <c:y val="0.25770427166239496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259410944"/>
        <c:crosses val="autoZero"/>
        <c:crossBetween val="midCat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Methane Produced (m</a:t>
            </a:r>
            <a:r>
              <a:rPr lang="en-US" sz="1600" baseline="30000"/>
              <a:t>3</a:t>
            </a:r>
            <a:r>
              <a:rPr lang="en-US" sz="1600"/>
              <a:t>) </a:t>
            </a:r>
          </a:p>
        </c:rich>
      </c:tx>
      <c:layout>
        <c:manualLayout>
          <c:xMode val="edge"/>
          <c:yMode val="edge"/>
          <c:x val="0.41052415713603546"/>
          <c:y val="1.7031820600643323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6877826702903864"/>
          <c:y val="0.12786428379418738"/>
          <c:w val="0.7920309109218906"/>
          <c:h val="0.73135995991566194"/>
        </c:manualLayout>
      </c:layout>
      <c:areaChart>
        <c:grouping val="standard"/>
        <c:varyColors val="0"/>
        <c:ser>
          <c:idx val="1"/>
          <c:order val="0"/>
          <c:spPr>
            <a:solidFill>
              <a:schemeClr val="bg1">
                <a:lumMod val="95000"/>
              </a:schemeClr>
            </a:solidFill>
            <a:ln w="38100">
              <a:solidFill>
                <a:schemeClr val="tx1">
                  <a:lumMod val="50000"/>
                  <a:lumOff val="50000"/>
                </a:schemeClr>
              </a:solidFill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val>
            <c:numRef>
              <c:f>'MCF Model_Atlantic'!$M$59:$M$70</c:f>
              <c:numCache>
                <c:formatCode>_-* #,##0_-;\-* #,##0_-;_-* "-"??_-;_-@_-</c:formatCode>
                <c:ptCount val="12"/>
                <c:pt idx="0">
                  <c:v>2.1630431350443042</c:v>
                </c:pt>
                <c:pt idx="1">
                  <c:v>2.5964225046351199</c:v>
                </c:pt>
                <c:pt idx="2">
                  <c:v>3.0212009652646534</c:v>
                </c:pt>
                <c:pt idx="3">
                  <c:v>0.62436952199671369</c:v>
                </c:pt>
                <c:pt idx="4">
                  <c:v>1.8177853038009322</c:v>
                </c:pt>
                <c:pt idx="5">
                  <c:v>6.0176941425387458</c:v>
                </c:pt>
                <c:pt idx="6">
                  <c:v>13.777465738310099</c:v>
                </c:pt>
                <c:pt idx="7">
                  <c:v>22.160638010633377</c:v>
                </c:pt>
                <c:pt idx="8">
                  <c:v>4.3937717432212304</c:v>
                </c:pt>
                <c:pt idx="9">
                  <c:v>5.7435018734053926</c:v>
                </c:pt>
                <c:pt idx="10">
                  <c:v>3.2691841517725413</c:v>
                </c:pt>
                <c:pt idx="11">
                  <c:v>1.7559863588842917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16-4888-B96C-D3F65982C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820112"/>
        <c:axId val="261820672"/>
      </c:areaChart>
      <c:catAx>
        <c:axId val="261820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CA" sz="1200"/>
                  <a:t>Month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61820672"/>
        <c:crosses val="autoZero"/>
        <c:auto val="1"/>
        <c:lblAlgn val="ctr"/>
        <c:lblOffset val="100"/>
        <c:noMultiLvlLbl val="0"/>
      </c:catAx>
      <c:valAx>
        <c:axId val="2618206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Methane</a:t>
                </a:r>
                <a:r>
                  <a:rPr lang="en-US" baseline="0"/>
                  <a:t> (m</a:t>
                </a:r>
                <a:r>
                  <a:rPr lang="en-US" baseline="30000"/>
                  <a:t>3</a:t>
                </a:r>
                <a:r>
                  <a:rPr lang="en-US" baseline="0"/>
                  <a:t>)</a:t>
                </a:r>
                <a:endParaRPr lang="en-US"/>
              </a:p>
            </c:rich>
          </c:tx>
          <c:layout/>
          <c:overlay val="0"/>
        </c:title>
        <c:numFmt formatCode="#,##0" sourceLinked="0"/>
        <c:majorTickMark val="out"/>
        <c:minorTickMark val="none"/>
        <c:tickLblPos val="nextTo"/>
        <c:crossAx val="261820112"/>
        <c:crosses val="autoZero"/>
        <c:crossBetween val="midCat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VS Available (left) &amp; Emptied (right)</a:t>
            </a:r>
          </a:p>
        </c:rich>
      </c:tx>
      <c:layout>
        <c:manualLayout>
          <c:xMode val="edge"/>
          <c:yMode val="edge"/>
          <c:x val="0.25574051199182712"/>
          <c:y val="1.667293694814158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5153202329709173"/>
          <c:y val="0.15436290753973991"/>
          <c:w val="0.71206514578682878"/>
          <c:h val="0.69092718525922359"/>
        </c:manualLayout>
      </c:layout>
      <c:areaChart>
        <c:grouping val="standard"/>
        <c:varyColors val="0"/>
        <c:ser>
          <c:idx val="1"/>
          <c:order val="0"/>
          <c:tx>
            <c:strRef>
              <c:f>'MCF Model_Atlantic'!$K$33</c:f>
              <c:strCache>
                <c:ptCount val="1"/>
                <c:pt idx="0">
                  <c:v>VS "Available"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38100">
              <a:solidFill>
                <a:schemeClr val="tx1">
                  <a:lumMod val="50000"/>
                  <a:lumOff val="50000"/>
                </a:schemeClr>
              </a:solidFill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val>
            <c:numRef>
              <c:f>'MCF Model_Atlantic'!$K$59:$K$70</c:f>
              <c:numCache>
                <c:formatCode>_-* #,##0_-;\-* #,##0_-;_-* "-"??_-;_-@_-</c:formatCode>
                <c:ptCount val="12"/>
                <c:pt idx="0">
                  <c:v>454.12752036010852</c:v>
                </c:pt>
                <c:pt idx="1">
                  <c:v>545.11484063075727</c:v>
                </c:pt>
                <c:pt idx="2">
                  <c:v>634.29641352811097</c:v>
                </c:pt>
                <c:pt idx="3">
                  <c:v>131.08540380864213</c:v>
                </c:pt>
                <c:pt idx="4">
                  <c:v>228.48386413365583</c:v>
                </c:pt>
                <c:pt idx="5">
                  <c:v>320.90975870115199</c:v>
                </c:pt>
                <c:pt idx="6">
                  <c:v>395.83603310724055</c:v>
                </c:pt>
                <c:pt idx="7">
                  <c:v>438.42992586428181</c:v>
                </c:pt>
                <c:pt idx="8">
                  <c:v>117.30469670766547</c:v>
                </c:pt>
                <c:pt idx="9">
                  <c:v>198.99731444424367</c:v>
                </c:pt>
                <c:pt idx="10">
                  <c:v>275.06605663838786</c:v>
                </c:pt>
                <c:pt idx="11">
                  <c:v>361.44445600600227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37-4361-887E-A5DE493FD7D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59407024"/>
        <c:axId val="259407584"/>
      </c:areaChart>
      <c:areaChart>
        <c:grouping val="stacked"/>
        <c:varyColors val="0"/>
        <c:ser>
          <c:idx val="0"/>
          <c:order val="1"/>
          <c:tx>
            <c:strRef>
              <c:f>'MCF Model_Atlantic'!$J$33</c:f>
              <c:strCache>
                <c:ptCount val="1"/>
                <c:pt idx="0">
                  <c:v>VS Emptied</c:v>
                </c:pt>
              </c:strCache>
            </c:strRef>
          </c:tx>
          <c:spPr>
            <a:solidFill>
              <a:schemeClr val="bg1">
                <a:lumMod val="50000"/>
                <a:alpha val="25000"/>
              </a:schemeClr>
            </a:solidFill>
            <a:ln>
              <a:noFill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val>
            <c:numRef>
              <c:f>'MCF Model_Atlantic'!$J$59:$J$70</c:f>
              <c:numCache>
                <c:formatCode>_-* #,##0_-;\-* #,##0_-;_-*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590.6226723641995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328.78923744564395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37-4361-887E-A5DE493FD7D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59408704"/>
        <c:axId val="259408144"/>
      </c:areaChart>
      <c:catAx>
        <c:axId val="259407024"/>
        <c:scaling>
          <c:orientation val="minMax"/>
        </c:scaling>
        <c:delete val="0"/>
        <c:axPos val="b"/>
        <c:majorTickMark val="out"/>
        <c:minorTickMark val="none"/>
        <c:tickLblPos val="nextTo"/>
        <c:crossAx val="259407584"/>
        <c:crosses val="autoZero"/>
        <c:auto val="1"/>
        <c:lblAlgn val="ctr"/>
        <c:lblOffset val="100"/>
        <c:noMultiLvlLbl val="0"/>
      </c:catAx>
      <c:valAx>
        <c:axId val="2594075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VS (kg)</a:t>
                </a:r>
              </a:p>
            </c:rich>
          </c:tx>
          <c:layout/>
          <c:overlay val="0"/>
        </c:title>
        <c:numFmt formatCode="#,##0" sourceLinked="0"/>
        <c:majorTickMark val="out"/>
        <c:minorTickMark val="none"/>
        <c:tickLblPos val="nextTo"/>
        <c:crossAx val="259407024"/>
        <c:crosses val="autoZero"/>
        <c:crossBetween val="midCat"/>
      </c:valAx>
      <c:valAx>
        <c:axId val="259408144"/>
        <c:scaling>
          <c:orientation val="maxMin"/>
        </c:scaling>
        <c:delete val="0"/>
        <c:axPos val="r"/>
        <c:title>
          <c:layout/>
          <c:overlay val="0"/>
        </c:title>
        <c:numFmt formatCode="#,##0" sourceLinked="0"/>
        <c:majorTickMark val="out"/>
        <c:minorTickMark val="none"/>
        <c:tickLblPos val="nextTo"/>
        <c:crossAx val="259408704"/>
        <c:crosses val="max"/>
        <c:crossBetween val="midCat"/>
      </c:valAx>
      <c:catAx>
        <c:axId val="259408704"/>
        <c:scaling>
          <c:orientation val="minMax"/>
        </c:scaling>
        <c:delete val="1"/>
        <c:axPos val="t"/>
        <c:majorTickMark val="out"/>
        <c:minorTickMark val="none"/>
        <c:tickLblPos val="nextTo"/>
        <c:crossAx val="259408144"/>
        <c:crosses val="autoZero"/>
        <c:auto val="1"/>
        <c:lblAlgn val="ctr"/>
        <c:lblOffset val="100"/>
        <c:noMultiLvlLbl val="0"/>
      </c:catAx>
      <c:spPr>
        <a:ln>
          <a:solidFill>
            <a:schemeClr val="bg1">
              <a:lumMod val="50000"/>
            </a:schemeClr>
          </a:solidFill>
        </a:ln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87285055123319"/>
          <c:y val="0.10855324188835959"/>
          <c:w val="0.81478316694772834"/>
          <c:h val="0.7367368999265772"/>
        </c:manualLayout>
      </c:layout>
      <c:areaChart>
        <c:grouping val="standard"/>
        <c:varyColors val="0"/>
        <c:ser>
          <c:idx val="0"/>
          <c:order val="0"/>
          <c:spPr>
            <a:solidFill>
              <a:schemeClr val="bg1">
                <a:lumMod val="95000"/>
              </a:schemeClr>
            </a:solidFill>
            <a:ln w="38100">
              <a:solidFill>
                <a:schemeClr val="tx1">
                  <a:lumMod val="50000"/>
                  <a:lumOff val="50000"/>
                </a:schemeClr>
              </a:solidFill>
            </a:ln>
          </c:spPr>
          <c:val>
            <c:numRef>
              <c:f>'MCF Model_Atlantic'!$D$59:$D$70</c:f>
              <c:numCache>
                <c:formatCode>0.0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5.0179999999999998</c:v>
                </c:pt>
                <c:pt idx="5">
                  <c:v>12.002700000000001</c:v>
                </c:pt>
                <c:pt idx="6">
                  <c:v>17.263000000000002</c:v>
                </c:pt>
                <c:pt idx="7">
                  <c:v>20.530999999999999</c:v>
                </c:pt>
                <c:pt idx="8">
                  <c:v>17.899999999999999</c:v>
                </c:pt>
                <c:pt idx="9">
                  <c:v>15.65</c:v>
                </c:pt>
                <c:pt idx="10">
                  <c:v>8.2446999999999999</c:v>
                </c:pt>
                <c:pt idx="11">
                  <c:v>1.1528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D7-45F0-B0A7-D6B4A6FD06AA}"/>
            </c:ext>
          </c:extLst>
        </c:ser>
        <c:ser>
          <c:idx val="1"/>
          <c:order val="1"/>
          <c:spPr>
            <a:noFill/>
            <a:ln w="38100">
              <a:solidFill>
                <a:schemeClr val="tx2">
                  <a:lumMod val="60000"/>
                  <a:lumOff val="40000"/>
                </a:schemeClr>
              </a:solidFill>
            </a:ln>
          </c:spPr>
          <c:val>
            <c:numRef>
              <c:f>'MCF Model_Atlantic'!$D$9:$D$20</c:f>
              <c:numCache>
                <c:formatCode>0.0</c:formatCode>
                <c:ptCount val="12"/>
                <c:pt idx="0">
                  <c:v>-10.151</c:v>
                </c:pt>
                <c:pt idx="1">
                  <c:v>-8.72668</c:v>
                </c:pt>
                <c:pt idx="2">
                  <c:v>-2.7290000000000001</c:v>
                </c:pt>
                <c:pt idx="3">
                  <c:v>5.0179999999999998</c:v>
                </c:pt>
                <c:pt idx="4">
                  <c:v>12.002700000000001</c:v>
                </c:pt>
                <c:pt idx="5">
                  <c:v>17.263000000000002</c:v>
                </c:pt>
                <c:pt idx="6">
                  <c:v>20.530999999999999</c:v>
                </c:pt>
                <c:pt idx="7">
                  <c:v>17.899999999999999</c:v>
                </c:pt>
                <c:pt idx="8" formatCode="0">
                  <c:v>15.65</c:v>
                </c:pt>
                <c:pt idx="9">
                  <c:v>8.2446999999999999</c:v>
                </c:pt>
                <c:pt idx="10">
                  <c:v>1.1528</c:v>
                </c:pt>
                <c:pt idx="11">
                  <c:v>-5.798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D7-45F0-B0A7-D6B4A6FD0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410944"/>
        <c:axId val="259411504"/>
      </c:areaChart>
      <c:catAx>
        <c:axId val="259410944"/>
        <c:scaling>
          <c:orientation val="minMax"/>
        </c:scaling>
        <c:delete val="0"/>
        <c:axPos val="b"/>
        <c:majorTickMark val="out"/>
        <c:minorTickMark val="none"/>
        <c:tickLblPos val="nextTo"/>
        <c:crossAx val="259411504"/>
        <c:crosses val="autoZero"/>
        <c:auto val="1"/>
        <c:lblAlgn val="ctr"/>
        <c:lblOffset val="100"/>
        <c:noMultiLvlLbl val="0"/>
      </c:catAx>
      <c:valAx>
        <c:axId val="2594115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CA" sz="1200"/>
                  <a:t>Tempearture</a:t>
                </a:r>
                <a:r>
                  <a:rPr lang="en-CA" sz="1200" baseline="0"/>
                  <a:t>  (°C)</a:t>
                </a:r>
                <a:endParaRPr lang="en-CA" sz="1200"/>
              </a:p>
            </c:rich>
          </c:tx>
          <c:layout>
            <c:manualLayout>
              <c:xMode val="edge"/>
              <c:yMode val="edge"/>
              <c:x val="1.5535707045609803E-2"/>
              <c:y val="0.25770427166239496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259410944"/>
        <c:crosses val="autoZero"/>
        <c:crossBetween val="midCat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87285055123319"/>
          <c:y val="0.10855324188835959"/>
          <c:w val="0.81478316694772834"/>
          <c:h val="0.7367368999265772"/>
        </c:manualLayout>
      </c:layout>
      <c:areaChart>
        <c:grouping val="standard"/>
        <c:varyColors val="0"/>
        <c:ser>
          <c:idx val="1"/>
          <c:order val="0"/>
          <c:spPr>
            <a:noFill/>
            <a:ln w="38100">
              <a:solidFill>
                <a:schemeClr val="tx2">
                  <a:lumMod val="60000"/>
                  <a:lumOff val="40000"/>
                </a:schemeClr>
              </a:solidFill>
            </a:ln>
          </c:spPr>
          <c:val>
            <c:numRef>
              <c:f>'MCF Model_Atlantic'!$D$9:$D$20</c:f>
              <c:numCache>
                <c:formatCode>0.0</c:formatCode>
                <c:ptCount val="12"/>
                <c:pt idx="0">
                  <c:v>-10.151</c:v>
                </c:pt>
                <c:pt idx="1">
                  <c:v>-8.72668</c:v>
                </c:pt>
                <c:pt idx="2">
                  <c:v>-2.7290000000000001</c:v>
                </c:pt>
                <c:pt idx="3">
                  <c:v>5.0179999999999998</c:v>
                </c:pt>
                <c:pt idx="4">
                  <c:v>12.002700000000001</c:v>
                </c:pt>
                <c:pt idx="5">
                  <c:v>17.263000000000002</c:v>
                </c:pt>
                <c:pt idx="6">
                  <c:v>20.530999999999999</c:v>
                </c:pt>
                <c:pt idx="7">
                  <c:v>17.899999999999999</c:v>
                </c:pt>
                <c:pt idx="8" formatCode="0">
                  <c:v>15.65</c:v>
                </c:pt>
                <c:pt idx="9">
                  <c:v>8.2446999999999999</c:v>
                </c:pt>
                <c:pt idx="10">
                  <c:v>1.1528</c:v>
                </c:pt>
                <c:pt idx="11">
                  <c:v>-5.798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66-46C1-9934-BCCF2BD94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410944"/>
        <c:axId val="259411504"/>
      </c:areaChart>
      <c:catAx>
        <c:axId val="259410944"/>
        <c:scaling>
          <c:orientation val="minMax"/>
        </c:scaling>
        <c:delete val="0"/>
        <c:axPos val="b"/>
        <c:majorTickMark val="out"/>
        <c:minorTickMark val="none"/>
        <c:tickLblPos val="nextTo"/>
        <c:crossAx val="259411504"/>
        <c:crosses val="autoZero"/>
        <c:auto val="1"/>
        <c:lblAlgn val="ctr"/>
        <c:lblOffset val="100"/>
        <c:noMultiLvlLbl val="0"/>
      </c:catAx>
      <c:valAx>
        <c:axId val="2594115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CA" sz="1200"/>
                  <a:t>Tempearture</a:t>
                </a:r>
                <a:r>
                  <a:rPr lang="en-CA" sz="1200" baseline="0"/>
                  <a:t>  (°C)</a:t>
                </a:r>
                <a:endParaRPr lang="en-CA" sz="1200"/>
              </a:p>
            </c:rich>
          </c:tx>
          <c:layout>
            <c:manualLayout>
              <c:xMode val="edge"/>
              <c:yMode val="edge"/>
              <c:x val="1.5535707045609803E-2"/>
              <c:y val="0.25770427166239496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259410944"/>
        <c:crosses val="autoZero"/>
        <c:crossBetween val="midCat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638735</xdr:colOff>
      <xdr:row>59</xdr:row>
      <xdr:rowOff>44822</xdr:rowOff>
    </xdr:from>
    <xdr:to>
      <xdr:col>17</xdr:col>
      <xdr:colOff>1165412</xdr:colOff>
      <xdr:row>73</xdr:row>
      <xdr:rowOff>112057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661146</xdr:colOff>
      <xdr:row>45</xdr:row>
      <xdr:rowOff>11205</xdr:rowOff>
    </xdr:from>
    <xdr:to>
      <xdr:col>18</xdr:col>
      <xdr:colOff>537882</xdr:colOff>
      <xdr:row>59</xdr:row>
      <xdr:rowOff>116542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795615</xdr:colOff>
      <xdr:row>32</xdr:row>
      <xdr:rowOff>44824</xdr:rowOff>
    </xdr:from>
    <xdr:to>
      <xdr:col>18</xdr:col>
      <xdr:colOff>44823</xdr:colOff>
      <xdr:row>45</xdr:row>
      <xdr:rowOff>11205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285750</xdr:colOff>
      <xdr:row>32</xdr:row>
      <xdr:rowOff>63500</xdr:rowOff>
    </xdr:from>
    <xdr:to>
      <xdr:col>28</xdr:col>
      <xdr:colOff>138208</xdr:colOff>
      <xdr:row>45</xdr:row>
      <xdr:rowOff>29881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1466273</xdr:colOff>
      <xdr:row>44</xdr:row>
      <xdr:rowOff>34636</xdr:rowOff>
    </xdr:from>
    <xdr:to>
      <xdr:col>17</xdr:col>
      <xdr:colOff>508000</xdr:colOff>
      <xdr:row>48</xdr:row>
      <xdr:rowOff>20780</xdr:rowOff>
    </xdr:to>
    <xdr:sp macro="" textlink="">
      <xdr:nvSpPr>
        <xdr:cNvPr id="6" name="TextBox 10"/>
        <xdr:cNvSpPr txBox="1"/>
      </xdr:nvSpPr>
      <xdr:spPr>
        <a:xfrm>
          <a:off x="18674773" y="9083386"/>
          <a:ext cx="4051877" cy="7227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CA" sz="16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Thrice removals,</a:t>
          </a:r>
          <a:r>
            <a:rPr lang="en-CA" sz="16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1600" baseline="0">
              <a:latin typeface="Arial" panose="020B0604020202020204" pitchFamily="34" charset="0"/>
              <a:cs typeface="Arial" panose="020B0604020202020204" pitchFamily="34" charset="0"/>
            </a:rPr>
            <a:t>MCF: 0.18</a:t>
          </a:r>
          <a:r>
            <a:rPr lang="en-US" sz="160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0.79086</cdr:x>
      <cdr:y>0.18236</cdr:y>
    </cdr:from>
    <cdr:to>
      <cdr:x>0.93804</cdr:x>
      <cdr:y>0.42311</cdr:y>
    </cdr:to>
    <cdr:sp macro="" textlink="">
      <cdr:nvSpPr>
        <cdr:cNvPr id="2" name="TextBox 9"/>
        <cdr:cNvSpPr txBox="1"/>
      </cdr:nvSpPr>
      <cdr:spPr>
        <a:xfrm xmlns:a="http://schemas.openxmlformats.org/drawingml/2006/main">
          <a:off x="4172528" y="431800"/>
          <a:ext cx="776517" cy="5700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latin typeface="Arial" panose="020B0604020202020204" pitchFamily="34" charset="0"/>
              <a:cs typeface="Arial" panose="020B0604020202020204" pitchFamily="34" charset="0"/>
            </a:rPr>
            <a:t>Tm</a:t>
          </a:r>
        </a:p>
      </cdr:txBody>
    </cdr:sp>
  </cdr:relSizeAnchor>
  <cdr:relSizeAnchor xmlns:cdr="http://schemas.openxmlformats.org/drawingml/2006/chartDrawing">
    <cdr:from>
      <cdr:x>0.21314</cdr:x>
      <cdr:y>0.68458</cdr:y>
    </cdr:from>
    <cdr:to>
      <cdr:x>0.36058</cdr:x>
      <cdr:y>0.92533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124527" y="1620982"/>
          <a:ext cx="777875" cy="5700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latin typeface="Arial" panose="020B0604020202020204" pitchFamily="34" charset="0"/>
              <a:cs typeface="Arial" panose="020B0604020202020204" pitchFamily="34" charset="0"/>
            </a:rPr>
            <a:t>Ta</a:t>
          </a:r>
        </a:p>
      </cdr:txBody>
    </cdr:sp>
  </cdr:relSizeAnchor>
  <cdr:relSizeAnchor xmlns:cdr="http://schemas.openxmlformats.org/drawingml/2006/chartDrawing">
    <cdr:from>
      <cdr:x>0.14749</cdr:x>
      <cdr:y>0.0117</cdr:y>
    </cdr:from>
    <cdr:to>
      <cdr:x>0.66432</cdr:x>
      <cdr:y>0.31791</cdr:y>
    </cdr:to>
    <cdr:sp macro="" textlink="">
      <cdr:nvSpPr>
        <cdr:cNvPr id="4" name="TextBox 10"/>
        <cdr:cNvSpPr txBox="1"/>
      </cdr:nvSpPr>
      <cdr:spPr>
        <a:xfrm xmlns:a="http://schemas.openxmlformats.org/drawingml/2006/main">
          <a:off x="778164" y="27709"/>
          <a:ext cx="2726747" cy="7250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CA" sz="20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Atlantic</a:t>
          </a:r>
          <a:r>
            <a:rPr lang="en-US" sz="2000" baseline="0">
              <a:latin typeface="Arial" panose="020B0604020202020204" pitchFamily="34" charset="0"/>
              <a:cs typeface="Arial" panose="020B0604020202020204" pitchFamily="34" charset="0"/>
            </a:rPr>
            <a:t> Canada</a:t>
          </a:r>
          <a:br>
            <a:rPr lang="en-US" sz="20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2000" baseline="0">
              <a:latin typeface="Arial" panose="020B0604020202020204" pitchFamily="34" charset="0"/>
              <a:cs typeface="Arial" panose="020B0604020202020204" pitchFamily="34" charset="0"/>
            </a:rPr>
            <a:t>MCF: 0.26</a:t>
          </a:r>
          <a:r>
            <a:rPr lang="en-US" sz="200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638735</xdr:colOff>
      <xdr:row>59</xdr:row>
      <xdr:rowOff>44822</xdr:rowOff>
    </xdr:from>
    <xdr:to>
      <xdr:col>17</xdr:col>
      <xdr:colOff>1165412</xdr:colOff>
      <xdr:row>73</xdr:row>
      <xdr:rowOff>112057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661146</xdr:colOff>
      <xdr:row>45</xdr:row>
      <xdr:rowOff>11205</xdr:rowOff>
    </xdr:from>
    <xdr:to>
      <xdr:col>18</xdr:col>
      <xdr:colOff>537882</xdr:colOff>
      <xdr:row>59</xdr:row>
      <xdr:rowOff>116542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795615</xdr:colOff>
      <xdr:row>32</xdr:row>
      <xdr:rowOff>44824</xdr:rowOff>
    </xdr:from>
    <xdr:to>
      <xdr:col>18</xdr:col>
      <xdr:colOff>44823</xdr:colOff>
      <xdr:row>45</xdr:row>
      <xdr:rowOff>11205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285750</xdr:colOff>
      <xdr:row>32</xdr:row>
      <xdr:rowOff>63500</xdr:rowOff>
    </xdr:from>
    <xdr:to>
      <xdr:col>28</xdr:col>
      <xdr:colOff>138208</xdr:colOff>
      <xdr:row>45</xdr:row>
      <xdr:rowOff>29881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1466273</xdr:colOff>
      <xdr:row>44</xdr:row>
      <xdr:rowOff>34636</xdr:rowOff>
    </xdr:from>
    <xdr:to>
      <xdr:col>17</xdr:col>
      <xdr:colOff>508000</xdr:colOff>
      <xdr:row>48</xdr:row>
      <xdr:rowOff>20780</xdr:rowOff>
    </xdr:to>
    <xdr:sp macro="" textlink="">
      <xdr:nvSpPr>
        <xdr:cNvPr id="18" name="TextBox 10"/>
        <xdr:cNvSpPr txBox="1"/>
      </xdr:nvSpPr>
      <xdr:spPr>
        <a:xfrm>
          <a:off x="18703637" y="9120909"/>
          <a:ext cx="4052454" cy="7250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CA" sz="16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Thrice removals,</a:t>
          </a:r>
          <a:r>
            <a:rPr lang="en-CA" sz="16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1600" baseline="0">
              <a:latin typeface="Arial" panose="020B0604020202020204" pitchFamily="34" charset="0"/>
              <a:cs typeface="Arial" panose="020B0604020202020204" pitchFamily="34" charset="0"/>
            </a:rPr>
            <a:t>MCF: 0.18</a:t>
          </a:r>
          <a:r>
            <a:rPr lang="en-US" sz="160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0.79086</cdr:x>
      <cdr:y>0.18236</cdr:y>
    </cdr:from>
    <cdr:to>
      <cdr:x>0.93804</cdr:x>
      <cdr:y>0.42311</cdr:y>
    </cdr:to>
    <cdr:sp macro="" textlink="">
      <cdr:nvSpPr>
        <cdr:cNvPr id="2" name="TextBox 9"/>
        <cdr:cNvSpPr txBox="1"/>
      </cdr:nvSpPr>
      <cdr:spPr>
        <a:xfrm xmlns:a="http://schemas.openxmlformats.org/drawingml/2006/main">
          <a:off x="4172528" y="431800"/>
          <a:ext cx="776517" cy="5700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latin typeface="Arial" panose="020B0604020202020204" pitchFamily="34" charset="0"/>
              <a:cs typeface="Arial" panose="020B0604020202020204" pitchFamily="34" charset="0"/>
            </a:rPr>
            <a:t>Tm</a:t>
          </a:r>
        </a:p>
      </cdr:txBody>
    </cdr:sp>
  </cdr:relSizeAnchor>
  <cdr:relSizeAnchor xmlns:cdr="http://schemas.openxmlformats.org/drawingml/2006/chartDrawing">
    <cdr:from>
      <cdr:x>0.21314</cdr:x>
      <cdr:y>0.68458</cdr:y>
    </cdr:from>
    <cdr:to>
      <cdr:x>0.36058</cdr:x>
      <cdr:y>0.92533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124527" y="1620982"/>
          <a:ext cx="777875" cy="5700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latin typeface="Arial" panose="020B0604020202020204" pitchFamily="34" charset="0"/>
              <a:cs typeface="Arial" panose="020B0604020202020204" pitchFamily="34" charset="0"/>
            </a:rPr>
            <a:t>Ta</a:t>
          </a:r>
        </a:p>
      </cdr:txBody>
    </cdr:sp>
  </cdr:relSizeAnchor>
  <cdr:relSizeAnchor xmlns:cdr="http://schemas.openxmlformats.org/drawingml/2006/chartDrawing">
    <cdr:from>
      <cdr:x>0.14749</cdr:x>
      <cdr:y>0.0117</cdr:y>
    </cdr:from>
    <cdr:to>
      <cdr:x>0.66432</cdr:x>
      <cdr:y>0.31791</cdr:y>
    </cdr:to>
    <cdr:sp macro="" textlink="">
      <cdr:nvSpPr>
        <cdr:cNvPr id="4" name="TextBox 10"/>
        <cdr:cNvSpPr txBox="1"/>
      </cdr:nvSpPr>
      <cdr:spPr>
        <a:xfrm xmlns:a="http://schemas.openxmlformats.org/drawingml/2006/main">
          <a:off x="778164" y="27709"/>
          <a:ext cx="2726747" cy="7250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CA" sz="20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Atlantic</a:t>
          </a:r>
          <a:r>
            <a:rPr lang="en-US" sz="2000" baseline="0">
              <a:latin typeface="Arial" panose="020B0604020202020204" pitchFamily="34" charset="0"/>
              <a:cs typeface="Arial" panose="020B0604020202020204" pitchFamily="34" charset="0"/>
            </a:rPr>
            <a:t> Canada</a:t>
          </a:r>
          <a:br>
            <a:rPr lang="en-US" sz="20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2000" baseline="0">
              <a:latin typeface="Arial" panose="020B0604020202020204" pitchFamily="34" charset="0"/>
              <a:cs typeface="Arial" panose="020B0604020202020204" pitchFamily="34" charset="0"/>
            </a:rPr>
            <a:t>MCF: 0.24</a:t>
          </a:r>
          <a:r>
            <a:rPr lang="en-US" sz="200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74"/>
  <sheetViews>
    <sheetView showGridLines="0" tabSelected="1" topLeftCell="A7" zoomScale="55" zoomScaleNormal="55" workbookViewId="0">
      <selection activeCell="D19" sqref="D19"/>
    </sheetView>
  </sheetViews>
  <sheetFormatPr defaultRowHeight="14.5"/>
  <cols>
    <col min="1" max="1" width="2.7265625" customWidth="1"/>
    <col min="2" max="2" width="14.26953125" customWidth="1"/>
    <col min="3" max="4" width="15" customWidth="1"/>
    <col min="5" max="5" width="18.54296875" customWidth="1"/>
    <col min="6" max="6" width="20.26953125" customWidth="1"/>
    <col min="7" max="7" width="23.26953125" customWidth="1"/>
    <col min="8" max="8" width="18.81640625" bestFit="1" customWidth="1"/>
    <col min="9" max="9" width="18" customWidth="1"/>
    <col min="10" max="10" width="15.453125" bestFit="1" customWidth="1"/>
    <col min="11" max="11" width="37.26953125" customWidth="1"/>
    <col min="12" max="12" width="14.54296875" customWidth="1"/>
    <col min="13" max="13" width="33.1796875" customWidth="1"/>
    <col min="14" max="14" width="22.26953125" customWidth="1"/>
    <col min="15" max="15" width="24.453125" customWidth="1"/>
    <col min="16" max="16" width="7.453125" customWidth="1"/>
    <col min="17" max="17" width="17.54296875" bestFit="1" customWidth="1"/>
    <col min="18" max="18" width="14.54296875" customWidth="1"/>
  </cols>
  <sheetData>
    <row r="2" spans="2:17" ht="34.9" customHeight="1">
      <c r="B2" s="113" t="s">
        <v>0</v>
      </c>
      <c r="C2" s="114" t="s">
        <v>1</v>
      </c>
      <c r="D2" s="116" t="s">
        <v>2</v>
      </c>
      <c r="E2" s="118" t="s">
        <v>3</v>
      </c>
      <c r="F2" s="120" t="s">
        <v>4</v>
      </c>
      <c r="O2" s="100">
        <v>43235</v>
      </c>
    </row>
    <row r="3" spans="2:17" ht="38.5" customHeight="1">
      <c r="B3" s="113"/>
      <c r="C3" s="115"/>
      <c r="D3" s="117"/>
      <c r="E3" s="119"/>
      <c r="F3" s="121"/>
      <c r="O3" s="101" t="s">
        <v>5</v>
      </c>
    </row>
    <row r="4" spans="2:17" ht="15" thickBot="1"/>
    <row r="5" spans="2:17" ht="21">
      <c r="B5" s="21" t="s">
        <v>6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3"/>
      <c r="Q5" s="102" t="s">
        <v>7</v>
      </c>
    </row>
    <row r="6" spans="2:17">
      <c r="B6" s="7"/>
      <c r="D6" s="4" t="s">
        <v>8</v>
      </c>
      <c r="E6" s="3" t="s">
        <v>9</v>
      </c>
      <c r="H6" s="28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/>
      <c r="N6" s="1" t="s">
        <v>15</v>
      </c>
      <c r="O6" s="8" t="s">
        <v>16</v>
      </c>
      <c r="P6" s="2"/>
      <c r="Q6" s="103"/>
    </row>
    <row r="7" spans="2:17">
      <c r="B7" s="7"/>
      <c r="C7" s="3"/>
      <c r="D7" s="47" t="s">
        <v>17</v>
      </c>
      <c r="E7" s="3" t="s">
        <v>17</v>
      </c>
      <c r="F7" s="3" t="s">
        <v>9</v>
      </c>
      <c r="H7" s="29" t="s">
        <v>18</v>
      </c>
      <c r="I7" s="6">
        <v>1200</v>
      </c>
      <c r="J7" t="s">
        <v>19</v>
      </c>
      <c r="K7" s="12" t="s">
        <v>20</v>
      </c>
      <c r="L7" s="12" t="s">
        <v>21</v>
      </c>
      <c r="N7" s="3" t="s">
        <v>22</v>
      </c>
      <c r="O7" s="9" t="s">
        <v>23</v>
      </c>
      <c r="Q7" s="105" t="s">
        <v>24</v>
      </c>
    </row>
    <row r="8" spans="2:17">
      <c r="B8" s="10" t="s">
        <v>25</v>
      </c>
      <c r="C8" s="1" t="s">
        <v>25</v>
      </c>
      <c r="D8" s="46" t="s">
        <v>26</v>
      </c>
      <c r="E8" s="39" t="s">
        <v>26</v>
      </c>
      <c r="F8" s="3" t="s">
        <v>27</v>
      </c>
      <c r="G8" s="3"/>
      <c r="H8" s="29" t="s">
        <v>28</v>
      </c>
      <c r="I8" s="35">
        <v>1</v>
      </c>
      <c r="J8" t="s">
        <v>29</v>
      </c>
      <c r="K8" s="12" t="s">
        <v>20</v>
      </c>
      <c r="L8" s="12" t="s">
        <v>30</v>
      </c>
      <c r="N8" s="33">
        <v>1</v>
      </c>
      <c r="O8" s="11" t="s">
        <v>31</v>
      </c>
      <c r="Q8" s="106" t="s">
        <v>8</v>
      </c>
    </row>
    <row r="9" spans="2:17">
      <c r="B9" s="7" t="s">
        <v>32</v>
      </c>
      <c r="C9" s="2">
        <v>1</v>
      </c>
      <c r="D9" s="40">
        <v>-10.151</v>
      </c>
      <c r="E9" s="89">
        <f>IF($D$6="Manure",D9,IF($F$21=1,MAX(D20-f_T2damping,f_Tmin),MAX(D20,f_Tmin)))</f>
        <v>1</v>
      </c>
      <c r="F9" s="41" t="s">
        <v>33</v>
      </c>
      <c r="G9" s="3"/>
      <c r="H9" s="29"/>
      <c r="K9" s="12"/>
      <c r="L9" s="12" t="s">
        <v>34</v>
      </c>
      <c r="N9" s="3"/>
      <c r="O9" s="9"/>
      <c r="P9" s="3"/>
      <c r="Q9" s="107" t="s">
        <v>9</v>
      </c>
    </row>
    <row r="10" spans="2:17">
      <c r="B10" s="7" t="s">
        <v>35</v>
      </c>
      <c r="C10" s="2">
        <v>2</v>
      </c>
      <c r="D10" s="42">
        <v>-8.72668</v>
      </c>
      <c r="E10" s="90">
        <f t="shared" ref="E10:E20" si="0">IF($D$6="Manure",D10,IF($F$21=1,MAX(D9-f_T2damping,f_Tmin),MAX(D9,f_Tmin)))</f>
        <v>1</v>
      </c>
      <c r="F10" s="44" t="s">
        <v>33</v>
      </c>
      <c r="G10" s="3"/>
      <c r="H10" s="30" t="s">
        <v>36</v>
      </c>
      <c r="I10" s="34" t="s">
        <v>37</v>
      </c>
      <c r="K10" s="12" t="s">
        <v>38</v>
      </c>
      <c r="L10" s="12"/>
      <c r="M10" s="3"/>
      <c r="N10" s="3"/>
      <c r="O10" s="9"/>
      <c r="P10" s="3"/>
      <c r="Q10" s="104"/>
    </row>
    <row r="11" spans="2:17">
      <c r="B11" s="7" t="s">
        <v>39</v>
      </c>
      <c r="C11" s="2">
        <v>3</v>
      </c>
      <c r="D11" s="42">
        <v>-2.7290000000000001</v>
      </c>
      <c r="E11" s="90">
        <f t="shared" si="0"/>
        <v>1</v>
      </c>
      <c r="F11" s="44" t="s">
        <v>33</v>
      </c>
      <c r="G11" s="3"/>
      <c r="H11" s="31" t="s">
        <v>40</v>
      </c>
      <c r="I11" s="27">
        <v>308.16000000000003</v>
      </c>
      <c r="J11" t="s">
        <v>41</v>
      </c>
      <c r="K11" s="12" t="s">
        <v>42</v>
      </c>
      <c r="L11" s="12"/>
      <c r="M11" s="3"/>
      <c r="N11" s="3">
        <v>308.16000000000003</v>
      </c>
      <c r="O11" s="9" t="s">
        <v>43</v>
      </c>
      <c r="P11" s="3"/>
      <c r="Q11" s="105" t="s">
        <v>44</v>
      </c>
    </row>
    <row r="12" spans="2:17">
      <c r="B12" s="7" t="s">
        <v>45</v>
      </c>
      <c r="C12" s="2">
        <v>4</v>
      </c>
      <c r="D12" s="42">
        <v>5.0179999999999998</v>
      </c>
      <c r="E12" s="90">
        <f t="shared" si="0"/>
        <v>1</v>
      </c>
      <c r="F12" s="44" t="s">
        <v>50</v>
      </c>
      <c r="G12" s="3"/>
      <c r="H12" s="31" t="s">
        <v>46</v>
      </c>
      <c r="I12" s="97" t="s">
        <v>47</v>
      </c>
      <c r="J12" t="s">
        <v>48</v>
      </c>
      <c r="K12" s="12" t="s">
        <v>20</v>
      </c>
      <c r="L12" s="12" t="s">
        <v>49</v>
      </c>
      <c r="M12" s="3"/>
      <c r="N12" s="3" t="s">
        <v>22</v>
      </c>
      <c r="O12" s="9" t="s">
        <v>22</v>
      </c>
      <c r="P12" s="3"/>
      <c r="Q12" s="106" t="s">
        <v>50</v>
      </c>
    </row>
    <row r="13" spans="2:17" ht="15" thickBot="1">
      <c r="B13" s="7" t="s">
        <v>51</v>
      </c>
      <c r="C13" s="2">
        <v>5</v>
      </c>
      <c r="D13" s="42">
        <v>12.002700000000001</v>
      </c>
      <c r="E13" s="90">
        <f t="shared" si="0"/>
        <v>5.0179999999999998</v>
      </c>
      <c r="F13" s="44" t="s">
        <v>33</v>
      </c>
      <c r="G13" s="3"/>
      <c r="H13" s="31" t="s">
        <v>52</v>
      </c>
      <c r="I13" s="27">
        <v>19347</v>
      </c>
      <c r="J13" t="s">
        <v>53</v>
      </c>
      <c r="K13" s="12" t="s">
        <v>54</v>
      </c>
      <c r="L13" s="12" t="s">
        <v>55</v>
      </c>
      <c r="M13" s="3"/>
      <c r="N13" s="3">
        <v>19347</v>
      </c>
      <c r="O13" s="9" t="s">
        <v>56</v>
      </c>
      <c r="P13" s="3"/>
      <c r="Q13" s="108" t="s">
        <v>33</v>
      </c>
    </row>
    <row r="14" spans="2:17">
      <c r="B14" s="7" t="s">
        <v>57</v>
      </c>
      <c r="C14" s="2">
        <v>6</v>
      </c>
      <c r="D14" s="42">
        <v>19.3</v>
      </c>
      <c r="E14" s="90">
        <f t="shared" si="0"/>
        <v>12.002700000000001</v>
      </c>
      <c r="F14" s="44" t="s">
        <v>33</v>
      </c>
      <c r="G14" s="3"/>
      <c r="H14" s="31" t="s">
        <v>58</v>
      </c>
      <c r="I14" s="27">
        <v>1.9870000000000001</v>
      </c>
      <c r="J14" t="s">
        <v>59</v>
      </c>
      <c r="K14" s="12" t="s">
        <v>60</v>
      </c>
      <c r="L14" s="12"/>
      <c r="M14" s="3"/>
      <c r="N14" s="3">
        <v>1.9870000000000001</v>
      </c>
      <c r="O14" s="9" t="s">
        <v>61</v>
      </c>
      <c r="P14" s="3"/>
    </row>
    <row r="15" spans="2:17">
      <c r="B15" s="7" t="s">
        <v>62</v>
      </c>
      <c r="C15" s="2">
        <v>7</v>
      </c>
      <c r="D15" s="42">
        <v>22.5</v>
      </c>
      <c r="E15" s="90">
        <f t="shared" si="0"/>
        <v>19.3</v>
      </c>
      <c r="F15" s="44" t="s">
        <v>127</v>
      </c>
      <c r="G15" s="3"/>
      <c r="H15" s="31" t="s">
        <v>63</v>
      </c>
      <c r="I15" s="48">
        <v>1</v>
      </c>
      <c r="J15" t="s">
        <v>64</v>
      </c>
      <c r="K15" s="12" t="s">
        <v>65</v>
      </c>
      <c r="L15" s="12" t="s">
        <v>66</v>
      </c>
      <c r="M15" s="3"/>
      <c r="N15" s="16">
        <v>1</v>
      </c>
      <c r="O15" s="13" t="s">
        <v>67</v>
      </c>
      <c r="P15" s="3"/>
    </row>
    <row r="16" spans="2:17">
      <c r="B16" s="7" t="s">
        <v>68</v>
      </c>
      <c r="C16" s="2">
        <v>8</v>
      </c>
      <c r="D16" s="42">
        <v>19.899999999999999</v>
      </c>
      <c r="E16" s="90">
        <f t="shared" si="0"/>
        <v>22.5</v>
      </c>
      <c r="F16" s="44" t="s">
        <v>33</v>
      </c>
      <c r="G16" s="3"/>
      <c r="H16" s="31" t="s">
        <v>69</v>
      </c>
      <c r="I16" s="48">
        <v>3</v>
      </c>
      <c r="J16" t="s">
        <v>64</v>
      </c>
      <c r="K16" s="12" t="s">
        <v>70</v>
      </c>
      <c r="L16" s="12" t="s">
        <v>71</v>
      </c>
      <c r="M16" s="3"/>
      <c r="N16" s="3"/>
      <c r="O16" s="9" t="s">
        <v>72</v>
      </c>
      <c r="P16" s="3"/>
    </row>
    <row r="17" spans="2:18">
      <c r="B17" s="7" t="s">
        <v>73</v>
      </c>
      <c r="C17" s="2">
        <v>9</v>
      </c>
      <c r="D17" s="42">
        <v>15.65</v>
      </c>
      <c r="E17" s="90">
        <f t="shared" si="0"/>
        <v>19.899999999999999</v>
      </c>
      <c r="F17" s="44" t="s">
        <v>128</v>
      </c>
      <c r="G17" s="3"/>
      <c r="H17" s="30" t="s">
        <v>74</v>
      </c>
      <c r="I17" s="25">
        <v>0.24</v>
      </c>
      <c r="J17" t="s">
        <v>75</v>
      </c>
      <c r="K17" s="12" t="s">
        <v>20</v>
      </c>
      <c r="L17" s="12" t="s">
        <v>76</v>
      </c>
      <c r="M17" s="3"/>
      <c r="N17" s="3" t="s">
        <v>22</v>
      </c>
      <c r="O17" s="9" t="s">
        <v>77</v>
      </c>
      <c r="P17" s="3"/>
    </row>
    <row r="18" spans="2:18">
      <c r="B18" s="7" t="s">
        <v>78</v>
      </c>
      <c r="C18" s="2">
        <v>10</v>
      </c>
      <c r="D18" s="42">
        <v>8.2446999999999999</v>
      </c>
      <c r="E18" s="90">
        <f t="shared" si="0"/>
        <v>15.65</v>
      </c>
      <c r="F18" s="44" t="s">
        <v>33</v>
      </c>
      <c r="G18" s="3"/>
      <c r="H18" s="30" t="s">
        <v>79</v>
      </c>
      <c r="I18" s="26">
        <v>1</v>
      </c>
      <c r="J18" t="s">
        <v>80</v>
      </c>
      <c r="K18" s="12" t="s">
        <v>81</v>
      </c>
      <c r="L18" s="12"/>
      <c r="M18" s="3"/>
      <c r="N18" s="16">
        <v>1</v>
      </c>
      <c r="O18" s="13"/>
      <c r="P18" s="3"/>
    </row>
    <row r="19" spans="2:18">
      <c r="B19" s="7" t="s">
        <v>82</v>
      </c>
      <c r="C19" s="2">
        <v>11</v>
      </c>
      <c r="D19" s="42">
        <v>1.1528</v>
      </c>
      <c r="E19" s="90">
        <f t="shared" si="0"/>
        <v>8.2446999999999999</v>
      </c>
      <c r="F19" s="44" t="s">
        <v>127</v>
      </c>
      <c r="G19" s="3"/>
      <c r="H19" s="30"/>
      <c r="K19" s="12"/>
      <c r="L19" s="12"/>
      <c r="O19" s="14"/>
      <c r="P19" s="3"/>
    </row>
    <row r="20" spans="2:18">
      <c r="B20" s="15" t="s">
        <v>83</v>
      </c>
      <c r="C20" s="1">
        <v>12</v>
      </c>
      <c r="D20" s="43">
        <v>-5.798</v>
      </c>
      <c r="E20" s="91">
        <f t="shared" si="0"/>
        <v>1.1528</v>
      </c>
      <c r="F20" s="45" t="s">
        <v>33</v>
      </c>
      <c r="G20" s="3"/>
      <c r="H20" s="30" t="s">
        <v>84</v>
      </c>
      <c r="I20" s="49">
        <v>0.95</v>
      </c>
      <c r="J20" t="s">
        <v>29</v>
      </c>
      <c r="K20" s="12" t="s">
        <v>85</v>
      </c>
      <c r="L20" s="12" t="s">
        <v>86</v>
      </c>
      <c r="M20" s="3"/>
      <c r="N20" s="33">
        <v>0.95</v>
      </c>
      <c r="O20" s="11" t="s">
        <v>87</v>
      </c>
      <c r="P20" s="3"/>
    </row>
    <row r="21" spans="2:18">
      <c r="B21" s="7"/>
      <c r="C21" s="36"/>
      <c r="D21" s="68">
        <f>AVERAGE(D9:D20)</f>
        <v>6.3636266666666659</v>
      </c>
      <c r="E21" s="68">
        <f>AVERAGE(E9:E20)</f>
        <v>8.9806833333333334</v>
      </c>
      <c r="F21" s="98">
        <f>COUNTIF(F9:F20,"Y")</f>
        <v>2</v>
      </c>
      <c r="H21" s="30" t="s">
        <v>88</v>
      </c>
      <c r="I21" s="27">
        <v>0.66200000000000003</v>
      </c>
      <c r="J21" t="s">
        <v>89</v>
      </c>
      <c r="K21" s="12" t="s">
        <v>90</v>
      </c>
      <c r="L21" s="12"/>
      <c r="M21" s="3"/>
      <c r="N21" s="3">
        <v>0.66200000000000003</v>
      </c>
      <c r="O21" s="9" t="s">
        <v>91</v>
      </c>
      <c r="P21" s="3"/>
    </row>
    <row r="22" spans="2:18" ht="15" thickBot="1">
      <c r="B22" s="17"/>
      <c r="C22" s="18"/>
      <c r="D22" s="99" t="s">
        <v>92</v>
      </c>
      <c r="E22" s="99" t="s">
        <v>92</v>
      </c>
      <c r="F22" s="99" t="s">
        <v>93</v>
      </c>
      <c r="G22" s="18"/>
      <c r="H22" s="32"/>
      <c r="I22" s="18"/>
      <c r="J22" s="19"/>
      <c r="K22" s="19"/>
      <c r="L22" s="57"/>
      <c r="M22" s="19"/>
      <c r="N22" s="19"/>
      <c r="O22" s="20"/>
    </row>
    <row r="23" spans="2:18" ht="15" thickBot="1"/>
    <row r="24" spans="2:18" ht="21">
      <c r="C24" s="21" t="s">
        <v>94</v>
      </c>
      <c r="D24" s="37" t="s">
        <v>95</v>
      </c>
      <c r="E24" s="22"/>
      <c r="F24" s="22"/>
      <c r="G24" s="22"/>
      <c r="H24" s="22"/>
      <c r="I24" s="22"/>
      <c r="J24" s="22"/>
      <c r="K24" s="22"/>
      <c r="L24" s="22"/>
      <c r="M24" s="23"/>
    </row>
    <row r="25" spans="2:18">
      <c r="C25" s="61"/>
      <c r="D25" s="24"/>
      <c r="E25" s="24"/>
      <c r="F25" s="24"/>
      <c r="G25" s="24"/>
      <c r="H25" s="24"/>
      <c r="I25" s="24"/>
      <c r="J25" s="24"/>
      <c r="K25" s="24"/>
      <c r="L25" s="24"/>
      <c r="M25" s="81"/>
      <c r="Q25" s="5"/>
    </row>
    <row r="26" spans="2:18" ht="18.5">
      <c r="C26" s="82"/>
      <c r="D26" s="75" t="s">
        <v>96</v>
      </c>
      <c r="E26" s="83">
        <f>G74</f>
        <v>1200</v>
      </c>
      <c r="F26" s="84"/>
      <c r="G26" s="24"/>
      <c r="H26" s="75" t="s">
        <v>97</v>
      </c>
      <c r="I26" s="83">
        <f>L74</f>
        <v>317.40096624829908</v>
      </c>
      <c r="J26" s="122" t="s">
        <v>98</v>
      </c>
      <c r="K26" s="85">
        <f>I27</f>
        <v>76.176231899591784</v>
      </c>
      <c r="L26" s="111" t="s">
        <v>99</v>
      </c>
      <c r="M26" s="123">
        <f>K26/K27</f>
        <v>0.26450080520691593</v>
      </c>
      <c r="N26" s="55"/>
    </row>
    <row r="27" spans="2:18" ht="18.5">
      <c r="C27" s="82"/>
      <c r="D27" s="75" t="s">
        <v>100</v>
      </c>
      <c r="E27" s="83">
        <f>H74</f>
        <v>1200</v>
      </c>
      <c r="F27" s="84"/>
      <c r="G27" s="24"/>
      <c r="H27" s="75" t="s">
        <v>101</v>
      </c>
      <c r="I27" s="83">
        <f>M74</f>
        <v>76.176231899591784</v>
      </c>
      <c r="J27" s="112"/>
      <c r="K27" s="86">
        <f>E28</f>
        <v>288</v>
      </c>
      <c r="L27" s="112"/>
      <c r="M27" s="124"/>
      <c r="N27" s="56"/>
    </row>
    <row r="28" spans="2:18">
      <c r="C28" s="82"/>
      <c r="D28" s="75" t="s">
        <v>102</v>
      </c>
      <c r="E28" s="83">
        <f>E27*B0</f>
        <v>288</v>
      </c>
      <c r="F28" s="87"/>
      <c r="G28" s="24"/>
      <c r="H28" s="24"/>
      <c r="I28" s="24"/>
      <c r="J28" s="24"/>
      <c r="K28" s="24"/>
      <c r="L28" s="24"/>
      <c r="M28" s="81"/>
    </row>
    <row r="29" spans="2:18" ht="15" thickBot="1">
      <c r="C29" s="62"/>
      <c r="D29" s="76"/>
      <c r="E29" s="76"/>
      <c r="F29" s="76"/>
      <c r="G29" s="76"/>
      <c r="H29" s="76"/>
      <c r="I29" s="76"/>
      <c r="J29" s="76"/>
      <c r="K29" s="76"/>
      <c r="L29" s="76"/>
      <c r="M29" s="88"/>
    </row>
    <row r="31" spans="2:18" ht="15" thickBot="1"/>
    <row r="32" spans="2:18" ht="21">
      <c r="B32" s="21" t="s">
        <v>103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53"/>
      <c r="N32" s="22"/>
      <c r="O32" s="52" t="s">
        <v>104</v>
      </c>
      <c r="P32" s="22"/>
      <c r="Q32" s="22"/>
      <c r="R32" s="23"/>
    </row>
    <row r="33" spans="2:19">
      <c r="B33" s="61"/>
      <c r="C33" s="61"/>
      <c r="D33" s="63" t="s">
        <v>105</v>
      </c>
      <c r="E33" s="63" t="s">
        <v>106</v>
      </c>
      <c r="F33" s="63" t="s">
        <v>107</v>
      </c>
      <c r="G33" s="93" t="s">
        <v>108</v>
      </c>
      <c r="H33" s="93" t="s">
        <v>109</v>
      </c>
      <c r="I33" s="64" t="s">
        <v>110</v>
      </c>
      <c r="J33" s="75" t="s">
        <v>111</v>
      </c>
      <c r="K33" s="75" t="s">
        <v>112</v>
      </c>
      <c r="L33" s="75" t="s">
        <v>113</v>
      </c>
      <c r="M33" s="95" t="s">
        <v>114</v>
      </c>
      <c r="N33" s="2"/>
      <c r="S33" s="14"/>
    </row>
    <row r="34" spans="2:19">
      <c r="B34" s="65" t="s">
        <v>115</v>
      </c>
      <c r="C34" s="65" t="s">
        <v>25</v>
      </c>
      <c r="D34" s="66" t="s">
        <v>116</v>
      </c>
      <c r="E34" s="66" t="s">
        <v>117</v>
      </c>
      <c r="F34" s="67" t="s">
        <v>118</v>
      </c>
      <c r="G34" s="94" t="s">
        <v>119</v>
      </c>
      <c r="H34" s="94" t="s">
        <v>119</v>
      </c>
      <c r="I34" s="67" t="s">
        <v>120</v>
      </c>
      <c r="J34" s="94" t="s">
        <v>121</v>
      </c>
      <c r="K34" s="94" t="s">
        <v>121</v>
      </c>
      <c r="L34" s="94" t="s">
        <v>121</v>
      </c>
      <c r="M34" s="96" t="s">
        <v>122</v>
      </c>
      <c r="N34" s="54"/>
      <c r="S34" s="14"/>
    </row>
    <row r="35" spans="2:19">
      <c r="B35" s="58">
        <v>1</v>
      </c>
      <c r="C35" s="58">
        <v>1</v>
      </c>
      <c r="D35" s="68">
        <f t="array" ref="D35:D46">ManureTemperature</f>
        <v>1</v>
      </c>
      <c r="E35" s="69">
        <f>CONVERT(D35,"C","K")</f>
        <v>274.14999999999998</v>
      </c>
      <c r="F35" s="70">
        <f t="shared" ref="F35" si="1">EXP((f_Ea*(Tav_K-f_T1))/(f_R*Tav_K*f_T1))</f>
        <v>1.9846143044148706E-2</v>
      </c>
      <c r="G35" s="71">
        <f t="shared" ref="G35" si="2">VS_PROD_YR/12</f>
        <v>100</v>
      </c>
      <c r="H35" s="71">
        <f t="shared" ref="H35" si="3">VSexcreted*VS_PCT_LIQUID</f>
        <v>100</v>
      </c>
      <c r="I35" s="69" t="str">
        <f t="array" ref="I35:I46">ManureRemoved</f>
        <v>N</v>
      </c>
      <c r="J35" s="92" t="s">
        <v>22</v>
      </c>
      <c r="K35" s="71">
        <f>H35</f>
        <v>100</v>
      </c>
      <c r="L35" s="71">
        <f t="shared" ref="L35:L46" si="4">f*VSavailable</f>
        <v>1.9846143044148705</v>
      </c>
      <c r="M35" s="72">
        <f t="shared" ref="M35:M46" si="5">VSconsumed*B0</f>
        <v>0.47630743305956891</v>
      </c>
      <c r="N35" s="50"/>
      <c r="S35" s="14"/>
    </row>
    <row r="36" spans="2:19">
      <c r="B36" s="58">
        <v>1</v>
      </c>
      <c r="C36" s="58">
        <v>2</v>
      </c>
      <c r="D36" s="68">
        <v>1</v>
      </c>
      <c r="E36" s="69">
        <f t="shared" ref="E36:E70" si="6">CONVERT(D36,"C","K")</f>
        <v>274.14999999999998</v>
      </c>
      <c r="F36" s="70">
        <f t="shared" ref="F36:F46" si="7">EXP((f_Ea*(Tav_K-f_T1))/(f_R*Tav_K*f_T1))</f>
        <v>1.9846143044148706E-2</v>
      </c>
      <c r="G36" s="71">
        <f t="shared" ref="G36:G46" si="8">VS_PROD_YR/12</f>
        <v>100</v>
      </c>
      <c r="H36" s="71">
        <f t="shared" ref="H36:H46" si="9">VSexcreted*VS_PCT_LIQUID</f>
        <v>100</v>
      </c>
      <c r="I36" s="69" t="str">
        <v>N</v>
      </c>
      <c r="J36" s="71">
        <f t="shared" ref="J36:J46" si="10">IF(Emptying="N",0,(INDEX(VSavailable,Month-1)-INDEX(VSconsumed,Month-1))*EMPTY_EFFICIENCY)</f>
        <v>0</v>
      </c>
      <c r="K36" s="71">
        <f t="shared" ref="K36:K46" si="11">VSload+INDEX(VSavailable,Month-1)-INDEX(VSconsumed,Month-1)-VSemptied</f>
        <v>198.01538569558514</v>
      </c>
      <c r="L36" s="71">
        <f t="shared" si="4"/>
        <v>3.9298416694568603</v>
      </c>
      <c r="M36" s="72">
        <f t="shared" si="5"/>
        <v>0.94316200066964639</v>
      </c>
      <c r="N36" s="50"/>
      <c r="S36" s="14"/>
    </row>
    <row r="37" spans="2:19">
      <c r="B37" s="58">
        <v>1</v>
      </c>
      <c r="C37" s="58">
        <v>3</v>
      </c>
      <c r="D37" s="68">
        <v>1</v>
      </c>
      <c r="E37" s="69">
        <f t="shared" si="6"/>
        <v>274.14999999999998</v>
      </c>
      <c r="F37" s="70">
        <f t="shared" si="7"/>
        <v>1.9846143044148706E-2</v>
      </c>
      <c r="G37" s="71">
        <f t="shared" si="8"/>
        <v>100</v>
      </c>
      <c r="H37" s="71">
        <f t="shared" si="9"/>
        <v>100</v>
      </c>
      <c r="I37" s="69" t="str">
        <v>N</v>
      </c>
      <c r="J37" s="71">
        <f t="shared" si="10"/>
        <v>0</v>
      </c>
      <c r="K37" s="71">
        <f t="shared" si="11"/>
        <v>294.08554402612828</v>
      </c>
      <c r="L37" s="71">
        <f t="shared" si="4"/>
        <v>5.8364637739588332</v>
      </c>
      <c r="M37" s="72">
        <f t="shared" si="5"/>
        <v>1.40075130575012</v>
      </c>
      <c r="N37" s="50"/>
      <c r="S37" s="14"/>
    </row>
    <row r="38" spans="2:19">
      <c r="B38" s="58">
        <v>1</v>
      </c>
      <c r="C38" s="58">
        <v>4</v>
      </c>
      <c r="D38" s="68">
        <v>1</v>
      </c>
      <c r="E38" s="69">
        <f t="shared" si="6"/>
        <v>274.14999999999998</v>
      </c>
      <c r="F38" s="70">
        <f t="shared" si="7"/>
        <v>1.9846143044148706E-2</v>
      </c>
      <c r="G38" s="71">
        <f t="shared" si="8"/>
        <v>100</v>
      </c>
      <c r="H38" s="71">
        <f t="shared" si="9"/>
        <v>100</v>
      </c>
      <c r="I38" s="69" t="str">
        <v>Y</v>
      </c>
      <c r="J38" s="71">
        <f t="shared" si="10"/>
        <v>273.83662623956099</v>
      </c>
      <c r="K38" s="109">
        <f t="shared" si="11"/>
        <v>114.41245401260846</v>
      </c>
      <c r="L38" s="109">
        <f t="shared" si="4"/>
        <v>2.2706459283663132</v>
      </c>
      <c r="M38" s="72">
        <f t="shared" si="5"/>
        <v>0.54495502280791519</v>
      </c>
      <c r="N38" s="50"/>
      <c r="S38" s="14"/>
    </row>
    <row r="39" spans="2:19">
      <c r="B39" s="58">
        <v>1</v>
      </c>
      <c r="C39" s="58">
        <v>5</v>
      </c>
      <c r="D39" s="68">
        <v>5.0179999999999998</v>
      </c>
      <c r="E39" s="69">
        <f t="shared" si="6"/>
        <v>278.16799999999995</v>
      </c>
      <c r="F39" s="70">
        <f>EXP((f_Ea*(Tav_K-f_T1))/(f_R*Tav_K*f_T1))</f>
        <v>3.314941062128253E-2</v>
      </c>
      <c r="G39" s="71">
        <f t="shared" si="8"/>
        <v>100</v>
      </c>
      <c r="H39" s="71">
        <f t="shared" si="9"/>
        <v>100</v>
      </c>
      <c r="I39" s="69" t="str">
        <v>N</v>
      </c>
      <c r="J39" s="109">
        <f t="shared" si="10"/>
        <v>0</v>
      </c>
      <c r="K39" s="71">
        <f t="shared" si="11"/>
        <v>212.14180808424214</v>
      </c>
      <c r="L39" s="71">
        <f t="shared" si="4"/>
        <v>7.0323759061258562</v>
      </c>
      <c r="M39" s="72">
        <f t="shared" si="5"/>
        <v>1.6877702174702054</v>
      </c>
      <c r="N39" s="50"/>
      <c r="S39" s="14"/>
    </row>
    <row r="40" spans="2:19">
      <c r="B40" s="58">
        <v>1</v>
      </c>
      <c r="C40" s="58">
        <v>6</v>
      </c>
      <c r="D40" s="68">
        <v>12.002700000000001</v>
      </c>
      <c r="E40" s="69">
        <f t="shared" si="6"/>
        <v>285.15269999999998</v>
      </c>
      <c r="F40" s="70">
        <f t="shared" si="7"/>
        <v>7.8133259940098648E-2</v>
      </c>
      <c r="G40" s="71">
        <f t="shared" si="8"/>
        <v>100</v>
      </c>
      <c r="H40" s="71">
        <f t="shared" si="9"/>
        <v>100</v>
      </c>
      <c r="I40" s="69" t="str">
        <v>N</v>
      </c>
      <c r="J40" s="71">
        <f t="shared" si="10"/>
        <v>0</v>
      </c>
      <c r="K40" s="71">
        <f t="shared" si="11"/>
        <v>305.10943217811626</v>
      </c>
      <c r="L40" s="71">
        <f t="shared" si="4"/>
        <v>23.839194574548657</v>
      </c>
      <c r="M40" s="72">
        <f t="shared" si="5"/>
        <v>5.7214066978916778</v>
      </c>
      <c r="N40" s="50"/>
      <c r="S40" s="14"/>
    </row>
    <row r="41" spans="2:19">
      <c r="B41" s="58">
        <v>1</v>
      </c>
      <c r="C41" s="58">
        <v>7</v>
      </c>
      <c r="D41" s="68">
        <v>19.3</v>
      </c>
      <c r="E41" s="69">
        <f t="shared" si="6"/>
        <v>292.45</v>
      </c>
      <c r="F41" s="70">
        <f t="shared" si="7"/>
        <v>0.18317353645429091</v>
      </c>
      <c r="G41" s="71">
        <f t="shared" si="8"/>
        <v>100</v>
      </c>
      <c r="H41" s="71">
        <f t="shared" si="9"/>
        <v>100</v>
      </c>
      <c r="I41" s="69" t="str">
        <v>N</v>
      </c>
      <c r="J41" s="71">
        <f t="shared" si="10"/>
        <v>0</v>
      </c>
      <c r="K41" s="71">
        <f t="shared" si="11"/>
        <v>381.27023760356758</v>
      </c>
      <c r="L41" s="71">
        <f t="shared" si="4"/>
        <v>69.83861776661324</v>
      </c>
      <c r="M41" s="72">
        <f t="shared" si="5"/>
        <v>16.761268263987176</v>
      </c>
      <c r="N41" s="50"/>
      <c r="S41" s="14"/>
    </row>
    <row r="42" spans="2:19">
      <c r="B42" s="58">
        <v>1</v>
      </c>
      <c r="C42" s="58">
        <v>8</v>
      </c>
      <c r="D42" s="68">
        <v>22.5</v>
      </c>
      <c r="E42" s="69">
        <f t="shared" si="6"/>
        <v>295.64999999999998</v>
      </c>
      <c r="F42" s="70">
        <f t="shared" si="7"/>
        <v>0.26264247701236998</v>
      </c>
      <c r="G42" s="71">
        <f t="shared" si="8"/>
        <v>100</v>
      </c>
      <c r="H42" s="71">
        <f t="shared" si="9"/>
        <v>100</v>
      </c>
      <c r="I42" s="69" t="str">
        <v>N</v>
      </c>
      <c r="J42" s="71">
        <f t="shared" si="10"/>
        <v>0</v>
      </c>
      <c r="K42" s="71">
        <f t="shared" si="11"/>
        <v>411.43161983695433</v>
      </c>
      <c r="L42" s="71">
        <f t="shared" si="4"/>
        <v>108.05941975518942</v>
      </c>
      <c r="M42" s="72">
        <f t="shared" si="5"/>
        <v>25.93426074124546</v>
      </c>
      <c r="N42" s="50"/>
      <c r="S42" s="14"/>
    </row>
    <row r="43" spans="2:19">
      <c r="B43" s="58">
        <v>1</v>
      </c>
      <c r="C43" s="58">
        <v>9</v>
      </c>
      <c r="D43" s="68">
        <v>19.899999999999999</v>
      </c>
      <c r="E43" s="69">
        <f t="shared" si="6"/>
        <v>293.04999999999995</v>
      </c>
      <c r="F43" s="70">
        <f t="shared" si="7"/>
        <v>0.19609532810292971</v>
      </c>
      <c r="G43" s="71">
        <f t="shared" si="8"/>
        <v>100</v>
      </c>
      <c r="H43" s="71">
        <f t="shared" si="9"/>
        <v>100</v>
      </c>
      <c r="I43" s="69" t="str">
        <v>y</v>
      </c>
      <c r="J43" s="71">
        <f t="shared" si="10"/>
        <v>288.20359007767667</v>
      </c>
      <c r="K43" s="71">
        <f t="shared" si="11"/>
        <v>115.16861000408824</v>
      </c>
      <c r="L43" s="71">
        <f t="shared" si="4"/>
        <v>22.584026365910034</v>
      </c>
      <c r="M43" s="72">
        <f t="shared" si="5"/>
        <v>5.420166327818408</v>
      </c>
      <c r="N43" s="50"/>
      <c r="S43" s="14"/>
    </row>
    <row r="44" spans="2:19">
      <c r="B44" s="58">
        <v>1</v>
      </c>
      <c r="C44" s="58">
        <v>10</v>
      </c>
      <c r="D44" s="68">
        <v>15.65</v>
      </c>
      <c r="E44" s="69">
        <f t="shared" si="6"/>
        <v>288.79999999999995</v>
      </c>
      <c r="F44" s="70">
        <f t="shared" si="7"/>
        <v>0.12025919984242307</v>
      </c>
      <c r="G44" s="71">
        <f t="shared" si="8"/>
        <v>100</v>
      </c>
      <c r="H44" s="71">
        <f t="shared" si="9"/>
        <v>100</v>
      </c>
      <c r="I44" s="69" t="str">
        <v>N</v>
      </c>
      <c r="J44" s="71">
        <f t="shared" si="10"/>
        <v>0</v>
      </c>
      <c r="K44" s="71">
        <f t="shared" si="11"/>
        <v>192.5845836381782</v>
      </c>
      <c r="L44" s="71">
        <f t="shared" si="4"/>
        <v>23.160067930313513</v>
      </c>
      <c r="M44" s="72">
        <f t="shared" si="5"/>
        <v>5.5584163032752425</v>
      </c>
      <c r="N44" s="50"/>
      <c r="S44" s="14"/>
    </row>
    <row r="45" spans="2:19">
      <c r="B45" s="58">
        <v>1</v>
      </c>
      <c r="C45" s="58">
        <v>11</v>
      </c>
      <c r="D45" s="68">
        <v>8.2446999999999999</v>
      </c>
      <c r="E45" s="69">
        <f t="shared" si="6"/>
        <v>281.3947</v>
      </c>
      <c r="F45" s="70">
        <f t="shared" si="7"/>
        <v>4.9521197921897922E-2</v>
      </c>
      <c r="G45" s="71">
        <f t="shared" si="8"/>
        <v>100</v>
      </c>
      <c r="H45" s="71">
        <f t="shared" si="9"/>
        <v>100</v>
      </c>
      <c r="I45" s="69" t="str">
        <v>N</v>
      </c>
      <c r="J45" s="71">
        <f t="shared" si="10"/>
        <v>0</v>
      </c>
      <c r="K45" s="71">
        <f t="shared" si="11"/>
        <v>269.42451570786466</v>
      </c>
      <c r="L45" s="71">
        <f t="shared" si="4"/>
        <v>13.342224767380662</v>
      </c>
      <c r="M45" s="72">
        <f t="shared" si="5"/>
        <v>3.2021339441713588</v>
      </c>
      <c r="N45" s="50"/>
      <c r="S45" s="14"/>
    </row>
    <row r="46" spans="2:19">
      <c r="B46" s="59">
        <v>1</v>
      </c>
      <c r="C46" s="59">
        <v>12</v>
      </c>
      <c r="D46" s="68">
        <v>1.1528</v>
      </c>
      <c r="E46" s="73">
        <f t="shared" si="6"/>
        <v>274.30279999999999</v>
      </c>
      <c r="F46" s="70">
        <f t="shared" si="7"/>
        <v>2.024269485146854E-2</v>
      </c>
      <c r="G46" s="74">
        <f t="shared" si="8"/>
        <v>100</v>
      </c>
      <c r="H46" s="71">
        <f t="shared" si="9"/>
        <v>100</v>
      </c>
      <c r="I46" s="73" t="str">
        <v>N</v>
      </c>
      <c r="J46" s="71">
        <f t="shared" si="10"/>
        <v>0</v>
      </c>
      <c r="K46" s="71">
        <f t="shared" si="11"/>
        <v>356.08229094048397</v>
      </c>
      <c r="L46" s="71">
        <f t="shared" si="4"/>
        <v>7.2080651575200578</v>
      </c>
      <c r="M46" s="72">
        <f t="shared" si="5"/>
        <v>1.7299356378048139</v>
      </c>
      <c r="N46" s="50"/>
      <c r="S46" s="14"/>
    </row>
    <row r="47" spans="2:19">
      <c r="B47" s="60">
        <v>2</v>
      </c>
      <c r="C47" s="60">
        <f>C46+1</f>
        <v>13</v>
      </c>
      <c r="D47" s="68">
        <f t="array" ref="D47:D58">ManureTemperature</f>
        <v>1</v>
      </c>
      <c r="E47" s="69">
        <f t="shared" si="6"/>
        <v>274.14999999999998</v>
      </c>
      <c r="F47" s="70">
        <f t="shared" ref="F47" si="12">EXP((f_Ea*(Tav_K-f_T1))/(f_R*Tav_K*f_T1))</f>
        <v>1.9846143044148706E-2</v>
      </c>
      <c r="G47" s="71">
        <f t="shared" ref="G47" si="13">VS_PROD_YR/12</f>
        <v>100</v>
      </c>
      <c r="H47" s="71">
        <f t="shared" ref="H47" si="14">VSexcreted*VS_PCT_LIQUID</f>
        <v>100</v>
      </c>
      <c r="I47" s="69" t="str">
        <f t="array" ref="I47:I58">ManureRemoved</f>
        <v>N</v>
      </c>
      <c r="J47" s="71">
        <f t="shared" ref="J47:J58" si="15">IF(Emptying="N",0,(INDEX(VSavailable,Month-1)-INDEX(VSconsumed,Month-1))*EMPTY_EFFICIENCY)</f>
        <v>0</v>
      </c>
      <c r="K47" s="71">
        <f t="shared" ref="K47:K58" si="16">VSload+INDEX(VSavailable,Month-1)-INDEX(VSconsumed,Month-1)-VSemptied</f>
        <v>448.87422578296389</v>
      </c>
      <c r="L47" s="71">
        <f t="shared" ref="L47:L58" si="17">f*VSavailable</f>
        <v>8.9084220937202048</v>
      </c>
      <c r="M47" s="72">
        <f t="shared" ref="M47:M58" si="18">VSconsumed*B0</f>
        <v>2.1380213024928492</v>
      </c>
      <c r="N47" s="50"/>
      <c r="S47" s="14"/>
    </row>
    <row r="48" spans="2:19">
      <c r="B48" s="60">
        <v>2</v>
      </c>
      <c r="C48" s="60">
        <f t="shared" ref="C48:C70" si="19">C47+1</f>
        <v>14</v>
      </c>
      <c r="D48" s="68">
        <v>1</v>
      </c>
      <c r="E48" s="69">
        <f t="shared" si="6"/>
        <v>274.14999999999998</v>
      </c>
      <c r="F48" s="70">
        <f t="shared" ref="F48:F58" si="20">EXP((f_Ea*(Tav_K-f_T1))/(f_R*Tav_K*f_T1))</f>
        <v>1.9846143044148706E-2</v>
      </c>
      <c r="G48" s="71">
        <f t="shared" ref="G48:G58" si="21">VS_PROD_YR/12</f>
        <v>100</v>
      </c>
      <c r="H48" s="71">
        <f t="shared" ref="H48:H58" si="22">VSexcreted*VS_PCT_LIQUID</f>
        <v>100</v>
      </c>
      <c r="I48" s="69" t="str">
        <v>N</v>
      </c>
      <c r="J48" s="71">
        <f t="shared" si="15"/>
        <v>0</v>
      </c>
      <c r="K48" s="71">
        <f t="shared" si="16"/>
        <v>539.96580368924367</v>
      </c>
      <c r="L48" s="71">
        <f t="shared" si="17"/>
        <v>10.716238578965449</v>
      </c>
      <c r="M48" s="72">
        <f t="shared" si="18"/>
        <v>2.5718972589517075</v>
      </c>
      <c r="N48" s="50"/>
      <c r="S48" s="14"/>
    </row>
    <row r="49" spans="2:19">
      <c r="B49" s="60">
        <v>2</v>
      </c>
      <c r="C49" s="60">
        <f t="shared" si="19"/>
        <v>15</v>
      </c>
      <c r="D49" s="68">
        <v>1</v>
      </c>
      <c r="E49" s="69">
        <f t="shared" si="6"/>
        <v>274.14999999999998</v>
      </c>
      <c r="F49" s="70">
        <f t="shared" si="20"/>
        <v>1.9846143044148706E-2</v>
      </c>
      <c r="G49" s="71">
        <f t="shared" si="21"/>
        <v>100</v>
      </c>
      <c r="H49" s="71">
        <f t="shared" si="22"/>
        <v>100</v>
      </c>
      <c r="I49" s="69" t="str">
        <v>N</v>
      </c>
      <c r="J49" s="71">
        <f t="shared" si="15"/>
        <v>0</v>
      </c>
      <c r="K49" s="71">
        <f t="shared" si="16"/>
        <v>629.24956511027824</v>
      </c>
      <c r="L49" s="71">
        <f t="shared" si="17"/>
        <v>12.488176879646947</v>
      </c>
      <c r="M49" s="72">
        <f t="shared" si="18"/>
        <v>2.9971624511152672</v>
      </c>
      <c r="N49" s="50"/>
      <c r="S49" s="14"/>
    </row>
    <row r="50" spans="2:19">
      <c r="B50" s="60">
        <v>2</v>
      </c>
      <c r="C50" s="60">
        <f t="shared" si="19"/>
        <v>16</v>
      </c>
      <c r="D50" s="68">
        <v>1</v>
      </c>
      <c r="E50" s="69">
        <f t="shared" si="6"/>
        <v>274.14999999999998</v>
      </c>
      <c r="F50" s="70">
        <f t="shared" si="20"/>
        <v>1.9846143044148706E-2</v>
      </c>
      <c r="G50" s="71">
        <f t="shared" si="21"/>
        <v>100</v>
      </c>
      <c r="H50" s="71">
        <f t="shared" si="22"/>
        <v>100</v>
      </c>
      <c r="I50" s="69" t="str">
        <v>Y</v>
      </c>
      <c r="J50" s="71">
        <f t="shared" si="15"/>
        <v>585.92331881909968</v>
      </c>
      <c r="K50" s="71">
        <f t="shared" si="16"/>
        <v>130.83806941153159</v>
      </c>
      <c r="L50" s="71">
        <f t="shared" si="17"/>
        <v>2.5966310411615132</v>
      </c>
      <c r="M50" s="72">
        <f t="shared" si="18"/>
        <v>0.62319144987876318</v>
      </c>
      <c r="N50" s="50"/>
      <c r="S50" s="14"/>
    </row>
    <row r="51" spans="2:19">
      <c r="B51" s="60">
        <v>2</v>
      </c>
      <c r="C51" s="60">
        <f t="shared" si="19"/>
        <v>17</v>
      </c>
      <c r="D51" s="68">
        <v>5.0179999999999998</v>
      </c>
      <c r="E51" s="69">
        <f t="shared" si="6"/>
        <v>278.16799999999995</v>
      </c>
      <c r="F51" s="70">
        <f t="shared" si="20"/>
        <v>3.314941062128253E-2</v>
      </c>
      <c r="G51" s="71">
        <f t="shared" si="21"/>
        <v>100</v>
      </c>
      <c r="H51" s="71">
        <f t="shared" si="22"/>
        <v>100</v>
      </c>
      <c r="I51" s="69" t="str">
        <v>N</v>
      </c>
      <c r="J51" s="71">
        <f t="shared" si="15"/>
        <v>0</v>
      </c>
      <c r="K51" s="71">
        <f t="shared" si="16"/>
        <v>228.24143837037008</v>
      </c>
      <c r="L51" s="71">
        <f t="shared" si="17"/>
        <v>7.5660691613315478</v>
      </c>
      <c r="M51" s="72">
        <f t="shared" si="18"/>
        <v>1.8158565987195714</v>
      </c>
      <c r="N51" s="50"/>
      <c r="S51" s="14"/>
    </row>
    <row r="52" spans="2:19">
      <c r="B52" s="60">
        <v>2</v>
      </c>
      <c r="C52" s="60">
        <f t="shared" si="19"/>
        <v>18</v>
      </c>
      <c r="D52" s="68">
        <v>12.002700000000001</v>
      </c>
      <c r="E52" s="69">
        <f t="shared" si="6"/>
        <v>285.15269999999998</v>
      </c>
      <c r="F52" s="70">
        <f t="shared" si="20"/>
        <v>7.8133259940098648E-2</v>
      </c>
      <c r="G52" s="71">
        <f t="shared" si="21"/>
        <v>100</v>
      </c>
      <c r="H52" s="71">
        <f t="shared" si="22"/>
        <v>100</v>
      </c>
      <c r="I52" s="69" t="str">
        <v>N</v>
      </c>
      <c r="J52" s="71">
        <f t="shared" si="15"/>
        <v>0</v>
      </c>
      <c r="K52" s="71">
        <f t="shared" si="16"/>
        <v>320.67536920903854</v>
      </c>
      <c r="L52" s="71">
        <f t="shared" si="17"/>
        <v>25.055411978796915</v>
      </c>
      <c r="M52" s="72">
        <f t="shared" si="18"/>
        <v>6.0132988749112597</v>
      </c>
      <c r="N52" s="50"/>
      <c r="S52" s="14"/>
    </row>
    <row r="53" spans="2:19">
      <c r="B53" s="60">
        <v>2</v>
      </c>
      <c r="C53" s="60">
        <f t="shared" si="19"/>
        <v>19</v>
      </c>
      <c r="D53" s="68">
        <v>19.3</v>
      </c>
      <c r="E53" s="69">
        <f t="shared" si="6"/>
        <v>292.45</v>
      </c>
      <c r="F53" s="70">
        <f t="shared" si="20"/>
        <v>0.18317353645429091</v>
      </c>
      <c r="G53" s="71">
        <f t="shared" si="21"/>
        <v>100</v>
      </c>
      <c r="H53" s="71">
        <f t="shared" si="22"/>
        <v>100</v>
      </c>
      <c r="I53" s="69" t="str">
        <v>N</v>
      </c>
      <c r="J53" s="71">
        <f t="shared" si="15"/>
        <v>0</v>
      </c>
      <c r="K53" s="71">
        <f t="shared" si="16"/>
        <v>395.6199572302416</v>
      </c>
      <c r="L53" s="71">
        <f t="shared" si="17"/>
        <v>72.467106657758663</v>
      </c>
      <c r="M53" s="72">
        <f t="shared" si="18"/>
        <v>17.392105597862077</v>
      </c>
      <c r="N53" s="50"/>
      <c r="S53" s="14"/>
    </row>
    <row r="54" spans="2:19">
      <c r="B54" s="60">
        <v>2</v>
      </c>
      <c r="C54" s="60">
        <f t="shared" si="19"/>
        <v>20</v>
      </c>
      <c r="D54" s="68">
        <v>22.5</v>
      </c>
      <c r="E54" s="69">
        <f t="shared" si="6"/>
        <v>295.64999999999998</v>
      </c>
      <c r="F54" s="70">
        <f t="shared" si="20"/>
        <v>0.26264247701236998</v>
      </c>
      <c r="G54" s="71">
        <f t="shared" si="21"/>
        <v>100</v>
      </c>
      <c r="H54" s="71">
        <f t="shared" si="22"/>
        <v>100</v>
      </c>
      <c r="I54" s="69" t="str">
        <v>N</v>
      </c>
      <c r="J54" s="71">
        <f t="shared" si="15"/>
        <v>0</v>
      </c>
      <c r="K54" s="71">
        <f t="shared" si="16"/>
        <v>423.15285057248292</v>
      </c>
      <c r="L54" s="71">
        <f t="shared" si="17"/>
        <v>111.13791282920218</v>
      </c>
      <c r="M54" s="72">
        <f t="shared" si="18"/>
        <v>26.673099079008523</v>
      </c>
      <c r="N54" s="50"/>
      <c r="S54" s="14"/>
    </row>
    <row r="55" spans="2:19">
      <c r="B55" s="60">
        <v>2</v>
      </c>
      <c r="C55" s="60">
        <f t="shared" si="19"/>
        <v>21</v>
      </c>
      <c r="D55" s="68">
        <v>19.899999999999999</v>
      </c>
      <c r="E55" s="69">
        <f t="shared" si="6"/>
        <v>293.04999999999995</v>
      </c>
      <c r="F55" s="70">
        <f t="shared" si="20"/>
        <v>0.19609532810292971</v>
      </c>
      <c r="G55" s="71">
        <f t="shared" si="21"/>
        <v>100</v>
      </c>
      <c r="H55" s="71">
        <f t="shared" si="22"/>
        <v>100</v>
      </c>
      <c r="I55" s="69" t="str">
        <v>y</v>
      </c>
      <c r="J55" s="71">
        <f t="shared" si="15"/>
        <v>296.41419085611665</v>
      </c>
      <c r="K55" s="71">
        <f t="shared" si="16"/>
        <v>115.60074688716418</v>
      </c>
      <c r="L55" s="71">
        <f t="shared" si="17"/>
        <v>22.668766389782188</v>
      </c>
      <c r="M55" s="72">
        <f t="shared" si="18"/>
        <v>5.440503933547725</v>
      </c>
      <c r="N55" s="50"/>
      <c r="S55" s="14"/>
    </row>
    <row r="56" spans="2:19">
      <c r="B56" s="60">
        <v>2</v>
      </c>
      <c r="C56" s="60">
        <f t="shared" si="19"/>
        <v>22</v>
      </c>
      <c r="D56" s="68">
        <v>15.65</v>
      </c>
      <c r="E56" s="69">
        <f t="shared" si="6"/>
        <v>288.79999999999995</v>
      </c>
      <c r="F56" s="70">
        <f t="shared" si="20"/>
        <v>0.12025919984242307</v>
      </c>
      <c r="G56" s="71">
        <f t="shared" si="21"/>
        <v>100</v>
      </c>
      <c r="H56" s="71">
        <f t="shared" si="22"/>
        <v>100</v>
      </c>
      <c r="I56" s="69" t="str">
        <v>N</v>
      </c>
      <c r="J56" s="71">
        <f t="shared" si="15"/>
        <v>0</v>
      </c>
      <c r="K56" s="71">
        <f t="shared" si="16"/>
        <v>192.931980497382</v>
      </c>
      <c r="L56" s="71">
        <f t="shared" si="17"/>
        <v>23.201845598629134</v>
      </c>
      <c r="M56" s="72">
        <f t="shared" si="18"/>
        <v>5.5684429436709921</v>
      </c>
      <c r="N56" s="50"/>
      <c r="S56" s="14"/>
    </row>
    <row r="57" spans="2:19">
      <c r="B57" s="60">
        <v>2</v>
      </c>
      <c r="C57" s="60">
        <f t="shared" si="19"/>
        <v>23</v>
      </c>
      <c r="D57" s="68">
        <v>8.2446999999999999</v>
      </c>
      <c r="E57" s="69">
        <f t="shared" si="6"/>
        <v>281.3947</v>
      </c>
      <c r="F57" s="70">
        <f t="shared" si="20"/>
        <v>4.9521197921897922E-2</v>
      </c>
      <c r="G57" s="71">
        <f t="shared" si="21"/>
        <v>100</v>
      </c>
      <c r="H57" s="71">
        <f t="shared" si="22"/>
        <v>100</v>
      </c>
      <c r="I57" s="69" t="str">
        <v>N</v>
      </c>
      <c r="J57" s="71">
        <f t="shared" si="15"/>
        <v>0</v>
      </c>
      <c r="K57" s="71">
        <f t="shared" si="16"/>
        <v>269.73013489875291</v>
      </c>
      <c r="L57" s="71">
        <f t="shared" si="17"/>
        <v>13.357359395821369</v>
      </c>
      <c r="M57" s="72">
        <f t="shared" si="18"/>
        <v>3.2057662549971284</v>
      </c>
      <c r="N57" s="50"/>
      <c r="S57" s="14"/>
    </row>
    <row r="58" spans="2:19">
      <c r="B58" s="60">
        <v>2</v>
      </c>
      <c r="C58" s="60">
        <f t="shared" si="19"/>
        <v>24</v>
      </c>
      <c r="D58" s="68">
        <v>1.1528</v>
      </c>
      <c r="E58" s="73">
        <f t="shared" si="6"/>
        <v>274.30279999999999</v>
      </c>
      <c r="F58" s="70">
        <f t="shared" si="20"/>
        <v>2.024269485146854E-2</v>
      </c>
      <c r="G58" s="74">
        <f t="shared" si="21"/>
        <v>100</v>
      </c>
      <c r="H58" s="71">
        <f t="shared" si="22"/>
        <v>100</v>
      </c>
      <c r="I58" s="73" t="str">
        <v>N</v>
      </c>
      <c r="J58" s="71">
        <f t="shared" si="15"/>
        <v>0</v>
      </c>
      <c r="K58" s="71">
        <f t="shared" si="16"/>
        <v>356.37277550293152</v>
      </c>
      <c r="L58" s="71">
        <f t="shared" si="17"/>
        <v>7.2139453478767459</v>
      </c>
      <c r="M58" s="72">
        <f t="shared" si="18"/>
        <v>1.7313468834904189</v>
      </c>
      <c r="N58" s="50"/>
      <c r="S58" s="14"/>
    </row>
    <row r="59" spans="2:19">
      <c r="B59" s="60">
        <v>3</v>
      </c>
      <c r="C59" s="60">
        <f t="shared" si="19"/>
        <v>25</v>
      </c>
      <c r="D59" s="68">
        <f t="array" ref="D59:D70">ManureTemperature</f>
        <v>1</v>
      </c>
      <c r="E59" s="69">
        <f t="shared" si="6"/>
        <v>274.14999999999998</v>
      </c>
      <c r="F59" s="70">
        <f t="shared" ref="F59" si="23">EXP((f_Ea*(Tav_K-f_T1))/(f_R*Tav_K*f_T1))</f>
        <v>1.9846143044148706E-2</v>
      </c>
      <c r="G59" s="71">
        <f t="shared" ref="G59" si="24">VS_PROD_YR/12</f>
        <v>100</v>
      </c>
      <c r="H59" s="71">
        <f t="shared" ref="H59" si="25">VSexcreted*VS_PCT_LIQUID</f>
        <v>100</v>
      </c>
      <c r="I59" s="69" t="str">
        <f t="array" ref="I59:I70">ManureRemoved</f>
        <v>N</v>
      </c>
      <c r="J59" s="71">
        <f t="shared" ref="J59:J70" si="26">IF(Emptying="N",0,(INDEX(VSavailable,Month-1)-INDEX(VSconsumed,Month-1))*EMPTY_EFFICIENCY)</f>
        <v>0</v>
      </c>
      <c r="K59" s="71">
        <f t="shared" ref="K59:K70" si="27">VSload+INDEX(VSavailable,Month-1)-INDEX(VSconsumed,Month-1)-VSemptied</f>
        <v>449.15883015505477</v>
      </c>
      <c r="L59" s="71">
        <f t="shared" ref="L59:L70" si="28">f*VSavailable</f>
        <v>8.9140703927997098</v>
      </c>
      <c r="M59" s="72">
        <f t="shared" ref="M59:M70" si="29">VSconsumed*B0</f>
        <v>2.1393768942719302</v>
      </c>
      <c r="N59" s="50"/>
      <c r="S59" s="14"/>
    </row>
    <row r="60" spans="2:19">
      <c r="B60" s="60">
        <v>3</v>
      </c>
      <c r="C60" s="60">
        <f t="shared" si="19"/>
        <v>26</v>
      </c>
      <c r="D60" s="68">
        <v>1</v>
      </c>
      <c r="E60" s="69">
        <f t="shared" si="6"/>
        <v>274.14999999999998</v>
      </c>
      <c r="F60" s="70">
        <f t="shared" ref="F60:F70" si="30">EXP((f_Ea*(Tav_K-f_T1))/(f_R*Tav_K*f_T1))</f>
        <v>1.9846143044148706E-2</v>
      </c>
      <c r="G60" s="71">
        <f t="shared" ref="G60:G70" si="31">VS_PROD_YR/12</f>
        <v>100</v>
      </c>
      <c r="H60" s="71">
        <f t="shared" ref="H60:H70" si="32">VSexcreted*VS_PCT_LIQUID</f>
        <v>100</v>
      </c>
      <c r="I60" s="69" t="str">
        <v>N</v>
      </c>
      <c r="J60" s="71">
        <f t="shared" si="26"/>
        <v>0</v>
      </c>
      <c r="K60" s="71">
        <f t="shared" si="27"/>
        <v>540.24475976225517</v>
      </c>
      <c r="L60" s="71">
        <f t="shared" si="28"/>
        <v>10.721774781093469</v>
      </c>
      <c r="M60" s="72">
        <f t="shared" si="29"/>
        <v>2.5732259474624324</v>
      </c>
      <c r="N60" s="50"/>
      <c r="S60" s="14"/>
    </row>
    <row r="61" spans="2:19">
      <c r="B61" s="60">
        <v>3</v>
      </c>
      <c r="C61" s="60">
        <f t="shared" si="19"/>
        <v>27</v>
      </c>
      <c r="D61" s="68">
        <v>1</v>
      </c>
      <c r="E61" s="69">
        <f t="shared" si="6"/>
        <v>274.14999999999998</v>
      </c>
      <c r="F61" s="70">
        <f t="shared" si="30"/>
        <v>1.9846143044148706E-2</v>
      </c>
      <c r="G61" s="71">
        <f t="shared" si="31"/>
        <v>100</v>
      </c>
      <c r="H61" s="71">
        <f t="shared" si="32"/>
        <v>100</v>
      </c>
      <c r="I61" s="69" t="str">
        <v>N</v>
      </c>
      <c r="J61" s="71">
        <f t="shared" si="26"/>
        <v>0</v>
      </c>
      <c r="K61" s="71">
        <f t="shared" si="27"/>
        <v>629.5229849811617</v>
      </c>
      <c r="L61" s="71">
        <f t="shared" si="28"/>
        <v>12.493603209515612</v>
      </c>
      <c r="M61" s="72">
        <f t="shared" si="29"/>
        <v>2.9984647702837468</v>
      </c>
      <c r="N61" s="50"/>
      <c r="S61" s="14"/>
    </row>
    <row r="62" spans="2:19">
      <c r="B62" s="60">
        <v>3</v>
      </c>
      <c r="C62" s="60">
        <f t="shared" si="19"/>
        <v>28</v>
      </c>
      <c r="D62" s="68">
        <v>1</v>
      </c>
      <c r="E62" s="69">
        <f t="shared" si="6"/>
        <v>274.14999999999998</v>
      </c>
      <c r="F62" s="70">
        <f t="shared" si="30"/>
        <v>1.9846143044148706E-2</v>
      </c>
      <c r="G62" s="71">
        <f t="shared" si="31"/>
        <v>100</v>
      </c>
      <c r="H62" s="71">
        <f t="shared" si="32"/>
        <v>100</v>
      </c>
      <c r="I62" s="69" t="str">
        <v>Y</v>
      </c>
      <c r="J62" s="71">
        <f t="shared" si="26"/>
        <v>586.17791268306371</v>
      </c>
      <c r="K62" s="71">
        <f t="shared" si="27"/>
        <v>130.85146908858235</v>
      </c>
      <c r="L62" s="71">
        <f t="shared" si="28"/>
        <v>2.5968969730690081</v>
      </c>
      <c r="M62" s="72">
        <f t="shared" si="29"/>
        <v>0.62325527353656196</v>
      </c>
      <c r="N62" s="50"/>
      <c r="S62" s="14"/>
    </row>
    <row r="63" spans="2:19">
      <c r="B63" s="60">
        <v>3</v>
      </c>
      <c r="C63" s="60">
        <f t="shared" si="19"/>
        <v>29</v>
      </c>
      <c r="D63" s="68">
        <v>5.0179999999999998</v>
      </c>
      <c r="E63" s="69">
        <f t="shared" si="6"/>
        <v>278.16799999999995</v>
      </c>
      <c r="F63" s="70">
        <f t="shared" si="30"/>
        <v>3.314941062128253E-2</v>
      </c>
      <c r="G63" s="71">
        <f t="shared" si="31"/>
        <v>100</v>
      </c>
      <c r="H63" s="71">
        <f t="shared" si="32"/>
        <v>100</v>
      </c>
      <c r="I63" s="69" t="str">
        <v>N</v>
      </c>
      <c r="J63" s="71">
        <f t="shared" si="26"/>
        <v>0</v>
      </c>
      <c r="K63" s="71">
        <f t="shared" si="27"/>
        <v>228.25457211551333</v>
      </c>
      <c r="L63" s="71">
        <f t="shared" si="28"/>
        <v>7.566504537242297</v>
      </c>
      <c r="M63" s="72">
        <f t="shared" si="29"/>
        <v>1.8159610889381512</v>
      </c>
      <c r="N63" s="50"/>
      <c r="S63" s="14"/>
    </row>
    <row r="64" spans="2:19">
      <c r="B64" s="60">
        <v>3</v>
      </c>
      <c r="C64" s="60">
        <f t="shared" si="19"/>
        <v>30</v>
      </c>
      <c r="D64" s="68">
        <v>12.002700000000001</v>
      </c>
      <c r="E64" s="69">
        <f t="shared" si="6"/>
        <v>285.15269999999998</v>
      </c>
      <c r="F64" s="70">
        <f t="shared" si="30"/>
        <v>7.8133259940098648E-2</v>
      </c>
      <c r="G64" s="71">
        <f t="shared" si="31"/>
        <v>100</v>
      </c>
      <c r="H64" s="71">
        <f t="shared" si="32"/>
        <v>100</v>
      </c>
      <c r="I64" s="69" t="str">
        <v>N</v>
      </c>
      <c r="J64" s="71">
        <f t="shared" si="26"/>
        <v>0</v>
      </c>
      <c r="K64" s="71">
        <f t="shared" si="27"/>
        <v>320.68806757827105</v>
      </c>
      <c r="L64" s="71">
        <f t="shared" si="28"/>
        <v>25.056404143780973</v>
      </c>
      <c r="M64" s="72">
        <f t="shared" si="29"/>
        <v>6.0135369945074331</v>
      </c>
      <c r="N64" s="50"/>
      <c r="S64" s="14"/>
    </row>
    <row r="65" spans="2:19">
      <c r="B65" s="60">
        <v>3</v>
      </c>
      <c r="C65" s="60">
        <f t="shared" si="19"/>
        <v>31</v>
      </c>
      <c r="D65" s="68">
        <v>19.3</v>
      </c>
      <c r="E65" s="69">
        <f t="shared" si="6"/>
        <v>292.45</v>
      </c>
      <c r="F65" s="70">
        <f t="shared" si="30"/>
        <v>0.18317353645429091</v>
      </c>
      <c r="G65" s="71">
        <f t="shared" si="31"/>
        <v>100</v>
      </c>
      <c r="H65" s="71">
        <f t="shared" si="32"/>
        <v>100</v>
      </c>
      <c r="I65" s="69" t="str">
        <v>N</v>
      </c>
      <c r="J65" s="71">
        <f t="shared" si="26"/>
        <v>0</v>
      </c>
      <c r="K65" s="71">
        <f t="shared" si="27"/>
        <v>395.63166343449006</v>
      </c>
      <c r="L65" s="71">
        <f t="shared" si="28"/>
        <v>72.469250924589318</v>
      </c>
      <c r="M65" s="72">
        <f t="shared" si="29"/>
        <v>17.392620221901435</v>
      </c>
      <c r="N65" s="50"/>
      <c r="S65" s="14"/>
    </row>
    <row r="66" spans="2:19">
      <c r="B66" s="60">
        <v>3</v>
      </c>
      <c r="C66" s="60">
        <f t="shared" si="19"/>
        <v>32</v>
      </c>
      <c r="D66" s="68">
        <v>22.5</v>
      </c>
      <c r="E66" s="69">
        <f t="shared" si="6"/>
        <v>295.64999999999998</v>
      </c>
      <c r="F66" s="70">
        <f t="shared" si="30"/>
        <v>0.26264247701236998</v>
      </c>
      <c r="G66" s="71">
        <f t="shared" si="31"/>
        <v>100</v>
      </c>
      <c r="H66" s="71">
        <f t="shared" si="32"/>
        <v>100</v>
      </c>
      <c r="I66" s="69" t="str">
        <v>N</v>
      </c>
      <c r="J66" s="71">
        <f t="shared" si="26"/>
        <v>0</v>
      </c>
      <c r="K66" s="71">
        <f t="shared" si="27"/>
        <v>423.16241250990072</v>
      </c>
      <c r="L66" s="71">
        <f t="shared" si="28"/>
        <v>111.14042420013062</v>
      </c>
      <c r="M66" s="72">
        <f t="shared" si="29"/>
        <v>26.67370180803135</v>
      </c>
      <c r="N66" s="50"/>
      <c r="S66" s="14"/>
    </row>
    <row r="67" spans="2:19">
      <c r="B67" s="60">
        <v>3</v>
      </c>
      <c r="C67" s="60">
        <f t="shared" si="19"/>
        <v>33</v>
      </c>
      <c r="D67" s="68">
        <v>19.899999999999999</v>
      </c>
      <c r="E67" s="69">
        <f t="shared" si="6"/>
        <v>293.04999999999995</v>
      </c>
      <c r="F67" s="70">
        <f t="shared" si="30"/>
        <v>0.19609532810292971</v>
      </c>
      <c r="G67" s="71">
        <f t="shared" si="31"/>
        <v>100</v>
      </c>
      <c r="H67" s="71">
        <f t="shared" si="32"/>
        <v>100</v>
      </c>
      <c r="I67" s="69" t="str">
        <v>y</v>
      </c>
      <c r="J67" s="71">
        <f t="shared" si="26"/>
        <v>296.42088889428157</v>
      </c>
      <c r="K67" s="71">
        <f t="shared" si="27"/>
        <v>115.60109941548853</v>
      </c>
      <c r="L67" s="71">
        <f t="shared" si="28"/>
        <v>22.66883551893962</v>
      </c>
      <c r="M67" s="72">
        <f t="shared" si="29"/>
        <v>5.4405205245455086</v>
      </c>
      <c r="N67" s="50"/>
      <c r="S67" s="14"/>
    </row>
    <row r="68" spans="2:19">
      <c r="B68" s="60">
        <v>3</v>
      </c>
      <c r="C68" s="60">
        <f t="shared" si="19"/>
        <v>34</v>
      </c>
      <c r="D68" s="68">
        <v>15.65</v>
      </c>
      <c r="E68" s="69">
        <f t="shared" si="6"/>
        <v>288.79999999999995</v>
      </c>
      <c r="F68" s="70">
        <f t="shared" si="30"/>
        <v>0.12025919984242307</v>
      </c>
      <c r="G68" s="71">
        <f t="shared" si="31"/>
        <v>100</v>
      </c>
      <c r="H68" s="71">
        <f t="shared" si="32"/>
        <v>100</v>
      </c>
      <c r="I68" s="69" t="str">
        <v>N</v>
      </c>
      <c r="J68" s="71">
        <f t="shared" si="26"/>
        <v>0</v>
      </c>
      <c r="K68" s="71">
        <f t="shared" si="27"/>
        <v>192.9322638965489</v>
      </c>
      <c r="L68" s="71">
        <f t="shared" si="28"/>
        <v>23.201879679986181</v>
      </c>
      <c r="M68" s="72">
        <f t="shared" si="29"/>
        <v>5.5684511231966836</v>
      </c>
      <c r="N68" s="50"/>
      <c r="S68" s="14"/>
    </row>
    <row r="69" spans="2:19">
      <c r="B69" s="60">
        <v>3</v>
      </c>
      <c r="C69" s="60">
        <f t="shared" si="19"/>
        <v>35</v>
      </c>
      <c r="D69" s="68">
        <v>8.2446999999999999</v>
      </c>
      <c r="E69" s="69">
        <f t="shared" si="6"/>
        <v>281.3947</v>
      </c>
      <c r="F69" s="70">
        <f t="shared" si="30"/>
        <v>4.9521197921897922E-2</v>
      </c>
      <c r="G69" s="71">
        <f t="shared" si="31"/>
        <v>100</v>
      </c>
      <c r="H69" s="71">
        <f t="shared" si="32"/>
        <v>100</v>
      </c>
      <c r="I69" s="69" t="str">
        <v>N</v>
      </c>
      <c r="J69" s="71">
        <f t="shared" si="26"/>
        <v>0</v>
      </c>
      <c r="K69" s="71">
        <f t="shared" si="27"/>
        <v>269.7303842165627</v>
      </c>
      <c r="L69" s="71">
        <f t="shared" si="28"/>
        <v>13.357371742337973</v>
      </c>
      <c r="M69" s="72">
        <f t="shared" si="29"/>
        <v>3.2057692181611133</v>
      </c>
      <c r="N69" s="50"/>
      <c r="S69" s="14"/>
    </row>
    <row r="70" spans="2:19">
      <c r="B70" s="60">
        <v>3</v>
      </c>
      <c r="C70" s="60">
        <f t="shared" si="19"/>
        <v>36</v>
      </c>
      <c r="D70" s="68">
        <v>1.1528</v>
      </c>
      <c r="E70" s="73">
        <f t="shared" si="6"/>
        <v>274.30279999999999</v>
      </c>
      <c r="F70" s="70">
        <f t="shared" si="30"/>
        <v>2.024269485146854E-2</v>
      </c>
      <c r="G70" s="74">
        <f t="shared" si="31"/>
        <v>100</v>
      </c>
      <c r="H70" s="71">
        <f t="shared" si="32"/>
        <v>100</v>
      </c>
      <c r="I70" s="73" t="str">
        <v>N</v>
      </c>
      <c r="J70" s="71">
        <f t="shared" si="26"/>
        <v>0</v>
      </c>
      <c r="K70" s="71">
        <f t="shared" si="27"/>
        <v>356.37301247422471</v>
      </c>
      <c r="L70" s="71">
        <f t="shared" si="28"/>
        <v>7.213950144814322</v>
      </c>
      <c r="M70" s="72">
        <f t="shared" si="29"/>
        <v>1.7313480347554373</v>
      </c>
      <c r="N70" s="50"/>
      <c r="S70" s="14"/>
    </row>
    <row r="71" spans="2:19">
      <c r="C71" s="61"/>
      <c r="D71" s="24"/>
      <c r="E71" s="24"/>
      <c r="F71" s="75" t="s">
        <v>123</v>
      </c>
      <c r="G71" s="71"/>
      <c r="H71" s="71"/>
      <c r="I71" s="69"/>
      <c r="J71" s="71"/>
      <c r="K71" s="71"/>
      <c r="L71" s="71"/>
      <c r="M71" s="72"/>
      <c r="N71" s="50"/>
      <c r="S71" s="14"/>
    </row>
    <row r="72" spans="2:19">
      <c r="C72" s="61"/>
      <c r="D72" s="24"/>
      <c r="E72" s="24"/>
      <c r="F72" s="75" t="s">
        <v>124</v>
      </c>
      <c r="G72" s="71">
        <f>SUM(G35:G46)</f>
        <v>1200</v>
      </c>
      <c r="H72" s="71">
        <f>SUM(H35:H46)</f>
        <v>1200</v>
      </c>
      <c r="I72" s="69"/>
      <c r="J72" s="71">
        <f>SUM(J35:J46)</f>
        <v>562.04021631723765</v>
      </c>
      <c r="K72" s="71"/>
      <c r="L72" s="71">
        <f>SUM(L35:L46)</f>
        <v>289.08555789979835</v>
      </c>
      <c r="M72" s="72">
        <f>SUM(M35:M46)</f>
        <v>69.380533895951601</v>
      </c>
      <c r="N72" s="50"/>
      <c r="S72" s="14"/>
    </row>
    <row r="73" spans="2:19">
      <c r="C73" s="61"/>
      <c r="D73" s="24"/>
      <c r="E73" s="24"/>
      <c r="F73" s="75" t="s">
        <v>125</v>
      </c>
      <c r="G73" s="71">
        <f>SUM(G47:G58)</f>
        <v>1200</v>
      </c>
      <c r="H73" s="71">
        <f>SUM(H47:H58)</f>
        <v>1200</v>
      </c>
      <c r="I73" s="69"/>
      <c r="J73" s="71">
        <f>SUM(J47:J58)</f>
        <v>882.33750967521632</v>
      </c>
      <c r="K73" s="71"/>
      <c r="L73" s="71">
        <f>SUM(L47:L58)</f>
        <v>317.37788595269285</v>
      </c>
      <c r="M73" s="72">
        <f>SUM(M47:M58)</f>
        <v>76.170692628646279</v>
      </c>
      <c r="N73" s="50"/>
      <c r="S73" s="14"/>
    </row>
    <row r="74" spans="2:19" ht="15" thickBot="1">
      <c r="C74" s="62"/>
      <c r="D74" s="76"/>
      <c r="E74" s="76"/>
      <c r="F74" s="77" t="s">
        <v>126</v>
      </c>
      <c r="G74" s="78">
        <f>SUM(G59:G70)</f>
        <v>1200</v>
      </c>
      <c r="H74" s="78">
        <f>SUM(H59:H70)</f>
        <v>1200</v>
      </c>
      <c r="I74" s="79"/>
      <c r="J74" s="78">
        <f>SUM(J59:J70)</f>
        <v>882.59880157734528</v>
      </c>
      <c r="K74" s="78"/>
      <c r="L74" s="78">
        <f>SUM(L59:L70)</f>
        <v>317.40096624829908</v>
      </c>
      <c r="M74" s="80">
        <f>SUM(M59:M70)</f>
        <v>76.176231899591784</v>
      </c>
      <c r="N74" s="51"/>
      <c r="O74" s="18"/>
      <c r="P74" s="18"/>
      <c r="Q74" s="18"/>
      <c r="R74" s="18"/>
      <c r="S74" s="38"/>
    </row>
  </sheetData>
  <mergeCells count="8">
    <mergeCell ref="L26:L27"/>
    <mergeCell ref="M26:M27"/>
    <mergeCell ref="B2:B3"/>
    <mergeCell ref="C2:C3"/>
    <mergeCell ref="D2:D3"/>
    <mergeCell ref="E2:E3"/>
    <mergeCell ref="F2:F3"/>
    <mergeCell ref="J26:J27"/>
  </mergeCells>
  <dataValidations count="6">
    <dataValidation type="decimal" showInputMessage="1" showErrorMessage="1" errorTitle="Invalid Input Data" error="Must be a number between 0 and 1" sqref="I17">
      <formula1>0.01</formula1>
      <formula2>0.99</formula2>
    </dataValidation>
    <dataValidation type="decimal" allowBlank="1" showInputMessage="1" showErrorMessage="1" errorTitle="Invalid Data Entry" error="Must be between 0 and 100%" sqref="I8">
      <formula1>0</formula1>
      <formula2>1</formula2>
    </dataValidation>
    <dataValidation type="decimal" allowBlank="1" showInputMessage="1" showErrorMessage="1" errorTitle="Invalid Data Entry" error="Valid Range: 50% to 100% (0.5 to 1.0)" sqref="I20">
      <formula1>0.5</formula1>
      <formula2>1</formula2>
    </dataValidation>
    <dataValidation type="decimal" allowBlank="1" showInputMessage="1" showErrorMessage="1" errorTitle="Invalid Data Entry" error="Valid Temperature Range: -50 to +60 degrees C" sqref="D9:D20">
      <formula1>-50</formula1>
      <formula2>60</formula2>
    </dataValidation>
    <dataValidation type="list" showInputMessage="1" showErrorMessage="1" sqref="D6">
      <formula1>$Q$8:$Q$9</formula1>
    </dataValidation>
    <dataValidation type="list" errorStyle="warning" showDropDown="1" showInputMessage="1" showErrorMessage="1" errorTitle="Invalid Data Entry" error="Valid Options: Y, N" sqref="F9:F20">
      <formula1>$Q$12:$Q$13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74"/>
  <sheetViews>
    <sheetView showGridLines="0" topLeftCell="G19" zoomScale="85" zoomScaleNormal="85" workbookViewId="0">
      <selection activeCell="L30" sqref="L30"/>
    </sheetView>
  </sheetViews>
  <sheetFormatPr defaultRowHeight="14.5"/>
  <cols>
    <col min="1" max="1" width="2.7265625" customWidth="1"/>
    <col min="2" max="2" width="14.26953125" customWidth="1"/>
    <col min="3" max="4" width="15" customWidth="1"/>
    <col min="5" max="5" width="18.54296875" customWidth="1"/>
    <col min="6" max="6" width="20.26953125" customWidth="1"/>
    <col min="7" max="7" width="23.26953125" customWidth="1"/>
    <col min="8" max="8" width="18.81640625" bestFit="1" customWidth="1"/>
    <col min="9" max="9" width="18" customWidth="1"/>
    <col min="10" max="10" width="15.453125" bestFit="1" customWidth="1"/>
    <col min="11" max="11" width="37.26953125" customWidth="1"/>
    <col min="12" max="12" width="14.54296875" customWidth="1"/>
    <col min="13" max="13" width="33.1796875" customWidth="1"/>
    <col min="14" max="14" width="22.26953125" customWidth="1"/>
    <col min="15" max="15" width="24.453125" customWidth="1"/>
    <col min="16" max="16" width="7.453125" customWidth="1"/>
    <col min="17" max="17" width="17.54296875" bestFit="1" customWidth="1"/>
    <col min="18" max="18" width="14.54296875" customWidth="1"/>
  </cols>
  <sheetData>
    <row r="2" spans="2:17" ht="34.9" customHeight="1">
      <c r="B2" s="113" t="s">
        <v>0</v>
      </c>
      <c r="C2" s="114" t="s">
        <v>1</v>
      </c>
      <c r="D2" s="116" t="s">
        <v>2</v>
      </c>
      <c r="E2" s="118" t="s">
        <v>3</v>
      </c>
      <c r="F2" s="120" t="s">
        <v>4</v>
      </c>
      <c r="O2" s="100">
        <v>43235</v>
      </c>
    </row>
    <row r="3" spans="2:17" ht="38.5" customHeight="1">
      <c r="B3" s="113"/>
      <c r="C3" s="115"/>
      <c r="D3" s="117"/>
      <c r="E3" s="119"/>
      <c r="F3" s="121"/>
      <c r="O3" s="101" t="s">
        <v>5</v>
      </c>
    </row>
    <row r="4" spans="2:17" ht="15" thickBot="1"/>
    <row r="5" spans="2:17" ht="21">
      <c r="B5" s="21" t="s">
        <v>6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3"/>
      <c r="Q5" s="102" t="s">
        <v>7</v>
      </c>
    </row>
    <row r="6" spans="2:17">
      <c r="B6" s="7"/>
      <c r="D6" s="4" t="s">
        <v>8</v>
      </c>
      <c r="E6" s="3" t="s">
        <v>9</v>
      </c>
      <c r="H6" s="28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/>
      <c r="N6" s="1" t="s">
        <v>15</v>
      </c>
      <c r="O6" s="8" t="s">
        <v>16</v>
      </c>
      <c r="P6" s="2"/>
      <c r="Q6" s="103"/>
    </row>
    <row r="7" spans="2:17">
      <c r="B7" s="7"/>
      <c r="C7" s="3"/>
      <c r="D7" s="47" t="s">
        <v>17</v>
      </c>
      <c r="E7" s="3" t="s">
        <v>17</v>
      </c>
      <c r="F7" s="3" t="s">
        <v>9</v>
      </c>
      <c r="H7" s="29" t="s">
        <v>18</v>
      </c>
      <c r="I7" s="6">
        <v>1200</v>
      </c>
      <c r="J7" t="s">
        <v>19</v>
      </c>
      <c r="K7" s="12" t="s">
        <v>20</v>
      </c>
      <c r="L7" s="12" t="s">
        <v>21</v>
      </c>
      <c r="N7" s="3" t="s">
        <v>22</v>
      </c>
      <c r="O7" s="9" t="s">
        <v>23</v>
      </c>
      <c r="Q7" s="105" t="s">
        <v>24</v>
      </c>
    </row>
    <row r="8" spans="2:17">
      <c r="B8" s="10" t="s">
        <v>25</v>
      </c>
      <c r="C8" s="1" t="s">
        <v>25</v>
      </c>
      <c r="D8" s="46" t="s">
        <v>26</v>
      </c>
      <c r="E8" s="39" t="s">
        <v>26</v>
      </c>
      <c r="F8" s="3" t="s">
        <v>27</v>
      </c>
      <c r="G8" s="3"/>
      <c r="H8" s="29" t="s">
        <v>28</v>
      </c>
      <c r="I8" s="35">
        <v>1</v>
      </c>
      <c r="J8" t="s">
        <v>29</v>
      </c>
      <c r="K8" s="12" t="s">
        <v>20</v>
      </c>
      <c r="L8" s="12" t="s">
        <v>30</v>
      </c>
      <c r="N8" s="33">
        <v>1</v>
      </c>
      <c r="O8" s="11" t="s">
        <v>31</v>
      </c>
      <c r="Q8" s="106" t="s">
        <v>8</v>
      </c>
    </row>
    <row r="9" spans="2:17">
      <c r="B9" s="7" t="s">
        <v>32</v>
      </c>
      <c r="C9" s="2">
        <v>1</v>
      </c>
      <c r="D9" s="40">
        <v>-10.151</v>
      </c>
      <c r="E9" s="89">
        <f>IF($D$6="Manure",D9,IF($F$21=1,MAX(D20-f_T2damping,f_Tmin),MAX(D20,f_Tmin)))</f>
        <v>1</v>
      </c>
      <c r="F9" s="41" t="s">
        <v>33</v>
      </c>
      <c r="G9" s="3"/>
      <c r="H9" s="29"/>
      <c r="K9" s="12"/>
      <c r="L9" s="12" t="s">
        <v>34</v>
      </c>
      <c r="N9" s="3"/>
      <c r="O9" s="9"/>
      <c r="P9" s="3"/>
      <c r="Q9" s="107" t="s">
        <v>9</v>
      </c>
    </row>
    <row r="10" spans="2:17">
      <c r="B10" s="7" t="s">
        <v>35</v>
      </c>
      <c r="C10" s="2">
        <v>2</v>
      </c>
      <c r="D10" s="42">
        <v>-8.72668</v>
      </c>
      <c r="E10" s="90">
        <f t="shared" ref="E10:E20" si="0">IF($D$6="Manure",D10,IF($F$21=1,MAX(D9-f_T2damping,f_Tmin),MAX(D9,f_Tmin)))</f>
        <v>1</v>
      </c>
      <c r="F10" s="44" t="s">
        <v>33</v>
      </c>
      <c r="G10" s="3"/>
      <c r="H10" s="30" t="s">
        <v>36</v>
      </c>
      <c r="I10" s="34" t="s">
        <v>37</v>
      </c>
      <c r="K10" s="12" t="s">
        <v>38</v>
      </c>
      <c r="L10" s="12"/>
      <c r="M10" s="3"/>
      <c r="N10" s="3"/>
      <c r="O10" s="9"/>
      <c r="P10" s="3"/>
      <c r="Q10" s="104"/>
    </row>
    <row r="11" spans="2:17">
      <c r="B11" s="7" t="s">
        <v>39</v>
      </c>
      <c r="C11" s="2">
        <v>3</v>
      </c>
      <c r="D11" s="42">
        <v>-2.7290000000000001</v>
      </c>
      <c r="E11" s="90">
        <f t="shared" si="0"/>
        <v>1</v>
      </c>
      <c r="F11" s="44" t="s">
        <v>33</v>
      </c>
      <c r="G11" s="3"/>
      <c r="H11" s="31" t="s">
        <v>40</v>
      </c>
      <c r="I11" s="27">
        <v>308.16000000000003</v>
      </c>
      <c r="J11" t="s">
        <v>41</v>
      </c>
      <c r="K11" s="12" t="s">
        <v>42</v>
      </c>
      <c r="L11" s="12"/>
      <c r="M11" s="3"/>
      <c r="N11" s="3">
        <v>308.16000000000003</v>
      </c>
      <c r="O11" s="9" t="s">
        <v>43</v>
      </c>
      <c r="P11" s="3"/>
      <c r="Q11" s="105" t="s">
        <v>44</v>
      </c>
    </row>
    <row r="12" spans="2:17">
      <c r="B12" s="7" t="s">
        <v>45</v>
      </c>
      <c r="C12" s="2">
        <v>4</v>
      </c>
      <c r="D12" s="42">
        <v>5.0179999999999998</v>
      </c>
      <c r="E12" s="90">
        <f t="shared" si="0"/>
        <v>1</v>
      </c>
      <c r="F12" s="44" t="s">
        <v>50</v>
      </c>
      <c r="G12" s="3"/>
      <c r="H12" s="31" t="s">
        <v>46</v>
      </c>
      <c r="I12" s="97" t="s">
        <v>47</v>
      </c>
      <c r="J12" t="s">
        <v>48</v>
      </c>
      <c r="K12" s="12" t="s">
        <v>20</v>
      </c>
      <c r="L12" s="12" t="s">
        <v>49</v>
      </c>
      <c r="M12" s="3"/>
      <c r="N12" s="3" t="s">
        <v>22</v>
      </c>
      <c r="O12" s="9" t="s">
        <v>22</v>
      </c>
      <c r="P12" s="3"/>
      <c r="Q12" s="106" t="s">
        <v>50</v>
      </c>
    </row>
    <row r="13" spans="2:17" ht="15" thickBot="1">
      <c r="B13" s="7" t="s">
        <v>51</v>
      </c>
      <c r="C13" s="2">
        <v>5</v>
      </c>
      <c r="D13" s="42">
        <v>12.002700000000001</v>
      </c>
      <c r="E13" s="90">
        <f t="shared" si="0"/>
        <v>5.0179999999999998</v>
      </c>
      <c r="F13" s="44" t="s">
        <v>33</v>
      </c>
      <c r="G13" s="3"/>
      <c r="H13" s="31" t="s">
        <v>52</v>
      </c>
      <c r="I13" s="27">
        <v>19347</v>
      </c>
      <c r="J13" t="s">
        <v>53</v>
      </c>
      <c r="K13" s="12" t="s">
        <v>54</v>
      </c>
      <c r="L13" s="12" t="s">
        <v>55</v>
      </c>
      <c r="M13" s="3"/>
      <c r="N13" s="3">
        <v>19347</v>
      </c>
      <c r="O13" s="9" t="s">
        <v>56</v>
      </c>
      <c r="P13" s="3"/>
      <c r="Q13" s="108" t="s">
        <v>33</v>
      </c>
    </row>
    <row r="14" spans="2:17">
      <c r="B14" s="7" t="s">
        <v>57</v>
      </c>
      <c r="C14" s="2">
        <v>6</v>
      </c>
      <c r="D14" s="42">
        <v>17.263000000000002</v>
      </c>
      <c r="E14" s="90">
        <f t="shared" si="0"/>
        <v>12.002700000000001</v>
      </c>
      <c r="F14" s="44" t="s">
        <v>33</v>
      </c>
      <c r="G14" s="3"/>
      <c r="H14" s="31" t="s">
        <v>58</v>
      </c>
      <c r="I14" s="27">
        <v>1.9870000000000001</v>
      </c>
      <c r="J14" t="s">
        <v>59</v>
      </c>
      <c r="K14" s="12" t="s">
        <v>60</v>
      </c>
      <c r="L14" s="12"/>
      <c r="M14" s="3"/>
      <c r="N14" s="3">
        <v>1.9870000000000001</v>
      </c>
      <c r="O14" s="9" t="s">
        <v>61</v>
      </c>
      <c r="P14" s="3"/>
    </row>
    <row r="15" spans="2:17">
      <c r="B15" s="7" t="s">
        <v>62</v>
      </c>
      <c r="C15" s="2">
        <v>7</v>
      </c>
      <c r="D15" s="42">
        <v>20.530999999999999</v>
      </c>
      <c r="E15" s="90">
        <f t="shared" si="0"/>
        <v>17.263000000000002</v>
      </c>
      <c r="F15" s="44" t="s">
        <v>127</v>
      </c>
      <c r="G15" s="3"/>
      <c r="H15" s="31" t="s">
        <v>63</v>
      </c>
      <c r="I15" s="48">
        <v>1</v>
      </c>
      <c r="J15" t="s">
        <v>64</v>
      </c>
      <c r="K15" s="12" t="s">
        <v>65</v>
      </c>
      <c r="L15" s="12" t="s">
        <v>66</v>
      </c>
      <c r="M15" s="3"/>
      <c r="N15" s="16">
        <v>1</v>
      </c>
      <c r="O15" s="13" t="s">
        <v>67</v>
      </c>
      <c r="P15" s="3"/>
    </row>
    <row r="16" spans="2:17">
      <c r="B16" s="7" t="s">
        <v>68</v>
      </c>
      <c r="C16" s="2">
        <v>8</v>
      </c>
      <c r="D16" s="42">
        <v>17.899999999999999</v>
      </c>
      <c r="E16" s="90">
        <f t="shared" si="0"/>
        <v>20.530999999999999</v>
      </c>
      <c r="F16" s="44" t="s">
        <v>33</v>
      </c>
      <c r="G16" s="3"/>
      <c r="H16" s="31" t="s">
        <v>69</v>
      </c>
      <c r="I16" s="48">
        <v>3</v>
      </c>
      <c r="J16" t="s">
        <v>64</v>
      </c>
      <c r="K16" s="12" t="s">
        <v>70</v>
      </c>
      <c r="L16" s="12" t="s">
        <v>71</v>
      </c>
      <c r="M16" s="3"/>
      <c r="N16" s="3"/>
      <c r="O16" s="9" t="s">
        <v>72</v>
      </c>
      <c r="P16" s="3"/>
    </row>
    <row r="17" spans="2:18">
      <c r="B17" s="7" t="s">
        <v>73</v>
      </c>
      <c r="C17" s="2">
        <v>9</v>
      </c>
      <c r="D17" s="110">
        <v>15.65</v>
      </c>
      <c r="E17" s="90">
        <f t="shared" si="0"/>
        <v>17.899999999999999</v>
      </c>
      <c r="F17" s="44" t="s">
        <v>128</v>
      </c>
      <c r="G17" s="3"/>
      <c r="H17" s="30" t="s">
        <v>74</v>
      </c>
      <c r="I17" s="25">
        <v>0.24</v>
      </c>
      <c r="J17" t="s">
        <v>75</v>
      </c>
      <c r="K17" s="12" t="s">
        <v>20</v>
      </c>
      <c r="L17" s="12" t="s">
        <v>76</v>
      </c>
      <c r="M17" s="3"/>
      <c r="N17" s="3" t="s">
        <v>22</v>
      </c>
      <c r="O17" s="9" t="s">
        <v>77</v>
      </c>
      <c r="P17" s="3"/>
    </row>
    <row r="18" spans="2:18">
      <c r="B18" s="7" t="s">
        <v>78</v>
      </c>
      <c r="C18" s="2">
        <v>10</v>
      </c>
      <c r="D18" s="42">
        <v>8.2446999999999999</v>
      </c>
      <c r="E18" s="90">
        <f t="shared" si="0"/>
        <v>15.65</v>
      </c>
      <c r="F18" s="44" t="s">
        <v>33</v>
      </c>
      <c r="G18" s="3"/>
      <c r="H18" s="30" t="s">
        <v>79</v>
      </c>
      <c r="I18" s="26">
        <v>1</v>
      </c>
      <c r="J18" t="s">
        <v>80</v>
      </c>
      <c r="K18" s="12" t="s">
        <v>81</v>
      </c>
      <c r="L18" s="12"/>
      <c r="M18" s="3"/>
      <c r="N18" s="16">
        <v>1</v>
      </c>
      <c r="O18" s="13"/>
      <c r="P18" s="3"/>
    </row>
    <row r="19" spans="2:18">
      <c r="B19" s="7" t="s">
        <v>82</v>
      </c>
      <c r="C19" s="2">
        <v>11</v>
      </c>
      <c r="D19" s="42">
        <v>1.1528</v>
      </c>
      <c r="E19" s="90">
        <f t="shared" si="0"/>
        <v>8.2446999999999999</v>
      </c>
      <c r="F19" s="44" t="s">
        <v>127</v>
      </c>
      <c r="G19" s="3"/>
      <c r="H19" s="30"/>
      <c r="K19" s="12"/>
      <c r="L19" s="12"/>
      <c r="O19" s="14"/>
      <c r="P19" s="3"/>
    </row>
    <row r="20" spans="2:18">
      <c r="B20" s="15" t="s">
        <v>83</v>
      </c>
      <c r="C20" s="1">
        <v>12</v>
      </c>
      <c r="D20" s="43">
        <v>-5.798</v>
      </c>
      <c r="E20" s="91">
        <f t="shared" si="0"/>
        <v>1.1528</v>
      </c>
      <c r="F20" s="45" t="s">
        <v>33</v>
      </c>
      <c r="G20" s="3"/>
      <c r="H20" s="30" t="s">
        <v>84</v>
      </c>
      <c r="I20" s="49">
        <v>0.95</v>
      </c>
      <c r="J20" t="s">
        <v>29</v>
      </c>
      <c r="K20" s="12" t="s">
        <v>85</v>
      </c>
      <c r="L20" s="12" t="s">
        <v>86</v>
      </c>
      <c r="M20" s="3"/>
      <c r="N20" s="33">
        <v>0.95</v>
      </c>
      <c r="O20" s="11" t="s">
        <v>87</v>
      </c>
      <c r="P20" s="3"/>
    </row>
    <row r="21" spans="2:18">
      <c r="B21" s="7"/>
      <c r="C21" s="36"/>
      <c r="D21" s="68">
        <f>AVERAGE(D9:D20)</f>
        <v>5.8631266666666662</v>
      </c>
      <c r="E21" s="68">
        <f>AVERAGE(E9:E20)</f>
        <v>8.4801833333333327</v>
      </c>
      <c r="F21" s="98">
        <f>COUNTIF(F9:F20,"Y")</f>
        <v>2</v>
      </c>
      <c r="H21" s="30" t="s">
        <v>88</v>
      </c>
      <c r="I21" s="27">
        <v>0.66200000000000003</v>
      </c>
      <c r="J21" t="s">
        <v>89</v>
      </c>
      <c r="K21" s="12" t="s">
        <v>90</v>
      </c>
      <c r="L21" s="12"/>
      <c r="M21" s="3"/>
      <c r="N21" s="3">
        <v>0.66200000000000003</v>
      </c>
      <c r="O21" s="9" t="s">
        <v>91</v>
      </c>
      <c r="P21" s="3"/>
    </row>
    <row r="22" spans="2:18" ht="15" thickBot="1">
      <c r="B22" s="17"/>
      <c r="C22" s="18"/>
      <c r="D22" s="99" t="s">
        <v>92</v>
      </c>
      <c r="E22" s="99" t="s">
        <v>92</v>
      </c>
      <c r="F22" s="99" t="s">
        <v>93</v>
      </c>
      <c r="G22" s="18"/>
      <c r="H22" s="32"/>
      <c r="I22" s="18"/>
      <c r="J22" s="19"/>
      <c r="K22" s="19"/>
      <c r="L22" s="57"/>
      <c r="M22" s="19"/>
      <c r="N22" s="19"/>
      <c r="O22" s="20"/>
    </row>
    <row r="23" spans="2:18" ht="15" thickBot="1"/>
    <row r="24" spans="2:18" ht="21">
      <c r="C24" s="21" t="s">
        <v>94</v>
      </c>
      <c r="D24" s="37" t="s">
        <v>95</v>
      </c>
      <c r="E24" s="22"/>
      <c r="F24" s="22"/>
      <c r="G24" s="22"/>
      <c r="H24" s="22"/>
      <c r="I24" s="22"/>
      <c r="J24" s="22"/>
      <c r="K24" s="22"/>
      <c r="L24" s="22"/>
      <c r="M24" s="23"/>
    </row>
    <row r="25" spans="2:18">
      <c r="C25" s="61"/>
      <c r="D25" s="24"/>
      <c r="E25" s="24"/>
      <c r="F25" s="24"/>
      <c r="G25" s="24"/>
      <c r="H25" s="24"/>
      <c r="I25" s="24"/>
      <c r="J25" s="24"/>
      <c r="K25" s="24"/>
      <c r="L25" s="24"/>
      <c r="M25" s="81"/>
      <c r="Q25" s="5"/>
    </row>
    <row r="26" spans="2:18" ht="18.5">
      <c r="C26" s="82"/>
      <c r="D26" s="75" t="s">
        <v>96</v>
      </c>
      <c r="E26" s="83">
        <f>G74</f>
        <v>1200</v>
      </c>
      <c r="F26" s="84"/>
      <c r="G26" s="24"/>
      <c r="H26" s="75" t="s">
        <v>97</v>
      </c>
      <c r="I26" s="83">
        <f>L74</f>
        <v>280.5877643729475</v>
      </c>
      <c r="J26" s="122" t="s">
        <v>98</v>
      </c>
      <c r="K26" s="85">
        <f>I27</f>
        <v>67.341063449507388</v>
      </c>
      <c r="L26" s="111" t="s">
        <v>99</v>
      </c>
      <c r="M26" s="123">
        <f>K26/K27</f>
        <v>0.23382313697745621</v>
      </c>
      <c r="N26" s="55"/>
    </row>
    <row r="27" spans="2:18" ht="18.5">
      <c r="C27" s="82"/>
      <c r="D27" s="75" t="s">
        <v>100</v>
      </c>
      <c r="E27" s="83">
        <f>H74</f>
        <v>1200</v>
      </c>
      <c r="F27" s="84"/>
      <c r="G27" s="24"/>
      <c r="H27" s="75" t="s">
        <v>101</v>
      </c>
      <c r="I27" s="83">
        <f>M74</f>
        <v>67.341063449507388</v>
      </c>
      <c r="J27" s="112"/>
      <c r="K27" s="86">
        <f>E28</f>
        <v>288</v>
      </c>
      <c r="L27" s="112"/>
      <c r="M27" s="124"/>
      <c r="N27" s="56"/>
    </row>
    <row r="28" spans="2:18">
      <c r="C28" s="82"/>
      <c r="D28" s="75" t="s">
        <v>102</v>
      </c>
      <c r="E28" s="83">
        <f>E27*B0</f>
        <v>288</v>
      </c>
      <c r="F28" s="87"/>
      <c r="G28" s="24"/>
      <c r="H28" s="24"/>
      <c r="I28" s="24"/>
      <c r="J28" s="24"/>
      <c r="K28" s="24"/>
      <c r="L28" s="24"/>
      <c r="M28" s="81"/>
    </row>
    <row r="29" spans="2:18" ht="15" thickBot="1">
      <c r="C29" s="62"/>
      <c r="D29" s="76"/>
      <c r="E29" s="76"/>
      <c r="F29" s="76"/>
      <c r="G29" s="76"/>
      <c r="H29" s="76"/>
      <c r="I29" s="76"/>
      <c r="J29" s="76"/>
      <c r="K29" s="76"/>
      <c r="L29" s="76"/>
      <c r="M29" s="88"/>
    </row>
    <row r="31" spans="2:18" ht="15" thickBot="1"/>
    <row r="32" spans="2:18" ht="21">
      <c r="B32" s="21" t="s">
        <v>103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53"/>
      <c r="N32" s="22"/>
      <c r="O32" s="52" t="s">
        <v>104</v>
      </c>
      <c r="P32" s="22"/>
      <c r="Q32" s="22"/>
      <c r="R32" s="23"/>
    </row>
    <row r="33" spans="2:19">
      <c r="B33" s="61"/>
      <c r="C33" s="61"/>
      <c r="D33" s="63" t="s">
        <v>105</v>
      </c>
      <c r="E33" s="63" t="s">
        <v>106</v>
      </c>
      <c r="F33" s="63" t="s">
        <v>107</v>
      </c>
      <c r="G33" s="93" t="s">
        <v>108</v>
      </c>
      <c r="H33" s="93" t="s">
        <v>109</v>
      </c>
      <c r="I33" s="64" t="s">
        <v>110</v>
      </c>
      <c r="J33" s="75" t="s">
        <v>111</v>
      </c>
      <c r="K33" s="75" t="s">
        <v>112</v>
      </c>
      <c r="L33" s="75" t="s">
        <v>113</v>
      </c>
      <c r="M33" s="95" t="s">
        <v>114</v>
      </c>
      <c r="N33" s="2"/>
      <c r="S33" s="14"/>
    </row>
    <row r="34" spans="2:19">
      <c r="B34" s="65" t="s">
        <v>115</v>
      </c>
      <c r="C34" s="65" t="s">
        <v>25</v>
      </c>
      <c r="D34" s="66" t="s">
        <v>116</v>
      </c>
      <c r="E34" s="66" t="s">
        <v>117</v>
      </c>
      <c r="F34" s="67" t="s">
        <v>118</v>
      </c>
      <c r="G34" s="94" t="s">
        <v>119</v>
      </c>
      <c r="H34" s="94" t="s">
        <v>119</v>
      </c>
      <c r="I34" s="67" t="s">
        <v>120</v>
      </c>
      <c r="J34" s="94" t="s">
        <v>121</v>
      </c>
      <c r="K34" s="94" t="s">
        <v>121</v>
      </c>
      <c r="L34" s="94" t="s">
        <v>121</v>
      </c>
      <c r="M34" s="96" t="s">
        <v>122</v>
      </c>
      <c r="N34" s="54"/>
      <c r="S34" s="14"/>
    </row>
    <row r="35" spans="2:19">
      <c r="B35" s="58">
        <v>1</v>
      </c>
      <c r="C35" s="58">
        <v>1</v>
      </c>
      <c r="D35" s="68">
        <f t="array" ref="D35:D46">ManureTemperature</f>
        <v>1</v>
      </c>
      <c r="E35" s="69">
        <f>CONVERT(D35,"C","K")</f>
        <v>274.14999999999998</v>
      </c>
      <c r="F35" s="70">
        <f t="shared" ref="F35" si="1">EXP((f_Ea*(Tav_K-f_T1))/(f_R*Tav_K*f_T1))</f>
        <v>1.9846143044148706E-2</v>
      </c>
      <c r="G35" s="71">
        <f t="shared" ref="G35" si="2">VS_PROD_YR/12</f>
        <v>100</v>
      </c>
      <c r="H35" s="71">
        <f t="shared" ref="H35" si="3">VSexcreted*VS_PCT_LIQUID</f>
        <v>100</v>
      </c>
      <c r="I35" s="69" t="str">
        <f t="array" ref="I35:I46">ManureRemoved</f>
        <v>N</v>
      </c>
      <c r="J35" s="92" t="s">
        <v>22</v>
      </c>
      <c r="K35" s="71">
        <f>H35</f>
        <v>100</v>
      </c>
      <c r="L35" s="71">
        <f t="shared" ref="L35:L46" si="4">f*VSavailable</f>
        <v>1.9846143044148705</v>
      </c>
      <c r="M35" s="72">
        <f t="shared" ref="M35:M46" si="5">VSconsumed*B0</f>
        <v>0.47630743305956891</v>
      </c>
      <c r="N35" s="50"/>
      <c r="S35" s="14"/>
    </row>
    <row r="36" spans="2:19">
      <c r="B36" s="58">
        <v>1</v>
      </c>
      <c r="C36" s="58">
        <v>2</v>
      </c>
      <c r="D36" s="68">
        <v>1</v>
      </c>
      <c r="E36" s="69">
        <f t="shared" ref="E36:E70" si="6">CONVERT(D36,"C","K")</f>
        <v>274.14999999999998</v>
      </c>
      <c r="F36" s="70">
        <f t="shared" ref="F36:F46" si="7">EXP((f_Ea*(Tav_K-f_T1))/(f_R*Tav_K*f_T1))</f>
        <v>1.9846143044148706E-2</v>
      </c>
      <c r="G36" s="71">
        <f t="shared" ref="G36:G46" si="8">VS_PROD_YR/12</f>
        <v>100</v>
      </c>
      <c r="H36" s="71">
        <f t="shared" ref="H36:H46" si="9">VSexcreted*VS_PCT_LIQUID</f>
        <v>100</v>
      </c>
      <c r="I36" s="69" t="str">
        <v>N</v>
      </c>
      <c r="J36" s="71">
        <f t="shared" ref="J36:J46" si="10">IF(Emptying="N",0,(INDEX(VSavailable,Month-1)-INDEX(VSconsumed,Month-1))*EMPTY_EFFICIENCY)</f>
        <v>0</v>
      </c>
      <c r="K36" s="71">
        <f t="shared" ref="K36:K46" si="11">VSload+INDEX(VSavailable,Month-1)-INDEX(VSconsumed,Month-1)-VSemptied</f>
        <v>198.01538569558514</v>
      </c>
      <c r="L36" s="71">
        <f t="shared" si="4"/>
        <v>3.9298416694568603</v>
      </c>
      <c r="M36" s="72">
        <f t="shared" si="5"/>
        <v>0.94316200066964639</v>
      </c>
      <c r="N36" s="50"/>
      <c r="S36" s="14"/>
    </row>
    <row r="37" spans="2:19">
      <c r="B37" s="58">
        <v>1</v>
      </c>
      <c r="C37" s="58">
        <v>3</v>
      </c>
      <c r="D37" s="68">
        <v>1</v>
      </c>
      <c r="E37" s="69">
        <f t="shared" si="6"/>
        <v>274.14999999999998</v>
      </c>
      <c r="F37" s="70">
        <f t="shared" si="7"/>
        <v>1.9846143044148706E-2</v>
      </c>
      <c r="G37" s="71">
        <f t="shared" si="8"/>
        <v>100</v>
      </c>
      <c r="H37" s="71">
        <f t="shared" si="9"/>
        <v>100</v>
      </c>
      <c r="I37" s="69" t="str">
        <v>N</v>
      </c>
      <c r="J37" s="71">
        <f t="shared" si="10"/>
        <v>0</v>
      </c>
      <c r="K37" s="71">
        <f t="shared" si="11"/>
        <v>294.08554402612828</v>
      </c>
      <c r="L37" s="71">
        <f t="shared" si="4"/>
        <v>5.8364637739588332</v>
      </c>
      <c r="M37" s="72">
        <f t="shared" si="5"/>
        <v>1.40075130575012</v>
      </c>
      <c r="N37" s="50"/>
      <c r="S37" s="14"/>
    </row>
    <row r="38" spans="2:19">
      <c r="B38" s="58">
        <v>1</v>
      </c>
      <c r="C38" s="58">
        <v>4</v>
      </c>
      <c r="D38" s="68">
        <v>1</v>
      </c>
      <c r="E38" s="69">
        <f t="shared" si="6"/>
        <v>274.14999999999998</v>
      </c>
      <c r="F38" s="70">
        <f t="shared" si="7"/>
        <v>1.9846143044148706E-2</v>
      </c>
      <c r="G38" s="71">
        <f t="shared" si="8"/>
        <v>100</v>
      </c>
      <c r="H38" s="71">
        <f t="shared" si="9"/>
        <v>100</v>
      </c>
      <c r="I38" s="69" t="str">
        <v>Y</v>
      </c>
      <c r="J38" s="71">
        <f t="shared" si="10"/>
        <v>273.83662623956099</v>
      </c>
      <c r="K38" s="109">
        <f t="shared" si="11"/>
        <v>114.41245401260846</v>
      </c>
      <c r="L38" s="109">
        <f t="shared" si="4"/>
        <v>2.2706459283663132</v>
      </c>
      <c r="M38" s="72">
        <f t="shared" si="5"/>
        <v>0.54495502280791519</v>
      </c>
      <c r="N38" s="50"/>
      <c r="S38" s="14"/>
    </row>
    <row r="39" spans="2:19">
      <c r="B39" s="58">
        <v>1</v>
      </c>
      <c r="C39" s="58">
        <v>5</v>
      </c>
      <c r="D39" s="68">
        <v>5.0179999999999998</v>
      </c>
      <c r="E39" s="69">
        <f t="shared" si="6"/>
        <v>278.16799999999995</v>
      </c>
      <c r="F39" s="70">
        <f>EXP((f_Ea*(Tav_K-f_T1))/(f_R*Tav_K*f_T1))</f>
        <v>3.314941062128253E-2</v>
      </c>
      <c r="G39" s="71">
        <f t="shared" si="8"/>
        <v>100</v>
      </c>
      <c r="H39" s="71">
        <f t="shared" si="9"/>
        <v>100</v>
      </c>
      <c r="I39" s="69" t="str">
        <v>N</v>
      </c>
      <c r="J39" s="109">
        <f t="shared" si="10"/>
        <v>0</v>
      </c>
      <c r="K39" s="71">
        <f t="shared" si="11"/>
        <v>212.14180808424214</v>
      </c>
      <c r="L39" s="71">
        <f t="shared" si="4"/>
        <v>7.0323759061258562</v>
      </c>
      <c r="M39" s="72">
        <f t="shared" si="5"/>
        <v>1.6877702174702054</v>
      </c>
      <c r="N39" s="50"/>
      <c r="S39" s="14"/>
    </row>
    <row r="40" spans="2:19">
      <c r="B40" s="58">
        <v>1</v>
      </c>
      <c r="C40" s="58">
        <v>6</v>
      </c>
      <c r="D40" s="68">
        <v>12.002700000000001</v>
      </c>
      <c r="E40" s="69">
        <f t="shared" si="6"/>
        <v>285.15269999999998</v>
      </c>
      <c r="F40" s="70">
        <f t="shared" si="7"/>
        <v>7.8133259940098648E-2</v>
      </c>
      <c r="G40" s="71">
        <f t="shared" si="8"/>
        <v>100</v>
      </c>
      <c r="H40" s="71">
        <f t="shared" si="9"/>
        <v>100</v>
      </c>
      <c r="I40" s="69" t="str">
        <v>N</v>
      </c>
      <c r="J40" s="71">
        <f t="shared" si="10"/>
        <v>0</v>
      </c>
      <c r="K40" s="71">
        <f t="shared" si="11"/>
        <v>305.10943217811626</v>
      </c>
      <c r="L40" s="71">
        <f t="shared" si="4"/>
        <v>23.839194574548657</v>
      </c>
      <c r="M40" s="72">
        <f t="shared" si="5"/>
        <v>5.7214066978916778</v>
      </c>
      <c r="N40" s="50"/>
      <c r="S40" s="14"/>
    </row>
    <row r="41" spans="2:19">
      <c r="B41" s="58">
        <v>1</v>
      </c>
      <c r="C41" s="58">
        <v>7</v>
      </c>
      <c r="D41" s="68">
        <v>17.263000000000002</v>
      </c>
      <c r="E41" s="69">
        <f t="shared" si="6"/>
        <v>290.41299999999995</v>
      </c>
      <c r="F41" s="70">
        <f t="shared" si="7"/>
        <v>0.14502496600001594</v>
      </c>
      <c r="G41" s="71">
        <f t="shared" si="8"/>
        <v>100</v>
      </c>
      <c r="H41" s="71">
        <f t="shared" si="9"/>
        <v>100</v>
      </c>
      <c r="I41" s="69" t="str">
        <v>N</v>
      </c>
      <c r="J41" s="71">
        <f t="shared" si="10"/>
        <v>0</v>
      </c>
      <c r="K41" s="71">
        <f t="shared" si="11"/>
        <v>381.27023760356758</v>
      </c>
      <c r="L41" s="71">
        <f t="shared" si="4"/>
        <v>55.293703245275388</v>
      </c>
      <c r="M41" s="72">
        <f t="shared" si="5"/>
        <v>13.270488778866092</v>
      </c>
      <c r="N41" s="50"/>
      <c r="S41" s="14"/>
    </row>
    <row r="42" spans="2:19">
      <c r="B42" s="58">
        <v>1</v>
      </c>
      <c r="C42" s="58">
        <v>8</v>
      </c>
      <c r="D42" s="68">
        <v>20.530999999999999</v>
      </c>
      <c r="E42" s="69">
        <f t="shared" si="6"/>
        <v>293.68099999999998</v>
      </c>
      <c r="F42" s="70">
        <f t="shared" si="7"/>
        <v>0.21060604275346723</v>
      </c>
      <c r="G42" s="71">
        <f t="shared" si="8"/>
        <v>100</v>
      </c>
      <c r="H42" s="71">
        <f t="shared" si="9"/>
        <v>100</v>
      </c>
      <c r="I42" s="69" t="str">
        <v>N</v>
      </c>
      <c r="J42" s="71">
        <f t="shared" si="10"/>
        <v>0</v>
      </c>
      <c r="K42" s="71">
        <f t="shared" si="11"/>
        <v>425.97653435829221</v>
      </c>
      <c r="L42" s="71">
        <f t="shared" si="4"/>
        <v>89.713232207036285</v>
      </c>
      <c r="M42" s="72">
        <f t="shared" si="5"/>
        <v>21.531175729688709</v>
      </c>
      <c r="N42" s="50"/>
      <c r="S42" s="14"/>
    </row>
    <row r="43" spans="2:19">
      <c r="B43" s="58">
        <v>1</v>
      </c>
      <c r="C43" s="58">
        <v>9</v>
      </c>
      <c r="D43" s="68">
        <v>17.899999999999999</v>
      </c>
      <c r="E43" s="69">
        <f t="shared" si="6"/>
        <v>291.04999999999995</v>
      </c>
      <c r="F43" s="70">
        <f t="shared" si="7"/>
        <v>0.15606691613589471</v>
      </c>
      <c r="G43" s="71">
        <f t="shared" si="8"/>
        <v>100</v>
      </c>
      <c r="H43" s="71">
        <f t="shared" si="9"/>
        <v>100</v>
      </c>
      <c r="I43" s="69" t="str">
        <v>y</v>
      </c>
      <c r="J43" s="71">
        <f t="shared" si="10"/>
        <v>319.45013704369308</v>
      </c>
      <c r="K43" s="71">
        <f t="shared" si="11"/>
        <v>116.81316510756278</v>
      </c>
      <c r="L43" s="71">
        <f t="shared" si="4"/>
        <v>18.230670442410425</v>
      </c>
      <c r="M43" s="72">
        <f t="shared" si="5"/>
        <v>4.3753609061785017</v>
      </c>
      <c r="N43" s="50"/>
      <c r="S43" s="14"/>
    </row>
    <row r="44" spans="2:19">
      <c r="B44" s="58">
        <v>1</v>
      </c>
      <c r="C44" s="58">
        <v>10</v>
      </c>
      <c r="D44" s="68">
        <v>15.65</v>
      </c>
      <c r="E44" s="69">
        <f t="shared" si="6"/>
        <v>288.79999999999995</v>
      </c>
      <c r="F44" s="70">
        <f t="shared" si="7"/>
        <v>0.12025919984242307</v>
      </c>
      <c r="G44" s="71">
        <f t="shared" si="8"/>
        <v>100</v>
      </c>
      <c r="H44" s="71">
        <f t="shared" si="9"/>
        <v>100</v>
      </c>
      <c r="I44" s="69" t="str">
        <v>N</v>
      </c>
      <c r="J44" s="71">
        <f t="shared" si="10"/>
        <v>0</v>
      </c>
      <c r="K44" s="71">
        <f t="shared" si="11"/>
        <v>198.58249466515235</v>
      </c>
      <c r="L44" s="71">
        <f t="shared" si="4"/>
        <v>23.881371911143471</v>
      </c>
      <c r="M44" s="72">
        <f t="shared" si="5"/>
        <v>5.7315292586744331</v>
      </c>
      <c r="N44" s="50"/>
      <c r="S44" s="14"/>
    </row>
    <row r="45" spans="2:19">
      <c r="B45" s="58">
        <v>1</v>
      </c>
      <c r="C45" s="58">
        <v>11</v>
      </c>
      <c r="D45" s="68">
        <v>8.2446999999999999</v>
      </c>
      <c r="E45" s="69">
        <f t="shared" si="6"/>
        <v>281.3947</v>
      </c>
      <c r="F45" s="70">
        <f t="shared" si="7"/>
        <v>4.9521197921897922E-2</v>
      </c>
      <c r="G45" s="71">
        <f t="shared" si="8"/>
        <v>100</v>
      </c>
      <c r="H45" s="71">
        <f t="shared" si="9"/>
        <v>100</v>
      </c>
      <c r="I45" s="69" t="str">
        <v>N</v>
      </c>
      <c r="J45" s="71">
        <f t="shared" si="10"/>
        <v>0</v>
      </c>
      <c r="K45" s="71">
        <f t="shared" si="11"/>
        <v>274.70112275400891</v>
      </c>
      <c r="L45" s="71">
        <f t="shared" si="4"/>
        <v>13.603528669268853</v>
      </c>
      <c r="M45" s="72">
        <f t="shared" si="5"/>
        <v>3.2648468806245243</v>
      </c>
      <c r="N45" s="50"/>
      <c r="S45" s="14"/>
    </row>
    <row r="46" spans="2:19">
      <c r="B46" s="59">
        <v>1</v>
      </c>
      <c r="C46" s="59">
        <v>12</v>
      </c>
      <c r="D46" s="68">
        <v>1.1528</v>
      </c>
      <c r="E46" s="73">
        <f t="shared" si="6"/>
        <v>274.30279999999999</v>
      </c>
      <c r="F46" s="70">
        <f t="shared" si="7"/>
        <v>2.024269485146854E-2</v>
      </c>
      <c r="G46" s="74">
        <f t="shared" si="8"/>
        <v>100</v>
      </c>
      <c r="H46" s="71">
        <f t="shared" si="9"/>
        <v>100</v>
      </c>
      <c r="I46" s="73" t="str">
        <v>N</v>
      </c>
      <c r="J46" s="71">
        <f t="shared" si="10"/>
        <v>0</v>
      </c>
      <c r="K46" s="71">
        <f t="shared" si="11"/>
        <v>361.09759408474008</v>
      </c>
      <c r="L46" s="71">
        <f t="shared" si="4"/>
        <v>7.309588408656845</v>
      </c>
      <c r="M46" s="72">
        <f t="shared" si="5"/>
        <v>1.7543012180776427</v>
      </c>
      <c r="N46" s="50"/>
      <c r="S46" s="14"/>
    </row>
    <row r="47" spans="2:19">
      <c r="B47" s="60">
        <v>2</v>
      </c>
      <c r="C47" s="60">
        <f>C46+1</f>
        <v>13</v>
      </c>
      <c r="D47" s="68">
        <f t="array" ref="D47:D58">ManureTemperature</f>
        <v>1</v>
      </c>
      <c r="E47" s="69">
        <f t="shared" si="6"/>
        <v>274.14999999999998</v>
      </c>
      <c r="F47" s="70">
        <f t="shared" ref="F47" si="12">EXP((f_Ea*(Tav_K-f_T1))/(f_R*Tav_K*f_T1))</f>
        <v>1.9846143044148706E-2</v>
      </c>
      <c r="G47" s="71">
        <f t="shared" ref="G47" si="13">VS_PROD_YR/12</f>
        <v>100</v>
      </c>
      <c r="H47" s="71">
        <f t="shared" ref="H47" si="14">VSexcreted*VS_PCT_LIQUID</f>
        <v>100</v>
      </c>
      <c r="I47" s="69" t="str">
        <f t="array" ref="I47:I58">ManureRemoved</f>
        <v>N</v>
      </c>
      <c r="J47" s="71">
        <f t="shared" ref="J47:J58" si="15">IF(Emptying="N",0,(INDEX(VSavailable,Month-1)-INDEX(VSconsumed,Month-1))*EMPTY_EFFICIENCY)</f>
        <v>0</v>
      </c>
      <c r="K47" s="71">
        <f t="shared" ref="K47:K58" si="16">VSload+INDEX(VSavailable,Month-1)-INDEX(VSconsumed,Month-1)-VSemptied</f>
        <v>453.78800567608323</v>
      </c>
      <c r="L47" s="71">
        <f t="shared" ref="L47:L58" si="17">f*VSavailable</f>
        <v>9.0059416723665127</v>
      </c>
      <c r="M47" s="72">
        <f t="shared" ref="M47:M58" si="18">VSconsumed*B0</f>
        <v>2.1614260013679631</v>
      </c>
      <c r="N47" s="50"/>
      <c r="S47" s="14"/>
    </row>
    <row r="48" spans="2:19">
      <c r="B48" s="60">
        <v>2</v>
      </c>
      <c r="C48" s="60">
        <f t="shared" ref="C48:C70" si="19">C47+1</f>
        <v>14</v>
      </c>
      <c r="D48" s="68">
        <v>1</v>
      </c>
      <c r="E48" s="69">
        <f t="shared" si="6"/>
        <v>274.14999999999998</v>
      </c>
      <c r="F48" s="70">
        <f t="shared" ref="F48:F58" si="20">EXP((f_Ea*(Tav_K-f_T1))/(f_R*Tav_K*f_T1))</f>
        <v>1.9846143044148706E-2</v>
      </c>
      <c r="G48" s="71">
        <f t="shared" ref="G48:G58" si="21">VS_PROD_YR/12</f>
        <v>100</v>
      </c>
      <c r="H48" s="71">
        <f t="shared" ref="H48:H58" si="22">VSexcreted*VS_PCT_LIQUID</f>
        <v>100</v>
      </c>
      <c r="I48" s="69" t="str">
        <v>N</v>
      </c>
      <c r="J48" s="71">
        <f t="shared" si="15"/>
        <v>0</v>
      </c>
      <c r="K48" s="71">
        <f t="shared" si="16"/>
        <v>544.78206400371675</v>
      </c>
      <c r="L48" s="71">
        <f t="shared" si="17"/>
        <v>10.811822770104339</v>
      </c>
      <c r="M48" s="72">
        <f t="shared" si="18"/>
        <v>2.5948374648250412</v>
      </c>
      <c r="N48" s="50"/>
      <c r="S48" s="14"/>
    </row>
    <row r="49" spans="2:19">
      <c r="B49" s="60">
        <v>2</v>
      </c>
      <c r="C49" s="60">
        <f t="shared" si="19"/>
        <v>15</v>
      </c>
      <c r="D49" s="68">
        <v>1</v>
      </c>
      <c r="E49" s="69">
        <f t="shared" si="6"/>
        <v>274.14999999999998</v>
      </c>
      <c r="F49" s="70">
        <f t="shared" si="20"/>
        <v>1.9846143044148706E-2</v>
      </c>
      <c r="G49" s="71">
        <f t="shared" si="21"/>
        <v>100</v>
      </c>
      <c r="H49" s="71">
        <f t="shared" si="22"/>
        <v>100</v>
      </c>
      <c r="I49" s="69" t="str">
        <v>N</v>
      </c>
      <c r="J49" s="71">
        <f t="shared" si="15"/>
        <v>0</v>
      </c>
      <c r="K49" s="71">
        <f t="shared" si="16"/>
        <v>633.97024123361246</v>
      </c>
      <c r="L49" s="71">
        <f t="shared" si="17"/>
        <v>12.581864093255735</v>
      </c>
      <c r="M49" s="72">
        <f t="shared" si="18"/>
        <v>3.0196473823813763</v>
      </c>
      <c r="N49" s="50"/>
      <c r="S49" s="14"/>
    </row>
    <row r="50" spans="2:19">
      <c r="B50" s="60">
        <v>2</v>
      </c>
      <c r="C50" s="60">
        <f t="shared" si="19"/>
        <v>16</v>
      </c>
      <c r="D50" s="68">
        <v>1</v>
      </c>
      <c r="E50" s="69">
        <f t="shared" si="6"/>
        <v>274.14999999999998</v>
      </c>
      <c r="F50" s="70">
        <f t="shared" si="20"/>
        <v>1.9846143044148706E-2</v>
      </c>
      <c r="G50" s="71">
        <f t="shared" si="21"/>
        <v>100</v>
      </c>
      <c r="H50" s="71">
        <f t="shared" si="22"/>
        <v>100</v>
      </c>
      <c r="I50" s="69" t="str">
        <v>Y</v>
      </c>
      <c r="J50" s="71">
        <f t="shared" si="15"/>
        <v>590.31895828333893</v>
      </c>
      <c r="K50" s="71">
        <f t="shared" si="16"/>
        <v>131.06941885701781</v>
      </c>
      <c r="L50" s="71">
        <f t="shared" si="17"/>
        <v>2.601222435349817</v>
      </c>
      <c r="M50" s="72">
        <f t="shared" si="18"/>
        <v>0.6242933844839561</v>
      </c>
      <c r="N50" s="50"/>
      <c r="S50" s="14"/>
    </row>
    <row r="51" spans="2:19">
      <c r="B51" s="60">
        <v>2</v>
      </c>
      <c r="C51" s="60">
        <f t="shared" si="19"/>
        <v>17</v>
      </c>
      <c r="D51" s="68">
        <v>5.0179999999999998</v>
      </c>
      <c r="E51" s="69">
        <f t="shared" si="6"/>
        <v>278.16799999999995</v>
      </c>
      <c r="F51" s="70">
        <f t="shared" si="20"/>
        <v>3.314941062128253E-2</v>
      </c>
      <c r="G51" s="71">
        <f t="shared" si="21"/>
        <v>100</v>
      </c>
      <c r="H51" s="71">
        <f t="shared" si="22"/>
        <v>100</v>
      </c>
      <c r="I51" s="69" t="str">
        <v>N</v>
      </c>
      <c r="J51" s="71">
        <f t="shared" si="15"/>
        <v>0</v>
      </c>
      <c r="K51" s="71">
        <f t="shared" si="16"/>
        <v>228.46819642166798</v>
      </c>
      <c r="L51" s="71">
        <f t="shared" si="17"/>
        <v>7.5735860570857039</v>
      </c>
      <c r="M51" s="72">
        <f t="shared" si="18"/>
        <v>1.8176606537005688</v>
      </c>
      <c r="N51" s="50"/>
      <c r="S51" s="14"/>
    </row>
    <row r="52" spans="2:19">
      <c r="B52" s="60">
        <v>2</v>
      </c>
      <c r="C52" s="60">
        <f t="shared" si="19"/>
        <v>18</v>
      </c>
      <c r="D52" s="68">
        <v>12.002700000000001</v>
      </c>
      <c r="E52" s="69">
        <f t="shared" si="6"/>
        <v>285.15269999999998</v>
      </c>
      <c r="F52" s="70">
        <f t="shared" si="20"/>
        <v>7.8133259940098648E-2</v>
      </c>
      <c r="G52" s="71">
        <f t="shared" si="21"/>
        <v>100</v>
      </c>
      <c r="H52" s="71">
        <f t="shared" si="22"/>
        <v>100</v>
      </c>
      <c r="I52" s="69" t="str">
        <v>N</v>
      </c>
      <c r="J52" s="71">
        <f t="shared" si="15"/>
        <v>0</v>
      </c>
      <c r="K52" s="71">
        <f t="shared" si="16"/>
        <v>320.89461036458226</v>
      </c>
      <c r="L52" s="71">
        <f t="shared" si="17"/>
        <v>25.072542004992581</v>
      </c>
      <c r="M52" s="72">
        <f t="shared" si="18"/>
        <v>6.0174100811982196</v>
      </c>
      <c r="N52" s="50"/>
      <c r="S52" s="14"/>
    </row>
    <row r="53" spans="2:19">
      <c r="B53" s="60">
        <v>2</v>
      </c>
      <c r="C53" s="60">
        <f t="shared" si="19"/>
        <v>19</v>
      </c>
      <c r="D53" s="68">
        <v>17.263000000000002</v>
      </c>
      <c r="E53" s="69">
        <f t="shared" si="6"/>
        <v>290.41299999999995</v>
      </c>
      <c r="F53" s="70">
        <f t="shared" si="20"/>
        <v>0.14502496600001594</v>
      </c>
      <c r="G53" s="71">
        <f t="shared" si="21"/>
        <v>100</v>
      </c>
      <c r="H53" s="71">
        <f t="shared" si="22"/>
        <v>100</v>
      </c>
      <c r="I53" s="69" t="str">
        <v>N</v>
      </c>
      <c r="J53" s="71">
        <f t="shared" si="15"/>
        <v>0</v>
      </c>
      <c r="K53" s="71">
        <f t="shared" si="16"/>
        <v>395.82206835958971</v>
      </c>
      <c r="L53" s="71">
        <f t="shared" si="17"/>
        <v>57.404082005905479</v>
      </c>
      <c r="M53" s="72">
        <f t="shared" si="18"/>
        <v>13.776979681417314</v>
      </c>
      <c r="N53" s="50"/>
      <c r="S53" s="14"/>
    </row>
    <row r="54" spans="2:19">
      <c r="B54" s="60">
        <v>2</v>
      </c>
      <c r="C54" s="60">
        <f t="shared" si="19"/>
        <v>20</v>
      </c>
      <c r="D54" s="68">
        <v>20.530999999999999</v>
      </c>
      <c r="E54" s="69">
        <f t="shared" si="6"/>
        <v>293.68099999999998</v>
      </c>
      <c r="F54" s="70">
        <f t="shared" si="20"/>
        <v>0.21060604275346723</v>
      </c>
      <c r="G54" s="71">
        <f t="shared" si="21"/>
        <v>100</v>
      </c>
      <c r="H54" s="71">
        <f t="shared" si="22"/>
        <v>100</v>
      </c>
      <c r="I54" s="69" t="str">
        <v>N</v>
      </c>
      <c r="J54" s="71">
        <f t="shared" si="15"/>
        <v>0</v>
      </c>
      <c r="K54" s="71">
        <f t="shared" si="16"/>
        <v>438.41798635368423</v>
      </c>
      <c r="L54" s="71">
        <f t="shared" si="17"/>
        <v>92.33347717789303</v>
      </c>
      <c r="M54" s="72">
        <f t="shared" si="18"/>
        <v>22.160034522694325</v>
      </c>
      <c r="N54" s="50"/>
      <c r="S54" s="14"/>
    </row>
    <row r="55" spans="2:19">
      <c r="B55" s="60">
        <v>2</v>
      </c>
      <c r="C55" s="60">
        <f t="shared" si="19"/>
        <v>21</v>
      </c>
      <c r="D55" s="68">
        <v>17.899999999999999</v>
      </c>
      <c r="E55" s="69">
        <f t="shared" si="6"/>
        <v>291.04999999999995</v>
      </c>
      <c r="F55" s="70">
        <f t="shared" si="20"/>
        <v>0.15606691613589471</v>
      </c>
      <c r="G55" s="71">
        <f t="shared" si="21"/>
        <v>100</v>
      </c>
      <c r="H55" s="71">
        <f t="shared" si="22"/>
        <v>100</v>
      </c>
      <c r="I55" s="69" t="str">
        <v>y</v>
      </c>
      <c r="J55" s="71">
        <f t="shared" si="15"/>
        <v>328.78028371700162</v>
      </c>
      <c r="K55" s="71">
        <f t="shared" si="16"/>
        <v>117.30422545878957</v>
      </c>
      <c r="L55" s="71">
        <f t="shared" si="17"/>
        <v>18.307308717062998</v>
      </c>
      <c r="M55" s="72">
        <f t="shared" si="18"/>
        <v>4.3937540920951195</v>
      </c>
      <c r="N55" s="50"/>
      <c r="S55" s="14"/>
    </row>
    <row r="56" spans="2:19">
      <c r="B56" s="60">
        <v>2</v>
      </c>
      <c r="C56" s="60">
        <f t="shared" si="19"/>
        <v>22</v>
      </c>
      <c r="D56" s="68">
        <v>15.65</v>
      </c>
      <c r="E56" s="69">
        <f t="shared" si="6"/>
        <v>288.79999999999995</v>
      </c>
      <c r="F56" s="70">
        <f t="shared" si="20"/>
        <v>0.12025919984242307</v>
      </c>
      <c r="G56" s="71">
        <f t="shared" si="21"/>
        <v>100</v>
      </c>
      <c r="H56" s="71">
        <f t="shared" si="22"/>
        <v>100</v>
      </c>
      <c r="I56" s="69" t="str">
        <v>N</v>
      </c>
      <c r="J56" s="71">
        <f t="shared" si="15"/>
        <v>0</v>
      </c>
      <c r="K56" s="71">
        <f t="shared" si="16"/>
        <v>198.99691674172658</v>
      </c>
      <c r="L56" s="71">
        <f t="shared" si="17"/>
        <v>23.931209978469322</v>
      </c>
      <c r="M56" s="72">
        <f t="shared" si="18"/>
        <v>5.7434903948326372</v>
      </c>
      <c r="N56" s="50"/>
      <c r="S56" s="14"/>
    </row>
    <row r="57" spans="2:19">
      <c r="B57" s="60">
        <v>2</v>
      </c>
      <c r="C57" s="60">
        <f t="shared" si="19"/>
        <v>23</v>
      </c>
      <c r="D57" s="68">
        <v>8.2446999999999999</v>
      </c>
      <c r="E57" s="69">
        <f t="shared" si="6"/>
        <v>281.3947</v>
      </c>
      <c r="F57" s="70">
        <f t="shared" si="20"/>
        <v>4.9521197921897922E-2</v>
      </c>
      <c r="G57" s="71">
        <f t="shared" si="21"/>
        <v>100</v>
      </c>
      <c r="H57" s="71">
        <f t="shared" si="22"/>
        <v>100</v>
      </c>
      <c r="I57" s="69" t="str">
        <v>N</v>
      </c>
      <c r="J57" s="71">
        <f t="shared" si="15"/>
        <v>0</v>
      </c>
      <c r="K57" s="71">
        <f t="shared" si="16"/>
        <v>275.06570676325725</v>
      </c>
      <c r="L57" s="71">
        <f t="shared" si="17"/>
        <v>13.621583306149999</v>
      </c>
      <c r="M57" s="72">
        <f t="shared" si="18"/>
        <v>3.2691799934759995</v>
      </c>
      <c r="N57" s="50"/>
      <c r="S57" s="14"/>
    </row>
    <row r="58" spans="2:19">
      <c r="B58" s="60">
        <v>2</v>
      </c>
      <c r="C58" s="60">
        <f t="shared" si="19"/>
        <v>24</v>
      </c>
      <c r="D58" s="68">
        <v>1.1528</v>
      </c>
      <c r="E58" s="73">
        <f t="shared" si="6"/>
        <v>274.30279999999999</v>
      </c>
      <c r="F58" s="70">
        <f t="shared" si="20"/>
        <v>2.024269485146854E-2</v>
      </c>
      <c r="G58" s="74">
        <f t="shared" si="21"/>
        <v>100</v>
      </c>
      <c r="H58" s="71">
        <f t="shared" si="22"/>
        <v>100</v>
      </c>
      <c r="I58" s="73" t="str">
        <v>N</v>
      </c>
      <c r="J58" s="71">
        <f t="shared" si="15"/>
        <v>0</v>
      </c>
      <c r="K58" s="71">
        <f t="shared" si="16"/>
        <v>361.44412345710725</v>
      </c>
      <c r="L58" s="71">
        <f t="shared" si="17"/>
        <v>7.3166030969987448</v>
      </c>
      <c r="M58" s="72">
        <f t="shared" si="18"/>
        <v>1.7559847432796987</v>
      </c>
      <c r="N58" s="50"/>
      <c r="S58" s="14"/>
    </row>
    <row r="59" spans="2:19">
      <c r="B59" s="60">
        <v>3</v>
      </c>
      <c r="C59" s="60">
        <f t="shared" si="19"/>
        <v>25</v>
      </c>
      <c r="D59" s="68">
        <f t="array" ref="D59:D70">ManureTemperature</f>
        <v>1</v>
      </c>
      <c r="E59" s="69">
        <f t="shared" si="6"/>
        <v>274.14999999999998</v>
      </c>
      <c r="F59" s="70">
        <f t="shared" ref="F59" si="23">EXP((f_Ea*(Tav_K-f_T1))/(f_R*Tav_K*f_T1))</f>
        <v>1.9846143044148706E-2</v>
      </c>
      <c r="G59" s="71">
        <f t="shared" ref="G59" si="24">VS_PROD_YR/12</f>
        <v>100</v>
      </c>
      <c r="H59" s="71">
        <f t="shared" ref="H59" si="25">VSexcreted*VS_PCT_LIQUID</f>
        <v>100</v>
      </c>
      <c r="I59" s="69" t="str">
        <f t="array" ref="I59:I70">ManureRemoved</f>
        <v>N</v>
      </c>
      <c r="J59" s="71">
        <f t="shared" ref="J59:J70" si="26">IF(Emptying="N",0,(INDEX(VSavailable,Month-1)-INDEX(VSconsumed,Month-1))*EMPTY_EFFICIENCY)</f>
        <v>0</v>
      </c>
      <c r="K59" s="71">
        <f t="shared" ref="K59:K70" si="27">VSload+INDEX(VSavailable,Month-1)-INDEX(VSconsumed,Month-1)-VSemptied</f>
        <v>454.12752036010852</v>
      </c>
      <c r="L59" s="71">
        <f t="shared" ref="L59:L70" si="28">f*VSavailable</f>
        <v>9.0126797293512677</v>
      </c>
      <c r="M59" s="72">
        <f t="shared" ref="M59:M70" si="29">VSconsumed*B0</f>
        <v>2.1630431350443042</v>
      </c>
      <c r="N59" s="50"/>
      <c r="S59" s="14"/>
    </row>
    <row r="60" spans="2:19">
      <c r="B60" s="60">
        <v>3</v>
      </c>
      <c r="C60" s="60">
        <f t="shared" si="19"/>
        <v>26</v>
      </c>
      <c r="D60" s="68">
        <v>1</v>
      </c>
      <c r="E60" s="69">
        <f t="shared" si="6"/>
        <v>274.14999999999998</v>
      </c>
      <c r="F60" s="70">
        <f t="shared" ref="F60:F70" si="30">EXP((f_Ea*(Tav_K-f_T1))/(f_R*Tav_K*f_T1))</f>
        <v>1.9846143044148706E-2</v>
      </c>
      <c r="G60" s="71">
        <f t="shared" ref="G60:G70" si="31">VS_PROD_YR/12</f>
        <v>100</v>
      </c>
      <c r="H60" s="71">
        <f t="shared" ref="H60:H70" si="32">VSexcreted*VS_PCT_LIQUID</f>
        <v>100</v>
      </c>
      <c r="I60" s="69" t="str">
        <v>N</v>
      </c>
      <c r="J60" s="71">
        <f t="shared" si="26"/>
        <v>0</v>
      </c>
      <c r="K60" s="71">
        <f t="shared" si="27"/>
        <v>545.11484063075727</v>
      </c>
      <c r="L60" s="71">
        <f t="shared" si="28"/>
        <v>10.818427102646334</v>
      </c>
      <c r="M60" s="72">
        <f t="shared" si="29"/>
        <v>2.5964225046351199</v>
      </c>
      <c r="N60" s="50"/>
      <c r="S60" s="14"/>
    </row>
    <row r="61" spans="2:19">
      <c r="B61" s="60">
        <v>3</v>
      </c>
      <c r="C61" s="60">
        <f t="shared" si="19"/>
        <v>27</v>
      </c>
      <c r="D61" s="68">
        <v>1</v>
      </c>
      <c r="E61" s="69">
        <f t="shared" si="6"/>
        <v>274.14999999999998</v>
      </c>
      <c r="F61" s="70">
        <f t="shared" si="30"/>
        <v>1.9846143044148706E-2</v>
      </c>
      <c r="G61" s="71">
        <f t="shared" si="31"/>
        <v>100</v>
      </c>
      <c r="H61" s="71">
        <f t="shared" si="32"/>
        <v>100</v>
      </c>
      <c r="I61" s="69" t="str">
        <v>N</v>
      </c>
      <c r="J61" s="71">
        <f t="shared" si="26"/>
        <v>0</v>
      </c>
      <c r="K61" s="71">
        <f t="shared" si="27"/>
        <v>634.29641352811097</v>
      </c>
      <c r="L61" s="71">
        <f t="shared" si="28"/>
        <v>12.58833735526939</v>
      </c>
      <c r="M61" s="72">
        <f t="shared" si="29"/>
        <v>3.0212009652646534</v>
      </c>
      <c r="N61" s="50"/>
      <c r="S61" s="14"/>
    </row>
    <row r="62" spans="2:19">
      <c r="B62" s="60">
        <v>3</v>
      </c>
      <c r="C62" s="60">
        <f t="shared" si="19"/>
        <v>28</v>
      </c>
      <c r="D62" s="68">
        <v>1</v>
      </c>
      <c r="E62" s="69">
        <f t="shared" si="6"/>
        <v>274.14999999999998</v>
      </c>
      <c r="F62" s="70">
        <f t="shared" si="30"/>
        <v>1.9846143044148706E-2</v>
      </c>
      <c r="G62" s="71">
        <f t="shared" si="31"/>
        <v>100</v>
      </c>
      <c r="H62" s="71">
        <f t="shared" si="32"/>
        <v>100</v>
      </c>
      <c r="I62" s="69" t="str">
        <v>Y</v>
      </c>
      <c r="J62" s="71">
        <f t="shared" si="26"/>
        <v>590.6226723641995</v>
      </c>
      <c r="K62" s="71">
        <f t="shared" si="27"/>
        <v>131.08540380864213</v>
      </c>
      <c r="L62" s="71">
        <f t="shared" si="28"/>
        <v>2.6015396749863071</v>
      </c>
      <c r="M62" s="72">
        <f t="shared" si="29"/>
        <v>0.62436952199671369</v>
      </c>
      <c r="N62" s="50"/>
      <c r="S62" s="14"/>
    </row>
    <row r="63" spans="2:19">
      <c r="B63" s="60">
        <v>3</v>
      </c>
      <c r="C63" s="60">
        <f t="shared" si="19"/>
        <v>29</v>
      </c>
      <c r="D63" s="68">
        <v>5.0179999999999998</v>
      </c>
      <c r="E63" s="69">
        <f t="shared" si="6"/>
        <v>278.16799999999995</v>
      </c>
      <c r="F63" s="70">
        <f t="shared" si="30"/>
        <v>3.314941062128253E-2</v>
      </c>
      <c r="G63" s="71">
        <f t="shared" si="31"/>
        <v>100</v>
      </c>
      <c r="H63" s="71">
        <f t="shared" si="32"/>
        <v>100</v>
      </c>
      <c r="I63" s="69" t="str">
        <v>N</v>
      </c>
      <c r="J63" s="71">
        <f t="shared" si="26"/>
        <v>0</v>
      </c>
      <c r="K63" s="71">
        <f t="shared" si="27"/>
        <v>228.48386413365583</v>
      </c>
      <c r="L63" s="71">
        <f t="shared" si="28"/>
        <v>7.5741054325038846</v>
      </c>
      <c r="M63" s="72">
        <f t="shared" si="29"/>
        <v>1.8177853038009322</v>
      </c>
      <c r="N63" s="50"/>
      <c r="S63" s="14"/>
    </row>
    <row r="64" spans="2:19">
      <c r="B64" s="60">
        <v>3</v>
      </c>
      <c r="C64" s="60">
        <f t="shared" si="19"/>
        <v>30</v>
      </c>
      <c r="D64" s="68">
        <v>12.002700000000001</v>
      </c>
      <c r="E64" s="69">
        <f t="shared" si="6"/>
        <v>285.15269999999998</v>
      </c>
      <c r="F64" s="70">
        <f t="shared" si="30"/>
        <v>7.8133259940098648E-2</v>
      </c>
      <c r="G64" s="71">
        <f t="shared" si="31"/>
        <v>100</v>
      </c>
      <c r="H64" s="71">
        <f t="shared" si="32"/>
        <v>100</v>
      </c>
      <c r="I64" s="69" t="str">
        <v>N</v>
      </c>
      <c r="J64" s="71">
        <f t="shared" si="26"/>
        <v>0</v>
      </c>
      <c r="K64" s="71">
        <f t="shared" si="27"/>
        <v>320.90975870115199</v>
      </c>
      <c r="L64" s="71">
        <f t="shared" si="28"/>
        <v>25.073725593911441</v>
      </c>
      <c r="M64" s="72">
        <f t="shared" si="29"/>
        <v>6.0176941425387458</v>
      </c>
      <c r="N64" s="50"/>
      <c r="S64" s="14"/>
    </row>
    <row r="65" spans="2:19">
      <c r="B65" s="60">
        <v>3</v>
      </c>
      <c r="C65" s="60">
        <f t="shared" si="19"/>
        <v>31</v>
      </c>
      <c r="D65" s="68">
        <v>17.263000000000002</v>
      </c>
      <c r="E65" s="69">
        <f t="shared" si="6"/>
        <v>290.41299999999995</v>
      </c>
      <c r="F65" s="70">
        <f t="shared" si="30"/>
        <v>0.14502496600001594</v>
      </c>
      <c r="G65" s="71">
        <f t="shared" si="31"/>
        <v>100</v>
      </c>
      <c r="H65" s="71">
        <f t="shared" si="32"/>
        <v>100</v>
      </c>
      <c r="I65" s="69" t="str">
        <v>N</v>
      </c>
      <c r="J65" s="71">
        <f t="shared" si="26"/>
        <v>0</v>
      </c>
      <c r="K65" s="71">
        <f t="shared" si="27"/>
        <v>395.83603310724055</v>
      </c>
      <c r="L65" s="71">
        <f t="shared" si="28"/>
        <v>57.406107242958747</v>
      </c>
      <c r="M65" s="72">
        <f t="shared" si="29"/>
        <v>13.777465738310099</v>
      </c>
      <c r="N65" s="50"/>
      <c r="S65" s="14"/>
    </row>
    <row r="66" spans="2:19">
      <c r="B66" s="60">
        <v>3</v>
      </c>
      <c r="C66" s="60">
        <f t="shared" si="19"/>
        <v>32</v>
      </c>
      <c r="D66" s="68">
        <v>20.530999999999999</v>
      </c>
      <c r="E66" s="69">
        <f t="shared" si="6"/>
        <v>293.68099999999998</v>
      </c>
      <c r="F66" s="70">
        <f t="shared" si="30"/>
        <v>0.21060604275346723</v>
      </c>
      <c r="G66" s="71">
        <f t="shared" si="31"/>
        <v>100</v>
      </c>
      <c r="H66" s="71">
        <f t="shared" si="32"/>
        <v>100</v>
      </c>
      <c r="I66" s="69" t="str">
        <v>N</v>
      </c>
      <c r="J66" s="71">
        <f t="shared" si="26"/>
        <v>0</v>
      </c>
      <c r="K66" s="71">
        <f t="shared" si="27"/>
        <v>438.42992586428181</v>
      </c>
      <c r="L66" s="71">
        <f t="shared" si="28"/>
        <v>92.335991710972408</v>
      </c>
      <c r="M66" s="72">
        <f t="shared" si="29"/>
        <v>22.160638010633377</v>
      </c>
      <c r="N66" s="50"/>
      <c r="S66" s="14"/>
    </row>
    <row r="67" spans="2:19">
      <c r="B67" s="60">
        <v>3</v>
      </c>
      <c r="C67" s="60">
        <f t="shared" si="19"/>
        <v>33</v>
      </c>
      <c r="D67" s="68">
        <v>17.899999999999999</v>
      </c>
      <c r="E67" s="69">
        <f t="shared" si="6"/>
        <v>291.04999999999995</v>
      </c>
      <c r="F67" s="70">
        <f t="shared" si="30"/>
        <v>0.15606691613589471</v>
      </c>
      <c r="G67" s="71">
        <f t="shared" si="31"/>
        <v>100</v>
      </c>
      <c r="H67" s="71">
        <f t="shared" si="32"/>
        <v>100</v>
      </c>
      <c r="I67" s="69" t="str">
        <v>y</v>
      </c>
      <c r="J67" s="71">
        <f t="shared" si="26"/>
        <v>328.78923744564395</v>
      </c>
      <c r="K67" s="71">
        <f t="shared" si="27"/>
        <v>117.30469670766547</v>
      </c>
      <c r="L67" s="71">
        <f t="shared" si="28"/>
        <v>18.307382263421793</v>
      </c>
      <c r="M67" s="72">
        <f t="shared" si="29"/>
        <v>4.3937717432212304</v>
      </c>
      <c r="N67" s="50"/>
      <c r="S67" s="14"/>
    </row>
    <row r="68" spans="2:19">
      <c r="B68" s="60">
        <v>3</v>
      </c>
      <c r="C68" s="60">
        <f t="shared" si="19"/>
        <v>34</v>
      </c>
      <c r="D68" s="68">
        <v>15.65</v>
      </c>
      <c r="E68" s="69">
        <f t="shared" si="6"/>
        <v>288.79999999999995</v>
      </c>
      <c r="F68" s="70">
        <f t="shared" si="30"/>
        <v>0.12025919984242307</v>
      </c>
      <c r="G68" s="71">
        <f t="shared" si="31"/>
        <v>100</v>
      </c>
      <c r="H68" s="71">
        <f t="shared" si="32"/>
        <v>100</v>
      </c>
      <c r="I68" s="69" t="str">
        <v>N</v>
      </c>
      <c r="J68" s="71">
        <f t="shared" si="26"/>
        <v>0</v>
      </c>
      <c r="K68" s="71">
        <f t="shared" si="27"/>
        <v>198.99731444424367</v>
      </c>
      <c r="L68" s="71">
        <f t="shared" si="28"/>
        <v>23.931257805855804</v>
      </c>
      <c r="M68" s="72">
        <f t="shared" si="29"/>
        <v>5.7435018734053926</v>
      </c>
      <c r="N68" s="50"/>
      <c r="S68" s="14"/>
    </row>
    <row r="69" spans="2:19">
      <c r="B69" s="60">
        <v>3</v>
      </c>
      <c r="C69" s="60">
        <f t="shared" si="19"/>
        <v>35</v>
      </c>
      <c r="D69" s="68">
        <v>8.2446999999999999</v>
      </c>
      <c r="E69" s="69">
        <f t="shared" si="6"/>
        <v>281.3947</v>
      </c>
      <c r="F69" s="70">
        <f t="shared" si="30"/>
        <v>4.9521197921897922E-2</v>
      </c>
      <c r="G69" s="71">
        <f t="shared" si="31"/>
        <v>100</v>
      </c>
      <c r="H69" s="71">
        <f t="shared" si="32"/>
        <v>100</v>
      </c>
      <c r="I69" s="69" t="str">
        <v>N</v>
      </c>
      <c r="J69" s="71">
        <f t="shared" si="26"/>
        <v>0</v>
      </c>
      <c r="K69" s="71">
        <f t="shared" si="27"/>
        <v>275.06605663838786</v>
      </c>
      <c r="L69" s="71">
        <f t="shared" si="28"/>
        <v>13.62160063238559</v>
      </c>
      <c r="M69" s="72">
        <f t="shared" si="29"/>
        <v>3.2691841517725413</v>
      </c>
      <c r="N69" s="50"/>
      <c r="S69" s="14"/>
    </row>
    <row r="70" spans="2:19">
      <c r="B70" s="60">
        <v>3</v>
      </c>
      <c r="C70" s="60">
        <f t="shared" si="19"/>
        <v>36</v>
      </c>
      <c r="D70" s="68">
        <v>1.1528</v>
      </c>
      <c r="E70" s="73">
        <f t="shared" si="6"/>
        <v>274.30279999999999</v>
      </c>
      <c r="F70" s="70">
        <f t="shared" si="30"/>
        <v>2.024269485146854E-2</v>
      </c>
      <c r="G70" s="74">
        <f t="shared" si="31"/>
        <v>100</v>
      </c>
      <c r="H70" s="71">
        <f t="shared" si="32"/>
        <v>100</v>
      </c>
      <c r="I70" s="73" t="str">
        <v>N</v>
      </c>
      <c r="J70" s="71">
        <f t="shared" si="26"/>
        <v>0</v>
      </c>
      <c r="K70" s="71">
        <f t="shared" si="27"/>
        <v>361.44445600600227</v>
      </c>
      <c r="L70" s="71">
        <f t="shared" si="28"/>
        <v>7.3166098286845491</v>
      </c>
      <c r="M70" s="72">
        <f t="shared" si="29"/>
        <v>1.7559863588842917</v>
      </c>
      <c r="N70" s="50"/>
      <c r="S70" s="14"/>
    </row>
    <row r="71" spans="2:19">
      <c r="C71" s="61"/>
      <c r="D71" s="24"/>
      <c r="E71" s="24"/>
      <c r="F71" s="75" t="s">
        <v>123</v>
      </c>
      <c r="G71" s="71"/>
      <c r="H71" s="71"/>
      <c r="I71" s="69"/>
      <c r="J71" s="71"/>
      <c r="K71" s="71"/>
      <c r="L71" s="71"/>
      <c r="M71" s="72"/>
      <c r="N71" s="50"/>
      <c r="S71" s="14"/>
    </row>
    <row r="72" spans="2:19">
      <c r="C72" s="61"/>
      <c r="D72" s="24"/>
      <c r="E72" s="24"/>
      <c r="F72" s="75" t="s">
        <v>124</v>
      </c>
      <c r="G72" s="71">
        <f>SUM(G35:G46)</f>
        <v>1200</v>
      </c>
      <c r="H72" s="71">
        <f>SUM(H35:H46)</f>
        <v>1200</v>
      </c>
      <c r="I72" s="69"/>
      <c r="J72" s="71">
        <f>SUM(J35:J46)</f>
        <v>593.286763283254</v>
      </c>
      <c r="K72" s="71"/>
      <c r="L72" s="71">
        <f>SUM(L35:L46)</f>
        <v>252.92523104066265</v>
      </c>
      <c r="M72" s="72">
        <f>SUM(M35:M46)</f>
        <v>60.702055449759037</v>
      </c>
      <c r="N72" s="50"/>
      <c r="S72" s="14"/>
    </row>
    <row r="73" spans="2:19">
      <c r="C73" s="61"/>
      <c r="D73" s="24"/>
      <c r="E73" s="24"/>
      <c r="F73" s="75" t="s">
        <v>125</v>
      </c>
      <c r="G73" s="71">
        <f>SUM(G47:G58)</f>
        <v>1200</v>
      </c>
      <c r="H73" s="71">
        <f>SUM(H47:H58)</f>
        <v>1200</v>
      </c>
      <c r="I73" s="69"/>
      <c r="J73" s="71">
        <f>SUM(J47:J58)</f>
        <v>919.09924200034061</v>
      </c>
      <c r="K73" s="71"/>
      <c r="L73" s="71">
        <f>SUM(L47:L58)</f>
        <v>280.56124331563427</v>
      </c>
      <c r="M73" s="72">
        <f>SUM(M47:M58)</f>
        <v>67.334698395752227</v>
      </c>
      <c r="N73" s="50"/>
      <c r="S73" s="14"/>
    </row>
    <row r="74" spans="2:19" ht="15" thickBot="1">
      <c r="C74" s="62"/>
      <c r="D74" s="76"/>
      <c r="E74" s="76"/>
      <c r="F74" s="77" t="s">
        <v>126</v>
      </c>
      <c r="G74" s="78">
        <f>SUM(G59:G70)</f>
        <v>1200</v>
      </c>
      <c r="H74" s="78">
        <f>SUM(H59:H70)</f>
        <v>1200</v>
      </c>
      <c r="I74" s="79"/>
      <c r="J74" s="78">
        <f>SUM(J59:J70)</f>
        <v>919.41190980984345</v>
      </c>
      <c r="K74" s="78"/>
      <c r="L74" s="78">
        <f>SUM(L59:L70)</f>
        <v>280.5877643729475</v>
      </c>
      <c r="M74" s="80">
        <f>SUM(M59:M70)</f>
        <v>67.341063449507388</v>
      </c>
      <c r="N74" s="51"/>
      <c r="O74" s="18"/>
      <c r="P74" s="18"/>
      <c r="Q74" s="18"/>
      <c r="R74" s="18"/>
      <c r="S74" s="38"/>
    </row>
  </sheetData>
  <mergeCells count="8">
    <mergeCell ref="L26:L27"/>
    <mergeCell ref="M26:M27"/>
    <mergeCell ref="B2:B3"/>
    <mergeCell ref="C2:C3"/>
    <mergeCell ref="D2:D3"/>
    <mergeCell ref="E2:E3"/>
    <mergeCell ref="F2:F3"/>
    <mergeCell ref="J26:J27"/>
  </mergeCells>
  <dataValidations count="6">
    <dataValidation type="list" errorStyle="warning" showDropDown="1" showInputMessage="1" showErrorMessage="1" errorTitle="Invalid Data Entry" error="Valid Options: Y, N" sqref="F9:F20">
      <formula1>$Q$12:$Q$13</formula1>
    </dataValidation>
    <dataValidation type="list" showInputMessage="1" showErrorMessage="1" sqref="D6">
      <formula1>$Q$8:$Q$9</formula1>
    </dataValidation>
    <dataValidation type="decimal" allowBlank="1" showInputMessage="1" showErrorMessage="1" errorTitle="Invalid Data Entry" error="Valid Temperature Range: -50 to +60 degrees C" sqref="D9:D20">
      <formula1>-50</formula1>
      <formula2>60</formula2>
    </dataValidation>
    <dataValidation type="decimal" allowBlank="1" showInputMessage="1" showErrorMessage="1" errorTitle="Invalid Data Entry" error="Valid Range: 50% to 100% (0.5 to 1.0)" sqref="I20">
      <formula1>0.5</formula1>
      <formula2>1</formula2>
    </dataValidation>
    <dataValidation type="decimal" allowBlank="1" showInputMessage="1" showErrorMessage="1" errorTitle="Invalid Data Entry" error="Must be between 0 and 100%" sqref="I8">
      <formula1>0</formula1>
      <formula2>1</formula2>
    </dataValidation>
    <dataValidation type="decimal" showInputMessage="1" showErrorMessage="1" errorTitle="Invalid Input Data" error="Must be a number between 0 and 1" sqref="I17">
      <formula1>0.01</formula1>
      <formula2>0.99</formula2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9FE595A09BF24DB7C3A62797712BE8" ma:contentTypeVersion="9" ma:contentTypeDescription="Create a new document." ma:contentTypeScope="" ma:versionID="ec54c6473ad98a0b80f01b2f00198dc9">
  <xsd:schema xmlns:xsd="http://www.w3.org/2001/XMLSchema" xmlns:xs="http://www.w3.org/2001/XMLSchema" xmlns:p="http://schemas.microsoft.com/office/2006/metadata/properties" xmlns:ns3="1f4989ed-0053-417e-89bc-84c0eb9534fc" targetNamespace="http://schemas.microsoft.com/office/2006/metadata/properties" ma:root="true" ma:fieldsID="7ee652918a05a81e82eb588b97fa1eb7" ns3:_="">
    <xsd:import namespace="1f4989ed-0053-417e-89bc-84c0eb9534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4989ed-0053-417e-89bc-84c0eb9534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DD6CE7-5CE3-459A-BCA8-1EF656806860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1f4989ed-0053-417e-89bc-84c0eb9534f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E42AC22-64A2-4E00-A92C-6B74F2496B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4989ed-0053-417e-89bc-84c0eb9534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5EB8FD-26D2-4876-B1D6-5A7764FE00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46</vt:i4>
      </vt:variant>
    </vt:vector>
  </HeadingPairs>
  <TitlesOfParts>
    <vt:vector size="48" baseType="lpstr">
      <vt:lpstr>MCF Model_Atlantic+2 C</vt:lpstr>
      <vt:lpstr>MCF Model_Atlantic</vt:lpstr>
      <vt:lpstr>'MCF Model_Atlantic'!B0</vt:lpstr>
      <vt:lpstr>'MCF Model_Atlantic+2 C'!B0</vt:lpstr>
      <vt:lpstr>'MCF Model_Atlantic'!CH4_DENSITY</vt:lpstr>
      <vt:lpstr>'MCF Model_Atlantic+2 C'!CH4_DENSITY</vt:lpstr>
      <vt:lpstr>'MCF Model_Atlantic'!EMPTY_EFFICIENCY</vt:lpstr>
      <vt:lpstr>'MCF Model_Atlantic+2 C'!EMPTY_EFFICIENCY</vt:lpstr>
      <vt:lpstr>'MCF Model_Atlantic'!Emptying</vt:lpstr>
      <vt:lpstr>'MCF Model_Atlantic+2 C'!Emptying</vt:lpstr>
      <vt:lpstr>'MCF Model_Atlantic'!f</vt:lpstr>
      <vt:lpstr>'MCF Model_Atlantic+2 C'!f</vt:lpstr>
      <vt:lpstr>'MCF Model_Atlantic'!f_Ea</vt:lpstr>
      <vt:lpstr>'MCF Model_Atlantic+2 C'!f_Ea</vt:lpstr>
      <vt:lpstr>'MCF Model_Atlantic'!f_R</vt:lpstr>
      <vt:lpstr>'MCF Model_Atlantic+2 C'!f_R</vt:lpstr>
      <vt:lpstr>'MCF Model_Atlantic'!f_T1</vt:lpstr>
      <vt:lpstr>'MCF Model_Atlantic+2 C'!f_T1</vt:lpstr>
      <vt:lpstr>'MCF Model_Atlantic'!f_T2damping</vt:lpstr>
      <vt:lpstr>'MCF Model_Atlantic+2 C'!f_T2damping</vt:lpstr>
      <vt:lpstr>'MCF Model_Atlantic'!f_Tmin</vt:lpstr>
      <vt:lpstr>'MCF Model_Atlantic+2 C'!f_Tmin</vt:lpstr>
      <vt:lpstr>'MCF Model_Atlantic'!ManureRemoved</vt:lpstr>
      <vt:lpstr>'MCF Model_Atlantic+2 C'!ManureRemoved</vt:lpstr>
      <vt:lpstr>'MCF Model_Atlantic'!ManureTemperature</vt:lpstr>
      <vt:lpstr>'MCF Model_Atlantic+2 C'!ManureTemperature</vt:lpstr>
      <vt:lpstr>'MCF Model_Atlantic'!Month</vt:lpstr>
      <vt:lpstr>'MCF Model_Atlantic+2 C'!Month</vt:lpstr>
      <vt:lpstr>'MCF Model_Atlantic'!months</vt:lpstr>
      <vt:lpstr>'MCF Model_Atlantic+2 C'!months</vt:lpstr>
      <vt:lpstr>'MCF Model_Atlantic'!Tav_C</vt:lpstr>
      <vt:lpstr>'MCF Model_Atlantic+2 C'!Tav_C</vt:lpstr>
      <vt:lpstr>'MCF Model_Atlantic'!Tav_K</vt:lpstr>
      <vt:lpstr>'MCF Model_Atlantic+2 C'!Tav_K</vt:lpstr>
      <vt:lpstr>'MCF Model_Atlantic'!VS_PCT_LIQUID</vt:lpstr>
      <vt:lpstr>'MCF Model_Atlantic+2 C'!VS_PCT_LIQUID</vt:lpstr>
      <vt:lpstr>'MCF Model_Atlantic'!VS_PROD_YR</vt:lpstr>
      <vt:lpstr>'MCF Model_Atlantic+2 C'!VS_PROD_YR</vt:lpstr>
      <vt:lpstr>'MCF Model_Atlantic'!VSavailable</vt:lpstr>
      <vt:lpstr>'MCF Model_Atlantic+2 C'!VSavailable</vt:lpstr>
      <vt:lpstr>'MCF Model_Atlantic'!VSconsumed</vt:lpstr>
      <vt:lpstr>'MCF Model_Atlantic+2 C'!VSconsumed</vt:lpstr>
      <vt:lpstr>'MCF Model_Atlantic'!VSemptied</vt:lpstr>
      <vt:lpstr>'MCF Model_Atlantic+2 C'!VSemptied</vt:lpstr>
      <vt:lpstr>'MCF Model_Atlantic'!VSexcreted</vt:lpstr>
      <vt:lpstr>'MCF Model_Atlantic+2 C'!VSexcreted</vt:lpstr>
      <vt:lpstr>'MCF Model_Atlantic'!VSload</vt:lpstr>
      <vt:lpstr>'MCF Model_Atlantic+2 C'!VSload</vt:lpstr>
    </vt:vector>
  </TitlesOfParts>
  <Manager/>
  <Company>AAFC-AAC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VanderZaag, Andrew</dc:creator>
  <cp:keywords/>
  <dc:description/>
  <cp:lastModifiedBy>Hung, Chih-Yu</cp:lastModifiedBy>
  <cp:revision/>
  <dcterms:created xsi:type="dcterms:W3CDTF">2018-05-11T15:33:32Z</dcterms:created>
  <dcterms:modified xsi:type="dcterms:W3CDTF">2022-08-27T02:00:03Z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0x010100FF9FE595A09BF24DB7C3A62797712BE8</vt:lpwstr>
  </property>
</Properties>
</file>