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07gc-my.sharepoint.com/personal/chih-yu_hung_ec_gc_ca/Documents/2023/Fuel LCA/2.1 USASOC_minimeta/Input/"/>
    </mc:Choice>
  </mc:AlternateContent>
  <xr:revisionPtr revIDLastSave="236" documentId="8_{BCDFCCA3-987F-4314-9165-53C3A4705A99}" xr6:coauthVersionLast="47" xr6:coauthVersionMax="47" xr10:uidLastSave="{9BFA1263-9470-4B60-95E8-63AEDA4302AD}"/>
  <bookViews>
    <workbookView xWindow="-28920" yWindow="-120" windowWidth="29040" windowHeight="15720" xr2:uid="{BBDEA471-ADCD-44A1-8927-7A2BCEB57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5" i="1" l="1"/>
  <c r="W65" i="1" s="1"/>
  <c r="U64" i="1"/>
  <c r="V64" i="1" s="1"/>
  <c r="U63" i="1"/>
  <c r="W63" i="1" s="1"/>
  <c r="U87" i="1"/>
  <c r="V87" i="1" s="1"/>
  <c r="U86" i="1"/>
  <c r="W86" i="1" s="1"/>
  <c r="U85" i="1"/>
  <c r="W85" i="1" s="1"/>
  <c r="V65" i="1" l="1"/>
  <c r="W64" i="1"/>
  <c r="V63" i="1"/>
  <c r="W87" i="1"/>
  <c r="V86" i="1"/>
  <c r="V85" i="1"/>
  <c r="U206" i="1" l="1"/>
  <c r="V206" i="1" s="1"/>
  <c r="U205" i="1"/>
  <c r="W205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W196" i="1" s="1"/>
  <c r="U195" i="1"/>
  <c r="W195" i="1" s="1"/>
  <c r="U194" i="1"/>
  <c r="W194" i="1" s="1"/>
  <c r="U193" i="1"/>
  <c r="V193" i="1" s="1"/>
  <c r="U192" i="1"/>
  <c r="V192" i="1" s="1"/>
  <c r="U191" i="1"/>
  <c r="V191" i="1" s="1"/>
  <c r="U190" i="1"/>
  <c r="W190" i="1" s="1"/>
  <c r="U189" i="1"/>
  <c r="V189" i="1" s="1"/>
  <c r="U188" i="1"/>
  <c r="V188" i="1" s="1"/>
  <c r="U186" i="1"/>
  <c r="V186" i="1" s="1"/>
  <c r="U185" i="1"/>
  <c r="V185" i="1" s="1"/>
  <c r="U183" i="1"/>
  <c r="V183" i="1" s="1"/>
  <c r="U182" i="1"/>
  <c r="W182" i="1" s="1"/>
  <c r="U181" i="1"/>
  <c r="V181" i="1" s="1"/>
  <c r="U180" i="1"/>
  <c r="V180" i="1" s="1"/>
  <c r="T178" i="1"/>
  <c r="R178" i="1"/>
  <c r="T177" i="1"/>
  <c r="R177" i="1"/>
  <c r="T176" i="1"/>
  <c r="R176" i="1"/>
  <c r="S175" i="1"/>
  <c r="U175" i="1" s="1"/>
  <c r="T174" i="1"/>
  <c r="R174" i="1"/>
  <c r="T173" i="1"/>
  <c r="R173" i="1"/>
  <c r="T172" i="1"/>
  <c r="R172" i="1"/>
  <c r="T171" i="1"/>
  <c r="R171" i="1"/>
  <c r="T170" i="1"/>
  <c r="R170" i="1"/>
  <c r="U168" i="1"/>
  <c r="W168" i="1" s="1"/>
  <c r="U167" i="1"/>
  <c r="W167" i="1" s="1"/>
  <c r="U166" i="1"/>
  <c r="W166" i="1" s="1"/>
  <c r="U165" i="1"/>
  <c r="W165" i="1" s="1"/>
  <c r="U164" i="1"/>
  <c r="V164" i="1" s="1"/>
  <c r="U163" i="1"/>
  <c r="W163" i="1" s="1"/>
  <c r="U162" i="1"/>
  <c r="W162" i="1" s="1"/>
  <c r="U161" i="1"/>
  <c r="W161" i="1" s="1"/>
  <c r="U160" i="1"/>
  <c r="V160" i="1" s="1"/>
  <c r="U158" i="1"/>
  <c r="W158" i="1" s="1"/>
  <c r="U157" i="1"/>
  <c r="W157" i="1" s="1"/>
  <c r="U156" i="1"/>
  <c r="V156" i="1" s="1"/>
  <c r="U155" i="1"/>
  <c r="W155" i="1" s="1"/>
  <c r="U153" i="1"/>
  <c r="W153" i="1" s="1"/>
  <c r="U152" i="1"/>
  <c r="W152" i="1" s="1"/>
  <c r="U150" i="1"/>
  <c r="V150" i="1" s="1"/>
  <c r="U149" i="1"/>
  <c r="W149" i="1" s="1"/>
  <c r="U148" i="1"/>
  <c r="W148" i="1" s="1"/>
  <c r="U147" i="1"/>
  <c r="W147" i="1" s="1"/>
  <c r="U146" i="1"/>
  <c r="W146" i="1" s="1"/>
  <c r="U144" i="1"/>
  <c r="W144" i="1" s="1"/>
  <c r="U143" i="1"/>
  <c r="V143" i="1" s="1"/>
  <c r="U142" i="1"/>
  <c r="W142" i="1" s="1"/>
  <c r="U141" i="1"/>
  <c r="W141" i="1" s="1"/>
  <c r="U140" i="1"/>
  <c r="W140" i="1" s="1"/>
  <c r="U139" i="1"/>
  <c r="W139" i="1" s="1"/>
  <c r="U137" i="1"/>
  <c r="W137" i="1" s="1"/>
  <c r="U136" i="1"/>
  <c r="W136" i="1" s="1"/>
  <c r="U135" i="1"/>
  <c r="W135" i="1" s="1"/>
  <c r="U134" i="1"/>
  <c r="W134" i="1" s="1"/>
  <c r="U133" i="1"/>
  <c r="W133" i="1" s="1"/>
  <c r="U132" i="1"/>
  <c r="W132" i="1" s="1"/>
  <c r="U131" i="1"/>
  <c r="W131" i="1" s="1"/>
  <c r="U130" i="1"/>
  <c r="W130" i="1" s="1"/>
  <c r="U129" i="1"/>
  <c r="W129" i="1" s="1"/>
  <c r="U128" i="1"/>
  <c r="W128" i="1" s="1"/>
  <c r="U127" i="1"/>
  <c r="V127" i="1" s="1"/>
  <c r="W126" i="1"/>
  <c r="U125" i="1"/>
  <c r="V125" i="1" s="1"/>
  <c r="U124" i="1"/>
  <c r="W124" i="1" s="1"/>
  <c r="U123" i="1"/>
  <c r="W123" i="1" s="1"/>
  <c r="U122" i="1"/>
  <c r="V122" i="1" s="1"/>
  <c r="U121" i="1"/>
  <c r="W121" i="1" s="1"/>
  <c r="W120" i="1"/>
  <c r="U119" i="1"/>
  <c r="W119" i="1" s="1"/>
  <c r="U118" i="1"/>
  <c r="V118" i="1" s="1"/>
  <c r="U116" i="1"/>
  <c r="V116" i="1" s="1"/>
  <c r="U115" i="1"/>
  <c r="V115" i="1" s="1"/>
  <c r="U114" i="1"/>
  <c r="W114" i="1" s="1"/>
  <c r="U113" i="1"/>
  <c r="V113" i="1" s="1"/>
  <c r="U111" i="1"/>
  <c r="W111" i="1" s="1"/>
  <c r="U110" i="1"/>
  <c r="V110" i="1" s="1"/>
  <c r="U109" i="1"/>
  <c r="W109" i="1" s="1"/>
  <c r="U108" i="1"/>
  <c r="V108" i="1" s="1"/>
  <c r="U106" i="1"/>
  <c r="V106" i="1" s="1"/>
  <c r="U105" i="1"/>
  <c r="V105" i="1" s="1"/>
  <c r="U104" i="1"/>
  <c r="W104" i="1" s="1"/>
  <c r="U103" i="1"/>
  <c r="W103" i="1" s="1"/>
  <c r="U102" i="1"/>
  <c r="V102" i="1" s="1"/>
  <c r="U101" i="1"/>
  <c r="V101" i="1" s="1"/>
  <c r="U99" i="1"/>
  <c r="W99" i="1" s="1"/>
  <c r="U98" i="1"/>
  <c r="V98" i="1" s="1"/>
  <c r="T96" i="1"/>
  <c r="R96" i="1"/>
  <c r="U94" i="1"/>
  <c r="W94" i="1" s="1"/>
  <c r="U93" i="1"/>
  <c r="W93" i="1" s="1"/>
  <c r="U92" i="1"/>
  <c r="V92" i="1" s="1"/>
  <c r="U91" i="1"/>
  <c r="V91" i="1" s="1"/>
  <c r="T89" i="1"/>
  <c r="U89" i="1" s="1"/>
  <c r="T83" i="1"/>
  <c r="R83" i="1"/>
  <c r="T82" i="1"/>
  <c r="R82" i="1"/>
  <c r="T81" i="1"/>
  <c r="R81" i="1"/>
  <c r="T80" i="1"/>
  <c r="R80" i="1"/>
  <c r="T79" i="1"/>
  <c r="R79" i="1"/>
  <c r="T78" i="1"/>
  <c r="R78" i="1"/>
  <c r="T77" i="1"/>
  <c r="R77" i="1"/>
  <c r="T76" i="1"/>
  <c r="R76" i="1"/>
  <c r="U74" i="1"/>
  <c r="W74" i="1" s="1"/>
  <c r="U73" i="1"/>
  <c r="V73" i="1" s="1"/>
  <c r="R71" i="1"/>
  <c r="R70" i="1"/>
  <c r="R69" i="1"/>
  <c r="R68" i="1"/>
  <c r="R67" i="1"/>
  <c r="T71" i="1"/>
  <c r="U71" i="1" s="1"/>
  <c r="T70" i="1"/>
  <c r="U70" i="1" s="1"/>
  <c r="T69" i="1"/>
  <c r="T68" i="1"/>
  <c r="T67" i="1"/>
  <c r="U61" i="1"/>
  <c r="W61" i="1" s="1"/>
  <c r="U60" i="1"/>
  <c r="W60" i="1" s="1"/>
  <c r="U59" i="1"/>
  <c r="W59" i="1" s="1"/>
  <c r="U58" i="1"/>
  <c r="W58" i="1" s="1"/>
  <c r="T57" i="1"/>
  <c r="R57" i="1"/>
  <c r="T56" i="1"/>
  <c r="R56" i="1"/>
  <c r="T55" i="1"/>
  <c r="R55" i="1"/>
  <c r="T54" i="1"/>
  <c r="R54" i="1"/>
  <c r="T53" i="1"/>
  <c r="R53" i="1"/>
  <c r="T52" i="1"/>
  <c r="R52" i="1"/>
  <c r="T51" i="1"/>
  <c r="R51" i="1"/>
  <c r="T50" i="1"/>
  <c r="R50" i="1"/>
  <c r="T49" i="1"/>
  <c r="R49" i="1"/>
  <c r="T48" i="1"/>
  <c r="R48" i="1"/>
  <c r="T47" i="1"/>
  <c r="R47" i="1"/>
  <c r="T46" i="1"/>
  <c r="R46" i="1"/>
  <c r="T45" i="1"/>
  <c r="R45" i="1"/>
  <c r="T44" i="1"/>
  <c r="R44" i="1"/>
  <c r="T43" i="1"/>
  <c r="R43" i="1"/>
  <c r="T42" i="1"/>
  <c r="R42" i="1"/>
  <c r="T41" i="1"/>
  <c r="R41" i="1"/>
  <c r="T40" i="1"/>
  <c r="R40" i="1"/>
  <c r="T39" i="1"/>
  <c r="R39" i="1"/>
  <c r="T38" i="1"/>
  <c r="R38" i="1"/>
  <c r="T37" i="1"/>
  <c r="R37" i="1"/>
  <c r="T36" i="1"/>
  <c r="R36" i="1"/>
  <c r="T35" i="1"/>
  <c r="R35" i="1"/>
  <c r="T34" i="1"/>
  <c r="R34" i="1"/>
  <c r="T33" i="1"/>
  <c r="R33" i="1"/>
  <c r="T32" i="1"/>
  <c r="R32" i="1"/>
  <c r="T31" i="1"/>
  <c r="R31" i="1"/>
  <c r="T30" i="1"/>
  <c r="R30" i="1"/>
  <c r="T29" i="1"/>
  <c r="R29" i="1"/>
  <c r="T28" i="1"/>
  <c r="R28" i="1"/>
  <c r="T27" i="1"/>
  <c r="R27" i="1"/>
  <c r="T26" i="1"/>
  <c r="R26" i="1"/>
  <c r="T25" i="1"/>
  <c r="R25" i="1"/>
  <c r="T24" i="1"/>
  <c r="R24" i="1"/>
  <c r="T23" i="1"/>
  <c r="R23" i="1"/>
  <c r="T22" i="1"/>
  <c r="R22" i="1"/>
  <c r="T21" i="1"/>
  <c r="R21" i="1"/>
  <c r="T20" i="1"/>
  <c r="R20" i="1"/>
  <c r="T19" i="1"/>
  <c r="R19" i="1"/>
  <c r="T18" i="1"/>
  <c r="R18" i="1"/>
  <c r="T17" i="1"/>
  <c r="R17" i="1"/>
  <c r="T16" i="1"/>
  <c r="R16" i="1"/>
  <c r="T15" i="1"/>
  <c r="R15" i="1"/>
  <c r="T14" i="1"/>
  <c r="R14" i="1"/>
  <c r="T13" i="1"/>
  <c r="R13" i="1"/>
  <c r="T12" i="1"/>
  <c r="R12" i="1"/>
  <c r="T11" i="1"/>
  <c r="R11" i="1"/>
  <c r="T10" i="1"/>
  <c r="R10" i="1"/>
  <c r="T9" i="1"/>
  <c r="R9" i="1"/>
  <c r="T8" i="1"/>
  <c r="R8" i="1"/>
  <c r="T7" i="1"/>
  <c r="R7" i="1"/>
  <c r="T6" i="1"/>
  <c r="R6" i="1"/>
  <c r="T5" i="1"/>
  <c r="R5" i="1"/>
  <c r="T4" i="1"/>
  <c r="R4" i="1"/>
  <c r="T3" i="1"/>
  <c r="R3" i="1"/>
  <c r="T2" i="1"/>
  <c r="R2" i="1"/>
  <c r="W70" i="1" l="1"/>
  <c r="V70" i="1"/>
  <c r="W71" i="1"/>
  <c r="V71" i="1"/>
  <c r="U67" i="1"/>
  <c r="U68" i="1"/>
  <c r="U69" i="1"/>
  <c r="U33" i="1"/>
  <c r="W33" i="1" s="1"/>
  <c r="U57" i="1"/>
  <c r="W57" i="1" s="1"/>
  <c r="U80" i="1"/>
  <c r="V80" i="1" s="1"/>
  <c r="V148" i="1"/>
  <c r="U171" i="1"/>
  <c r="W171" i="1" s="1"/>
  <c r="U78" i="1"/>
  <c r="W78" i="1" s="1"/>
  <c r="U12" i="1"/>
  <c r="V12" i="1" s="1"/>
  <c r="U48" i="1"/>
  <c r="V48" i="1" s="1"/>
  <c r="W192" i="1"/>
  <c r="U28" i="1"/>
  <c r="V28" i="1" s="1"/>
  <c r="U11" i="1"/>
  <c r="W11" i="1" s="1"/>
  <c r="U17" i="1"/>
  <c r="W17" i="1" s="1"/>
  <c r="U47" i="1"/>
  <c r="W47" i="1" s="1"/>
  <c r="U6" i="1"/>
  <c r="W6" i="1" s="1"/>
  <c r="U36" i="1"/>
  <c r="W36" i="1" s="1"/>
  <c r="V74" i="1"/>
  <c r="U170" i="1"/>
  <c r="V170" i="1" s="1"/>
  <c r="U7" i="1"/>
  <c r="V7" i="1" s="1"/>
  <c r="U25" i="1"/>
  <c r="W25" i="1" s="1"/>
  <c r="U31" i="1"/>
  <c r="V31" i="1" s="1"/>
  <c r="U43" i="1"/>
  <c r="V43" i="1" s="1"/>
  <c r="W183" i="1"/>
  <c r="V166" i="1"/>
  <c r="U5" i="1"/>
  <c r="V5" i="1" s="1"/>
  <c r="U41" i="1"/>
  <c r="W41" i="1" s="1"/>
  <c r="U24" i="1"/>
  <c r="V24" i="1" s="1"/>
  <c r="U2" i="1"/>
  <c r="W2" i="1" s="1"/>
  <c r="U32" i="1"/>
  <c r="W32" i="1" s="1"/>
  <c r="U22" i="1"/>
  <c r="V22" i="1" s="1"/>
  <c r="U29" i="1"/>
  <c r="V29" i="1" s="1"/>
  <c r="W115" i="1"/>
  <c r="U18" i="1"/>
  <c r="W18" i="1" s="1"/>
  <c r="U3" i="1"/>
  <c r="W3" i="1" s="1"/>
  <c r="U9" i="1"/>
  <c r="W9" i="1" s="1"/>
  <c r="U21" i="1"/>
  <c r="W21" i="1" s="1"/>
  <c r="U96" i="1"/>
  <c r="V96" i="1" s="1"/>
  <c r="V157" i="1"/>
  <c r="V121" i="1"/>
  <c r="U45" i="1"/>
  <c r="W45" i="1" s="1"/>
  <c r="U51" i="1"/>
  <c r="W51" i="1" s="1"/>
  <c r="V99" i="1"/>
  <c r="V158" i="1"/>
  <c r="U176" i="1"/>
  <c r="V176" i="1" s="1"/>
  <c r="U56" i="1"/>
  <c r="W56" i="1" s="1"/>
  <c r="V109" i="1"/>
  <c r="U27" i="1"/>
  <c r="V27" i="1" s="1"/>
  <c r="U46" i="1"/>
  <c r="V46" i="1" s="1"/>
  <c r="U52" i="1"/>
  <c r="W52" i="1" s="1"/>
  <c r="U81" i="1"/>
  <c r="W81" i="1" s="1"/>
  <c r="U79" i="1"/>
  <c r="V79" i="1" s="1"/>
  <c r="V58" i="1"/>
  <c r="W200" i="1"/>
  <c r="U50" i="1"/>
  <c r="V50" i="1" s="1"/>
  <c r="U53" i="1"/>
  <c r="V53" i="1" s="1"/>
  <c r="U76" i="1"/>
  <c r="W76" i="1" s="1"/>
  <c r="W91" i="1"/>
  <c r="U16" i="1"/>
  <c r="W16" i="1" s="1"/>
  <c r="U42" i="1"/>
  <c r="V42" i="1" s="1"/>
  <c r="U77" i="1"/>
  <c r="W77" i="1" s="1"/>
  <c r="W193" i="1"/>
  <c r="U8" i="1"/>
  <c r="W8" i="1" s="1"/>
  <c r="U23" i="1"/>
  <c r="W23" i="1" s="1"/>
  <c r="U37" i="1"/>
  <c r="W37" i="1" s="1"/>
  <c r="V124" i="1"/>
  <c r="W101" i="1"/>
  <c r="V167" i="1"/>
  <c r="U14" i="1"/>
  <c r="W14" i="1" s="1"/>
  <c r="U35" i="1"/>
  <c r="W35" i="1" s="1"/>
  <c r="U49" i="1"/>
  <c r="W49" i="1" s="1"/>
  <c r="V94" i="1"/>
  <c r="W143" i="1"/>
  <c r="V196" i="1"/>
  <c r="U13" i="1"/>
  <c r="V13" i="1" s="1"/>
  <c r="V142" i="1"/>
  <c r="U4" i="1"/>
  <c r="V4" i="1" s="1"/>
  <c r="U19" i="1"/>
  <c r="W19" i="1" s="1"/>
  <c r="V119" i="1"/>
  <c r="W201" i="1"/>
  <c r="V152" i="1"/>
  <c r="U20" i="1"/>
  <c r="V20" i="1" s="1"/>
  <c r="U30" i="1"/>
  <c r="W30" i="1" s="1"/>
  <c r="U40" i="1"/>
  <c r="V40" i="1" s="1"/>
  <c r="U55" i="1"/>
  <c r="W55" i="1" s="1"/>
  <c r="V104" i="1"/>
  <c r="V153" i="1"/>
  <c r="V162" i="1"/>
  <c r="U174" i="1"/>
  <c r="W174" i="1" s="1"/>
  <c r="W189" i="1"/>
  <c r="U38" i="1"/>
  <c r="W38" i="1" s="1"/>
  <c r="W125" i="1"/>
  <c r="U39" i="1"/>
  <c r="V39" i="1" s="1"/>
  <c r="U178" i="1"/>
  <c r="W178" i="1" s="1"/>
  <c r="V205" i="1"/>
  <c r="U177" i="1"/>
  <c r="W177" i="1" s="1"/>
  <c r="U44" i="1"/>
  <c r="V44" i="1" s="1"/>
  <c r="V134" i="1"/>
  <c r="W188" i="1"/>
  <c r="U82" i="1"/>
  <c r="W82" i="1" s="1"/>
  <c r="V114" i="1"/>
  <c r="V163" i="1"/>
  <c r="V182" i="1"/>
  <c r="W197" i="1"/>
  <c r="U172" i="1"/>
  <c r="W172" i="1" s="1"/>
  <c r="U34" i="1"/>
  <c r="V34" i="1" s="1"/>
  <c r="U54" i="1"/>
  <c r="W54" i="1" s="1"/>
  <c r="W110" i="1"/>
  <c r="U173" i="1"/>
  <c r="W173" i="1" s="1"/>
  <c r="U10" i="1"/>
  <c r="W10" i="1" s="1"/>
  <c r="U26" i="1"/>
  <c r="W26" i="1" s="1"/>
  <c r="W105" i="1"/>
  <c r="V130" i="1"/>
  <c r="V139" i="1"/>
  <c r="V147" i="1"/>
  <c r="U83" i="1"/>
  <c r="V83" i="1" s="1"/>
  <c r="W206" i="1"/>
  <c r="U15" i="1"/>
  <c r="V89" i="1"/>
  <c r="W89" i="1"/>
  <c r="W175" i="1"/>
  <c r="V175" i="1"/>
  <c r="V194" i="1"/>
  <c r="W106" i="1"/>
  <c r="V155" i="1"/>
  <c r="W202" i="1"/>
  <c r="V59" i="1"/>
  <c r="W164" i="1"/>
  <c r="V103" i="1"/>
  <c r="V195" i="1"/>
  <c r="V93" i="1"/>
  <c r="W98" i="1"/>
  <c r="W108" i="1"/>
  <c r="W113" i="1"/>
  <c r="W118" i="1"/>
  <c r="V123" i="1"/>
  <c r="V141" i="1"/>
  <c r="V146" i="1"/>
  <c r="V161" i="1"/>
  <c r="V165" i="1"/>
  <c r="W181" i="1"/>
  <c r="W186" i="1"/>
  <c r="W191" i="1"/>
  <c r="W199" i="1"/>
  <c r="V60" i="1"/>
  <c r="V128" i="1"/>
  <c r="V132" i="1"/>
  <c r="V136" i="1"/>
  <c r="W150" i="1"/>
  <c r="W156" i="1"/>
  <c r="W116" i="1"/>
  <c r="V144" i="1"/>
  <c r="V168" i="1"/>
  <c r="W180" i="1"/>
  <c r="W92" i="1"/>
  <c r="V131" i="1"/>
  <c r="W127" i="1"/>
  <c r="W203" i="1"/>
  <c r="W185" i="1"/>
  <c r="V190" i="1"/>
  <c r="W198" i="1"/>
  <c r="W122" i="1"/>
  <c r="W160" i="1"/>
  <c r="W73" i="1"/>
  <c r="V61" i="1"/>
  <c r="V129" i="1"/>
  <c r="V133" i="1"/>
  <c r="V137" i="1"/>
  <c r="W102" i="1"/>
  <c r="V149" i="1"/>
  <c r="V135" i="1"/>
  <c r="V111" i="1"/>
  <c r="W69" i="1" l="1"/>
  <c r="V69" i="1"/>
  <c r="W68" i="1"/>
  <c r="V68" i="1"/>
  <c r="W67" i="1"/>
  <c r="V67" i="1"/>
  <c r="V57" i="1"/>
  <c r="V33" i="1"/>
  <c r="W80" i="1"/>
  <c r="V171" i="1"/>
  <c r="V78" i="1"/>
  <c r="W12" i="1"/>
  <c r="V174" i="1"/>
  <c r="V3" i="1"/>
  <c r="V19" i="1"/>
  <c r="V17" i="1"/>
  <c r="V25" i="1"/>
  <c r="W29" i="1"/>
  <c r="W96" i="1"/>
  <c r="W44" i="1"/>
  <c r="W5" i="1"/>
  <c r="V2" i="1"/>
  <c r="V177" i="1"/>
  <c r="V55" i="1"/>
  <c r="W40" i="1"/>
  <c r="V18" i="1"/>
  <c r="W24" i="1"/>
  <c r="V56" i="1"/>
  <c r="V76" i="1"/>
  <c r="V11" i="1"/>
  <c r="V6" i="1"/>
  <c r="W48" i="1"/>
  <c r="W28" i="1"/>
  <c r="V16" i="1"/>
  <c r="V81" i="1"/>
  <c r="V32" i="1"/>
  <c r="W7" i="1"/>
  <c r="W79" i="1"/>
  <c r="V45" i="1"/>
  <c r="V51" i="1"/>
  <c r="W50" i="1"/>
  <c r="V8" i="1"/>
  <c r="V36" i="1"/>
  <c r="W176" i="1"/>
  <c r="V21" i="1"/>
  <c r="V41" i="1"/>
  <c r="V47" i="1"/>
  <c r="W170" i="1"/>
  <c r="W4" i="1"/>
  <c r="W43" i="1"/>
  <c r="V9" i="1"/>
  <c r="W31" i="1"/>
  <c r="V10" i="1"/>
  <c r="V37" i="1"/>
  <c r="W22" i="1"/>
  <c r="V173" i="1"/>
  <c r="W53" i="1"/>
  <c r="W42" i="1"/>
  <c r="V77" i="1"/>
  <c r="W46" i="1"/>
  <c r="V35" i="1"/>
  <c r="V52" i="1"/>
  <c r="W83" i="1"/>
  <c r="W27" i="1"/>
  <c r="V49" i="1"/>
  <c r="V26" i="1"/>
  <c r="V82" i="1"/>
  <c r="V23" i="1"/>
  <c r="W13" i="1"/>
  <c r="V14" i="1"/>
  <c r="V172" i="1"/>
  <c r="V30" i="1"/>
  <c r="W20" i="1"/>
  <c r="V178" i="1"/>
  <c r="V54" i="1"/>
  <c r="W39" i="1"/>
  <c r="W34" i="1"/>
  <c r="V38" i="1"/>
  <c r="V15" i="1"/>
  <c r="W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tc={6B697916-1DEE-4D21-BB6A-43856E95DF40}</author>
    <author>tc={CF0CE5C2-072D-4A40-BB88-B9212EAEEBD8}</author>
    <author>tc={DD77EBA8-F7E4-4C05-9F43-E42D36067369}</author>
    <author>tc={B3E3B20B-2FE1-4017-B153-DF78400D3077}</author>
    <author>tc={8B95B819-EB0A-46DC-BA30-66D8E154BCEA}</author>
    <author>tc={D905396C-DD32-4821-B053-1057E5B94198}</author>
    <author>tc={461A11FC-F0B0-44FB-BD98-0630324E0F79}</author>
    <author>tc={4F7C174E-C575-48A0-B330-3E2D4BDD53D4}</author>
    <author>tc={277AB1D3-2751-4411-A118-685AD7BD6FE7}</author>
    <author>tc={1FF172D9-904A-42BB-8949-5B53774B5EB8}</author>
    <author>tc={8205B37A-12E0-4BD7-A142-392F63A4F63B}</author>
    <author>tc={7ECDB3EF-EFC7-4D63-A7F4-9354799A7239}</author>
    <author>tc={86D27ED9-0418-4D20-92F1-96DBC5756EF3}</author>
    <author>tc={CB318B2D-A6CD-4E7F-8E00-9737BE3547B9}</author>
    <author>tc={3F488437-5EA4-499B-86E5-17CC7151B7A7}</author>
    <author>tc={E537196E-EC5C-40E4-8CE4-377C90101C3A}</author>
    <author>tc={8A472D1B-08B9-4C58-936D-EF1466F47908}</author>
    <author>tc={EE2915BF-F821-44CF-91D4-29802B54DB24}</author>
    <author>tc={7C90AE3C-2306-403C-AC2E-C3E282715E7F}</author>
    <author>tc={8227403D-28B8-4E22-B3AF-5B583760EB57}</author>
    <author>tc={74B640D9-B976-4463-8396-D60E2025EBA9}</author>
    <author>tc={907B6DD5-CC83-42A6-AE12-4E317BBD8824}</author>
  </authors>
  <commentList>
    <comment ref="N91" authorId="0" shapeId="0" xr:uid="{6B697916-1DEE-4D21-BB6A-43856E95DF40}">
      <text>
        <t>[Threaded comment]
Your version of Excel allows you to read this threaded comment; however, any edits to it will get removed if the file is opened in a newer version of Excel. Learn more: https://go.microsoft.com/fwlink/?linkid=870924
Comment:
    Nitrogen application ranging from 67 to 134</t>
      </text>
    </comment>
    <comment ref="N93" authorId="1" shapeId="0" xr:uid="{CF0CE5C2-072D-4A40-BB88-B9212EAEEB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nitrogen applied</t>
      </text>
    </comment>
    <comment ref="O102" authorId="2" shapeId="0" xr:uid="{DD77EBA8-F7E4-4C05-9F43-E42D36067369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02" authorId="3" shapeId="0" xr:uid="{B3E3B20B-2FE1-4017-B153-DF78400D3077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04" authorId="4" shapeId="0" xr:uid="{8B95B819-EB0A-46DC-BA30-66D8E154BCEA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04" authorId="5" shapeId="0" xr:uid="{D905396C-DD32-4821-B053-1057E5B9419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06" authorId="6" shapeId="0" xr:uid="{461A11FC-F0B0-44FB-BD98-0630324E0F79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06" authorId="7" shapeId="0" xr:uid="{4F7C174E-C575-48A0-B330-3E2D4BDD53D4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09" authorId="8" shapeId="0" xr:uid="{277AB1D3-2751-4411-A118-685AD7BD6FE7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09" authorId="9" shapeId="0" xr:uid="{1FF172D9-904A-42BB-8949-5B53774B5EB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11" authorId="10" shapeId="0" xr:uid="{8205B37A-12E0-4BD7-A142-392F63A4F63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11" authorId="11" shapeId="0" xr:uid="{7ECDB3EF-EFC7-4D63-A7F4-9354799A7239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52" authorId="12" shapeId="0" xr:uid="{86D27ED9-0418-4D20-92F1-96DBC5756EF3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O155" authorId="13" shapeId="0" xr:uid="{CB318B2D-A6CD-4E7F-8E00-9737BE3547B9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55" authorId="14" shapeId="0" xr:uid="{3F488437-5EA4-499B-86E5-17CC7151B7A7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65" authorId="15" shapeId="0" xr:uid="{E537196E-EC5C-40E4-8CE4-377C90101C3A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65" authorId="16" shapeId="0" xr:uid="{8A472D1B-08B9-4C58-936D-EF1466F4790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75" authorId="17" shapeId="0" xr:uid="{EE2915BF-F821-44CF-91D4-29802B54DB24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75" authorId="18" shapeId="0" xr:uid="{7C90AE3C-2306-403C-AC2E-C3E282715E7F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81" authorId="19" shapeId="0" xr:uid="{8227403D-28B8-4E22-B3AF-5B583760EB57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  <comment ref="P181" authorId="20" shapeId="0" xr:uid="{74B640D9-B976-4463-8396-D60E2025EBA9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depth, CT tillage depth</t>
      </text>
    </comment>
    <comment ref="O185" authorId="21" shapeId="0" xr:uid="{907B6DD5-CC83-42A6-AE12-4E317BBD8824}">
      <text>
        <t>[Threaded comment]
Your version of Excel allows you to read this threaded comment; however, any edits to it will get removed if the file is opened in a newer version of Excel. Learn more: https://go.microsoft.com/fwlink/?linkid=870924
Comment:
    RT tillage method, CT tillage method</t>
      </text>
    </comment>
  </commentList>
</comments>
</file>

<file path=xl/sharedStrings.xml><?xml version="1.0" encoding="utf-8"?>
<sst xmlns="http://schemas.openxmlformats.org/spreadsheetml/2006/main" count="1474" uniqueCount="245">
  <si>
    <t>Reference</t>
  </si>
  <si>
    <t>Article title</t>
  </si>
  <si>
    <t>Location</t>
  </si>
  <si>
    <t>State</t>
  </si>
  <si>
    <t>Duration</t>
  </si>
  <si>
    <t>Crop</t>
  </si>
  <si>
    <t>Al-Kaisi, Kwaw-Mensah</t>
  </si>
  <si>
    <t>Quantifying soil carbon change in a long-term tillage and crop rotation study across Iowa landscapes</t>
  </si>
  <si>
    <t>Sutherland</t>
  </si>
  <si>
    <t>Iowa</t>
  </si>
  <si>
    <t>silty clay loam</t>
  </si>
  <si>
    <t>corn</t>
  </si>
  <si>
    <t>Strip tillage</t>
  </si>
  <si>
    <t>Chisel plow</t>
  </si>
  <si>
    <t>Deep rip</t>
  </si>
  <si>
    <t>Moldboard plow</t>
  </si>
  <si>
    <t>corn-corn-soybean</t>
  </si>
  <si>
    <t>Kanawha</t>
  </si>
  <si>
    <t>Nashua</t>
  </si>
  <si>
    <t>loam</t>
  </si>
  <si>
    <t>Ames</t>
  </si>
  <si>
    <t>clay loam</t>
  </si>
  <si>
    <t>Armstrong</t>
  </si>
  <si>
    <t>McNay</t>
  </si>
  <si>
    <t>silty loam</t>
  </si>
  <si>
    <t>Crawfordsville</t>
  </si>
  <si>
    <t>Burgos Hernández, Tania D. (57204674518); Slater, Brian K. (7005198767); Tirado Corbalá, Rebecca (36443096600); Shaffer, Jared M. (57197315329)</t>
  </si>
  <si>
    <t>Assessment of long-term tillage practices on physical properties of two Ohio soils</t>
  </si>
  <si>
    <t>Hoytville</t>
  </si>
  <si>
    <t>Ohio</t>
  </si>
  <si>
    <t>Silty clay loam</t>
  </si>
  <si>
    <t>corn-corn</t>
  </si>
  <si>
    <t>corn-soybean</t>
  </si>
  <si>
    <t>Wooster</t>
  </si>
  <si>
    <t>Silt loam</t>
  </si>
  <si>
    <t xml:space="preserve">Silt loam </t>
  </si>
  <si>
    <t>Sainju U.M.</t>
  </si>
  <si>
    <t>Can novel management practice improve soil and environmental quality and sustain crop yield simultaneously?</t>
  </si>
  <si>
    <t>Nesson Valley</t>
  </si>
  <si>
    <t>North Dakota</t>
  </si>
  <si>
    <t>Sandy loam</t>
  </si>
  <si>
    <t>malt barley-pea</t>
  </si>
  <si>
    <t>NT - non irrigated</t>
  </si>
  <si>
    <t>NT - irrigated</t>
  </si>
  <si>
    <t xml:space="preserve">North Dakota </t>
  </si>
  <si>
    <t>Sidney</t>
  </si>
  <si>
    <t>Montana</t>
  </si>
  <si>
    <t xml:space="preserve">Loam </t>
  </si>
  <si>
    <t>Nakajima T.; Shrestha R.K.; Jacinthe P.-A.; Lal R.; Bilen S.; Dick W.</t>
  </si>
  <si>
    <t>Soil organic carbon pools in ploughed and no-till Alfisols of central Ohio</t>
  </si>
  <si>
    <t>Mount Gilead</t>
  </si>
  <si>
    <t xml:space="preserve">Ohio </t>
  </si>
  <si>
    <t>Afisols</t>
  </si>
  <si>
    <t>NT</t>
  </si>
  <si>
    <t>Bucyrus</t>
  </si>
  <si>
    <t>Centerbug</t>
  </si>
  <si>
    <t>South Charleston</t>
  </si>
  <si>
    <t xml:space="preserve">Wooster </t>
  </si>
  <si>
    <t>Al-Kaisi M.M.; Douelle A.; Kwaw-Mensah D.</t>
  </si>
  <si>
    <t>Soil microaggregate and macroaggregate decay over, time and soil carbon change as influenced by different tillage systems</t>
  </si>
  <si>
    <t xml:space="preserve">Iowa </t>
  </si>
  <si>
    <t xml:space="preserve">Fine loam </t>
  </si>
  <si>
    <t xml:space="preserve">Chisel plow </t>
  </si>
  <si>
    <t xml:space="preserve">Deep rip </t>
  </si>
  <si>
    <t>Zuber S.M.; Behnke G.D.; Nafziger E.D.; Villamil M.B.</t>
  </si>
  <si>
    <t>Crop rotation and tillage effects on soil physical and chemical properties in Illinois</t>
  </si>
  <si>
    <t>Monmouth</t>
  </si>
  <si>
    <t xml:space="preserve">Illinois </t>
  </si>
  <si>
    <t>continuous corn</t>
  </si>
  <si>
    <t>corn-soybean-wheat</t>
  </si>
  <si>
    <t>continuous soybean</t>
  </si>
  <si>
    <t>Perry</t>
  </si>
  <si>
    <t>Beniston J.W.; Shipitalo M.J.; Lal R.; Dayton E.A.; Hopkins D.W.; Jones F.; Joynes A.; Dungait J.A.J.</t>
  </si>
  <si>
    <t>Carbon and macronutrient losses during accelerated erosion under different tillage and residue management</t>
  </si>
  <si>
    <t>Coshocton</t>
  </si>
  <si>
    <t>maize</t>
  </si>
  <si>
    <t xml:space="preserve">Mouldboard ploughing </t>
  </si>
  <si>
    <t>Mandan</t>
  </si>
  <si>
    <t>NATH A.J.; LAL R.</t>
  </si>
  <si>
    <t>Effects of Tillage Practices and Land Use Management on Soil Aggregates and Soil Organic Carbon in the North Appalachian Region, USA</t>
  </si>
  <si>
    <t xml:space="preserve">corn </t>
  </si>
  <si>
    <t>Sainju U.M.; Stevens W.B.; Caesar-TonThat T.</t>
  </si>
  <si>
    <t>Soil carbon and crop yields affected by irrigation, tillage, cropping system, and nitrogen fertilization</t>
  </si>
  <si>
    <t xml:space="preserve">Sandy loam </t>
  </si>
  <si>
    <t xml:space="preserve">malt barley (67-134) - irrigated </t>
  </si>
  <si>
    <t xml:space="preserve">Rototiller </t>
  </si>
  <si>
    <t>malt barley (67-134) - non irrigated</t>
  </si>
  <si>
    <t xml:space="preserve">malt barley (0) - irrigated </t>
  </si>
  <si>
    <t xml:space="preserve">malt barley (0) - non irrigated </t>
  </si>
  <si>
    <t>Kumar S.; Nakajima T.; Mbonimpa E.G.; Gautam S.; Somireddy U.R.; Kadono A.; Lal R.; Chintala R.; Rafique R.; Fausey N.</t>
  </si>
  <si>
    <t>Long-term tillage and drainage influences on soil organic carbon dynamics, aggregate stability and corn yield</t>
  </si>
  <si>
    <t>Columbus</t>
  </si>
  <si>
    <t>Olson K.R.; Ebelhar S.A.; Lang J.M.</t>
  </si>
  <si>
    <t>Effects of 24 years of conservation tillage systems on soil organic carbon and soil productivity</t>
  </si>
  <si>
    <t xml:space="preserve">Southern Illinois </t>
  </si>
  <si>
    <t>Chisel plow-disking</t>
  </si>
  <si>
    <t>Moldboard plow- disking</t>
  </si>
  <si>
    <t>Awale R.; Chatterjee A.; Franzen D.</t>
  </si>
  <si>
    <t>Tillage and N-fertilizer influences on selected organic carbon fractions in a North Dakota silty clay soil</t>
  </si>
  <si>
    <t xml:space="preserve">Silty clay </t>
  </si>
  <si>
    <t>corn-soybean-sugarbeet</t>
  </si>
  <si>
    <t>Strip-till, Chisel plow</t>
  </si>
  <si>
    <t>Kumar S.; Kadono A.; Lal R.; Dick W.</t>
  </si>
  <si>
    <t>Long-term no-till impacts on organic carbon and properties of two contrasting soils and corn yields in Ohio</t>
  </si>
  <si>
    <t xml:space="preserve">corn-soybean </t>
  </si>
  <si>
    <t>Moldboard plowing</t>
  </si>
  <si>
    <t>Chisel plowing, Moldboard plowing</t>
  </si>
  <si>
    <t xml:space="preserve">Clay loam </t>
  </si>
  <si>
    <t>Sainju U.M.; Lenssen A.W.; Caesar-TonThat T.; Jabro J.D.; Lartey R.T.; Evans R.G.; Allen B.L.</t>
  </si>
  <si>
    <t>Dryland residue and soil organic matter as influenced by tillage, crop rotation, and cultural practice</t>
  </si>
  <si>
    <t>Loam</t>
  </si>
  <si>
    <t>continuous wheat</t>
  </si>
  <si>
    <t>Conventional</t>
  </si>
  <si>
    <t>wheat-pea</t>
  </si>
  <si>
    <t>wheat-barley hay-pea</t>
  </si>
  <si>
    <t>wheat-barley hay-corn-pea</t>
  </si>
  <si>
    <t>Ussiri D.A.N.; Lal R.</t>
  </si>
  <si>
    <t>Long-term tillage effects on soil carbon storage and carbon dioxide emissions in continuous corn cropping system from an alfisol in Ohio</t>
  </si>
  <si>
    <t>Chisel till</t>
  </si>
  <si>
    <t>Chatterjee A.; Lal R.</t>
  </si>
  <si>
    <t>On farm assessment of tillage impact on soil carbon and associated soil quality parameters</t>
  </si>
  <si>
    <t>Temperence</t>
  </si>
  <si>
    <t>Michigan</t>
  </si>
  <si>
    <t>Clay loam</t>
  </si>
  <si>
    <t>Chisel plow + Moldboard plow</t>
  </si>
  <si>
    <t>Lenawee</t>
  </si>
  <si>
    <t>Scioto</t>
  </si>
  <si>
    <t>Canal Fulton</t>
  </si>
  <si>
    <t>Salisbury</t>
  </si>
  <si>
    <t>Pennylvania</t>
  </si>
  <si>
    <t>corn-alfalfa</t>
  </si>
  <si>
    <t>Blanco-Canqui H.; Lal R.</t>
  </si>
  <si>
    <t>No-tillage and soil-profile carbon sequestration: An on-farm assessment</t>
  </si>
  <si>
    <t>Georgetown</t>
  </si>
  <si>
    <t>Kentucky</t>
  </si>
  <si>
    <t>corn-soybean-pumpkin</t>
  </si>
  <si>
    <t>Glasgow</t>
  </si>
  <si>
    <t>corn-soybean-tobacco</t>
  </si>
  <si>
    <t>McKee</t>
  </si>
  <si>
    <t>continuous corn-tobacco</t>
  </si>
  <si>
    <t>Fremont</t>
  </si>
  <si>
    <t>Jackson</t>
  </si>
  <si>
    <t>corn-soybean-alfalfa</t>
  </si>
  <si>
    <t>Grove City</t>
  </si>
  <si>
    <t>Pennsylvania</t>
  </si>
  <si>
    <t>Greenville</t>
  </si>
  <si>
    <t>Troy</t>
  </si>
  <si>
    <t>Lewisburg</t>
  </si>
  <si>
    <t>Lancaster</t>
  </si>
  <si>
    <t>Sainju U.M.; Caesar-TonThat T.; Lenssen A.W.; Evans R.G.; Kolberg R.</t>
  </si>
  <si>
    <t>Long-term tillage and cropping sequence effects on dryland residue and soil carbon fractions</t>
  </si>
  <si>
    <t xml:space="preserve">Culbertson </t>
  </si>
  <si>
    <t xml:space="preserve">Eastern Montana </t>
  </si>
  <si>
    <t xml:space="preserve">spring-wheat </t>
  </si>
  <si>
    <t xml:space="preserve">Sweep plow </t>
  </si>
  <si>
    <t>Dolan M.S.; Clapp C.E.; Allmaras R.R.; Baker J.M.; Molina J.A.E.</t>
  </si>
  <si>
    <t>Soil organic carbon and nitrogen in a Minnesota soil as related to tillage, residue and nitrogen management</t>
  </si>
  <si>
    <t>Rosemount</t>
  </si>
  <si>
    <t>Minnesota</t>
  </si>
  <si>
    <t xml:space="preserve">corn-soybean-harvested </t>
  </si>
  <si>
    <t xml:space="preserve">Moldboard plow </t>
  </si>
  <si>
    <t>corn-soybean-stover returned</t>
  </si>
  <si>
    <t>Jarecki M.K.; Lal R.</t>
  </si>
  <si>
    <t>Soil organic carbon sequestration rates in two long-term no-till experiments in Ohio</t>
  </si>
  <si>
    <t xml:space="preserve">South Charleston </t>
  </si>
  <si>
    <t xml:space="preserve">Southern Ohio </t>
  </si>
  <si>
    <t xml:space="preserve">continuous corn </t>
  </si>
  <si>
    <t xml:space="preserve">Northwestern Ohio </t>
  </si>
  <si>
    <t>Subsoiling</t>
  </si>
  <si>
    <t>corn-soybean-oat</t>
  </si>
  <si>
    <t>Rotational tillage</t>
  </si>
  <si>
    <t>Puget P.; Lal R.</t>
  </si>
  <si>
    <t>Soil organic carbon and nitrogen in a Mollisol in central Ohio as affected by tillage and land use</t>
  </si>
  <si>
    <t>Chisel till, Moldboard plow</t>
  </si>
  <si>
    <t>Al-Kaisi M.M.; Yin X.</t>
  </si>
  <si>
    <t>Tillage and crop residue effects on soil carbon and carbon dioxide emission in corn-soybean rotations</t>
  </si>
  <si>
    <t xml:space="preserve">Ames </t>
  </si>
  <si>
    <t xml:space="preserve">Fine loamy </t>
  </si>
  <si>
    <t>Strip-tillage, Chisel plow</t>
  </si>
  <si>
    <t>Al-Kaisi M.M.; Yin X.; Licht M.A.</t>
  </si>
  <si>
    <t>Soil carbon and nitrogen changes as affected by tillage system and crop biomass in a corn-soybean rotation</t>
  </si>
  <si>
    <t>Clarion-Nicolet-Webster</t>
  </si>
  <si>
    <t>Galva-Primghar-Sac</t>
  </si>
  <si>
    <t>Kenyon-Floyd-Clyde</t>
  </si>
  <si>
    <t>Marshall</t>
  </si>
  <si>
    <t>Otley-Mahaska-Taintor</t>
  </si>
  <si>
    <t xml:space="preserve">Strip-tillage, Chisel Plow </t>
  </si>
  <si>
    <t>Chisel Plow</t>
  </si>
  <si>
    <t>Soil carbon and nitrogen changes as influenced by tillage and cropping systems in some Iowa soils</t>
  </si>
  <si>
    <t xml:space="preserve">Kanawha </t>
  </si>
  <si>
    <t>Fine-loamy (Clarion-Nicollet-Webster)</t>
  </si>
  <si>
    <t>Fine-silty (Galva-Primghar-Sac)</t>
  </si>
  <si>
    <t>Fine-loamy (Kenyon-Floyd-Clyde)</t>
  </si>
  <si>
    <t>Fine-silty (Marshall)</t>
  </si>
  <si>
    <t xml:space="preserve">Crawfordsville </t>
  </si>
  <si>
    <t>Fine-silty (Otley-Mahaska-Taintor)</t>
  </si>
  <si>
    <t xml:space="preserve">Strip-tillage, Chisel plow </t>
  </si>
  <si>
    <t>Halvorson A.D.; Wienhold B.J.; Black A.L.</t>
  </si>
  <si>
    <t>Tillage, nitrogen, and cropping system effects on soil carbon sequestration</t>
  </si>
  <si>
    <t>spring wheat-fallow</t>
  </si>
  <si>
    <t>Tandem disk</t>
  </si>
  <si>
    <t>Sweep plow, Tandem disk</t>
  </si>
  <si>
    <t>80, 120</t>
  </si>
  <si>
    <t>spring wheat-winter wheat-sunflower</t>
  </si>
  <si>
    <t>Disk tillage</t>
  </si>
  <si>
    <t>Sweep plow, Disk tillage</t>
  </si>
  <si>
    <t>75, 150</t>
  </si>
  <si>
    <t>Pikul Jr. J.L.; Carpenter-Boggs L.; Vigil M.; Schumacher T.E.; Lindstrom M.J.; Riedell W.E.</t>
  </si>
  <si>
    <t>Crop yield and soil condition under ridge and chisel-plow tillage in the northern Corn Belt, USA</t>
  </si>
  <si>
    <t>Brookings</t>
  </si>
  <si>
    <t xml:space="preserve">South Dakota </t>
  </si>
  <si>
    <t xml:space="preserve">Ridge tillage, Chisel plow-Moldboard plow </t>
  </si>
  <si>
    <t>Clapp C.E.; Allmaras R.R.; Layese M.F.; Linden D.R.; Dowdy R.H.</t>
  </si>
  <si>
    <t>Soil organic carbon and 13C abundance as related to tillage, crop residue, and nitrogen fertilization under continuous corn management in Minnesota</t>
  </si>
  <si>
    <t xml:space="preserve">Minnesota </t>
  </si>
  <si>
    <t>corn-stover harvested-0 N</t>
  </si>
  <si>
    <t xml:space="preserve">corn-stover returned- 0 N </t>
  </si>
  <si>
    <t>corn-stover returned-0 N</t>
  </si>
  <si>
    <t>corn-stover harvested-200 N</t>
  </si>
  <si>
    <t xml:space="preserve">corn-stover returned- 200 N </t>
  </si>
  <si>
    <t>corn-stover returned-200 N</t>
  </si>
  <si>
    <t>Yang X.-M.; Wander M.M.</t>
  </si>
  <si>
    <t>Tillage effects on soil organic carbon distribution and storage in a silt loam soil in Illinois</t>
  </si>
  <si>
    <t>Urbana</t>
  </si>
  <si>
    <t>Illinois</t>
  </si>
  <si>
    <t xml:space="preserve">Silty loam </t>
  </si>
  <si>
    <t>Disking tillage</t>
  </si>
  <si>
    <t>Region</t>
  </si>
  <si>
    <t>North</t>
  </si>
  <si>
    <t>CT</t>
  </si>
  <si>
    <t>RT</t>
  </si>
  <si>
    <t>deltaSOC</t>
  </si>
  <si>
    <t>Change_percent</t>
  </si>
  <si>
    <t>Change_rate</t>
  </si>
  <si>
    <t>Tillage_depth</t>
  </si>
  <si>
    <t>SOC_Depth</t>
  </si>
  <si>
    <t>Tillage</t>
  </si>
  <si>
    <t>Precipitation</t>
  </si>
  <si>
    <t>Temperature</t>
  </si>
  <si>
    <t>Clay</t>
  </si>
  <si>
    <t>Sand</t>
  </si>
  <si>
    <t>Texture</t>
  </si>
  <si>
    <t>Start_year</t>
  </si>
  <si>
    <t>Pub_year</t>
  </si>
  <si>
    <t>chisel ploughing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</si>
</sst>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0</xdr:rowOff>
        </xdr:from>
        <xdr:to>
          <xdr:col>4</xdr:col>
          <xdr:colOff>914400</xdr:colOff>
          <xdr:row>98</xdr:row>
          <xdr:rowOff>44450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wondo,Fernande (ECCC)" id="{DA61D904-E3F7-4BC2-BD03-6C4DD3AFEBD8}" userId="S::Fernande.Ewondo@ec.gc.ca::7f923c97-7096-4011-9a98-6821a05b08a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91" dT="2024-05-15T13:10:49.54" personId="{DA61D904-E3F7-4BC2-BD03-6C4DD3AFEBD8}" id="{6B697916-1DEE-4D21-BB6A-43856E95DF40}">
    <text>Nitrogen application ranging from 67 to 134</text>
  </threadedComment>
  <threadedComment ref="N93" dT="2024-05-15T13:11:08.22" personId="{DA61D904-E3F7-4BC2-BD03-6C4DD3AFEBD8}" id="{CF0CE5C2-072D-4A40-BB88-B9212EAEEBD8}">
    <text>No nitrogen applied</text>
  </threadedComment>
  <threadedComment ref="O102" dT="2024-06-06T20:01:59.74" personId="{DA61D904-E3F7-4BC2-BD03-6C4DD3AFEBD8}" id="{DD77EBA8-F7E4-4C05-9F43-E42D36067369}">
    <text>RT Tillage method, CT Tillage method</text>
  </threadedComment>
  <threadedComment ref="P102" dT="2024-06-06T20:02:32.88" personId="{DA61D904-E3F7-4BC2-BD03-6C4DD3AFEBD8}" id="{B3E3B20B-2FE1-4017-B153-DF78400D3077}">
    <text>RT Tillage depth, CT Tillage depth</text>
  </threadedComment>
  <threadedComment ref="O104" dT="2024-06-06T20:01:59.74" personId="{DA61D904-E3F7-4BC2-BD03-6C4DD3AFEBD8}" id="{8B95B819-EB0A-46DC-BA30-66D8E154BCEA}">
    <text>RT Tillage method, CT Tillage method</text>
  </threadedComment>
  <threadedComment ref="P104" dT="2024-06-06T20:02:32.88" personId="{DA61D904-E3F7-4BC2-BD03-6C4DD3AFEBD8}" id="{D905396C-DD32-4821-B053-1057E5B94198}">
    <text>RT Tillage depth, CT Tillage depth</text>
  </threadedComment>
  <threadedComment ref="O106" dT="2024-06-06T20:01:59.74" personId="{DA61D904-E3F7-4BC2-BD03-6C4DD3AFEBD8}" id="{461A11FC-F0B0-44FB-BD98-0630324E0F79}">
    <text>RT Tillage method, CT Tillage method</text>
  </threadedComment>
  <threadedComment ref="P106" dT="2024-06-06T20:02:32.88" personId="{DA61D904-E3F7-4BC2-BD03-6C4DD3AFEBD8}" id="{4F7C174E-C575-48A0-B330-3E2D4BDD53D4}">
    <text>RT Tillage depth, CT Tillage depth</text>
  </threadedComment>
  <threadedComment ref="O109" dT="2024-06-06T17:14:30.65" personId="{DA61D904-E3F7-4BC2-BD03-6C4DD3AFEBD8}" id="{277AB1D3-2751-4411-A118-685AD7BD6FE7}">
    <text>RT Tillage method, CT Tillage method</text>
  </threadedComment>
  <threadedComment ref="P109" dT="2024-06-06T17:15:00.36" personId="{DA61D904-E3F7-4BC2-BD03-6C4DD3AFEBD8}" id="{1FF172D9-904A-42BB-8949-5B53774B5EB8}">
    <text>RT Tillage depth, CT Tillage depth</text>
  </threadedComment>
  <threadedComment ref="O111" dT="2024-06-06T17:14:30.65" personId="{DA61D904-E3F7-4BC2-BD03-6C4DD3AFEBD8}" id="{8205B37A-12E0-4BD7-A142-392F63A4F63B}">
    <text>RT Tillage method, CT Tillage method</text>
  </threadedComment>
  <threadedComment ref="P111" dT="2024-06-06T17:15:00.36" personId="{DA61D904-E3F7-4BC2-BD03-6C4DD3AFEBD8}" id="{7ECDB3EF-EFC7-4D63-A7F4-9354799A7239}">
    <text>RT Tillage depth, CT Tillage depth</text>
  </threadedComment>
  <threadedComment ref="O152" dT="2024-06-05T15:38:20.89" personId="{DA61D904-E3F7-4BC2-BD03-6C4DD3AFEBD8}" id="{86D27ED9-0418-4D20-92F1-96DBC5756EF3}">
    <text>RT tillage method, CT tillage method</text>
  </threadedComment>
  <threadedComment ref="O155" dT="2024-06-05T15:13:29.37" personId="{DA61D904-E3F7-4BC2-BD03-6C4DD3AFEBD8}" id="{CB318B2D-A6CD-4E7F-8E00-9737BE3547B9}">
    <text>RT tillage method, CT tillage method</text>
  </threadedComment>
  <threadedComment ref="P155" dT="2024-06-05T15:13:42.12" personId="{DA61D904-E3F7-4BC2-BD03-6C4DD3AFEBD8}" id="{3F488437-5EA4-499B-86E5-17CC7151B7A7}">
    <text>RT tillage depth, CT tillage depth</text>
  </threadedComment>
  <threadedComment ref="O165" dT="2024-06-05T15:01:48.38" personId="{DA61D904-E3F7-4BC2-BD03-6C4DD3AFEBD8}" id="{E537196E-EC5C-40E4-8CE4-377C90101C3A}">
    <text>RT tillage method, CT tillage method</text>
  </threadedComment>
  <threadedComment ref="P165" dT="2024-06-05T15:02:04.79" personId="{DA61D904-E3F7-4BC2-BD03-6C4DD3AFEBD8}" id="{8A472D1B-08B9-4C58-936D-EF1466F47908}">
    <text>RT tillage depth, CT tillage depth</text>
  </threadedComment>
  <threadedComment ref="O175" dT="2024-06-05T14:14:46.35" personId="{DA61D904-E3F7-4BC2-BD03-6C4DD3AFEBD8}" id="{EE2915BF-F821-44CF-91D4-29802B54DB24}">
    <text>RT tillage method, CT tillage method</text>
  </threadedComment>
  <threadedComment ref="P175" dT="2024-06-05T14:15:15.96" personId="{DA61D904-E3F7-4BC2-BD03-6C4DD3AFEBD8}" id="{7C90AE3C-2306-403C-AC2E-C3E282715E7F}">
    <text>RT tillage depth, CT tillage depth</text>
  </threadedComment>
  <threadedComment ref="O181" dT="2024-06-05T14:09:58.38" personId="{DA61D904-E3F7-4BC2-BD03-6C4DD3AFEBD8}" id="{8227403D-28B8-4E22-B3AF-5B583760EB57}">
    <text>RT tillage method, CT tillage method</text>
  </threadedComment>
  <threadedComment ref="P181" dT="2024-06-05T14:10:13.34" personId="{DA61D904-E3F7-4BC2-BD03-6C4DD3AFEBD8}" id="{74B640D9-B976-4463-8396-D60E2025EBA9}">
    <text>RT tillage depth, CT tillage depth</text>
  </threadedComment>
  <threadedComment ref="O185" dT="2024-06-05T12:39:06.60" personId="{DA61D904-E3F7-4BC2-BD03-6C4DD3AFEBD8}" id="{907B6DD5-CC83-42A6-AE12-4E317BBD8824}">
    <text>RT tillage method, CT tillage method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51B8-2437-427D-ABD6-7C26DA27669A}">
  <sheetPr codeName="Sheet1"/>
  <dimension ref="A1:AD206"/>
  <sheetViews>
    <sheetView tabSelected="1" workbookViewId="0">
      <pane ySplit="1" topLeftCell="A94" activePane="bottomLeft" state="frozen"/>
      <selection pane="bottomLeft" activeCell="E97" sqref="E97"/>
    </sheetView>
  </sheetViews>
  <sheetFormatPr defaultRowHeight="14.5" x14ac:dyDescent="0.35"/>
  <cols>
    <col min="2" max="2" width="28.453125" customWidth="1"/>
    <col min="5" max="5" width="27.36328125" customWidth="1"/>
  </cols>
  <sheetData>
    <row r="1" spans="1:30" s="5" customFormat="1" ht="26" x14ac:dyDescent="0.25">
      <c r="A1" s="1" t="s">
        <v>243</v>
      </c>
      <c r="B1" s="1" t="s">
        <v>0</v>
      </c>
      <c r="C1" s="1" t="s">
        <v>1</v>
      </c>
      <c r="D1" s="1" t="s">
        <v>227</v>
      </c>
      <c r="E1" s="1" t="s">
        <v>2</v>
      </c>
      <c r="F1" s="2" t="s">
        <v>3</v>
      </c>
      <c r="G1" s="2" t="s">
        <v>242</v>
      </c>
      <c r="H1" s="2" t="s">
        <v>241</v>
      </c>
      <c r="I1" s="2" t="s">
        <v>239</v>
      </c>
      <c r="J1" s="2" t="s">
        <v>240</v>
      </c>
      <c r="K1" s="2" t="s">
        <v>238</v>
      </c>
      <c r="L1" s="2" t="s">
        <v>237</v>
      </c>
      <c r="M1" s="2" t="s">
        <v>4</v>
      </c>
      <c r="N1" s="2" t="s">
        <v>5</v>
      </c>
      <c r="O1" s="2" t="s">
        <v>236</v>
      </c>
      <c r="P1" s="2" t="s">
        <v>234</v>
      </c>
      <c r="Q1" s="2" t="s">
        <v>235</v>
      </c>
      <c r="R1" s="2" t="s">
        <v>229</v>
      </c>
      <c r="S1" s="3" t="s">
        <v>230</v>
      </c>
      <c r="T1" s="2" t="s">
        <v>53</v>
      </c>
      <c r="U1" s="2" t="s">
        <v>231</v>
      </c>
      <c r="V1" s="2" t="s">
        <v>233</v>
      </c>
      <c r="W1" s="2" t="s">
        <v>232</v>
      </c>
      <c r="X1" s="4"/>
      <c r="Y1" s="4"/>
      <c r="AC1" s="2"/>
      <c r="AD1" s="2"/>
    </row>
    <row r="2" spans="1:30" x14ac:dyDescent="0.35">
      <c r="A2">
        <v>2020</v>
      </c>
      <c r="B2" t="s">
        <v>6</v>
      </c>
      <c r="C2" t="s">
        <v>7</v>
      </c>
      <c r="D2" t="s">
        <v>228</v>
      </c>
      <c r="E2" t="s">
        <v>8</v>
      </c>
      <c r="F2" t="s">
        <v>9</v>
      </c>
      <c r="G2">
        <v>2002</v>
      </c>
      <c r="H2" t="s">
        <v>10</v>
      </c>
      <c r="I2">
        <v>480</v>
      </c>
      <c r="J2">
        <v>30</v>
      </c>
      <c r="K2">
        <v>8.08</v>
      </c>
      <c r="L2">
        <v>816</v>
      </c>
      <c r="M2">
        <v>12</v>
      </c>
      <c r="N2" t="s">
        <v>11</v>
      </c>
      <c r="O2" t="s">
        <v>12</v>
      </c>
      <c r="P2">
        <v>10</v>
      </c>
      <c r="Q2">
        <v>600</v>
      </c>
      <c r="R2">
        <f>138.88+4.32</f>
        <v>143.19999999999999</v>
      </c>
      <c r="T2">
        <f>138.88+5.09</f>
        <v>143.97</v>
      </c>
      <c r="U2">
        <f>IF(ISBLANK($S2),$T2-$R2,$S2-$R2)</f>
        <v>0.77000000000001023</v>
      </c>
      <c r="V2" s="6">
        <f>U2/M2*1000</f>
        <v>64.166666666667524</v>
      </c>
      <c r="W2" s="7">
        <f>U2/R2/M2*100</f>
        <v>4.480912476722592E-2</v>
      </c>
    </row>
    <row r="3" spans="1:30" x14ac:dyDescent="0.35">
      <c r="A3">
        <v>2020</v>
      </c>
      <c r="B3" t="s">
        <v>6</v>
      </c>
      <c r="C3" t="s">
        <v>7</v>
      </c>
      <c r="D3" t="s">
        <v>228</v>
      </c>
      <c r="E3" t="s">
        <v>8</v>
      </c>
      <c r="F3" t="s">
        <v>9</v>
      </c>
      <c r="G3">
        <v>2002</v>
      </c>
      <c r="H3" t="s">
        <v>10</v>
      </c>
      <c r="I3">
        <v>480</v>
      </c>
      <c r="J3">
        <v>30</v>
      </c>
      <c r="K3">
        <v>8.08</v>
      </c>
      <c r="L3">
        <v>816</v>
      </c>
      <c r="M3">
        <v>12</v>
      </c>
      <c r="N3" t="s">
        <v>11</v>
      </c>
      <c r="O3" t="s">
        <v>13</v>
      </c>
      <c r="P3">
        <v>25</v>
      </c>
      <c r="Q3">
        <v>600</v>
      </c>
      <c r="R3">
        <f>138.88-4.03</f>
        <v>134.85</v>
      </c>
      <c r="T3">
        <f t="shared" ref="T3:T5" si="0">138.88+5.09</f>
        <v>143.97</v>
      </c>
      <c r="U3">
        <f t="shared" ref="U3:U68" si="1">IF(ISBLANK($S3),$T3-$R3,$S3-$R3)</f>
        <v>9.1200000000000045</v>
      </c>
      <c r="V3" s="6">
        <f t="shared" ref="V3:V57" si="2">U3/M3*1000</f>
        <v>760.00000000000034</v>
      </c>
      <c r="W3" s="7">
        <f t="shared" ref="W3:W57" si="3">U3/R3/M3*100</f>
        <v>0.56358917315535817</v>
      </c>
    </row>
    <row r="4" spans="1:30" x14ac:dyDescent="0.35">
      <c r="A4">
        <v>2020</v>
      </c>
      <c r="B4" t="s">
        <v>6</v>
      </c>
      <c r="C4" t="s">
        <v>7</v>
      </c>
      <c r="D4" t="s">
        <v>228</v>
      </c>
      <c r="E4" t="s">
        <v>8</v>
      </c>
      <c r="F4" t="s">
        <v>9</v>
      </c>
      <c r="G4">
        <v>2002</v>
      </c>
      <c r="H4" t="s">
        <v>10</v>
      </c>
      <c r="I4">
        <v>480</v>
      </c>
      <c r="J4">
        <v>30</v>
      </c>
      <c r="K4">
        <v>8.08</v>
      </c>
      <c r="L4">
        <v>816</v>
      </c>
      <c r="M4">
        <v>12</v>
      </c>
      <c r="N4" t="s">
        <v>11</v>
      </c>
      <c r="O4" t="s">
        <v>14</v>
      </c>
      <c r="P4">
        <v>46</v>
      </c>
      <c r="Q4">
        <v>600</v>
      </c>
      <c r="R4">
        <f>138.88-3.88</f>
        <v>135</v>
      </c>
      <c r="T4">
        <f t="shared" si="0"/>
        <v>143.97</v>
      </c>
      <c r="U4">
        <f t="shared" si="1"/>
        <v>8.9699999999999989</v>
      </c>
      <c r="V4" s="6">
        <f t="shared" si="2"/>
        <v>747.49999999999989</v>
      </c>
      <c r="W4" s="7">
        <f t="shared" si="3"/>
        <v>0.55370370370370359</v>
      </c>
    </row>
    <row r="5" spans="1:30" x14ac:dyDescent="0.35">
      <c r="A5">
        <v>2020</v>
      </c>
      <c r="B5" t="s">
        <v>6</v>
      </c>
      <c r="C5" t="s">
        <v>7</v>
      </c>
      <c r="D5" t="s">
        <v>228</v>
      </c>
      <c r="E5" t="s">
        <v>8</v>
      </c>
      <c r="F5" t="s">
        <v>9</v>
      </c>
      <c r="G5">
        <v>2002</v>
      </c>
      <c r="H5" t="s">
        <v>10</v>
      </c>
      <c r="I5">
        <v>480</v>
      </c>
      <c r="J5">
        <v>30</v>
      </c>
      <c r="K5">
        <v>8.08</v>
      </c>
      <c r="L5">
        <v>816</v>
      </c>
      <c r="M5">
        <v>12</v>
      </c>
      <c r="N5" t="s">
        <v>11</v>
      </c>
      <c r="O5" t="s">
        <v>15</v>
      </c>
      <c r="P5">
        <v>25</v>
      </c>
      <c r="Q5">
        <v>600</v>
      </c>
      <c r="R5">
        <f>138.88-4.61</f>
        <v>134.26999999999998</v>
      </c>
      <c r="T5">
        <f t="shared" si="0"/>
        <v>143.97</v>
      </c>
      <c r="U5">
        <f t="shared" si="1"/>
        <v>9.7000000000000171</v>
      </c>
      <c r="V5" s="6">
        <f t="shared" si="2"/>
        <v>808.33333333333474</v>
      </c>
      <c r="W5" s="7">
        <f t="shared" si="3"/>
        <v>0.60202080385293433</v>
      </c>
    </row>
    <row r="6" spans="1:30" x14ac:dyDescent="0.35">
      <c r="A6">
        <v>2020</v>
      </c>
      <c r="B6" t="s">
        <v>6</v>
      </c>
      <c r="C6" t="s">
        <v>7</v>
      </c>
      <c r="D6" t="s">
        <v>228</v>
      </c>
      <c r="E6" t="s">
        <v>8</v>
      </c>
      <c r="F6" t="s">
        <v>9</v>
      </c>
      <c r="G6">
        <v>2002</v>
      </c>
      <c r="H6" t="s">
        <v>10</v>
      </c>
      <c r="I6">
        <v>480</v>
      </c>
      <c r="J6">
        <v>30</v>
      </c>
      <c r="K6">
        <v>8.08</v>
      </c>
      <c r="L6">
        <v>816</v>
      </c>
      <c r="M6">
        <v>12</v>
      </c>
      <c r="N6" t="s">
        <v>16</v>
      </c>
      <c r="O6" t="s">
        <v>12</v>
      </c>
      <c r="P6">
        <v>10</v>
      </c>
      <c r="Q6">
        <v>600</v>
      </c>
      <c r="R6">
        <f>138.88+3.38</f>
        <v>142.26</v>
      </c>
      <c r="T6">
        <f>138.88+4.7</f>
        <v>143.57999999999998</v>
      </c>
      <c r="U6">
        <f t="shared" si="1"/>
        <v>1.3199999999999932</v>
      </c>
      <c r="V6" s="6">
        <f t="shared" si="2"/>
        <v>109.99999999999943</v>
      </c>
      <c r="W6" s="7">
        <f t="shared" si="3"/>
        <v>7.7323211022071875E-2</v>
      </c>
    </row>
    <row r="7" spans="1:30" x14ac:dyDescent="0.35">
      <c r="A7">
        <v>2020</v>
      </c>
      <c r="B7" t="s">
        <v>6</v>
      </c>
      <c r="C7" t="s">
        <v>7</v>
      </c>
      <c r="D7" t="s">
        <v>228</v>
      </c>
      <c r="E7" t="s">
        <v>8</v>
      </c>
      <c r="F7" t="s">
        <v>9</v>
      </c>
      <c r="G7">
        <v>2002</v>
      </c>
      <c r="H7" t="s">
        <v>10</v>
      </c>
      <c r="I7">
        <v>480</v>
      </c>
      <c r="J7">
        <v>30</v>
      </c>
      <c r="K7">
        <v>8.08</v>
      </c>
      <c r="L7">
        <v>816</v>
      </c>
      <c r="M7">
        <v>12</v>
      </c>
      <c r="N7" t="s">
        <v>16</v>
      </c>
      <c r="O7" t="s">
        <v>13</v>
      </c>
      <c r="P7">
        <v>25</v>
      </c>
      <c r="Q7">
        <v>600</v>
      </c>
      <c r="R7">
        <f>138.88-4.07</f>
        <v>134.81</v>
      </c>
      <c r="T7">
        <f t="shared" ref="T7:T9" si="4">138.88+4.7</f>
        <v>143.57999999999998</v>
      </c>
      <c r="U7">
        <f t="shared" si="1"/>
        <v>8.7699999999999818</v>
      </c>
      <c r="V7" s="6">
        <f t="shared" si="2"/>
        <v>730.83333333333178</v>
      </c>
      <c r="W7" s="7">
        <f t="shared" si="3"/>
        <v>0.54212100981628342</v>
      </c>
    </row>
    <row r="8" spans="1:30" x14ac:dyDescent="0.35">
      <c r="A8">
        <v>2020</v>
      </c>
      <c r="B8" t="s">
        <v>6</v>
      </c>
      <c r="C8" t="s">
        <v>7</v>
      </c>
      <c r="D8" t="s">
        <v>228</v>
      </c>
      <c r="E8" t="s">
        <v>8</v>
      </c>
      <c r="F8" t="s">
        <v>9</v>
      </c>
      <c r="G8">
        <v>2002</v>
      </c>
      <c r="H8" t="s">
        <v>10</v>
      </c>
      <c r="I8">
        <v>480</v>
      </c>
      <c r="J8">
        <v>30</v>
      </c>
      <c r="K8">
        <v>8.08</v>
      </c>
      <c r="L8">
        <v>816</v>
      </c>
      <c r="M8">
        <v>12</v>
      </c>
      <c r="N8" t="s">
        <v>16</v>
      </c>
      <c r="O8" t="s">
        <v>14</v>
      </c>
      <c r="P8">
        <v>46</v>
      </c>
      <c r="Q8">
        <v>600</v>
      </c>
      <c r="R8">
        <f>138.88-2.91</f>
        <v>135.97</v>
      </c>
      <c r="T8">
        <f t="shared" si="4"/>
        <v>143.57999999999998</v>
      </c>
      <c r="U8">
        <f t="shared" si="1"/>
        <v>7.6099999999999852</v>
      </c>
      <c r="V8" s="6">
        <f t="shared" si="2"/>
        <v>634.16666666666538</v>
      </c>
      <c r="W8" s="7">
        <f t="shared" si="3"/>
        <v>0.46640190238042617</v>
      </c>
    </row>
    <row r="9" spans="1:30" x14ac:dyDescent="0.35">
      <c r="A9">
        <v>2020</v>
      </c>
      <c r="B9" t="s">
        <v>6</v>
      </c>
      <c r="C9" t="s">
        <v>7</v>
      </c>
      <c r="D9" t="s">
        <v>228</v>
      </c>
      <c r="E9" t="s">
        <v>8</v>
      </c>
      <c r="F9" t="s">
        <v>9</v>
      </c>
      <c r="G9">
        <v>2002</v>
      </c>
      <c r="H9" t="s">
        <v>10</v>
      </c>
      <c r="I9">
        <v>480</v>
      </c>
      <c r="J9">
        <v>30</v>
      </c>
      <c r="K9">
        <v>8.08</v>
      </c>
      <c r="L9">
        <v>816</v>
      </c>
      <c r="M9">
        <v>12</v>
      </c>
      <c r="N9" t="s">
        <v>16</v>
      </c>
      <c r="O9" t="s">
        <v>15</v>
      </c>
      <c r="P9">
        <v>25</v>
      </c>
      <c r="Q9">
        <v>600</v>
      </c>
      <c r="R9">
        <f>138.88-4.76</f>
        <v>134.12</v>
      </c>
      <c r="T9">
        <f t="shared" si="4"/>
        <v>143.57999999999998</v>
      </c>
      <c r="U9">
        <f t="shared" si="1"/>
        <v>9.4599999999999795</v>
      </c>
      <c r="V9" s="6">
        <f t="shared" si="2"/>
        <v>788.33333333333167</v>
      </c>
      <c r="W9" s="7">
        <f t="shared" si="3"/>
        <v>0.58778208569440171</v>
      </c>
    </row>
    <row r="10" spans="1:30" x14ac:dyDescent="0.35">
      <c r="A10">
        <v>2020</v>
      </c>
      <c r="B10" t="s">
        <v>6</v>
      </c>
      <c r="C10" t="s">
        <v>7</v>
      </c>
      <c r="D10" t="s">
        <v>228</v>
      </c>
      <c r="E10" t="s">
        <v>17</v>
      </c>
      <c r="F10" t="s">
        <v>9</v>
      </c>
      <c r="G10">
        <v>2002</v>
      </c>
      <c r="H10" t="s">
        <v>10</v>
      </c>
      <c r="I10">
        <v>260</v>
      </c>
      <c r="J10">
        <v>40</v>
      </c>
      <c r="K10">
        <v>7.59</v>
      </c>
      <c r="L10">
        <v>861</v>
      </c>
      <c r="M10">
        <v>12</v>
      </c>
      <c r="N10" t="s">
        <v>11</v>
      </c>
      <c r="O10" t="s">
        <v>12</v>
      </c>
      <c r="P10">
        <v>10</v>
      </c>
      <c r="Q10">
        <v>600</v>
      </c>
      <c r="R10">
        <f>143.04+3.39</f>
        <v>146.42999999999998</v>
      </c>
      <c r="T10">
        <f>143.04+4.66</f>
        <v>147.69999999999999</v>
      </c>
      <c r="U10">
        <f t="shared" si="1"/>
        <v>1.2700000000000102</v>
      </c>
      <c r="V10" s="6">
        <f t="shared" si="2"/>
        <v>105.83333333333418</v>
      </c>
      <c r="W10" s="7">
        <f t="shared" si="3"/>
        <v>7.2275717635275696E-2</v>
      </c>
    </row>
    <row r="11" spans="1:30" x14ac:dyDescent="0.35">
      <c r="A11">
        <v>2020</v>
      </c>
      <c r="B11" t="s">
        <v>6</v>
      </c>
      <c r="C11" t="s">
        <v>7</v>
      </c>
      <c r="D11" t="s">
        <v>228</v>
      </c>
      <c r="E11" t="s">
        <v>17</v>
      </c>
      <c r="F11" t="s">
        <v>9</v>
      </c>
      <c r="G11">
        <v>2002</v>
      </c>
      <c r="H11" t="s">
        <v>10</v>
      </c>
      <c r="I11">
        <v>260</v>
      </c>
      <c r="J11">
        <v>40</v>
      </c>
      <c r="K11">
        <v>7.59</v>
      </c>
      <c r="L11">
        <v>861</v>
      </c>
      <c r="M11">
        <v>12</v>
      </c>
      <c r="N11" t="s">
        <v>11</v>
      </c>
      <c r="O11" t="s">
        <v>13</v>
      </c>
      <c r="P11">
        <v>25</v>
      </c>
      <c r="Q11">
        <v>600</v>
      </c>
      <c r="R11">
        <f>143.04-4.34</f>
        <v>138.69999999999999</v>
      </c>
      <c r="T11">
        <f t="shared" ref="T11:T13" si="5">143.04+4.66</f>
        <v>147.69999999999999</v>
      </c>
      <c r="U11">
        <f t="shared" si="1"/>
        <v>9</v>
      </c>
      <c r="V11" s="6">
        <f t="shared" si="2"/>
        <v>750</v>
      </c>
      <c r="W11" s="7">
        <f t="shared" si="3"/>
        <v>0.54073540014419619</v>
      </c>
    </row>
    <row r="12" spans="1:30" x14ac:dyDescent="0.35">
      <c r="A12">
        <v>2020</v>
      </c>
      <c r="B12" t="s">
        <v>6</v>
      </c>
      <c r="C12" t="s">
        <v>7</v>
      </c>
      <c r="D12" t="s">
        <v>228</v>
      </c>
      <c r="E12" t="s">
        <v>17</v>
      </c>
      <c r="F12" t="s">
        <v>9</v>
      </c>
      <c r="G12">
        <v>2002</v>
      </c>
      <c r="H12" t="s">
        <v>10</v>
      </c>
      <c r="I12">
        <v>260</v>
      </c>
      <c r="J12">
        <v>40</v>
      </c>
      <c r="K12">
        <v>7.59</v>
      </c>
      <c r="L12">
        <v>861</v>
      </c>
      <c r="M12">
        <v>12</v>
      </c>
      <c r="N12" t="s">
        <v>11</v>
      </c>
      <c r="O12" t="s">
        <v>14</v>
      </c>
      <c r="P12">
        <v>46</v>
      </c>
      <c r="Q12">
        <v>600</v>
      </c>
      <c r="R12">
        <f>143.04-3.6</f>
        <v>139.44</v>
      </c>
      <c r="T12">
        <f t="shared" si="5"/>
        <v>147.69999999999999</v>
      </c>
      <c r="U12">
        <f t="shared" si="1"/>
        <v>8.2599999999999909</v>
      </c>
      <c r="V12" s="6">
        <f t="shared" si="2"/>
        <v>688.33333333333258</v>
      </c>
      <c r="W12" s="7">
        <f t="shared" si="3"/>
        <v>0.4936412315930383</v>
      </c>
    </row>
    <row r="13" spans="1:30" x14ac:dyDescent="0.35">
      <c r="A13">
        <v>2020</v>
      </c>
      <c r="B13" t="s">
        <v>6</v>
      </c>
      <c r="C13" t="s">
        <v>7</v>
      </c>
      <c r="D13" t="s">
        <v>228</v>
      </c>
      <c r="E13" t="s">
        <v>17</v>
      </c>
      <c r="F13" t="s">
        <v>9</v>
      </c>
      <c r="G13">
        <v>2002</v>
      </c>
      <c r="H13" t="s">
        <v>10</v>
      </c>
      <c r="I13">
        <v>260</v>
      </c>
      <c r="J13">
        <v>40</v>
      </c>
      <c r="K13">
        <v>7.59</v>
      </c>
      <c r="L13">
        <v>861</v>
      </c>
      <c r="M13">
        <v>12</v>
      </c>
      <c r="N13" t="s">
        <v>11</v>
      </c>
      <c r="O13" t="s">
        <v>15</v>
      </c>
      <c r="P13">
        <v>25</v>
      </c>
      <c r="Q13">
        <v>600</v>
      </c>
      <c r="R13">
        <f>143.04-4.25</f>
        <v>138.79</v>
      </c>
      <c r="T13">
        <f t="shared" si="5"/>
        <v>147.69999999999999</v>
      </c>
      <c r="U13">
        <f t="shared" si="1"/>
        <v>8.9099999999999966</v>
      </c>
      <c r="V13" s="6">
        <f t="shared" si="2"/>
        <v>742.49999999999977</v>
      </c>
      <c r="W13" s="7">
        <f t="shared" si="3"/>
        <v>0.53498090640536045</v>
      </c>
    </row>
    <row r="14" spans="1:30" x14ac:dyDescent="0.35">
      <c r="A14">
        <v>2020</v>
      </c>
      <c r="B14" t="s">
        <v>6</v>
      </c>
      <c r="C14" t="s">
        <v>7</v>
      </c>
      <c r="D14" t="s">
        <v>228</v>
      </c>
      <c r="E14" t="s">
        <v>17</v>
      </c>
      <c r="F14" t="s">
        <v>9</v>
      </c>
      <c r="G14">
        <v>2002</v>
      </c>
      <c r="H14" t="s">
        <v>10</v>
      </c>
      <c r="I14">
        <v>260</v>
      </c>
      <c r="J14">
        <v>40</v>
      </c>
      <c r="K14">
        <v>7.59</v>
      </c>
      <c r="L14">
        <v>861</v>
      </c>
      <c r="M14">
        <v>12</v>
      </c>
      <c r="N14" t="s">
        <v>16</v>
      </c>
      <c r="O14" t="s">
        <v>12</v>
      </c>
      <c r="P14">
        <v>10</v>
      </c>
      <c r="Q14">
        <v>600</v>
      </c>
      <c r="R14">
        <f>143.04+3.51</f>
        <v>146.54999999999998</v>
      </c>
      <c r="T14">
        <f>143.04+4.83</f>
        <v>147.87</v>
      </c>
      <c r="U14">
        <f t="shared" si="1"/>
        <v>1.3200000000000216</v>
      </c>
      <c r="V14" s="6">
        <f t="shared" si="2"/>
        <v>110.0000000000018</v>
      </c>
      <c r="W14" s="7">
        <f t="shared" si="3"/>
        <v>7.5059706584784586E-2</v>
      </c>
    </row>
    <row r="15" spans="1:30" x14ac:dyDescent="0.35">
      <c r="A15">
        <v>2020</v>
      </c>
      <c r="B15" t="s">
        <v>6</v>
      </c>
      <c r="C15" t="s">
        <v>7</v>
      </c>
      <c r="D15" t="s">
        <v>228</v>
      </c>
      <c r="E15" t="s">
        <v>17</v>
      </c>
      <c r="F15" t="s">
        <v>9</v>
      </c>
      <c r="G15">
        <v>2002</v>
      </c>
      <c r="H15" t="s">
        <v>10</v>
      </c>
      <c r="I15">
        <v>260</v>
      </c>
      <c r="J15">
        <v>40</v>
      </c>
      <c r="K15">
        <v>7.59</v>
      </c>
      <c r="L15">
        <v>861</v>
      </c>
      <c r="M15">
        <v>12</v>
      </c>
      <c r="N15" t="s">
        <v>16</v>
      </c>
      <c r="O15" t="s">
        <v>13</v>
      </c>
      <c r="P15">
        <v>25</v>
      </c>
      <c r="Q15">
        <v>600</v>
      </c>
      <c r="R15">
        <f>143.04-3.99</f>
        <v>139.04999999999998</v>
      </c>
      <c r="T15">
        <f t="shared" ref="T15:T17" si="6">143.04+4.83</f>
        <v>147.87</v>
      </c>
      <c r="U15">
        <f t="shared" si="1"/>
        <v>8.8200000000000216</v>
      </c>
      <c r="V15" s="6">
        <f t="shared" si="2"/>
        <v>735.00000000000182</v>
      </c>
      <c r="W15" s="7">
        <f t="shared" si="3"/>
        <v>0.52858683926645222</v>
      </c>
    </row>
    <row r="16" spans="1:30" x14ac:dyDescent="0.35">
      <c r="A16">
        <v>2020</v>
      </c>
      <c r="B16" t="s">
        <v>6</v>
      </c>
      <c r="C16" t="s">
        <v>7</v>
      </c>
      <c r="D16" t="s">
        <v>228</v>
      </c>
      <c r="E16" t="s">
        <v>17</v>
      </c>
      <c r="F16" t="s">
        <v>9</v>
      </c>
      <c r="G16">
        <v>2002</v>
      </c>
      <c r="H16" t="s">
        <v>10</v>
      </c>
      <c r="I16">
        <v>260</v>
      </c>
      <c r="J16">
        <v>40</v>
      </c>
      <c r="K16">
        <v>7.59</v>
      </c>
      <c r="L16">
        <v>861</v>
      </c>
      <c r="M16">
        <v>12</v>
      </c>
      <c r="N16" t="s">
        <v>16</v>
      </c>
      <c r="O16" t="s">
        <v>14</v>
      </c>
      <c r="P16">
        <v>46</v>
      </c>
      <c r="Q16">
        <v>600</v>
      </c>
      <c r="R16">
        <f>143.04+3.65</f>
        <v>146.69</v>
      </c>
      <c r="T16">
        <f t="shared" si="6"/>
        <v>147.87</v>
      </c>
      <c r="U16">
        <f t="shared" si="1"/>
        <v>1.1800000000000068</v>
      </c>
      <c r="V16" s="6">
        <f t="shared" si="2"/>
        <v>98.333333333333897</v>
      </c>
      <c r="W16" s="7">
        <f t="shared" si="3"/>
        <v>6.7034789919785884E-2</v>
      </c>
    </row>
    <row r="17" spans="1:23" x14ac:dyDescent="0.35">
      <c r="A17">
        <v>2020</v>
      </c>
      <c r="B17" t="s">
        <v>6</v>
      </c>
      <c r="C17" t="s">
        <v>7</v>
      </c>
      <c r="D17" t="s">
        <v>228</v>
      </c>
      <c r="E17" t="s">
        <v>17</v>
      </c>
      <c r="F17" t="s">
        <v>9</v>
      </c>
      <c r="G17">
        <v>2002</v>
      </c>
      <c r="H17" t="s">
        <v>10</v>
      </c>
      <c r="I17">
        <v>260</v>
      </c>
      <c r="J17">
        <v>40</v>
      </c>
      <c r="K17">
        <v>7.59</v>
      </c>
      <c r="L17">
        <v>861</v>
      </c>
      <c r="M17">
        <v>12</v>
      </c>
      <c r="N17" t="s">
        <v>16</v>
      </c>
      <c r="O17" t="s">
        <v>15</v>
      </c>
      <c r="P17">
        <v>25</v>
      </c>
      <c r="Q17">
        <v>600</v>
      </c>
      <c r="R17">
        <f>143.04-4.69</f>
        <v>138.35</v>
      </c>
      <c r="T17">
        <f t="shared" si="6"/>
        <v>147.87</v>
      </c>
      <c r="U17">
        <f t="shared" si="1"/>
        <v>9.5200000000000102</v>
      </c>
      <c r="V17" s="6">
        <f t="shared" si="2"/>
        <v>793.33333333333417</v>
      </c>
      <c r="W17" s="7">
        <f t="shared" si="3"/>
        <v>0.57342488856764318</v>
      </c>
    </row>
    <row r="18" spans="1:23" x14ac:dyDescent="0.35">
      <c r="A18">
        <v>2020</v>
      </c>
      <c r="B18" t="s">
        <v>6</v>
      </c>
      <c r="C18" t="s">
        <v>7</v>
      </c>
      <c r="D18" t="s">
        <v>228</v>
      </c>
      <c r="E18" t="s">
        <v>18</v>
      </c>
      <c r="F18" t="s">
        <v>9</v>
      </c>
      <c r="G18">
        <v>2002</v>
      </c>
      <c r="H18" t="s">
        <v>19</v>
      </c>
      <c r="I18">
        <v>200</v>
      </c>
      <c r="J18">
        <v>150</v>
      </c>
      <c r="K18">
        <v>7.62</v>
      </c>
      <c r="L18">
        <v>963</v>
      </c>
      <c r="M18">
        <v>12</v>
      </c>
      <c r="N18" t="s">
        <v>11</v>
      </c>
      <c r="O18" t="s">
        <v>12</v>
      </c>
      <c r="P18">
        <v>10</v>
      </c>
      <c r="Q18">
        <v>600</v>
      </c>
      <c r="R18">
        <f>105.18+3.56</f>
        <v>108.74000000000001</v>
      </c>
      <c r="T18">
        <f>105.18+3.97</f>
        <v>109.15</v>
      </c>
      <c r="U18">
        <f t="shared" si="1"/>
        <v>0.40999999999999659</v>
      </c>
      <c r="V18" s="6">
        <f t="shared" si="2"/>
        <v>34.16666666666638</v>
      </c>
      <c r="W18" s="7">
        <f t="shared" si="3"/>
        <v>3.1420513763717475E-2</v>
      </c>
    </row>
    <row r="19" spans="1:23" x14ac:dyDescent="0.35">
      <c r="A19">
        <v>2020</v>
      </c>
      <c r="B19" t="s">
        <v>6</v>
      </c>
      <c r="C19" t="s">
        <v>7</v>
      </c>
      <c r="D19" t="s">
        <v>228</v>
      </c>
      <c r="E19" t="s">
        <v>18</v>
      </c>
      <c r="F19" t="s">
        <v>9</v>
      </c>
      <c r="G19">
        <v>2002</v>
      </c>
      <c r="H19" t="s">
        <v>19</v>
      </c>
      <c r="I19">
        <v>200</v>
      </c>
      <c r="J19">
        <v>150</v>
      </c>
      <c r="K19">
        <v>7.62</v>
      </c>
      <c r="L19">
        <v>963</v>
      </c>
      <c r="M19">
        <v>12</v>
      </c>
      <c r="N19" t="s">
        <v>11</v>
      </c>
      <c r="O19" t="s">
        <v>13</v>
      </c>
      <c r="P19">
        <v>25</v>
      </c>
      <c r="Q19">
        <v>600</v>
      </c>
      <c r="R19">
        <f>105.18-3.83</f>
        <v>101.35000000000001</v>
      </c>
      <c r="T19">
        <f t="shared" ref="T19:T21" si="7">105.18+3.97</f>
        <v>109.15</v>
      </c>
      <c r="U19">
        <f t="shared" si="1"/>
        <v>7.7999999999999972</v>
      </c>
      <c r="V19" s="6">
        <f t="shared" si="2"/>
        <v>649.99999999999977</v>
      </c>
      <c r="W19" s="7">
        <f t="shared" si="3"/>
        <v>0.64134188455846053</v>
      </c>
    </row>
    <row r="20" spans="1:23" x14ac:dyDescent="0.35">
      <c r="A20">
        <v>2020</v>
      </c>
      <c r="B20" t="s">
        <v>6</v>
      </c>
      <c r="C20" t="s">
        <v>7</v>
      </c>
      <c r="D20" t="s">
        <v>228</v>
      </c>
      <c r="E20" t="s">
        <v>18</v>
      </c>
      <c r="F20" t="s">
        <v>9</v>
      </c>
      <c r="G20">
        <v>2002</v>
      </c>
      <c r="H20" t="s">
        <v>19</v>
      </c>
      <c r="I20">
        <v>200</v>
      </c>
      <c r="J20">
        <v>150</v>
      </c>
      <c r="K20">
        <v>7.62</v>
      </c>
      <c r="L20">
        <v>963</v>
      </c>
      <c r="M20">
        <v>12</v>
      </c>
      <c r="N20" t="s">
        <v>11</v>
      </c>
      <c r="O20" t="s">
        <v>14</v>
      </c>
      <c r="P20">
        <v>46</v>
      </c>
      <c r="Q20">
        <v>600</v>
      </c>
      <c r="R20">
        <f>105.18-3.54</f>
        <v>101.64</v>
      </c>
      <c r="T20">
        <f t="shared" si="7"/>
        <v>109.15</v>
      </c>
      <c r="U20">
        <f t="shared" si="1"/>
        <v>7.5100000000000051</v>
      </c>
      <c r="V20" s="6">
        <f t="shared" si="2"/>
        <v>625.83333333333383</v>
      </c>
      <c r="W20" s="7">
        <f t="shared" si="3"/>
        <v>0.6157352748261844</v>
      </c>
    </row>
    <row r="21" spans="1:23" x14ac:dyDescent="0.35">
      <c r="A21">
        <v>2020</v>
      </c>
      <c r="B21" t="s">
        <v>6</v>
      </c>
      <c r="C21" t="s">
        <v>7</v>
      </c>
      <c r="D21" t="s">
        <v>228</v>
      </c>
      <c r="E21" t="s">
        <v>18</v>
      </c>
      <c r="F21" t="s">
        <v>9</v>
      </c>
      <c r="G21">
        <v>2002</v>
      </c>
      <c r="H21" t="s">
        <v>19</v>
      </c>
      <c r="I21">
        <v>200</v>
      </c>
      <c r="J21">
        <v>150</v>
      </c>
      <c r="K21">
        <v>7.62</v>
      </c>
      <c r="L21">
        <v>963</v>
      </c>
      <c r="M21">
        <v>12</v>
      </c>
      <c r="N21" t="s">
        <v>11</v>
      </c>
      <c r="O21" t="s">
        <v>15</v>
      </c>
      <c r="P21">
        <v>25</v>
      </c>
      <c r="Q21">
        <v>600</v>
      </c>
      <c r="R21">
        <f>105.18-4.53</f>
        <v>100.65</v>
      </c>
      <c r="T21">
        <f t="shared" si="7"/>
        <v>109.15</v>
      </c>
      <c r="U21">
        <f t="shared" si="1"/>
        <v>8.5</v>
      </c>
      <c r="V21" s="6">
        <f t="shared" si="2"/>
        <v>708.33333333333337</v>
      </c>
      <c r="W21" s="7">
        <f t="shared" si="3"/>
        <v>0.70375890048021195</v>
      </c>
    </row>
    <row r="22" spans="1:23" x14ac:dyDescent="0.35">
      <c r="A22">
        <v>2020</v>
      </c>
      <c r="B22" t="s">
        <v>6</v>
      </c>
      <c r="C22" t="s">
        <v>7</v>
      </c>
      <c r="D22" t="s">
        <v>228</v>
      </c>
      <c r="E22" t="s">
        <v>18</v>
      </c>
      <c r="F22" t="s">
        <v>9</v>
      </c>
      <c r="G22">
        <v>2002</v>
      </c>
      <c r="H22" t="s">
        <v>19</v>
      </c>
      <c r="I22">
        <v>200</v>
      </c>
      <c r="J22">
        <v>150</v>
      </c>
      <c r="K22">
        <v>7.62</v>
      </c>
      <c r="L22">
        <v>963</v>
      </c>
      <c r="M22">
        <v>12</v>
      </c>
      <c r="N22" t="s">
        <v>16</v>
      </c>
      <c r="O22" t="s">
        <v>12</v>
      </c>
      <c r="P22">
        <v>10</v>
      </c>
      <c r="Q22">
        <v>600</v>
      </c>
      <c r="R22">
        <f>105.18+3.66</f>
        <v>108.84</v>
      </c>
      <c r="T22">
        <f>105.18+4.01</f>
        <v>109.19000000000001</v>
      </c>
      <c r="U22">
        <f t="shared" si="1"/>
        <v>0.35000000000000853</v>
      </c>
      <c r="V22" s="6">
        <f t="shared" si="2"/>
        <v>29.166666666667378</v>
      </c>
      <c r="W22" s="7">
        <f t="shared" si="3"/>
        <v>2.679774592674327E-2</v>
      </c>
    </row>
    <row r="23" spans="1:23" x14ac:dyDescent="0.35">
      <c r="A23">
        <v>2020</v>
      </c>
      <c r="B23" t="s">
        <v>6</v>
      </c>
      <c r="C23" t="s">
        <v>7</v>
      </c>
      <c r="D23" t="s">
        <v>228</v>
      </c>
      <c r="E23" t="s">
        <v>18</v>
      </c>
      <c r="F23" t="s">
        <v>9</v>
      </c>
      <c r="G23">
        <v>2002</v>
      </c>
      <c r="H23" t="s">
        <v>19</v>
      </c>
      <c r="I23">
        <v>200</v>
      </c>
      <c r="J23">
        <v>150</v>
      </c>
      <c r="K23">
        <v>7.62</v>
      </c>
      <c r="L23">
        <v>963</v>
      </c>
      <c r="M23">
        <v>12</v>
      </c>
      <c r="N23" t="s">
        <v>16</v>
      </c>
      <c r="O23" t="s">
        <v>13</v>
      </c>
      <c r="P23">
        <v>25</v>
      </c>
      <c r="Q23">
        <v>600</v>
      </c>
      <c r="R23">
        <f>105.18-4.14</f>
        <v>101.04</v>
      </c>
      <c r="T23">
        <f t="shared" ref="T23:T25" si="8">105.18+4.01</f>
        <v>109.19000000000001</v>
      </c>
      <c r="U23">
        <f t="shared" si="1"/>
        <v>8.1500000000000057</v>
      </c>
      <c r="V23" s="6">
        <f t="shared" si="2"/>
        <v>679.1666666666672</v>
      </c>
      <c r="W23" s="7">
        <f t="shared" si="3"/>
        <v>0.67217603589337604</v>
      </c>
    </row>
    <row r="24" spans="1:23" x14ac:dyDescent="0.35">
      <c r="A24">
        <v>2020</v>
      </c>
      <c r="B24" t="s">
        <v>6</v>
      </c>
      <c r="C24" t="s">
        <v>7</v>
      </c>
      <c r="D24" t="s">
        <v>228</v>
      </c>
      <c r="E24" t="s">
        <v>18</v>
      </c>
      <c r="F24" t="s">
        <v>9</v>
      </c>
      <c r="G24">
        <v>2002</v>
      </c>
      <c r="H24" t="s">
        <v>19</v>
      </c>
      <c r="I24">
        <v>200</v>
      </c>
      <c r="J24">
        <v>150</v>
      </c>
      <c r="K24">
        <v>7.62</v>
      </c>
      <c r="L24">
        <v>963</v>
      </c>
      <c r="M24">
        <v>12</v>
      </c>
      <c r="N24" t="s">
        <v>16</v>
      </c>
      <c r="O24" t="s">
        <v>14</v>
      </c>
      <c r="P24">
        <v>46</v>
      </c>
      <c r="Q24">
        <v>600</v>
      </c>
      <c r="R24">
        <f>105.18-3.85</f>
        <v>101.33000000000001</v>
      </c>
      <c r="T24">
        <f t="shared" si="8"/>
        <v>109.19000000000001</v>
      </c>
      <c r="U24">
        <f t="shared" si="1"/>
        <v>7.8599999999999994</v>
      </c>
      <c r="V24" s="6">
        <f t="shared" si="2"/>
        <v>654.99999999999989</v>
      </c>
      <c r="W24" s="7">
        <f t="shared" si="3"/>
        <v>0.64640284219875643</v>
      </c>
    </row>
    <row r="25" spans="1:23" x14ac:dyDescent="0.35">
      <c r="A25">
        <v>2020</v>
      </c>
      <c r="B25" t="s">
        <v>6</v>
      </c>
      <c r="C25" t="s">
        <v>7</v>
      </c>
      <c r="D25" t="s">
        <v>228</v>
      </c>
      <c r="E25" t="s">
        <v>18</v>
      </c>
      <c r="F25" t="s">
        <v>9</v>
      </c>
      <c r="G25">
        <v>2002</v>
      </c>
      <c r="H25" t="s">
        <v>19</v>
      </c>
      <c r="I25">
        <v>200</v>
      </c>
      <c r="J25">
        <v>150</v>
      </c>
      <c r="K25">
        <v>7.62</v>
      </c>
      <c r="L25">
        <v>963</v>
      </c>
      <c r="M25">
        <v>12</v>
      </c>
      <c r="N25" t="s">
        <v>16</v>
      </c>
      <c r="O25" t="s">
        <v>15</v>
      </c>
      <c r="P25">
        <v>25</v>
      </c>
      <c r="Q25">
        <v>600</v>
      </c>
      <c r="R25">
        <f>105.18-5.29</f>
        <v>99.89</v>
      </c>
      <c r="T25">
        <f t="shared" si="8"/>
        <v>109.19000000000001</v>
      </c>
      <c r="U25">
        <f t="shared" si="1"/>
        <v>9.3000000000000114</v>
      </c>
      <c r="V25" s="6">
        <f t="shared" si="2"/>
        <v>775.00000000000091</v>
      </c>
      <c r="W25" s="7">
        <f t="shared" si="3"/>
        <v>0.77585343878266189</v>
      </c>
    </row>
    <row r="26" spans="1:23" x14ac:dyDescent="0.35">
      <c r="A26">
        <v>2020</v>
      </c>
      <c r="B26" t="s">
        <v>6</v>
      </c>
      <c r="C26" t="s">
        <v>7</v>
      </c>
      <c r="D26" t="s">
        <v>228</v>
      </c>
      <c r="E26" t="s">
        <v>20</v>
      </c>
      <c r="F26" t="s">
        <v>9</v>
      </c>
      <c r="G26">
        <v>2002</v>
      </c>
      <c r="H26" t="s">
        <v>21</v>
      </c>
      <c r="I26">
        <v>250</v>
      </c>
      <c r="J26">
        <v>200</v>
      </c>
      <c r="K26">
        <v>8.86</v>
      </c>
      <c r="L26">
        <v>1020</v>
      </c>
      <c r="M26">
        <v>12</v>
      </c>
      <c r="N26" t="s">
        <v>11</v>
      </c>
      <c r="O26" t="s">
        <v>12</v>
      </c>
      <c r="P26">
        <v>10</v>
      </c>
      <c r="Q26">
        <v>600</v>
      </c>
      <c r="R26">
        <f>126.33+3.74</f>
        <v>130.07</v>
      </c>
      <c r="T26">
        <f>126.33+4.46</f>
        <v>130.79</v>
      </c>
      <c r="U26">
        <f t="shared" si="1"/>
        <v>0.71999999999999886</v>
      </c>
      <c r="V26" s="6">
        <f t="shared" si="2"/>
        <v>59.999999999999908</v>
      </c>
      <c r="W26" s="7">
        <f t="shared" si="3"/>
        <v>4.6129007457522797E-2</v>
      </c>
    </row>
    <row r="27" spans="1:23" x14ac:dyDescent="0.35">
      <c r="A27">
        <v>2020</v>
      </c>
      <c r="B27" t="s">
        <v>6</v>
      </c>
      <c r="C27" t="s">
        <v>7</v>
      </c>
      <c r="D27" t="s">
        <v>228</v>
      </c>
      <c r="E27" t="s">
        <v>20</v>
      </c>
      <c r="F27" t="s">
        <v>9</v>
      </c>
      <c r="G27">
        <v>2002</v>
      </c>
      <c r="H27" t="s">
        <v>21</v>
      </c>
      <c r="I27">
        <v>250</v>
      </c>
      <c r="J27">
        <v>200</v>
      </c>
      <c r="K27">
        <v>8.86</v>
      </c>
      <c r="L27">
        <v>1020</v>
      </c>
      <c r="M27">
        <v>12</v>
      </c>
      <c r="N27" t="s">
        <v>11</v>
      </c>
      <c r="O27" t="s">
        <v>13</v>
      </c>
      <c r="P27">
        <v>25</v>
      </c>
      <c r="Q27">
        <v>600</v>
      </c>
      <c r="R27">
        <f>126.33-4.13</f>
        <v>122.2</v>
      </c>
      <c r="T27">
        <f t="shared" ref="T27:T29" si="9">126.33+4.46</f>
        <v>130.79</v>
      </c>
      <c r="U27">
        <f t="shared" si="1"/>
        <v>8.5899999999999892</v>
      </c>
      <c r="V27" s="6">
        <f t="shared" si="2"/>
        <v>715.83333333333246</v>
      </c>
      <c r="W27" s="7">
        <f t="shared" si="3"/>
        <v>0.58578832515002655</v>
      </c>
    </row>
    <row r="28" spans="1:23" x14ac:dyDescent="0.35">
      <c r="A28">
        <v>2020</v>
      </c>
      <c r="B28" t="s">
        <v>6</v>
      </c>
      <c r="C28" t="s">
        <v>7</v>
      </c>
      <c r="D28" t="s">
        <v>228</v>
      </c>
      <c r="E28" t="s">
        <v>20</v>
      </c>
      <c r="F28" t="s">
        <v>9</v>
      </c>
      <c r="G28">
        <v>2002</v>
      </c>
      <c r="H28" t="s">
        <v>21</v>
      </c>
      <c r="I28">
        <v>250</v>
      </c>
      <c r="J28">
        <v>200</v>
      </c>
      <c r="K28">
        <v>8.86</v>
      </c>
      <c r="L28">
        <v>1020</v>
      </c>
      <c r="M28">
        <v>12</v>
      </c>
      <c r="N28" t="s">
        <v>11</v>
      </c>
      <c r="O28" t="s">
        <v>14</v>
      </c>
      <c r="P28">
        <v>46</v>
      </c>
      <c r="Q28">
        <v>600</v>
      </c>
      <c r="R28">
        <f>126.33-3.51</f>
        <v>122.82</v>
      </c>
      <c r="T28">
        <f t="shared" si="9"/>
        <v>130.79</v>
      </c>
      <c r="U28">
        <f t="shared" si="1"/>
        <v>7.9699999999999989</v>
      </c>
      <c r="V28" s="6">
        <f t="shared" si="2"/>
        <v>664.16666666666652</v>
      </c>
      <c r="W28" s="7">
        <f t="shared" si="3"/>
        <v>0.54076426206372463</v>
      </c>
    </row>
    <row r="29" spans="1:23" x14ac:dyDescent="0.35">
      <c r="A29">
        <v>2020</v>
      </c>
      <c r="B29" t="s">
        <v>6</v>
      </c>
      <c r="C29" t="s">
        <v>7</v>
      </c>
      <c r="D29" t="s">
        <v>228</v>
      </c>
      <c r="E29" t="s">
        <v>20</v>
      </c>
      <c r="F29" t="s">
        <v>9</v>
      </c>
      <c r="G29">
        <v>2002</v>
      </c>
      <c r="H29" t="s">
        <v>21</v>
      </c>
      <c r="I29">
        <v>250</v>
      </c>
      <c r="J29">
        <v>200</v>
      </c>
      <c r="K29">
        <v>8.86</v>
      </c>
      <c r="L29">
        <v>1020</v>
      </c>
      <c r="M29">
        <v>12</v>
      </c>
      <c r="N29" t="s">
        <v>11</v>
      </c>
      <c r="O29" t="s">
        <v>15</v>
      </c>
      <c r="P29">
        <v>25</v>
      </c>
      <c r="Q29">
        <v>600</v>
      </c>
      <c r="R29">
        <f>126.33-4.72</f>
        <v>121.61</v>
      </c>
      <c r="T29">
        <f t="shared" si="9"/>
        <v>130.79</v>
      </c>
      <c r="U29">
        <f t="shared" si="1"/>
        <v>9.1799999999999926</v>
      </c>
      <c r="V29" s="6">
        <f t="shared" si="2"/>
        <v>764.99999999999932</v>
      </c>
      <c r="W29" s="7">
        <f t="shared" si="3"/>
        <v>0.62906011018830643</v>
      </c>
    </row>
    <row r="30" spans="1:23" x14ac:dyDescent="0.35">
      <c r="A30">
        <v>2020</v>
      </c>
      <c r="B30" t="s">
        <v>6</v>
      </c>
      <c r="C30" t="s">
        <v>7</v>
      </c>
      <c r="D30" t="s">
        <v>228</v>
      </c>
      <c r="E30" t="s">
        <v>20</v>
      </c>
      <c r="F30" t="s">
        <v>9</v>
      </c>
      <c r="G30">
        <v>2002</v>
      </c>
      <c r="H30" t="s">
        <v>21</v>
      </c>
      <c r="I30">
        <v>250</v>
      </c>
      <c r="J30">
        <v>200</v>
      </c>
      <c r="K30">
        <v>8.86</v>
      </c>
      <c r="L30">
        <v>1020</v>
      </c>
      <c r="M30">
        <v>12</v>
      </c>
      <c r="N30" t="s">
        <v>16</v>
      </c>
      <c r="O30" t="s">
        <v>12</v>
      </c>
      <c r="P30">
        <v>10</v>
      </c>
      <c r="Q30">
        <v>600</v>
      </c>
      <c r="R30">
        <f>126.33+2.97</f>
        <v>129.30000000000001</v>
      </c>
      <c r="T30">
        <f>126.33+3.35</f>
        <v>129.68</v>
      </c>
      <c r="U30">
        <f t="shared" si="1"/>
        <v>0.37999999999999545</v>
      </c>
      <c r="V30" s="6">
        <f t="shared" si="2"/>
        <v>31.666666666666288</v>
      </c>
      <c r="W30" s="7">
        <f t="shared" si="3"/>
        <v>2.4490848156741133E-2</v>
      </c>
    </row>
    <row r="31" spans="1:23" x14ac:dyDescent="0.35">
      <c r="A31">
        <v>2020</v>
      </c>
      <c r="B31" t="s">
        <v>6</v>
      </c>
      <c r="C31" t="s">
        <v>7</v>
      </c>
      <c r="D31" t="s">
        <v>228</v>
      </c>
      <c r="E31" t="s">
        <v>20</v>
      </c>
      <c r="F31" t="s">
        <v>9</v>
      </c>
      <c r="G31">
        <v>2002</v>
      </c>
      <c r="H31" t="s">
        <v>21</v>
      </c>
      <c r="I31">
        <v>250</v>
      </c>
      <c r="J31">
        <v>200</v>
      </c>
      <c r="K31">
        <v>8.86</v>
      </c>
      <c r="L31">
        <v>1020</v>
      </c>
      <c r="M31">
        <v>12</v>
      </c>
      <c r="N31" t="s">
        <v>16</v>
      </c>
      <c r="O31" t="s">
        <v>13</v>
      </c>
      <c r="P31">
        <v>25</v>
      </c>
      <c r="Q31">
        <v>600</v>
      </c>
      <c r="R31">
        <f>126.33-3.53</f>
        <v>122.8</v>
      </c>
      <c r="T31">
        <f t="shared" ref="T31:T33" si="10">126.33+3.35</f>
        <v>129.68</v>
      </c>
      <c r="U31">
        <f t="shared" si="1"/>
        <v>6.8800000000000097</v>
      </c>
      <c r="V31" s="6">
        <f t="shared" si="2"/>
        <v>573.33333333333417</v>
      </c>
      <c r="W31" s="7">
        <f t="shared" si="3"/>
        <v>0.46688382193268257</v>
      </c>
    </row>
    <row r="32" spans="1:23" x14ac:dyDescent="0.35">
      <c r="A32">
        <v>2020</v>
      </c>
      <c r="B32" t="s">
        <v>6</v>
      </c>
      <c r="C32" t="s">
        <v>7</v>
      </c>
      <c r="D32" t="s">
        <v>228</v>
      </c>
      <c r="E32" t="s">
        <v>20</v>
      </c>
      <c r="F32" t="s">
        <v>9</v>
      </c>
      <c r="G32">
        <v>2002</v>
      </c>
      <c r="H32" t="s">
        <v>21</v>
      </c>
      <c r="I32">
        <v>250</v>
      </c>
      <c r="J32">
        <v>200</v>
      </c>
      <c r="K32">
        <v>8.86</v>
      </c>
      <c r="L32">
        <v>1020</v>
      </c>
      <c r="M32">
        <v>12</v>
      </c>
      <c r="N32" t="s">
        <v>16</v>
      </c>
      <c r="O32" t="s">
        <v>14</v>
      </c>
      <c r="P32">
        <v>46</v>
      </c>
      <c r="Q32">
        <v>600</v>
      </c>
      <c r="R32">
        <f>126.33-3.42</f>
        <v>122.91</v>
      </c>
      <c r="T32">
        <f t="shared" si="10"/>
        <v>129.68</v>
      </c>
      <c r="U32">
        <f t="shared" si="1"/>
        <v>6.7700000000000102</v>
      </c>
      <c r="V32" s="6">
        <f t="shared" si="2"/>
        <v>564.16666666666754</v>
      </c>
      <c r="W32" s="7">
        <f t="shared" si="3"/>
        <v>0.45900794619369256</v>
      </c>
    </row>
    <row r="33" spans="1:23" x14ac:dyDescent="0.35">
      <c r="A33">
        <v>2020</v>
      </c>
      <c r="B33" t="s">
        <v>6</v>
      </c>
      <c r="C33" t="s">
        <v>7</v>
      </c>
      <c r="D33" t="s">
        <v>228</v>
      </c>
      <c r="E33" t="s">
        <v>20</v>
      </c>
      <c r="F33" t="s">
        <v>9</v>
      </c>
      <c r="G33">
        <v>2002</v>
      </c>
      <c r="H33" t="s">
        <v>21</v>
      </c>
      <c r="I33">
        <v>250</v>
      </c>
      <c r="J33">
        <v>200</v>
      </c>
      <c r="K33">
        <v>8.86</v>
      </c>
      <c r="L33">
        <v>1020</v>
      </c>
      <c r="M33">
        <v>12</v>
      </c>
      <c r="N33" t="s">
        <v>16</v>
      </c>
      <c r="O33" t="s">
        <v>15</v>
      </c>
      <c r="P33">
        <v>25</v>
      </c>
      <c r="Q33">
        <v>600</v>
      </c>
      <c r="R33">
        <f>126.33-3.47</f>
        <v>122.86</v>
      </c>
      <c r="T33">
        <f t="shared" si="10"/>
        <v>129.68</v>
      </c>
      <c r="U33">
        <f t="shared" si="1"/>
        <v>6.8200000000000074</v>
      </c>
      <c r="V33" s="6">
        <f t="shared" si="2"/>
        <v>568.33333333333394</v>
      </c>
      <c r="W33" s="7">
        <f t="shared" si="3"/>
        <v>0.46258614140756465</v>
      </c>
    </row>
    <row r="34" spans="1:23" x14ac:dyDescent="0.35">
      <c r="A34">
        <v>2020</v>
      </c>
      <c r="B34" t="s">
        <v>6</v>
      </c>
      <c r="C34" t="s">
        <v>7</v>
      </c>
      <c r="D34" t="s">
        <v>228</v>
      </c>
      <c r="E34" t="s">
        <v>22</v>
      </c>
      <c r="F34" t="s">
        <v>9</v>
      </c>
      <c r="G34">
        <v>2002</v>
      </c>
      <c r="H34" t="s">
        <v>10</v>
      </c>
      <c r="I34">
        <v>350</v>
      </c>
      <c r="J34">
        <v>30</v>
      </c>
      <c r="K34">
        <v>7.55</v>
      </c>
      <c r="L34">
        <v>936</v>
      </c>
      <c r="M34">
        <v>12</v>
      </c>
      <c r="N34" t="s">
        <v>11</v>
      </c>
      <c r="O34" t="s">
        <v>12</v>
      </c>
      <c r="P34">
        <v>10</v>
      </c>
      <c r="Q34">
        <v>600</v>
      </c>
      <c r="R34">
        <f>136.06+3.78</f>
        <v>139.84</v>
      </c>
      <c r="T34">
        <f>136.06+4.42</f>
        <v>140.47999999999999</v>
      </c>
      <c r="U34">
        <f t="shared" si="1"/>
        <v>0.63999999999998636</v>
      </c>
      <c r="V34" s="6">
        <f t="shared" si="2"/>
        <v>53.333333333332199</v>
      </c>
      <c r="W34" s="7">
        <f t="shared" si="3"/>
        <v>3.8138825324179199E-2</v>
      </c>
    </row>
    <row r="35" spans="1:23" x14ac:dyDescent="0.35">
      <c r="A35">
        <v>2020</v>
      </c>
      <c r="B35" t="s">
        <v>6</v>
      </c>
      <c r="C35" t="s">
        <v>7</v>
      </c>
      <c r="D35" t="s">
        <v>228</v>
      </c>
      <c r="E35" t="s">
        <v>22</v>
      </c>
      <c r="F35" t="s">
        <v>9</v>
      </c>
      <c r="G35">
        <v>2002</v>
      </c>
      <c r="H35" t="s">
        <v>10</v>
      </c>
      <c r="I35">
        <v>350</v>
      </c>
      <c r="J35">
        <v>30</v>
      </c>
      <c r="K35">
        <v>7.55</v>
      </c>
      <c r="L35">
        <v>936</v>
      </c>
      <c r="M35">
        <v>12</v>
      </c>
      <c r="N35" t="s">
        <v>11</v>
      </c>
      <c r="O35" t="s">
        <v>13</v>
      </c>
      <c r="P35">
        <v>25</v>
      </c>
      <c r="Q35">
        <v>600</v>
      </c>
      <c r="R35">
        <f>136.06-4.2</f>
        <v>131.86000000000001</v>
      </c>
      <c r="T35">
        <f t="shared" ref="T35:T36" si="11">136.06+4.42</f>
        <v>140.47999999999999</v>
      </c>
      <c r="U35">
        <f t="shared" si="1"/>
        <v>8.6199999999999761</v>
      </c>
      <c r="V35" s="6">
        <f t="shared" si="2"/>
        <v>718.33333333333132</v>
      </c>
      <c r="W35" s="7">
        <f t="shared" si="3"/>
        <v>0.54476970524293289</v>
      </c>
    </row>
    <row r="36" spans="1:23" x14ac:dyDescent="0.35">
      <c r="A36">
        <v>2020</v>
      </c>
      <c r="B36" t="s">
        <v>6</v>
      </c>
      <c r="C36" t="s">
        <v>7</v>
      </c>
      <c r="D36" t="s">
        <v>228</v>
      </c>
      <c r="E36" t="s">
        <v>22</v>
      </c>
      <c r="F36" t="s">
        <v>9</v>
      </c>
      <c r="G36">
        <v>2002</v>
      </c>
      <c r="H36" t="s">
        <v>10</v>
      </c>
      <c r="I36">
        <v>350</v>
      </c>
      <c r="J36">
        <v>30</v>
      </c>
      <c r="K36">
        <v>7.55</v>
      </c>
      <c r="L36">
        <v>936</v>
      </c>
      <c r="M36">
        <v>12</v>
      </c>
      <c r="N36" t="s">
        <v>11</v>
      </c>
      <c r="O36" t="s">
        <v>14</v>
      </c>
      <c r="P36">
        <v>46</v>
      </c>
      <c r="Q36">
        <v>600</v>
      </c>
      <c r="R36">
        <f>136.06-3.86</f>
        <v>132.19999999999999</v>
      </c>
      <c r="T36">
        <f t="shared" si="11"/>
        <v>140.47999999999999</v>
      </c>
      <c r="U36">
        <f t="shared" si="1"/>
        <v>8.2800000000000011</v>
      </c>
      <c r="V36" s="6">
        <f t="shared" si="2"/>
        <v>690.00000000000011</v>
      </c>
      <c r="W36" s="7">
        <f t="shared" si="3"/>
        <v>0.52193645990922855</v>
      </c>
    </row>
    <row r="37" spans="1:23" x14ac:dyDescent="0.35">
      <c r="A37">
        <v>2020</v>
      </c>
      <c r="B37" t="s">
        <v>6</v>
      </c>
      <c r="C37" t="s">
        <v>7</v>
      </c>
      <c r="D37" t="s">
        <v>228</v>
      </c>
      <c r="E37" t="s">
        <v>22</v>
      </c>
      <c r="F37" t="s">
        <v>9</v>
      </c>
      <c r="G37">
        <v>2002</v>
      </c>
      <c r="H37" t="s">
        <v>10</v>
      </c>
      <c r="I37">
        <v>350</v>
      </c>
      <c r="J37">
        <v>30</v>
      </c>
      <c r="K37">
        <v>7.55</v>
      </c>
      <c r="L37">
        <v>936</v>
      </c>
      <c r="M37">
        <v>12</v>
      </c>
      <c r="N37" t="s">
        <v>11</v>
      </c>
      <c r="O37" t="s">
        <v>15</v>
      </c>
      <c r="P37">
        <v>25</v>
      </c>
      <c r="Q37">
        <v>600</v>
      </c>
      <c r="R37">
        <f>136.06-5.19</f>
        <v>130.87</v>
      </c>
      <c r="T37">
        <f>136.06+4.42</f>
        <v>140.47999999999999</v>
      </c>
      <c r="U37">
        <f t="shared" si="1"/>
        <v>9.6099999999999852</v>
      </c>
      <c r="V37" s="6">
        <f t="shared" si="2"/>
        <v>800.83333333333212</v>
      </c>
      <c r="W37" s="7">
        <f t="shared" si="3"/>
        <v>0.6119304144061527</v>
      </c>
    </row>
    <row r="38" spans="1:23" x14ac:dyDescent="0.35">
      <c r="A38">
        <v>2020</v>
      </c>
      <c r="B38" t="s">
        <v>6</v>
      </c>
      <c r="C38" t="s">
        <v>7</v>
      </c>
      <c r="D38" t="s">
        <v>228</v>
      </c>
      <c r="E38" t="s">
        <v>22</v>
      </c>
      <c r="F38" t="s">
        <v>9</v>
      </c>
      <c r="G38">
        <v>2002</v>
      </c>
      <c r="H38" t="s">
        <v>10</v>
      </c>
      <c r="I38">
        <v>350</v>
      </c>
      <c r="J38">
        <v>30</v>
      </c>
      <c r="K38">
        <v>7.55</v>
      </c>
      <c r="L38">
        <v>936</v>
      </c>
      <c r="M38">
        <v>12</v>
      </c>
      <c r="N38" t="s">
        <v>16</v>
      </c>
      <c r="O38" t="s">
        <v>12</v>
      </c>
      <c r="P38">
        <v>10</v>
      </c>
      <c r="Q38">
        <v>600</v>
      </c>
      <c r="R38">
        <f>136.06+3.98</f>
        <v>140.04</v>
      </c>
      <c r="T38">
        <f>136.06+5.12</f>
        <v>141.18</v>
      </c>
      <c r="U38">
        <f t="shared" si="1"/>
        <v>1.1400000000000148</v>
      </c>
      <c r="V38" s="6">
        <f t="shared" si="2"/>
        <v>95.000000000001236</v>
      </c>
      <c r="W38" s="7">
        <f t="shared" si="3"/>
        <v>6.7837760639818084E-2</v>
      </c>
    </row>
    <row r="39" spans="1:23" x14ac:dyDescent="0.35">
      <c r="A39">
        <v>2020</v>
      </c>
      <c r="B39" t="s">
        <v>6</v>
      </c>
      <c r="C39" t="s">
        <v>7</v>
      </c>
      <c r="D39" t="s">
        <v>228</v>
      </c>
      <c r="E39" t="s">
        <v>22</v>
      </c>
      <c r="F39" t="s">
        <v>9</v>
      </c>
      <c r="G39">
        <v>2002</v>
      </c>
      <c r="H39" t="s">
        <v>10</v>
      </c>
      <c r="I39">
        <v>350</v>
      </c>
      <c r="J39">
        <v>30</v>
      </c>
      <c r="K39">
        <v>7.55</v>
      </c>
      <c r="L39">
        <v>936</v>
      </c>
      <c r="M39">
        <v>12</v>
      </c>
      <c r="N39" t="s">
        <v>16</v>
      </c>
      <c r="O39" t="s">
        <v>13</v>
      </c>
      <c r="P39">
        <v>25</v>
      </c>
      <c r="Q39">
        <v>600</v>
      </c>
      <c r="R39">
        <f>136.06-4.2</f>
        <v>131.86000000000001</v>
      </c>
      <c r="T39">
        <f t="shared" ref="T39:T41" si="12">136.06+5.12</f>
        <v>141.18</v>
      </c>
      <c r="U39">
        <f t="shared" si="1"/>
        <v>9.3199999999999932</v>
      </c>
      <c r="V39" s="6">
        <f t="shared" si="2"/>
        <v>776.66666666666606</v>
      </c>
      <c r="W39" s="7">
        <f t="shared" si="3"/>
        <v>0.58900854441579398</v>
      </c>
    </row>
    <row r="40" spans="1:23" x14ac:dyDescent="0.35">
      <c r="A40">
        <v>2020</v>
      </c>
      <c r="B40" t="s">
        <v>6</v>
      </c>
      <c r="C40" t="s">
        <v>7</v>
      </c>
      <c r="D40" t="s">
        <v>228</v>
      </c>
      <c r="E40" t="s">
        <v>22</v>
      </c>
      <c r="F40" t="s">
        <v>9</v>
      </c>
      <c r="G40">
        <v>2002</v>
      </c>
      <c r="H40" t="s">
        <v>10</v>
      </c>
      <c r="I40">
        <v>350</v>
      </c>
      <c r="J40">
        <v>30</v>
      </c>
      <c r="K40">
        <v>7.55</v>
      </c>
      <c r="L40">
        <v>936</v>
      </c>
      <c r="M40">
        <v>12</v>
      </c>
      <c r="N40" t="s">
        <v>16</v>
      </c>
      <c r="O40" t="s">
        <v>14</v>
      </c>
      <c r="P40">
        <v>46</v>
      </c>
      <c r="Q40">
        <v>600</v>
      </c>
      <c r="R40">
        <f>136.06-3.88</f>
        <v>132.18</v>
      </c>
      <c r="T40">
        <f t="shared" si="12"/>
        <v>141.18</v>
      </c>
      <c r="U40">
        <f t="shared" si="1"/>
        <v>9</v>
      </c>
      <c r="V40" s="6">
        <f t="shared" si="2"/>
        <v>750</v>
      </c>
      <c r="W40" s="7">
        <f t="shared" si="3"/>
        <v>0.56740807989105757</v>
      </c>
    </row>
    <row r="41" spans="1:23" x14ac:dyDescent="0.35">
      <c r="A41">
        <v>2020</v>
      </c>
      <c r="B41" t="s">
        <v>6</v>
      </c>
      <c r="C41" t="s">
        <v>7</v>
      </c>
      <c r="D41" t="s">
        <v>228</v>
      </c>
      <c r="E41" t="s">
        <v>22</v>
      </c>
      <c r="F41" t="s">
        <v>9</v>
      </c>
      <c r="G41">
        <v>2002</v>
      </c>
      <c r="H41" t="s">
        <v>10</v>
      </c>
      <c r="I41">
        <v>350</v>
      </c>
      <c r="J41">
        <v>30</v>
      </c>
      <c r="K41">
        <v>7.55</v>
      </c>
      <c r="L41">
        <v>936</v>
      </c>
      <c r="M41">
        <v>12</v>
      </c>
      <c r="N41" t="s">
        <v>16</v>
      </c>
      <c r="O41" t="s">
        <v>15</v>
      </c>
      <c r="P41">
        <v>25</v>
      </c>
      <c r="Q41">
        <v>600</v>
      </c>
      <c r="R41">
        <f>136.06-4.8</f>
        <v>131.26</v>
      </c>
      <c r="T41">
        <f t="shared" si="12"/>
        <v>141.18</v>
      </c>
      <c r="U41">
        <f t="shared" si="1"/>
        <v>9.9200000000000159</v>
      </c>
      <c r="V41" s="6">
        <f t="shared" si="2"/>
        <v>826.66666666666799</v>
      </c>
      <c r="W41" s="7">
        <f t="shared" si="3"/>
        <v>0.62979328559094017</v>
      </c>
    </row>
    <row r="42" spans="1:23" x14ac:dyDescent="0.35">
      <c r="A42">
        <v>2020</v>
      </c>
      <c r="B42" t="s">
        <v>6</v>
      </c>
      <c r="C42" t="s">
        <v>7</v>
      </c>
      <c r="D42" t="s">
        <v>228</v>
      </c>
      <c r="E42" t="s">
        <v>23</v>
      </c>
      <c r="F42" t="s">
        <v>9</v>
      </c>
      <c r="G42">
        <v>2002</v>
      </c>
      <c r="H42" t="s">
        <v>24</v>
      </c>
      <c r="I42">
        <v>480</v>
      </c>
      <c r="J42">
        <v>50</v>
      </c>
      <c r="K42">
        <v>9.91</v>
      </c>
      <c r="L42">
        <v>1047</v>
      </c>
      <c r="M42">
        <v>12</v>
      </c>
      <c r="N42" t="s">
        <v>11</v>
      </c>
      <c r="O42" t="s">
        <v>12</v>
      </c>
      <c r="P42">
        <v>10</v>
      </c>
      <c r="Q42">
        <v>600</v>
      </c>
      <c r="R42">
        <f>106.34+4.17</f>
        <v>110.51</v>
      </c>
      <c r="T42">
        <f>106.34+5.02</f>
        <v>111.36</v>
      </c>
      <c r="U42">
        <f t="shared" si="1"/>
        <v>0.84999999999999432</v>
      </c>
      <c r="V42" s="6">
        <f t="shared" si="2"/>
        <v>70.83333333333286</v>
      </c>
      <c r="W42" s="7">
        <f t="shared" si="3"/>
        <v>6.4096763490483086E-2</v>
      </c>
    </row>
    <row r="43" spans="1:23" x14ac:dyDescent="0.35">
      <c r="A43">
        <v>2020</v>
      </c>
      <c r="B43" t="s">
        <v>6</v>
      </c>
      <c r="C43" t="s">
        <v>7</v>
      </c>
      <c r="D43" t="s">
        <v>228</v>
      </c>
      <c r="E43" t="s">
        <v>23</v>
      </c>
      <c r="F43" t="s">
        <v>9</v>
      </c>
      <c r="G43">
        <v>2002</v>
      </c>
      <c r="H43" t="s">
        <v>24</v>
      </c>
      <c r="I43">
        <v>480</v>
      </c>
      <c r="J43">
        <v>50</v>
      </c>
      <c r="K43">
        <v>9.91</v>
      </c>
      <c r="L43">
        <v>1047</v>
      </c>
      <c r="M43">
        <v>12</v>
      </c>
      <c r="N43" t="s">
        <v>11</v>
      </c>
      <c r="O43" t="s">
        <v>13</v>
      </c>
      <c r="P43">
        <v>25</v>
      </c>
      <c r="Q43">
        <v>600</v>
      </c>
      <c r="R43">
        <f>106.34-4.14</f>
        <v>102.2</v>
      </c>
      <c r="T43">
        <f t="shared" ref="T43:T45" si="13">106.34+5.02</f>
        <v>111.36</v>
      </c>
      <c r="U43">
        <f t="shared" si="1"/>
        <v>9.1599999999999966</v>
      </c>
      <c r="V43" s="6">
        <f t="shared" si="2"/>
        <v>763.33333333333303</v>
      </c>
      <c r="W43" s="7">
        <f t="shared" si="3"/>
        <v>0.74690150032615754</v>
      </c>
    </row>
    <row r="44" spans="1:23" x14ac:dyDescent="0.35">
      <c r="A44">
        <v>2020</v>
      </c>
      <c r="B44" t="s">
        <v>6</v>
      </c>
      <c r="C44" t="s">
        <v>7</v>
      </c>
      <c r="D44" t="s">
        <v>228</v>
      </c>
      <c r="E44" t="s">
        <v>23</v>
      </c>
      <c r="F44" t="s">
        <v>9</v>
      </c>
      <c r="G44">
        <v>2002</v>
      </c>
      <c r="H44" t="s">
        <v>24</v>
      </c>
      <c r="I44">
        <v>480</v>
      </c>
      <c r="J44">
        <v>50</v>
      </c>
      <c r="K44">
        <v>9.91</v>
      </c>
      <c r="L44">
        <v>1047</v>
      </c>
      <c r="M44">
        <v>12</v>
      </c>
      <c r="N44" t="s">
        <v>11</v>
      </c>
      <c r="O44" t="s">
        <v>14</v>
      </c>
      <c r="P44">
        <v>46</v>
      </c>
      <c r="Q44">
        <v>600</v>
      </c>
      <c r="R44">
        <f>106.34-3.74</f>
        <v>102.60000000000001</v>
      </c>
      <c r="T44">
        <f t="shared" si="13"/>
        <v>111.36</v>
      </c>
      <c r="U44">
        <f t="shared" si="1"/>
        <v>8.7599999999999909</v>
      </c>
      <c r="V44" s="6">
        <f t="shared" si="2"/>
        <v>729.9999999999992</v>
      </c>
      <c r="W44" s="7">
        <f t="shared" si="3"/>
        <v>0.71150097465886863</v>
      </c>
    </row>
    <row r="45" spans="1:23" x14ac:dyDescent="0.35">
      <c r="A45">
        <v>2020</v>
      </c>
      <c r="B45" t="s">
        <v>6</v>
      </c>
      <c r="C45" t="s">
        <v>7</v>
      </c>
      <c r="D45" t="s">
        <v>228</v>
      </c>
      <c r="E45" t="s">
        <v>23</v>
      </c>
      <c r="F45" t="s">
        <v>9</v>
      </c>
      <c r="G45">
        <v>2002</v>
      </c>
      <c r="H45" t="s">
        <v>24</v>
      </c>
      <c r="I45">
        <v>480</v>
      </c>
      <c r="J45">
        <v>50</v>
      </c>
      <c r="K45">
        <v>9.91</v>
      </c>
      <c r="L45">
        <v>1047</v>
      </c>
      <c r="M45">
        <v>12</v>
      </c>
      <c r="N45" t="s">
        <v>11</v>
      </c>
      <c r="O45" t="s">
        <v>15</v>
      </c>
      <c r="P45">
        <v>25</v>
      </c>
      <c r="Q45">
        <v>600</v>
      </c>
      <c r="R45">
        <f>106.34-4.56</f>
        <v>101.78</v>
      </c>
      <c r="T45">
        <f t="shared" si="13"/>
        <v>111.36</v>
      </c>
      <c r="U45">
        <f t="shared" si="1"/>
        <v>9.5799999999999983</v>
      </c>
      <c r="V45" s="6">
        <f t="shared" si="2"/>
        <v>798.33333333333326</v>
      </c>
      <c r="W45" s="7">
        <f t="shared" si="3"/>
        <v>0.78437152027248291</v>
      </c>
    </row>
    <row r="46" spans="1:23" x14ac:dyDescent="0.35">
      <c r="A46">
        <v>2020</v>
      </c>
      <c r="B46" t="s">
        <v>6</v>
      </c>
      <c r="C46" t="s">
        <v>7</v>
      </c>
      <c r="D46" t="s">
        <v>228</v>
      </c>
      <c r="E46" t="s">
        <v>23</v>
      </c>
      <c r="F46" t="s">
        <v>9</v>
      </c>
      <c r="G46">
        <v>2002</v>
      </c>
      <c r="H46" t="s">
        <v>24</v>
      </c>
      <c r="I46">
        <v>480</v>
      </c>
      <c r="J46">
        <v>50</v>
      </c>
      <c r="K46">
        <v>9.91</v>
      </c>
      <c r="L46">
        <v>1047</v>
      </c>
      <c r="M46">
        <v>12</v>
      </c>
      <c r="N46" t="s">
        <v>16</v>
      </c>
      <c r="O46" t="s">
        <v>12</v>
      </c>
      <c r="P46">
        <v>10</v>
      </c>
      <c r="Q46">
        <v>600</v>
      </c>
      <c r="R46">
        <f>106.34+4.21</f>
        <v>110.55</v>
      </c>
      <c r="T46">
        <f>106.34+4.39</f>
        <v>110.73</v>
      </c>
      <c r="U46">
        <f t="shared" si="1"/>
        <v>0.18000000000000682</v>
      </c>
      <c r="V46" s="6">
        <f t="shared" si="2"/>
        <v>15.000000000000568</v>
      </c>
      <c r="W46" s="7">
        <f t="shared" si="3"/>
        <v>1.3568521031208113E-2</v>
      </c>
    </row>
    <row r="47" spans="1:23" x14ac:dyDescent="0.35">
      <c r="A47">
        <v>2020</v>
      </c>
      <c r="B47" t="s">
        <v>6</v>
      </c>
      <c r="C47" t="s">
        <v>7</v>
      </c>
      <c r="D47" t="s">
        <v>228</v>
      </c>
      <c r="E47" t="s">
        <v>23</v>
      </c>
      <c r="F47" t="s">
        <v>9</v>
      </c>
      <c r="G47">
        <v>2002</v>
      </c>
      <c r="H47" t="s">
        <v>24</v>
      </c>
      <c r="I47">
        <v>480</v>
      </c>
      <c r="J47">
        <v>50</v>
      </c>
      <c r="K47">
        <v>9.91</v>
      </c>
      <c r="L47">
        <v>1047</v>
      </c>
      <c r="M47">
        <v>12</v>
      </c>
      <c r="N47" t="s">
        <v>16</v>
      </c>
      <c r="O47" t="s">
        <v>13</v>
      </c>
      <c r="P47">
        <v>25</v>
      </c>
      <c r="Q47">
        <v>600</v>
      </c>
      <c r="R47">
        <f>106.34-4.47</f>
        <v>101.87</v>
      </c>
      <c r="T47">
        <f t="shared" ref="T47:T49" si="14">106.34+4.39</f>
        <v>110.73</v>
      </c>
      <c r="U47">
        <f t="shared" si="1"/>
        <v>8.86</v>
      </c>
      <c r="V47" s="6">
        <f t="shared" si="2"/>
        <v>738.33333333333326</v>
      </c>
      <c r="W47" s="7">
        <f t="shared" si="3"/>
        <v>0.72477994830012105</v>
      </c>
    </row>
    <row r="48" spans="1:23" x14ac:dyDescent="0.35">
      <c r="A48">
        <v>2020</v>
      </c>
      <c r="B48" t="s">
        <v>6</v>
      </c>
      <c r="C48" t="s">
        <v>7</v>
      </c>
      <c r="D48" t="s">
        <v>228</v>
      </c>
      <c r="E48" t="s">
        <v>23</v>
      </c>
      <c r="F48" t="s">
        <v>9</v>
      </c>
      <c r="G48">
        <v>2002</v>
      </c>
      <c r="H48" t="s">
        <v>24</v>
      </c>
      <c r="I48">
        <v>480</v>
      </c>
      <c r="J48">
        <v>50</v>
      </c>
      <c r="K48">
        <v>9.91</v>
      </c>
      <c r="L48">
        <v>1047</v>
      </c>
      <c r="M48">
        <v>12</v>
      </c>
      <c r="N48" t="s">
        <v>16</v>
      </c>
      <c r="O48" t="s">
        <v>14</v>
      </c>
      <c r="P48">
        <v>46</v>
      </c>
      <c r="Q48">
        <v>600</v>
      </c>
      <c r="R48">
        <f>106.34-4.15</f>
        <v>102.19</v>
      </c>
      <c r="T48">
        <f t="shared" si="14"/>
        <v>110.73</v>
      </c>
      <c r="U48">
        <f t="shared" si="1"/>
        <v>8.5400000000000063</v>
      </c>
      <c r="V48" s="6">
        <f t="shared" si="2"/>
        <v>711.6666666666672</v>
      </c>
      <c r="W48" s="7">
        <f t="shared" si="3"/>
        <v>0.69641517434843647</v>
      </c>
    </row>
    <row r="49" spans="1:23" x14ac:dyDescent="0.35">
      <c r="A49">
        <v>2020</v>
      </c>
      <c r="B49" t="s">
        <v>6</v>
      </c>
      <c r="C49" t="s">
        <v>7</v>
      </c>
      <c r="D49" t="s">
        <v>228</v>
      </c>
      <c r="E49" t="s">
        <v>23</v>
      </c>
      <c r="F49" t="s">
        <v>9</v>
      </c>
      <c r="G49">
        <v>2002</v>
      </c>
      <c r="H49" t="s">
        <v>24</v>
      </c>
      <c r="I49">
        <v>480</v>
      </c>
      <c r="J49">
        <v>50</v>
      </c>
      <c r="K49">
        <v>9.91</v>
      </c>
      <c r="L49">
        <v>1047</v>
      </c>
      <c r="M49">
        <v>12</v>
      </c>
      <c r="N49" t="s">
        <v>16</v>
      </c>
      <c r="O49" t="s">
        <v>15</v>
      </c>
      <c r="P49">
        <v>25</v>
      </c>
      <c r="Q49">
        <v>600</v>
      </c>
      <c r="R49">
        <f>106.34-4.9</f>
        <v>101.44</v>
      </c>
      <c r="T49">
        <f t="shared" si="14"/>
        <v>110.73</v>
      </c>
      <c r="U49">
        <f t="shared" si="1"/>
        <v>9.2900000000000063</v>
      </c>
      <c r="V49" s="6">
        <f t="shared" si="2"/>
        <v>774.1666666666672</v>
      </c>
      <c r="W49" s="7">
        <f t="shared" si="3"/>
        <v>0.76317691903259777</v>
      </c>
    </row>
    <row r="50" spans="1:23" x14ac:dyDescent="0.35">
      <c r="A50">
        <v>2020</v>
      </c>
      <c r="B50" t="s">
        <v>6</v>
      </c>
      <c r="C50" t="s">
        <v>7</v>
      </c>
      <c r="D50" t="s">
        <v>228</v>
      </c>
      <c r="E50" t="s">
        <v>25</v>
      </c>
      <c r="F50" t="s">
        <v>9</v>
      </c>
      <c r="G50">
        <v>2002</v>
      </c>
      <c r="H50" t="s">
        <v>10</v>
      </c>
      <c r="I50">
        <v>300</v>
      </c>
      <c r="J50">
        <v>40</v>
      </c>
      <c r="K50">
        <v>10.039999999999999</v>
      </c>
      <c r="L50">
        <v>1040</v>
      </c>
      <c r="M50">
        <v>12</v>
      </c>
      <c r="N50" t="s">
        <v>11</v>
      </c>
      <c r="O50" t="s">
        <v>12</v>
      </c>
      <c r="P50">
        <v>10</v>
      </c>
      <c r="Q50">
        <v>600</v>
      </c>
      <c r="R50">
        <f>158.86+3.69</f>
        <v>162.55000000000001</v>
      </c>
      <c r="T50">
        <f>158.86+5.06</f>
        <v>163.92000000000002</v>
      </c>
      <c r="U50">
        <f t="shared" si="1"/>
        <v>1.3700000000000045</v>
      </c>
      <c r="V50" s="6">
        <f t="shared" si="2"/>
        <v>114.16666666666704</v>
      </c>
      <c r="W50" s="7">
        <f t="shared" si="3"/>
        <v>7.0234799548856988E-2</v>
      </c>
    </row>
    <row r="51" spans="1:23" x14ac:dyDescent="0.35">
      <c r="A51">
        <v>2020</v>
      </c>
      <c r="B51" t="s">
        <v>6</v>
      </c>
      <c r="C51" t="s">
        <v>7</v>
      </c>
      <c r="D51" t="s">
        <v>228</v>
      </c>
      <c r="E51" t="s">
        <v>25</v>
      </c>
      <c r="F51" t="s">
        <v>9</v>
      </c>
      <c r="G51">
        <v>2002</v>
      </c>
      <c r="H51" t="s">
        <v>10</v>
      </c>
      <c r="I51">
        <v>300</v>
      </c>
      <c r="J51">
        <v>40</v>
      </c>
      <c r="K51">
        <v>10.039999999999999</v>
      </c>
      <c r="L51">
        <v>1040</v>
      </c>
      <c r="M51">
        <v>12</v>
      </c>
      <c r="N51" t="s">
        <v>11</v>
      </c>
      <c r="O51" t="s">
        <v>13</v>
      </c>
      <c r="P51">
        <v>25</v>
      </c>
      <c r="Q51">
        <v>600</v>
      </c>
      <c r="R51">
        <f>158.86-4.34</f>
        <v>154.52000000000001</v>
      </c>
      <c r="T51">
        <f t="shared" ref="T51:T53" si="15">158.86+5.06</f>
        <v>163.92000000000002</v>
      </c>
      <c r="U51">
        <f t="shared" si="1"/>
        <v>9.4000000000000057</v>
      </c>
      <c r="V51" s="6">
        <f t="shared" si="2"/>
        <v>783.33333333333383</v>
      </c>
      <c r="W51" s="7">
        <f t="shared" si="3"/>
        <v>0.50694624212615447</v>
      </c>
    </row>
    <row r="52" spans="1:23" x14ac:dyDescent="0.35">
      <c r="A52">
        <v>2020</v>
      </c>
      <c r="B52" t="s">
        <v>6</v>
      </c>
      <c r="C52" t="s">
        <v>7</v>
      </c>
      <c r="D52" t="s">
        <v>228</v>
      </c>
      <c r="E52" t="s">
        <v>25</v>
      </c>
      <c r="F52" t="s">
        <v>9</v>
      </c>
      <c r="G52">
        <v>2002</v>
      </c>
      <c r="H52" t="s">
        <v>10</v>
      </c>
      <c r="I52">
        <v>300</v>
      </c>
      <c r="J52">
        <v>40</v>
      </c>
      <c r="K52">
        <v>10.039999999999999</v>
      </c>
      <c r="L52">
        <v>1040</v>
      </c>
      <c r="M52">
        <v>12</v>
      </c>
      <c r="N52" t="s">
        <v>11</v>
      </c>
      <c r="O52" t="s">
        <v>14</v>
      </c>
      <c r="P52">
        <v>46</v>
      </c>
      <c r="Q52">
        <v>600</v>
      </c>
      <c r="R52">
        <f>158.86-3.85</f>
        <v>155.01000000000002</v>
      </c>
      <c r="T52">
        <f t="shared" si="15"/>
        <v>163.92000000000002</v>
      </c>
      <c r="U52">
        <f t="shared" si="1"/>
        <v>8.9099999999999966</v>
      </c>
      <c r="V52" s="6">
        <f t="shared" si="2"/>
        <v>742.49999999999977</v>
      </c>
      <c r="W52" s="7">
        <f t="shared" si="3"/>
        <v>0.47900135475130612</v>
      </c>
    </row>
    <row r="53" spans="1:23" x14ac:dyDescent="0.35">
      <c r="A53">
        <v>2020</v>
      </c>
      <c r="B53" t="s">
        <v>6</v>
      </c>
      <c r="C53" t="s">
        <v>7</v>
      </c>
      <c r="D53" t="s">
        <v>228</v>
      </c>
      <c r="E53" t="s">
        <v>25</v>
      </c>
      <c r="F53" t="s">
        <v>9</v>
      </c>
      <c r="G53">
        <v>2002</v>
      </c>
      <c r="H53" t="s">
        <v>10</v>
      </c>
      <c r="I53">
        <v>300</v>
      </c>
      <c r="J53">
        <v>40</v>
      </c>
      <c r="K53">
        <v>10.039999999999999</v>
      </c>
      <c r="L53">
        <v>1040</v>
      </c>
      <c r="M53">
        <v>12</v>
      </c>
      <c r="N53" t="s">
        <v>11</v>
      </c>
      <c r="O53" t="s">
        <v>15</v>
      </c>
      <c r="P53">
        <v>25</v>
      </c>
      <c r="Q53">
        <v>600</v>
      </c>
      <c r="R53">
        <f>158.86-5.5</f>
        <v>153.36000000000001</v>
      </c>
      <c r="T53">
        <f t="shared" si="15"/>
        <v>163.92000000000002</v>
      </c>
      <c r="U53">
        <f t="shared" si="1"/>
        <v>10.560000000000002</v>
      </c>
      <c r="V53" s="6">
        <f t="shared" si="2"/>
        <v>880.00000000000023</v>
      </c>
      <c r="W53" s="7">
        <f t="shared" si="3"/>
        <v>0.57381324986958793</v>
      </c>
    </row>
    <row r="54" spans="1:23" x14ac:dyDescent="0.35">
      <c r="A54">
        <v>2020</v>
      </c>
      <c r="B54" t="s">
        <v>6</v>
      </c>
      <c r="C54" t="s">
        <v>7</v>
      </c>
      <c r="D54" t="s">
        <v>228</v>
      </c>
      <c r="E54" t="s">
        <v>25</v>
      </c>
      <c r="F54" t="s">
        <v>9</v>
      </c>
      <c r="G54">
        <v>2002</v>
      </c>
      <c r="H54" t="s">
        <v>10</v>
      </c>
      <c r="I54">
        <v>300</v>
      </c>
      <c r="J54">
        <v>40</v>
      </c>
      <c r="K54">
        <v>10.039999999999999</v>
      </c>
      <c r="L54">
        <v>1040</v>
      </c>
      <c r="M54">
        <v>12</v>
      </c>
      <c r="N54" t="s">
        <v>16</v>
      </c>
      <c r="O54" t="s">
        <v>12</v>
      </c>
      <c r="P54">
        <v>10</v>
      </c>
      <c r="Q54">
        <v>600</v>
      </c>
      <c r="R54">
        <f>158.86+3.18</f>
        <v>162.04000000000002</v>
      </c>
      <c r="T54">
        <f>158.86+4.04</f>
        <v>162.9</v>
      </c>
      <c r="U54">
        <f t="shared" si="1"/>
        <v>0.85999999999998522</v>
      </c>
      <c r="V54" s="6">
        <f t="shared" si="2"/>
        <v>71.666666666665435</v>
      </c>
      <c r="W54" s="7">
        <f t="shared" si="3"/>
        <v>4.4227762692338579E-2</v>
      </c>
    </row>
    <row r="55" spans="1:23" x14ac:dyDescent="0.35">
      <c r="A55">
        <v>2020</v>
      </c>
      <c r="B55" t="s">
        <v>6</v>
      </c>
      <c r="C55" t="s">
        <v>7</v>
      </c>
      <c r="D55" t="s">
        <v>228</v>
      </c>
      <c r="E55" t="s">
        <v>25</v>
      </c>
      <c r="F55" t="s">
        <v>9</v>
      </c>
      <c r="G55">
        <v>2002</v>
      </c>
      <c r="H55" t="s">
        <v>10</v>
      </c>
      <c r="I55">
        <v>300</v>
      </c>
      <c r="J55">
        <v>40</v>
      </c>
      <c r="K55">
        <v>10.039999999999999</v>
      </c>
      <c r="L55">
        <v>1040</v>
      </c>
      <c r="M55">
        <v>12</v>
      </c>
      <c r="N55" t="s">
        <v>16</v>
      </c>
      <c r="O55" t="s">
        <v>13</v>
      </c>
      <c r="P55">
        <v>25</v>
      </c>
      <c r="Q55">
        <v>600</v>
      </c>
      <c r="R55">
        <f>158.86-4.72</f>
        <v>154.14000000000001</v>
      </c>
      <c r="T55">
        <f t="shared" ref="T55:T57" si="16">158.86+4.04</f>
        <v>162.9</v>
      </c>
      <c r="U55">
        <f t="shared" si="1"/>
        <v>8.7599999999999909</v>
      </c>
      <c r="V55" s="6">
        <f t="shared" si="2"/>
        <v>729.9999999999992</v>
      </c>
      <c r="W55" s="7">
        <f t="shared" si="3"/>
        <v>0.47359543272349758</v>
      </c>
    </row>
    <row r="56" spans="1:23" x14ac:dyDescent="0.35">
      <c r="A56">
        <v>2020</v>
      </c>
      <c r="B56" t="s">
        <v>6</v>
      </c>
      <c r="C56" t="s">
        <v>7</v>
      </c>
      <c r="D56" t="s">
        <v>228</v>
      </c>
      <c r="E56" t="s">
        <v>25</v>
      </c>
      <c r="F56" t="s">
        <v>9</v>
      </c>
      <c r="G56">
        <v>2002</v>
      </c>
      <c r="H56" t="s">
        <v>10</v>
      </c>
      <c r="I56">
        <v>300</v>
      </c>
      <c r="J56">
        <v>40</v>
      </c>
      <c r="K56">
        <v>10.039999999999999</v>
      </c>
      <c r="L56">
        <v>1040</v>
      </c>
      <c r="M56">
        <v>12</v>
      </c>
      <c r="N56" t="s">
        <v>16</v>
      </c>
      <c r="O56" t="s">
        <v>14</v>
      </c>
      <c r="P56">
        <v>46</v>
      </c>
      <c r="Q56">
        <v>600</v>
      </c>
      <c r="R56">
        <f>158.86-2.89</f>
        <v>155.97000000000003</v>
      </c>
      <c r="T56">
        <f t="shared" si="16"/>
        <v>162.9</v>
      </c>
      <c r="U56">
        <f t="shared" si="1"/>
        <v>6.9299999999999784</v>
      </c>
      <c r="V56" s="6">
        <f t="shared" si="2"/>
        <v>577.49999999999818</v>
      </c>
      <c r="W56" s="7">
        <f t="shared" si="3"/>
        <v>0.37026351221388609</v>
      </c>
    </row>
    <row r="57" spans="1:23" x14ac:dyDescent="0.35">
      <c r="A57">
        <v>2020</v>
      </c>
      <c r="B57" t="s">
        <v>6</v>
      </c>
      <c r="C57" t="s">
        <v>7</v>
      </c>
      <c r="D57" t="s">
        <v>228</v>
      </c>
      <c r="E57" t="s">
        <v>25</v>
      </c>
      <c r="F57" t="s">
        <v>9</v>
      </c>
      <c r="G57">
        <v>2002</v>
      </c>
      <c r="H57" t="s">
        <v>10</v>
      </c>
      <c r="I57">
        <v>300</v>
      </c>
      <c r="J57">
        <v>40</v>
      </c>
      <c r="K57">
        <v>10.039999999999999</v>
      </c>
      <c r="L57">
        <v>1040</v>
      </c>
      <c r="M57">
        <v>12</v>
      </c>
      <c r="N57" t="s">
        <v>16</v>
      </c>
      <c r="O57" t="s">
        <v>15</v>
      </c>
      <c r="P57">
        <v>25</v>
      </c>
      <c r="Q57">
        <v>600</v>
      </c>
      <c r="R57">
        <f>158.86-5.02</f>
        <v>153.84</v>
      </c>
      <c r="T57">
        <f t="shared" si="16"/>
        <v>162.9</v>
      </c>
      <c r="U57">
        <f t="shared" si="1"/>
        <v>9.0600000000000023</v>
      </c>
      <c r="V57" s="6">
        <f t="shared" si="2"/>
        <v>755.00000000000023</v>
      </c>
      <c r="W57" s="7">
        <f t="shared" si="3"/>
        <v>0.4907696307852315</v>
      </c>
    </row>
    <row r="58" spans="1:23" x14ac:dyDescent="0.35">
      <c r="A58">
        <v>2019</v>
      </c>
      <c r="B58" t="s">
        <v>26</v>
      </c>
      <c r="C58" t="s">
        <v>27</v>
      </c>
      <c r="D58" t="s">
        <v>228</v>
      </c>
      <c r="E58" t="s">
        <v>28</v>
      </c>
      <c r="F58" t="s">
        <v>29</v>
      </c>
      <c r="G58">
        <v>1993</v>
      </c>
      <c r="H58" t="s">
        <v>30</v>
      </c>
      <c r="K58">
        <v>10.7</v>
      </c>
      <c r="L58">
        <v>874</v>
      </c>
      <c r="M58">
        <v>20</v>
      </c>
      <c r="N58" t="s">
        <v>31</v>
      </c>
      <c r="O58" t="s">
        <v>13</v>
      </c>
      <c r="Q58">
        <v>300</v>
      </c>
      <c r="R58">
        <v>43.6</v>
      </c>
      <c r="S58">
        <v>39.299999999999997</v>
      </c>
      <c r="U58">
        <f t="shared" si="1"/>
        <v>-4.3000000000000043</v>
      </c>
      <c r="V58" s="6">
        <f>U58/M58*1000</f>
        <v>-215.00000000000023</v>
      </c>
      <c r="W58" s="7">
        <f>U58/R58/M58*100</f>
        <v>-0.49311926605504636</v>
      </c>
    </row>
    <row r="59" spans="1:23" x14ac:dyDescent="0.35">
      <c r="A59">
        <v>2019</v>
      </c>
      <c r="B59" t="s">
        <v>26</v>
      </c>
      <c r="C59" t="s">
        <v>27</v>
      </c>
      <c r="D59" t="s">
        <v>228</v>
      </c>
      <c r="E59" t="s">
        <v>28</v>
      </c>
      <c r="F59" t="s">
        <v>29</v>
      </c>
      <c r="G59">
        <v>1993</v>
      </c>
      <c r="H59" t="s">
        <v>30</v>
      </c>
      <c r="K59">
        <v>10.7</v>
      </c>
      <c r="L59">
        <v>874</v>
      </c>
      <c r="M59">
        <v>20</v>
      </c>
      <c r="N59" t="s">
        <v>32</v>
      </c>
      <c r="O59" t="s">
        <v>15</v>
      </c>
      <c r="P59">
        <v>250</v>
      </c>
      <c r="Q59">
        <v>300</v>
      </c>
      <c r="R59">
        <v>43.6</v>
      </c>
      <c r="T59">
        <v>50.1</v>
      </c>
      <c r="U59">
        <f t="shared" si="1"/>
        <v>6.5</v>
      </c>
      <c r="V59" s="6">
        <f>U59/M59*1000</f>
        <v>325</v>
      </c>
      <c r="W59" s="7">
        <f>U59/R59/M59*100</f>
        <v>0.74541284403669716</v>
      </c>
    </row>
    <row r="60" spans="1:23" x14ac:dyDescent="0.35">
      <c r="A60">
        <v>2019</v>
      </c>
      <c r="B60" t="s">
        <v>26</v>
      </c>
      <c r="C60" t="s">
        <v>27</v>
      </c>
      <c r="D60" t="s">
        <v>228</v>
      </c>
      <c r="E60" t="s">
        <v>33</v>
      </c>
      <c r="F60" t="s">
        <v>29</v>
      </c>
      <c r="G60">
        <v>1993</v>
      </c>
      <c r="H60" t="s">
        <v>34</v>
      </c>
      <c r="K60">
        <v>9.9</v>
      </c>
      <c r="L60">
        <v>1018</v>
      </c>
      <c r="M60">
        <v>20</v>
      </c>
      <c r="N60" t="s">
        <v>31</v>
      </c>
      <c r="O60" t="s">
        <v>13</v>
      </c>
      <c r="Q60">
        <v>300</v>
      </c>
      <c r="R60">
        <v>55.2</v>
      </c>
      <c r="S60">
        <v>55.7</v>
      </c>
      <c r="U60">
        <f t="shared" si="1"/>
        <v>0.5</v>
      </c>
      <c r="V60" s="6">
        <f t="shared" ref="V60:V61" si="17">U60/M60*1000</f>
        <v>25</v>
      </c>
      <c r="W60" s="7">
        <f t="shared" ref="W60:W106" si="18">U60/R60/M60*100</f>
        <v>4.5289855072463768E-2</v>
      </c>
    </row>
    <row r="61" spans="1:23" x14ac:dyDescent="0.35">
      <c r="A61">
        <v>2019</v>
      </c>
      <c r="B61" t="s">
        <v>26</v>
      </c>
      <c r="C61" t="s">
        <v>27</v>
      </c>
      <c r="D61" t="s">
        <v>228</v>
      </c>
      <c r="E61" t="s">
        <v>33</v>
      </c>
      <c r="F61" t="s">
        <v>29</v>
      </c>
      <c r="G61">
        <v>1993</v>
      </c>
      <c r="H61" t="s">
        <v>35</v>
      </c>
      <c r="K61">
        <v>9.9</v>
      </c>
      <c r="L61">
        <v>1018</v>
      </c>
      <c r="M61">
        <v>20</v>
      </c>
      <c r="N61" t="s">
        <v>32</v>
      </c>
      <c r="O61" t="s">
        <v>15</v>
      </c>
      <c r="P61">
        <v>250</v>
      </c>
      <c r="Q61">
        <v>300</v>
      </c>
      <c r="R61">
        <v>55.2</v>
      </c>
      <c r="T61">
        <v>50.2</v>
      </c>
      <c r="U61">
        <f t="shared" si="1"/>
        <v>-5</v>
      </c>
      <c r="V61" s="6">
        <f t="shared" si="17"/>
        <v>-250</v>
      </c>
      <c r="W61" s="7">
        <f t="shared" si="18"/>
        <v>-0.45289855072463769</v>
      </c>
    </row>
    <row r="62" spans="1:23" x14ac:dyDescent="0.35">
      <c r="D62" t="s">
        <v>228</v>
      </c>
      <c r="V62" s="6"/>
      <c r="W62" s="7"/>
    </row>
    <row r="63" spans="1:23" x14ac:dyDescent="0.35">
      <c r="A63">
        <v>2016</v>
      </c>
      <c r="B63" t="s">
        <v>36</v>
      </c>
      <c r="C63" t="s">
        <v>37</v>
      </c>
      <c r="D63" t="s">
        <v>228</v>
      </c>
      <c r="E63" t="s">
        <v>38</v>
      </c>
      <c r="F63" t="s">
        <v>39</v>
      </c>
      <c r="G63">
        <v>2005</v>
      </c>
      <c r="H63" t="s">
        <v>40</v>
      </c>
      <c r="I63">
        <v>160</v>
      </c>
      <c r="J63">
        <v>720</v>
      </c>
      <c r="K63">
        <v>4.76</v>
      </c>
      <c r="L63">
        <v>405</v>
      </c>
      <c r="M63">
        <v>6</v>
      </c>
      <c r="N63" t="s">
        <v>41</v>
      </c>
      <c r="O63" t="s">
        <v>42</v>
      </c>
      <c r="Q63">
        <v>850</v>
      </c>
      <c r="R63">
        <v>63</v>
      </c>
      <c r="T63">
        <v>61</v>
      </c>
      <c r="U63">
        <f t="shared" si="1"/>
        <v>-2</v>
      </c>
      <c r="V63" s="6">
        <f t="shared" ref="V63:V65" si="19">U63/M63*1000</f>
        <v>-333.33333333333331</v>
      </c>
      <c r="W63" s="7">
        <f t="shared" ref="W63:W65" si="20">U63/R63/M63*100</f>
        <v>-0.52910052910052907</v>
      </c>
    </row>
    <row r="64" spans="1:23" ht="18" customHeight="1" x14ac:dyDescent="0.35">
      <c r="A64">
        <v>2016</v>
      </c>
      <c r="B64" t="s">
        <v>36</v>
      </c>
      <c r="C64" t="s">
        <v>37</v>
      </c>
      <c r="D64" t="s">
        <v>228</v>
      </c>
      <c r="E64" t="s">
        <v>38</v>
      </c>
      <c r="F64" t="s">
        <v>39</v>
      </c>
      <c r="G64">
        <v>2005</v>
      </c>
      <c r="H64" t="s">
        <v>40</v>
      </c>
      <c r="I64">
        <v>160</v>
      </c>
      <c r="J64">
        <v>720</v>
      </c>
      <c r="K64">
        <v>4.76</v>
      </c>
      <c r="L64">
        <v>405</v>
      </c>
      <c r="M64">
        <v>6</v>
      </c>
      <c r="N64" t="s">
        <v>41</v>
      </c>
      <c r="O64" t="s">
        <v>43</v>
      </c>
      <c r="Q64">
        <v>850</v>
      </c>
      <c r="R64">
        <v>57</v>
      </c>
      <c r="T64">
        <v>60</v>
      </c>
      <c r="U64">
        <f t="shared" si="1"/>
        <v>3</v>
      </c>
      <c r="V64" s="6">
        <f t="shared" si="19"/>
        <v>500</v>
      </c>
      <c r="W64" s="7">
        <f t="shared" si="20"/>
        <v>0.8771929824561403</v>
      </c>
    </row>
    <row r="65" spans="1:23" x14ac:dyDescent="0.35">
      <c r="A65">
        <v>2016</v>
      </c>
      <c r="B65" t="s">
        <v>36</v>
      </c>
      <c r="C65" t="s">
        <v>37</v>
      </c>
      <c r="D65" t="s">
        <v>228</v>
      </c>
      <c r="E65" t="s">
        <v>45</v>
      </c>
      <c r="F65" t="s">
        <v>46</v>
      </c>
      <c r="G65">
        <v>2006</v>
      </c>
      <c r="H65" t="s">
        <v>47</v>
      </c>
      <c r="I65">
        <v>325</v>
      </c>
      <c r="J65">
        <v>350</v>
      </c>
      <c r="K65">
        <v>6.08</v>
      </c>
      <c r="L65">
        <v>340</v>
      </c>
      <c r="M65">
        <v>5</v>
      </c>
      <c r="N65" t="s">
        <v>41</v>
      </c>
      <c r="O65" t="s">
        <v>42</v>
      </c>
      <c r="Q65">
        <v>1200</v>
      </c>
      <c r="R65">
        <v>175</v>
      </c>
      <c r="T65">
        <v>183</v>
      </c>
      <c r="U65">
        <f t="shared" si="1"/>
        <v>8</v>
      </c>
      <c r="V65" s="6">
        <f t="shared" si="19"/>
        <v>1600</v>
      </c>
      <c r="W65" s="7">
        <f t="shared" si="20"/>
        <v>0.91428571428571437</v>
      </c>
    </row>
    <row r="66" spans="1:23" x14ac:dyDescent="0.35">
      <c r="D66" t="s">
        <v>228</v>
      </c>
      <c r="V66" s="6"/>
      <c r="W66" s="7"/>
    </row>
    <row r="67" spans="1:23" x14ac:dyDescent="0.35">
      <c r="A67">
        <v>2016</v>
      </c>
      <c r="B67" t="s">
        <v>48</v>
      </c>
      <c r="C67" t="s">
        <v>49</v>
      </c>
      <c r="D67" t="s">
        <v>228</v>
      </c>
      <c r="E67" t="s">
        <v>50</v>
      </c>
      <c r="F67" t="s">
        <v>51</v>
      </c>
      <c r="G67">
        <v>2001</v>
      </c>
      <c r="H67" t="s">
        <v>52</v>
      </c>
      <c r="I67">
        <v>220</v>
      </c>
      <c r="K67">
        <v>10.4</v>
      </c>
      <c r="M67">
        <v>9</v>
      </c>
      <c r="N67" t="s">
        <v>32</v>
      </c>
      <c r="O67" t="s">
        <v>53</v>
      </c>
      <c r="Q67">
        <v>300</v>
      </c>
      <c r="R67">
        <f>25+45+70</f>
        <v>140</v>
      </c>
      <c r="T67">
        <f>39+71+107</f>
        <v>217</v>
      </c>
      <c r="U67">
        <f t="shared" si="1"/>
        <v>77</v>
      </c>
      <c r="V67" s="6">
        <f t="shared" ref="V67:V71" si="21">U67/M67*1000</f>
        <v>8555.5555555555547</v>
      </c>
      <c r="W67" s="7">
        <f t="shared" ref="W67:W71" si="22">U67/R67/M67*100</f>
        <v>6.1111111111111116</v>
      </c>
    </row>
    <row r="68" spans="1:23" x14ac:dyDescent="0.35">
      <c r="A68">
        <v>2016</v>
      </c>
      <c r="B68" t="s">
        <v>48</v>
      </c>
      <c r="C68" t="s">
        <v>49</v>
      </c>
      <c r="D68" t="s">
        <v>228</v>
      </c>
      <c r="E68" t="s">
        <v>54</v>
      </c>
      <c r="F68" t="s">
        <v>51</v>
      </c>
      <c r="G68">
        <v>1997</v>
      </c>
      <c r="H68" t="s">
        <v>52</v>
      </c>
      <c r="I68">
        <v>200</v>
      </c>
      <c r="K68">
        <v>10.3</v>
      </c>
      <c r="M68">
        <v>13</v>
      </c>
      <c r="N68" t="s">
        <v>32</v>
      </c>
      <c r="O68" t="s">
        <v>53</v>
      </c>
      <c r="Q68">
        <v>300</v>
      </c>
      <c r="R68">
        <f>18+42+42</f>
        <v>102</v>
      </c>
      <c r="T68">
        <f>38+49+59</f>
        <v>146</v>
      </c>
      <c r="U68">
        <f t="shared" si="1"/>
        <v>44</v>
      </c>
      <c r="V68" s="6">
        <f t="shared" si="21"/>
        <v>3384.6153846153848</v>
      </c>
      <c r="W68" s="7">
        <f t="shared" si="22"/>
        <v>3.3182503770739067</v>
      </c>
    </row>
    <row r="69" spans="1:23" x14ac:dyDescent="0.35">
      <c r="A69">
        <v>2016</v>
      </c>
      <c r="B69" t="s">
        <v>48</v>
      </c>
      <c r="C69" t="s">
        <v>49</v>
      </c>
      <c r="D69" t="s">
        <v>228</v>
      </c>
      <c r="E69" t="s">
        <v>55</v>
      </c>
      <c r="F69" t="s">
        <v>51</v>
      </c>
      <c r="G69">
        <v>1974</v>
      </c>
      <c r="H69" t="s">
        <v>52</v>
      </c>
      <c r="I69">
        <v>220</v>
      </c>
      <c r="K69">
        <v>10.5</v>
      </c>
      <c r="M69">
        <v>36</v>
      </c>
      <c r="N69" t="s">
        <v>32</v>
      </c>
      <c r="O69" t="s">
        <v>53</v>
      </c>
      <c r="Q69">
        <v>300</v>
      </c>
      <c r="R69">
        <f>23+41+56</f>
        <v>120</v>
      </c>
      <c r="T69">
        <f>38+75+113</f>
        <v>226</v>
      </c>
      <c r="U69">
        <f t="shared" ref="U69:U71" si="23">IF(ISBLANK($S69),$T69-$R69,$S69-$R69)</f>
        <v>106</v>
      </c>
      <c r="V69" s="6">
        <f t="shared" si="21"/>
        <v>2944.4444444444448</v>
      </c>
      <c r="W69" s="7">
        <f t="shared" si="22"/>
        <v>2.4537037037037037</v>
      </c>
    </row>
    <row r="70" spans="1:23" x14ac:dyDescent="0.35">
      <c r="A70">
        <v>2016</v>
      </c>
      <c r="B70" t="s">
        <v>48</v>
      </c>
      <c r="C70" t="s">
        <v>49</v>
      </c>
      <c r="D70" t="s">
        <v>228</v>
      </c>
      <c r="E70" t="s">
        <v>56</v>
      </c>
      <c r="F70" t="s">
        <v>51</v>
      </c>
      <c r="G70">
        <v>1962</v>
      </c>
      <c r="H70" t="s">
        <v>52</v>
      </c>
      <c r="I70">
        <v>230</v>
      </c>
      <c r="K70">
        <v>10.8</v>
      </c>
      <c r="M70">
        <v>48</v>
      </c>
      <c r="N70" t="s">
        <v>31</v>
      </c>
      <c r="O70" t="s">
        <v>53</v>
      </c>
      <c r="Q70">
        <v>300</v>
      </c>
      <c r="R70">
        <f>13+26+36</f>
        <v>75</v>
      </c>
      <c r="T70">
        <f>36+59+74</f>
        <v>169</v>
      </c>
      <c r="U70">
        <f t="shared" si="23"/>
        <v>94</v>
      </c>
      <c r="V70" s="6">
        <f t="shared" si="21"/>
        <v>1958.3333333333333</v>
      </c>
      <c r="W70" s="7">
        <f t="shared" si="22"/>
        <v>2.6111111111111112</v>
      </c>
    </row>
    <row r="71" spans="1:23" x14ac:dyDescent="0.35">
      <c r="A71">
        <v>2016</v>
      </c>
      <c r="B71" t="s">
        <v>48</v>
      </c>
      <c r="C71" t="s">
        <v>49</v>
      </c>
      <c r="D71" t="s">
        <v>228</v>
      </c>
      <c r="E71" t="s">
        <v>57</v>
      </c>
      <c r="F71" t="s">
        <v>51</v>
      </c>
      <c r="G71">
        <v>1962</v>
      </c>
      <c r="H71" t="s">
        <v>52</v>
      </c>
      <c r="I71">
        <v>160</v>
      </c>
      <c r="K71">
        <v>10.3</v>
      </c>
      <c r="M71">
        <v>49</v>
      </c>
      <c r="N71" t="s">
        <v>31</v>
      </c>
      <c r="O71" t="s">
        <v>53</v>
      </c>
      <c r="Q71">
        <v>300</v>
      </c>
      <c r="R71">
        <f>21+39+62</f>
        <v>122</v>
      </c>
      <c r="T71">
        <f>31+54+64</f>
        <v>149</v>
      </c>
      <c r="U71">
        <f t="shared" si="23"/>
        <v>27</v>
      </c>
      <c r="V71" s="6">
        <f t="shared" si="21"/>
        <v>551.0204081632653</v>
      </c>
      <c r="W71" s="7">
        <f t="shared" si="22"/>
        <v>0.45165607226497156</v>
      </c>
    </row>
    <row r="72" spans="1:23" x14ac:dyDescent="0.35">
      <c r="D72" t="s">
        <v>228</v>
      </c>
      <c r="V72" s="6"/>
      <c r="W72" s="7"/>
    </row>
    <row r="73" spans="1:23" x14ac:dyDescent="0.35">
      <c r="A73">
        <v>2014</v>
      </c>
      <c r="B73" t="s">
        <v>58</v>
      </c>
      <c r="C73" t="s">
        <v>59</v>
      </c>
      <c r="D73" t="s">
        <v>228</v>
      </c>
      <c r="E73" t="s">
        <v>20</v>
      </c>
      <c r="F73" t="s">
        <v>60</v>
      </c>
      <c r="G73">
        <v>2002</v>
      </c>
      <c r="H73" t="s">
        <v>61</v>
      </c>
      <c r="M73">
        <v>10</v>
      </c>
      <c r="N73" t="s">
        <v>32</v>
      </c>
      <c r="O73" t="s">
        <v>63</v>
      </c>
      <c r="P73">
        <v>460</v>
      </c>
      <c r="Q73">
        <v>150</v>
      </c>
      <c r="R73">
        <v>33.21</v>
      </c>
      <c r="T73">
        <v>44.66</v>
      </c>
      <c r="U73">
        <f t="shared" ref="U73:U111" si="24">IF(ISBLANK($S73),$T73-$R73,$S73-$R73)</f>
        <v>11.449999999999996</v>
      </c>
      <c r="V73" s="6">
        <f t="shared" ref="V73:V132" si="25">U73/M73*1000</f>
        <v>1144.9999999999995</v>
      </c>
      <c r="W73" s="7">
        <f t="shared" si="18"/>
        <v>3.4477566997892186</v>
      </c>
    </row>
    <row r="74" spans="1:23" x14ac:dyDescent="0.35">
      <c r="A74">
        <v>2014</v>
      </c>
      <c r="B74" t="s">
        <v>58</v>
      </c>
      <c r="C74" t="s">
        <v>59</v>
      </c>
      <c r="D74" t="s">
        <v>228</v>
      </c>
      <c r="E74" t="s">
        <v>20</v>
      </c>
      <c r="F74" t="s">
        <v>60</v>
      </c>
      <c r="G74">
        <v>2002</v>
      </c>
      <c r="H74" t="s">
        <v>61</v>
      </c>
      <c r="M74">
        <v>10</v>
      </c>
      <c r="N74" t="s">
        <v>32</v>
      </c>
      <c r="O74" t="s">
        <v>15</v>
      </c>
      <c r="P74">
        <v>250</v>
      </c>
      <c r="Q74">
        <v>150</v>
      </c>
      <c r="R74">
        <v>31.83</v>
      </c>
      <c r="T74">
        <v>44.66</v>
      </c>
      <c r="U74">
        <f t="shared" si="24"/>
        <v>12.829999999999998</v>
      </c>
      <c r="V74" s="6">
        <f t="shared" si="25"/>
        <v>1283</v>
      </c>
      <c r="W74" s="7">
        <f t="shared" si="18"/>
        <v>4.0307885642475654</v>
      </c>
    </row>
    <row r="75" spans="1:23" x14ac:dyDescent="0.35">
      <c r="D75" t="s">
        <v>228</v>
      </c>
      <c r="V75" s="6"/>
      <c r="W75" s="7"/>
    </row>
    <row r="76" spans="1:23" x14ac:dyDescent="0.35">
      <c r="A76">
        <v>2015</v>
      </c>
      <c r="B76" t="s">
        <v>64</v>
      </c>
      <c r="C76" t="s">
        <v>65</v>
      </c>
      <c r="D76" t="s">
        <v>228</v>
      </c>
      <c r="E76" t="s">
        <v>66</v>
      </c>
      <c r="F76" t="s">
        <v>67</v>
      </c>
      <c r="G76">
        <v>2011</v>
      </c>
      <c r="H76" t="s">
        <v>30</v>
      </c>
      <c r="K76">
        <v>16</v>
      </c>
      <c r="L76">
        <v>978</v>
      </c>
      <c r="M76">
        <v>13</v>
      </c>
      <c r="N76" t="s">
        <v>68</v>
      </c>
      <c r="O76" t="s">
        <v>13</v>
      </c>
      <c r="P76">
        <v>250</v>
      </c>
      <c r="Q76">
        <v>600</v>
      </c>
      <c r="R76">
        <f>41.8+30.9+18.3+91</f>
        <v>182</v>
      </c>
      <c r="T76">
        <f>45+31.6+19.4+96</f>
        <v>192</v>
      </c>
      <c r="U76">
        <f t="shared" si="24"/>
        <v>10</v>
      </c>
      <c r="V76" s="6">
        <f t="shared" si="25"/>
        <v>769.23076923076928</v>
      </c>
      <c r="W76" s="7">
        <f t="shared" si="18"/>
        <v>0.42265426880811491</v>
      </c>
    </row>
    <row r="77" spans="1:23" x14ac:dyDescent="0.35">
      <c r="A77">
        <v>2015</v>
      </c>
      <c r="B77" t="s">
        <v>64</v>
      </c>
      <c r="C77" t="s">
        <v>65</v>
      </c>
      <c r="D77" t="s">
        <v>228</v>
      </c>
      <c r="E77" t="s">
        <v>66</v>
      </c>
      <c r="F77" t="s">
        <v>67</v>
      </c>
      <c r="G77">
        <v>2011</v>
      </c>
      <c r="H77" t="s">
        <v>30</v>
      </c>
      <c r="K77">
        <v>16</v>
      </c>
      <c r="L77">
        <v>978</v>
      </c>
      <c r="M77">
        <v>13</v>
      </c>
      <c r="N77" t="s">
        <v>32</v>
      </c>
      <c r="O77" t="s">
        <v>13</v>
      </c>
      <c r="P77">
        <v>250</v>
      </c>
      <c r="Q77">
        <v>600</v>
      </c>
      <c r="R77">
        <f t="shared" ref="R77:R83" si="26">41.8+30.9+18.3+91</f>
        <v>182</v>
      </c>
      <c r="T77">
        <f t="shared" ref="T77:T83" si="27">45+31.6+19.4+96</f>
        <v>192</v>
      </c>
      <c r="U77">
        <f t="shared" si="24"/>
        <v>10</v>
      </c>
      <c r="V77" s="6">
        <f t="shared" si="25"/>
        <v>769.23076923076928</v>
      </c>
      <c r="W77" s="7">
        <f t="shared" si="18"/>
        <v>0.42265426880811491</v>
      </c>
    </row>
    <row r="78" spans="1:23" x14ac:dyDescent="0.35">
      <c r="A78">
        <v>2015</v>
      </c>
      <c r="B78" t="s">
        <v>64</v>
      </c>
      <c r="C78" t="s">
        <v>65</v>
      </c>
      <c r="D78" t="s">
        <v>228</v>
      </c>
      <c r="E78" t="s">
        <v>66</v>
      </c>
      <c r="F78" t="s">
        <v>67</v>
      </c>
      <c r="G78">
        <v>2011</v>
      </c>
      <c r="H78" t="s">
        <v>30</v>
      </c>
      <c r="K78">
        <v>16</v>
      </c>
      <c r="L78">
        <v>978</v>
      </c>
      <c r="M78">
        <v>13</v>
      </c>
      <c r="N78" t="s">
        <v>69</v>
      </c>
      <c r="O78" t="s">
        <v>13</v>
      </c>
      <c r="P78">
        <v>250</v>
      </c>
      <c r="Q78">
        <v>600</v>
      </c>
      <c r="R78">
        <f t="shared" si="26"/>
        <v>182</v>
      </c>
      <c r="T78">
        <f t="shared" si="27"/>
        <v>192</v>
      </c>
      <c r="U78">
        <f t="shared" si="24"/>
        <v>10</v>
      </c>
      <c r="V78" s="6">
        <f t="shared" si="25"/>
        <v>769.23076923076928</v>
      </c>
      <c r="W78" s="7">
        <f t="shared" si="18"/>
        <v>0.42265426880811491</v>
      </c>
    </row>
    <row r="79" spans="1:23" x14ac:dyDescent="0.35">
      <c r="A79">
        <v>2015</v>
      </c>
      <c r="B79" t="s">
        <v>64</v>
      </c>
      <c r="C79" t="s">
        <v>65</v>
      </c>
      <c r="D79" t="s">
        <v>228</v>
      </c>
      <c r="E79" t="s">
        <v>66</v>
      </c>
      <c r="F79" t="s">
        <v>67</v>
      </c>
      <c r="G79">
        <v>2011</v>
      </c>
      <c r="H79" t="s">
        <v>30</v>
      </c>
      <c r="K79">
        <v>16</v>
      </c>
      <c r="L79">
        <v>978</v>
      </c>
      <c r="M79">
        <v>13</v>
      </c>
      <c r="N79" t="s">
        <v>70</v>
      </c>
      <c r="O79" t="s">
        <v>13</v>
      </c>
      <c r="P79">
        <v>250</v>
      </c>
      <c r="Q79">
        <v>600</v>
      </c>
      <c r="R79">
        <f t="shared" si="26"/>
        <v>182</v>
      </c>
      <c r="T79">
        <f t="shared" si="27"/>
        <v>192</v>
      </c>
      <c r="U79">
        <f t="shared" si="24"/>
        <v>10</v>
      </c>
      <c r="V79" s="6">
        <f t="shared" si="25"/>
        <v>769.23076923076928</v>
      </c>
      <c r="W79" s="7">
        <f t="shared" si="18"/>
        <v>0.42265426880811491</v>
      </c>
    </row>
    <row r="80" spans="1:23" x14ac:dyDescent="0.35">
      <c r="A80">
        <v>2015</v>
      </c>
      <c r="B80" t="s">
        <v>64</v>
      </c>
      <c r="C80" t="s">
        <v>65</v>
      </c>
      <c r="D80" t="s">
        <v>228</v>
      </c>
      <c r="E80" t="s">
        <v>71</v>
      </c>
      <c r="F80" t="s">
        <v>67</v>
      </c>
      <c r="G80">
        <v>2011</v>
      </c>
      <c r="H80" t="s">
        <v>35</v>
      </c>
      <c r="K80">
        <v>18</v>
      </c>
      <c r="L80">
        <v>996</v>
      </c>
      <c r="M80">
        <v>14</v>
      </c>
      <c r="N80" t="s">
        <v>68</v>
      </c>
      <c r="O80" t="s">
        <v>13</v>
      </c>
      <c r="P80">
        <v>250</v>
      </c>
      <c r="Q80">
        <v>600</v>
      </c>
      <c r="R80">
        <f t="shared" si="26"/>
        <v>182</v>
      </c>
      <c r="T80">
        <f t="shared" si="27"/>
        <v>192</v>
      </c>
      <c r="U80">
        <f t="shared" si="24"/>
        <v>10</v>
      </c>
      <c r="V80" s="6">
        <f t="shared" si="25"/>
        <v>714.28571428571433</v>
      </c>
      <c r="W80" s="7">
        <f t="shared" si="18"/>
        <v>0.39246467817896385</v>
      </c>
    </row>
    <row r="81" spans="1:23" x14ac:dyDescent="0.35">
      <c r="A81">
        <v>2015</v>
      </c>
      <c r="B81" t="s">
        <v>64</v>
      </c>
      <c r="C81" t="s">
        <v>65</v>
      </c>
      <c r="D81" t="s">
        <v>228</v>
      </c>
      <c r="E81" t="s">
        <v>71</v>
      </c>
      <c r="F81" t="s">
        <v>67</v>
      </c>
      <c r="G81">
        <v>2011</v>
      </c>
      <c r="H81" t="s">
        <v>35</v>
      </c>
      <c r="K81">
        <v>18</v>
      </c>
      <c r="L81">
        <v>996</v>
      </c>
      <c r="M81">
        <v>14</v>
      </c>
      <c r="N81" t="s">
        <v>32</v>
      </c>
      <c r="O81" t="s">
        <v>13</v>
      </c>
      <c r="P81">
        <v>250</v>
      </c>
      <c r="Q81">
        <v>600</v>
      </c>
      <c r="R81">
        <f t="shared" si="26"/>
        <v>182</v>
      </c>
      <c r="T81">
        <f t="shared" si="27"/>
        <v>192</v>
      </c>
      <c r="U81">
        <f t="shared" si="24"/>
        <v>10</v>
      </c>
      <c r="V81" s="6">
        <f t="shared" si="25"/>
        <v>714.28571428571433</v>
      </c>
      <c r="W81" s="7">
        <f t="shared" si="18"/>
        <v>0.39246467817896385</v>
      </c>
    </row>
    <row r="82" spans="1:23" x14ac:dyDescent="0.35">
      <c r="A82">
        <v>2015</v>
      </c>
      <c r="B82" t="s">
        <v>64</v>
      </c>
      <c r="C82" t="s">
        <v>65</v>
      </c>
      <c r="D82" t="s">
        <v>228</v>
      </c>
      <c r="E82" t="s">
        <v>71</v>
      </c>
      <c r="F82" t="s">
        <v>67</v>
      </c>
      <c r="G82">
        <v>2011</v>
      </c>
      <c r="H82" t="s">
        <v>35</v>
      </c>
      <c r="K82">
        <v>18</v>
      </c>
      <c r="L82">
        <v>996</v>
      </c>
      <c r="M82">
        <v>14</v>
      </c>
      <c r="N82" t="s">
        <v>69</v>
      </c>
      <c r="O82" t="s">
        <v>13</v>
      </c>
      <c r="P82">
        <v>250</v>
      </c>
      <c r="Q82">
        <v>600</v>
      </c>
      <c r="R82">
        <f t="shared" si="26"/>
        <v>182</v>
      </c>
      <c r="T82">
        <f t="shared" si="27"/>
        <v>192</v>
      </c>
      <c r="U82">
        <f t="shared" si="24"/>
        <v>10</v>
      </c>
      <c r="V82" s="6">
        <f t="shared" si="25"/>
        <v>714.28571428571433</v>
      </c>
      <c r="W82" s="7">
        <f t="shared" si="18"/>
        <v>0.39246467817896385</v>
      </c>
    </row>
    <row r="83" spans="1:23" x14ac:dyDescent="0.35">
      <c r="A83">
        <v>2015</v>
      </c>
      <c r="B83" t="s">
        <v>64</v>
      </c>
      <c r="C83" t="s">
        <v>65</v>
      </c>
      <c r="D83" t="s">
        <v>228</v>
      </c>
      <c r="E83" t="s">
        <v>71</v>
      </c>
      <c r="F83" t="s">
        <v>67</v>
      </c>
      <c r="G83">
        <v>2011</v>
      </c>
      <c r="H83" t="s">
        <v>35</v>
      </c>
      <c r="K83">
        <v>18</v>
      </c>
      <c r="L83">
        <v>996</v>
      </c>
      <c r="M83">
        <v>14</v>
      </c>
      <c r="N83" t="s">
        <v>70</v>
      </c>
      <c r="O83" t="s">
        <v>13</v>
      </c>
      <c r="P83">
        <v>250</v>
      </c>
      <c r="Q83">
        <v>600</v>
      </c>
      <c r="R83">
        <f t="shared" si="26"/>
        <v>182</v>
      </c>
      <c r="T83">
        <f t="shared" si="27"/>
        <v>192</v>
      </c>
      <c r="U83">
        <f t="shared" si="24"/>
        <v>10</v>
      </c>
      <c r="V83" s="6">
        <f t="shared" si="25"/>
        <v>714.28571428571433</v>
      </c>
      <c r="W83" s="7">
        <f t="shared" si="18"/>
        <v>0.39246467817896385</v>
      </c>
    </row>
    <row r="84" spans="1:23" x14ac:dyDescent="0.35">
      <c r="D84" t="s">
        <v>228</v>
      </c>
      <c r="V84" s="6"/>
      <c r="W84" s="7"/>
    </row>
    <row r="85" spans="1:23" x14ac:dyDescent="0.35">
      <c r="A85">
        <v>2014</v>
      </c>
      <c r="B85" t="s">
        <v>72</v>
      </c>
      <c r="C85" t="s">
        <v>73</v>
      </c>
      <c r="D85" t="s">
        <v>228</v>
      </c>
      <c r="E85" t="s">
        <v>74</v>
      </c>
      <c r="F85" t="s">
        <v>29</v>
      </c>
      <c r="G85">
        <v>1970</v>
      </c>
      <c r="H85" t="s">
        <v>34</v>
      </c>
      <c r="K85">
        <v>10.61</v>
      </c>
      <c r="L85">
        <v>950</v>
      </c>
      <c r="M85">
        <v>42</v>
      </c>
      <c r="N85" t="s">
        <v>75</v>
      </c>
      <c r="O85" t="s">
        <v>76</v>
      </c>
      <c r="P85">
        <v>200</v>
      </c>
      <c r="Q85">
        <v>50</v>
      </c>
      <c r="R85">
        <v>6.3490000000000002</v>
      </c>
      <c r="T85">
        <v>17.524000000000001</v>
      </c>
      <c r="U85">
        <f t="shared" ref="U85:U87" si="28">IF(ISBLANK($S85),$T85-$R85,$S85-$R85)</f>
        <v>11.175000000000001</v>
      </c>
      <c r="V85" s="6">
        <f t="shared" ref="V85:V87" si="29">U85/M85*1000</f>
        <v>266.07142857142856</v>
      </c>
      <c r="W85" s="7">
        <f t="shared" ref="W85:W87" si="30">U85/R85/M85*100</f>
        <v>4.1907611997389917</v>
      </c>
    </row>
    <row r="86" spans="1:23" x14ac:dyDescent="0.35">
      <c r="A86">
        <v>2014</v>
      </c>
      <c r="B86" t="s">
        <v>72</v>
      </c>
      <c r="C86" t="s">
        <v>73</v>
      </c>
      <c r="D86" t="s">
        <v>228</v>
      </c>
      <c r="E86" t="s">
        <v>74</v>
      </c>
      <c r="F86" t="s">
        <v>29</v>
      </c>
      <c r="G86">
        <v>1970</v>
      </c>
      <c r="H86" t="s">
        <v>34</v>
      </c>
      <c r="K86">
        <v>10.61</v>
      </c>
      <c r="L86">
        <v>950</v>
      </c>
      <c r="M86">
        <v>42</v>
      </c>
      <c r="N86" t="s">
        <v>75</v>
      </c>
      <c r="O86" t="s">
        <v>76</v>
      </c>
      <c r="P86">
        <v>200</v>
      </c>
      <c r="Q86">
        <v>50</v>
      </c>
      <c r="R86">
        <v>6.3490000000000002</v>
      </c>
      <c r="T86">
        <v>17.236999999999998</v>
      </c>
      <c r="U86">
        <f t="shared" si="28"/>
        <v>10.887999999999998</v>
      </c>
      <c r="V86" s="6">
        <f t="shared" si="29"/>
        <v>259.23809523809518</v>
      </c>
      <c r="W86" s="7">
        <f t="shared" si="30"/>
        <v>4.0831327018128079</v>
      </c>
    </row>
    <row r="87" spans="1:23" x14ac:dyDescent="0.35">
      <c r="A87">
        <v>2014</v>
      </c>
      <c r="B87" t="s">
        <v>72</v>
      </c>
      <c r="C87" t="s">
        <v>73</v>
      </c>
      <c r="D87" t="s">
        <v>228</v>
      </c>
      <c r="E87" t="s">
        <v>74</v>
      </c>
      <c r="F87" t="s">
        <v>29</v>
      </c>
      <c r="G87">
        <v>1970</v>
      </c>
      <c r="H87" t="s">
        <v>34</v>
      </c>
      <c r="K87">
        <v>10.61</v>
      </c>
      <c r="L87">
        <v>950</v>
      </c>
      <c r="M87">
        <v>42</v>
      </c>
      <c r="N87" t="s">
        <v>75</v>
      </c>
      <c r="O87" t="s">
        <v>76</v>
      </c>
      <c r="P87">
        <v>200</v>
      </c>
      <c r="Q87">
        <v>50</v>
      </c>
      <c r="R87">
        <v>6.3490000000000002</v>
      </c>
      <c r="T87">
        <v>11.786</v>
      </c>
      <c r="U87">
        <f t="shared" si="28"/>
        <v>5.4369999999999994</v>
      </c>
      <c r="V87" s="6">
        <f t="shared" si="29"/>
        <v>129.45238095238093</v>
      </c>
      <c r="W87" s="7">
        <f t="shared" si="30"/>
        <v>2.0389412655911312</v>
      </c>
    </row>
    <row r="88" spans="1:23" x14ac:dyDescent="0.35">
      <c r="U88" s="6"/>
      <c r="V88" s="7"/>
    </row>
    <row r="89" spans="1:23" x14ac:dyDescent="0.35">
      <c r="A89">
        <v>2017</v>
      </c>
      <c r="B89" t="s">
        <v>78</v>
      </c>
      <c r="C89" t="s">
        <v>79</v>
      </c>
      <c r="D89" t="s">
        <v>228</v>
      </c>
      <c r="E89" t="s">
        <v>74</v>
      </c>
      <c r="F89" t="s">
        <v>29</v>
      </c>
      <c r="G89">
        <v>1970</v>
      </c>
      <c r="H89" t="s">
        <v>34</v>
      </c>
      <c r="K89">
        <v>10.61</v>
      </c>
      <c r="L89">
        <v>950</v>
      </c>
      <c r="M89">
        <v>44</v>
      </c>
      <c r="N89" t="s">
        <v>80</v>
      </c>
      <c r="O89" t="s">
        <v>244</v>
      </c>
      <c r="P89">
        <v>200</v>
      </c>
      <c r="Q89">
        <v>200</v>
      </c>
      <c r="R89">
        <v>27.04</v>
      </c>
      <c r="T89">
        <f>22.87+21.57</f>
        <v>44.44</v>
      </c>
      <c r="U89">
        <f t="shared" si="24"/>
        <v>17.399999999999999</v>
      </c>
      <c r="V89" s="6">
        <f t="shared" si="25"/>
        <v>395.45454545454544</v>
      </c>
      <c r="W89" s="7">
        <f t="shared" si="18"/>
        <v>1.4624798278644433</v>
      </c>
    </row>
    <row r="90" spans="1:23" x14ac:dyDescent="0.35">
      <c r="D90" t="s">
        <v>228</v>
      </c>
      <c r="V90" s="6"/>
      <c r="W90" s="7"/>
    </row>
    <row r="91" spans="1:23" x14ac:dyDescent="0.35">
      <c r="A91">
        <v>2014</v>
      </c>
      <c r="B91" t="s">
        <v>81</v>
      </c>
      <c r="C91" t="s">
        <v>82</v>
      </c>
      <c r="D91" t="s">
        <v>228</v>
      </c>
      <c r="E91" t="s">
        <v>38</v>
      </c>
      <c r="F91" t="s">
        <v>44</v>
      </c>
      <c r="G91">
        <v>2005</v>
      </c>
      <c r="H91" t="s">
        <v>83</v>
      </c>
      <c r="I91">
        <v>160</v>
      </c>
      <c r="J91">
        <v>720</v>
      </c>
      <c r="K91">
        <v>4.76</v>
      </c>
      <c r="L91">
        <v>373</v>
      </c>
      <c r="M91">
        <v>6</v>
      </c>
      <c r="N91" t="s">
        <v>84</v>
      </c>
      <c r="O91" t="s">
        <v>85</v>
      </c>
      <c r="P91">
        <v>100</v>
      </c>
      <c r="Q91">
        <v>850</v>
      </c>
      <c r="R91">
        <v>56.6</v>
      </c>
      <c r="T91">
        <v>57.2</v>
      </c>
      <c r="U91">
        <f t="shared" si="24"/>
        <v>0.60000000000000142</v>
      </c>
      <c r="V91" s="6">
        <f t="shared" si="25"/>
        <v>100.00000000000024</v>
      </c>
      <c r="W91" s="7">
        <f t="shared" si="18"/>
        <v>0.1766784452296824</v>
      </c>
    </row>
    <row r="92" spans="1:23" x14ac:dyDescent="0.35">
      <c r="A92">
        <v>2014</v>
      </c>
      <c r="B92" t="s">
        <v>81</v>
      </c>
      <c r="C92" t="s">
        <v>82</v>
      </c>
      <c r="D92" t="s">
        <v>228</v>
      </c>
      <c r="E92" t="s">
        <v>38</v>
      </c>
      <c r="F92" t="s">
        <v>44</v>
      </c>
      <c r="G92">
        <v>2005</v>
      </c>
      <c r="H92" t="s">
        <v>83</v>
      </c>
      <c r="I92">
        <v>160</v>
      </c>
      <c r="J92">
        <v>720</v>
      </c>
      <c r="K92">
        <v>4.76</v>
      </c>
      <c r="L92">
        <v>373</v>
      </c>
      <c r="M92">
        <v>6</v>
      </c>
      <c r="N92" t="s">
        <v>86</v>
      </c>
      <c r="O92" t="s">
        <v>85</v>
      </c>
      <c r="P92">
        <v>100</v>
      </c>
      <c r="Q92">
        <v>850</v>
      </c>
      <c r="R92">
        <v>71.099999999999994</v>
      </c>
      <c r="T92">
        <v>74.7</v>
      </c>
      <c r="U92">
        <f t="shared" si="24"/>
        <v>3.6000000000000085</v>
      </c>
      <c r="V92" s="6">
        <f t="shared" si="25"/>
        <v>600.00000000000136</v>
      </c>
      <c r="W92" s="7">
        <f t="shared" si="18"/>
        <v>0.84388185654008641</v>
      </c>
    </row>
    <row r="93" spans="1:23" x14ac:dyDescent="0.35">
      <c r="A93">
        <v>2014</v>
      </c>
      <c r="B93" t="s">
        <v>81</v>
      </c>
      <c r="C93" t="s">
        <v>82</v>
      </c>
      <c r="D93" t="s">
        <v>228</v>
      </c>
      <c r="E93" t="s">
        <v>38</v>
      </c>
      <c r="F93" t="s">
        <v>44</v>
      </c>
      <c r="G93">
        <v>2005</v>
      </c>
      <c r="H93" t="s">
        <v>83</v>
      </c>
      <c r="I93">
        <v>160</v>
      </c>
      <c r="J93">
        <v>720</v>
      </c>
      <c r="K93">
        <v>4.76</v>
      </c>
      <c r="L93">
        <v>373</v>
      </c>
      <c r="M93">
        <v>6</v>
      </c>
      <c r="N93" t="s">
        <v>87</v>
      </c>
      <c r="O93" t="s">
        <v>85</v>
      </c>
      <c r="P93">
        <v>100</v>
      </c>
      <c r="Q93">
        <v>850</v>
      </c>
      <c r="R93">
        <v>56.8</v>
      </c>
      <c r="T93">
        <v>58.9</v>
      </c>
      <c r="U93">
        <f t="shared" si="24"/>
        <v>2.1000000000000014</v>
      </c>
      <c r="V93" s="6">
        <f t="shared" si="25"/>
        <v>350.00000000000023</v>
      </c>
      <c r="W93" s="7">
        <f t="shared" si="18"/>
        <v>0.61619718309859206</v>
      </c>
    </row>
    <row r="94" spans="1:23" x14ac:dyDescent="0.35">
      <c r="A94">
        <v>2014</v>
      </c>
      <c r="B94" t="s">
        <v>81</v>
      </c>
      <c r="C94" t="s">
        <v>82</v>
      </c>
      <c r="D94" t="s">
        <v>228</v>
      </c>
      <c r="E94" t="s">
        <v>38</v>
      </c>
      <c r="F94" t="s">
        <v>44</v>
      </c>
      <c r="G94">
        <v>2005</v>
      </c>
      <c r="H94" t="s">
        <v>83</v>
      </c>
      <c r="I94">
        <v>160</v>
      </c>
      <c r="J94">
        <v>720</v>
      </c>
      <c r="K94">
        <v>4.76</v>
      </c>
      <c r="L94">
        <v>373</v>
      </c>
      <c r="M94">
        <v>6</v>
      </c>
      <c r="N94" t="s">
        <v>88</v>
      </c>
      <c r="O94" t="s">
        <v>85</v>
      </c>
      <c r="P94">
        <v>100</v>
      </c>
      <c r="Q94">
        <v>850</v>
      </c>
      <c r="R94">
        <v>65.5</v>
      </c>
      <c r="T94">
        <v>64.7</v>
      </c>
      <c r="U94">
        <f t="shared" si="24"/>
        <v>-0.79999999999999716</v>
      </c>
      <c r="V94" s="6">
        <f t="shared" si="25"/>
        <v>-133.33333333333286</v>
      </c>
      <c r="W94" s="7">
        <f t="shared" si="18"/>
        <v>-0.20356234096692039</v>
      </c>
    </row>
    <row r="95" spans="1:23" x14ac:dyDescent="0.35">
      <c r="D95" t="s">
        <v>228</v>
      </c>
      <c r="V95" s="6"/>
      <c r="W95" s="7"/>
    </row>
    <row r="96" spans="1:23" x14ac:dyDescent="0.35">
      <c r="A96">
        <v>2014</v>
      </c>
      <c r="B96" t="s">
        <v>89</v>
      </c>
      <c r="C96" t="s">
        <v>90</v>
      </c>
      <c r="D96" t="s">
        <v>228</v>
      </c>
      <c r="E96" t="s">
        <v>91</v>
      </c>
      <c r="F96" t="s">
        <v>29</v>
      </c>
      <c r="H96" t="s">
        <v>34</v>
      </c>
      <c r="K96">
        <v>11</v>
      </c>
      <c r="L96">
        <v>1016</v>
      </c>
      <c r="M96">
        <v>18</v>
      </c>
      <c r="N96" t="s">
        <v>11</v>
      </c>
      <c r="O96" t="s">
        <v>62</v>
      </c>
      <c r="P96">
        <v>200</v>
      </c>
      <c r="Q96">
        <v>600</v>
      </c>
      <c r="R96">
        <f>SUM(21.03,16.54,15.08,11.19)</f>
        <v>63.839999999999996</v>
      </c>
      <c r="T96">
        <f>SUM(14.59, 16.05, 22.85, 26.5)</f>
        <v>79.990000000000009</v>
      </c>
      <c r="U96">
        <f t="shared" si="24"/>
        <v>16.150000000000013</v>
      </c>
      <c r="V96" s="6">
        <f t="shared" si="25"/>
        <v>897.22222222222297</v>
      </c>
      <c r="W96" s="7">
        <f t="shared" si="18"/>
        <v>1.4054232804232816</v>
      </c>
    </row>
    <row r="97" spans="1:23" x14ac:dyDescent="0.35">
      <c r="D97" t="s">
        <v>228</v>
      </c>
      <c r="E97" s="13"/>
      <c r="V97" s="6"/>
      <c r="W97" s="7"/>
    </row>
    <row r="98" spans="1:23" x14ac:dyDescent="0.35">
      <c r="A98">
        <v>2013</v>
      </c>
      <c r="B98" t="s">
        <v>92</v>
      </c>
      <c r="C98" t="s">
        <v>93</v>
      </c>
      <c r="D98" t="s">
        <v>228</v>
      </c>
      <c r="F98" t="s">
        <v>94</v>
      </c>
      <c r="G98">
        <v>1988</v>
      </c>
      <c r="H98" t="s">
        <v>35</v>
      </c>
      <c r="M98">
        <v>24</v>
      </c>
      <c r="N98" t="s">
        <v>32</v>
      </c>
      <c r="O98" t="s">
        <v>95</v>
      </c>
      <c r="P98">
        <v>200</v>
      </c>
      <c r="Q98">
        <v>750</v>
      </c>
      <c r="R98">
        <v>42</v>
      </c>
      <c r="T98">
        <v>50.9</v>
      </c>
      <c r="U98">
        <f t="shared" si="24"/>
        <v>8.8999999999999986</v>
      </c>
      <c r="V98" s="6">
        <f t="shared" si="25"/>
        <v>370.83333333333331</v>
      </c>
      <c r="W98" s="7">
        <f t="shared" si="18"/>
        <v>0.8829365079365078</v>
      </c>
    </row>
    <row r="99" spans="1:23" x14ac:dyDescent="0.35">
      <c r="A99">
        <v>2013</v>
      </c>
      <c r="B99" t="s">
        <v>92</v>
      </c>
      <c r="C99" t="s">
        <v>93</v>
      </c>
      <c r="D99" t="s">
        <v>228</v>
      </c>
      <c r="F99" t="s">
        <v>94</v>
      </c>
      <c r="G99">
        <v>1988</v>
      </c>
      <c r="H99" t="s">
        <v>35</v>
      </c>
      <c r="M99">
        <v>24</v>
      </c>
      <c r="N99" t="s">
        <v>32</v>
      </c>
      <c r="O99" t="s">
        <v>96</v>
      </c>
      <c r="P99">
        <v>200</v>
      </c>
      <c r="Q99">
        <v>750</v>
      </c>
      <c r="R99">
        <v>43.1</v>
      </c>
      <c r="T99">
        <v>50.9</v>
      </c>
      <c r="U99">
        <f t="shared" si="24"/>
        <v>7.7999999999999972</v>
      </c>
      <c r="V99" s="6">
        <f t="shared" si="25"/>
        <v>324.99999999999989</v>
      </c>
      <c r="W99" s="7">
        <f t="shared" si="18"/>
        <v>0.75406032482598584</v>
      </c>
    </row>
    <row r="100" spans="1:23" x14ac:dyDescent="0.35">
      <c r="D100" t="s">
        <v>228</v>
      </c>
      <c r="V100" s="6"/>
      <c r="W100" s="7"/>
    </row>
    <row r="101" spans="1:23" x14ac:dyDescent="0.35">
      <c r="A101">
        <v>2013</v>
      </c>
      <c r="B101" t="s">
        <v>97</v>
      </c>
      <c r="C101" t="s">
        <v>98</v>
      </c>
      <c r="D101" t="s">
        <v>228</v>
      </c>
      <c r="F101" t="s">
        <v>39</v>
      </c>
      <c r="G101">
        <v>2008</v>
      </c>
      <c r="H101" t="s">
        <v>99</v>
      </c>
      <c r="I101">
        <v>516</v>
      </c>
      <c r="J101">
        <v>26</v>
      </c>
      <c r="M101">
        <v>4</v>
      </c>
      <c r="N101" t="s">
        <v>100</v>
      </c>
      <c r="O101" t="s">
        <v>13</v>
      </c>
      <c r="P101">
        <v>150</v>
      </c>
      <c r="Q101">
        <v>150</v>
      </c>
      <c r="R101">
        <v>58.32</v>
      </c>
      <c r="T101">
        <v>61.57</v>
      </c>
      <c r="U101">
        <f t="shared" si="24"/>
        <v>3.25</v>
      </c>
      <c r="V101" s="6">
        <f t="shared" si="25"/>
        <v>812.5</v>
      </c>
      <c r="W101" s="7">
        <f t="shared" si="18"/>
        <v>1.3931755829903978</v>
      </c>
    </row>
    <row r="102" spans="1:23" x14ac:dyDescent="0.35">
      <c r="A102">
        <v>2013</v>
      </c>
      <c r="B102" t="s">
        <v>97</v>
      </c>
      <c r="C102" t="s">
        <v>98</v>
      </c>
      <c r="D102" t="s">
        <v>228</v>
      </c>
      <c r="F102" t="s">
        <v>39</v>
      </c>
      <c r="G102">
        <v>2008</v>
      </c>
      <c r="H102" t="s">
        <v>99</v>
      </c>
      <c r="I102">
        <v>516</v>
      </c>
      <c r="J102">
        <v>26</v>
      </c>
      <c r="M102">
        <v>4</v>
      </c>
      <c r="N102" t="s">
        <v>100</v>
      </c>
      <c r="O102" t="s">
        <v>101</v>
      </c>
      <c r="P102" s="8">
        <v>150150</v>
      </c>
      <c r="Q102">
        <v>150</v>
      </c>
      <c r="R102">
        <v>58.32</v>
      </c>
      <c r="S102">
        <v>58.75</v>
      </c>
      <c r="U102">
        <f t="shared" si="24"/>
        <v>0.42999999999999972</v>
      </c>
      <c r="V102" s="6">
        <f t="shared" si="25"/>
        <v>107.49999999999993</v>
      </c>
      <c r="W102" s="7">
        <f t="shared" si="18"/>
        <v>0.18432784636488328</v>
      </c>
    </row>
    <row r="103" spans="1:23" x14ac:dyDescent="0.35">
      <c r="A103">
        <v>2013</v>
      </c>
      <c r="B103" t="s">
        <v>97</v>
      </c>
      <c r="C103" t="s">
        <v>98</v>
      </c>
      <c r="D103" t="s">
        <v>228</v>
      </c>
      <c r="F103" t="s">
        <v>39</v>
      </c>
      <c r="G103">
        <v>2005</v>
      </c>
      <c r="H103" t="s">
        <v>99</v>
      </c>
      <c r="I103">
        <v>513</v>
      </c>
      <c r="J103">
        <v>21</v>
      </c>
      <c r="M103">
        <v>6</v>
      </c>
      <c r="N103" t="s">
        <v>100</v>
      </c>
      <c r="O103" t="s">
        <v>13</v>
      </c>
      <c r="P103">
        <v>150</v>
      </c>
      <c r="Q103">
        <v>150</v>
      </c>
      <c r="R103">
        <v>56.8</v>
      </c>
      <c r="T103">
        <v>62.22</v>
      </c>
      <c r="U103">
        <f t="shared" si="24"/>
        <v>5.4200000000000017</v>
      </c>
      <c r="V103" s="6">
        <f t="shared" si="25"/>
        <v>903.3333333333336</v>
      </c>
      <c r="W103" s="7">
        <f t="shared" si="18"/>
        <v>1.5903755868544607</v>
      </c>
    </row>
    <row r="104" spans="1:23" x14ac:dyDescent="0.35">
      <c r="A104">
        <v>2013</v>
      </c>
      <c r="B104" t="s">
        <v>97</v>
      </c>
      <c r="C104" t="s">
        <v>98</v>
      </c>
      <c r="D104" t="s">
        <v>228</v>
      </c>
      <c r="F104" t="s">
        <v>39</v>
      </c>
      <c r="G104">
        <v>2005</v>
      </c>
      <c r="H104" t="s">
        <v>99</v>
      </c>
      <c r="I104">
        <v>513</v>
      </c>
      <c r="J104">
        <v>21</v>
      </c>
      <c r="M104">
        <v>6</v>
      </c>
      <c r="N104" t="s">
        <v>100</v>
      </c>
      <c r="O104" t="s">
        <v>101</v>
      </c>
      <c r="P104" s="8">
        <v>150150</v>
      </c>
      <c r="Q104">
        <v>150</v>
      </c>
      <c r="R104">
        <v>56.8</v>
      </c>
      <c r="S104">
        <v>61.14</v>
      </c>
      <c r="U104">
        <f t="shared" si="24"/>
        <v>4.3400000000000034</v>
      </c>
      <c r="V104" s="6">
        <f t="shared" si="25"/>
        <v>723.33333333333394</v>
      </c>
      <c r="W104" s="7">
        <f t="shared" si="18"/>
        <v>1.2734741784037571</v>
      </c>
    </row>
    <row r="105" spans="1:23" x14ac:dyDescent="0.35">
      <c r="A105">
        <v>2013</v>
      </c>
      <c r="B105" t="s">
        <v>97</v>
      </c>
      <c r="C105" t="s">
        <v>98</v>
      </c>
      <c r="D105" t="s">
        <v>228</v>
      </c>
      <c r="F105" t="s">
        <v>39</v>
      </c>
      <c r="G105">
        <v>2005</v>
      </c>
      <c r="H105" t="s">
        <v>99</v>
      </c>
      <c r="I105">
        <v>500</v>
      </c>
      <c r="J105">
        <v>23</v>
      </c>
      <c r="M105">
        <v>6</v>
      </c>
      <c r="N105" t="s">
        <v>100</v>
      </c>
      <c r="O105" t="s">
        <v>13</v>
      </c>
      <c r="P105" s="8">
        <v>150</v>
      </c>
      <c r="Q105">
        <v>150</v>
      </c>
      <c r="R105">
        <v>53.98</v>
      </c>
      <c r="T105">
        <v>58.54</v>
      </c>
      <c r="U105">
        <f t="shared" si="24"/>
        <v>4.5600000000000023</v>
      </c>
      <c r="V105" s="6">
        <f t="shared" si="25"/>
        <v>760.00000000000034</v>
      </c>
      <c r="W105" s="7">
        <f t="shared" si="18"/>
        <v>1.407928862541683</v>
      </c>
    </row>
    <row r="106" spans="1:23" x14ac:dyDescent="0.35">
      <c r="A106">
        <v>2013</v>
      </c>
      <c r="B106" t="s">
        <v>97</v>
      </c>
      <c r="C106" t="s">
        <v>98</v>
      </c>
      <c r="D106" t="s">
        <v>228</v>
      </c>
      <c r="F106" t="s">
        <v>39</v>
      </c>
      <c r="G106">
        <v>2005</v>
      </c>
      <c r="H106" t="s">
        <v>99</v>
      </c>
      <c r="I106">
        <v>500</v>
      </c>
      <c r="J106">
        <v>23</v>
      </c>
      <c r="M106">
        <v>6</v>
      </c>
      <c r="N106" t="s">
        <v>100</v>
      </c>
      <c r="O106" t="s">
        <v>101</v>
      </c>
      <c r="P106" s="8">
        <v>150150</v>
      </c>
      <c r="Q106">
        <v>150</v>
      </c>
      <c r="R106">
        <v>53.98</v>
      </c>
      <c r="S106">
        <v>60.27</v>
      </c>
      <c r="U106">
        <f t="shared" si="24"/>
        <v>6.2900000000000063</v>
      </c>
      <c r="V106" s="6">
        <f t="shared" si="25"/>
        <v>1048.3333333333344</v>
      </c>
      <c r="W106" s="7">
        <f t="shared" si="18"/>
        <v>1.94207731258491</v>
      </c>
    </row>
    <row r="107" spans="1:23" x14ac:dyDescent="0.35">
      <c r="D107" t="s">
        <v>228</v>
      </c>
      <c r="V107" s="6"/>
      <c r="W107" s="7"/>
    </row>
    <row r="108" spans="1:23" x14ac:dyDescent="0.35">
      <c r="A108">
        <v>2012</v>
      </c>
      <c r="B108" t="s">
        <v>102</v>
      </c>
      <c r="C108" t="s">
        <v>103</v>
      </c>
      <c r="D108" t="s">
        <v>228</v>
      </c>
      <c r="E108" t="s">
        <v>33</v>
      </c>
      <c r="F108" t="s">
        <v>29</v>
      </c>
      <c r="G108">
        <v>1962</v>
      </c>
      <c r="H108" t="s">
        <v>35</v>
      </c>
      <c r="K108">
        <v>9.1</v>
      </c>
      <c r="L108">
        <v>905</v>
      </c>
      <c r="M108">
        <v>49</v>
      </c>
      <c r="N108" t="s">
        <v>104</v>
      </c>
      <c r="O108" t="s">
        <v>105</v>
      </c>
      <c r="P108">
        <v>250</v>
      </c>
      <c r="Q108">
        <v>400</v>
      </c>
      <c r="R108">
        <v>47.73</v>
      </c>
      <c r="T108">
        <v>51.34</v>
      </c>
      <c r="U108">
        <f t="shared" si="24"/>
        <v>3.6100000000000065</v>
      </c>
      <c r="V108" s="6">
        <f t="shared" si="25"/>
        <v>73.673469387755233</v>
      </c>
      <c r="W108" s="7">
        <f t="shared" ref="W108:W173" si="31">U108/R108/M108*100</f>
        <v>0.15435463940447358</v>
      </c>
    </row>
    <row r="109" spans="1:23" x14ac:dyDescent="0.35">
      <c r="A109">
        <v>2012</v>
      </c>
      <c r="B109" t="s">
        <v>102</v>
      </c>
      <c r="C109" t="s">
        <v>103</v>
      </c>
      <c r="D109" t="s">
        <v>228</v>
      </c>
      <c r="E109" t="s">
        <v>33</v>
      </c>
      <c r="F109" t="s">
        <v>29</v>
      </c>
      <c r="G109">
        <v>1962</v>
      </c>
      <c r="H109" t="s">
        <v>35</v>
      </c>
      <c r="K109">
        <v>9.1</v>
      </c>
      <c r="L109">
        <v>905</v>
      </c>
      <c r="M109">
        <v>49</v>
      </c>
      <c r="N109" t="s">
        <v>104</v>
      </c>
      <c r="O109" t="s">
        <v>106</v>
      </c>
      <c r="P109" s="8">
        <v>250250</v>
      </c>
      <c r="Q109">
        <v>400</v>
      </c>
      <c r="R109">
        <v>47.73</v>
      </c>
      <c r="S109">
        <v>52.45</v>
      </c>
      <c r="U109">
        <f t="shared" si="24"/>
        <v>4.720000000000006</v>
      </c>
      <c r="V109" s="6">
        <f t="shared" si="25"/>
        <v>96.326530612245023</v>
      </c>
      <c r="W109" s="7">
        <f t="shared" si="31"/>
        <v>0.20181548420751105</v>
      </c>
    </row>
    <row r="110" spans="1:23" x14ac:dyDescent="0.35">
      <c r="A110">
        <v>2012</v>
      </c>
      <c r="B110" t="s">
        <v>102</v>
      </c>
      <c r="C110" t="s">
        <v>103</v>
      </c>
      <c r="D110" t="s">
        <v>228</v>
      </c>
      <c r="E110" t="s">
        <v>28</v>
      </c>
      <c r="F110" t="s">
        <v>29</v>
      </c>
      <c r="G110">
        <v>1964</v>
      </c>
      <c r="H110" t="s">
        <v>107</v>
      </c>
      <c r="K110">
        <v>9.9</v>
      </c>
      <c r="L110">
        <v>845</v>
      </c>
      <c r="M110">
        <v>47</v>
      </c>
      <c r="N110" t="s">
        <v>104</v>
      </c>
      <c r="O110" t="s">
        <v>105</v>
      </c>
      <c r="P110">
        <v>250</v>
      </c>
      <c r="Q110">
        <v>400</v>
      </c>
      <c r="R110">
        <v>57.15</v>
      </c>
      <c r="T110">
        <v>64.400000000000006</v>
      </c>
      <c r="U110">
        <f t="shared" si="24"/>
        <v>7.2500000000000071</v>
      </c>
      <c r="V110" s="6">
        <f t="shared" si="25"/>
        <v>154.25531914893631</v>
      </c>
      <c r="W110" s="7">
        <f t="shared" si="31"/>
        <v>0.26991306937696646</v>
      </c>
    </row>
    <row r="111" spans="1:23" x14ac:dyDescent="0.35">
      <c r="A111">
        <v>2012</v>
      </c>
      <c r="B111" t="s">
        <v>102</v>
      </c>
      <c r="C111" t="s">
        <v>103</v>
      </c>
      <c r="D111" t="s">
        <v>228</v>
      </c>
      <c r="E111" t="s">
        <v>28</v>
      </c>
      <c r="F111" t="s">
        <v>29</v>
      </c>
      <c r="G111">
        <v>1964</v>
      </c>
      <c r="H111" t="s">
        <v>107</v>
      </c>
      <c r="K111">
        <v>9.9</v>
      </c>
      <c r="L111">
        <v>845</v>
      </c>
      <c r="M111">
        <v>47</v>
      </c>
      <c r="N111" t="s">
        <v>104</v>
      </c>
      <c r="O111" t="s">
        <v>106</v>
      </c>
      <c r="P111" s="8">
        <v>250250</v>
      </c>
      <c r="Q111">
        <v>400</v>
      </c>
      <c r="R111">
        <v>57.15</v>
      </c>
      <c r="S111">
        <v>61.7</v>
      </c>
      <c r="U111">
        <f t="shared" si="24"/>
        <v>4.5500000000000043</v>
      </c>
      <c r="V111" s="6">
        <f t="shared" si="25"/>
        <v>96.80851063829796</v>
      </c>
      <c r="W111" s="7">
        <f t="shared" si="31"/>
        <v>0.16939371940209619</v>
      </c>
    </row>
    <row r="112" spans="1:23" x14ac:dyDescent="0.35">
      <c r="D112" t="s">
        <v>228</v>
      </c>
      <c r="V112" s="6"/>
      <c r="W112" s="7"/>
    </row>
    <row r="113" spans="1:23" x14ac:dyDescent="0.35">
      <c r="A113">
        <v>2011</v>
      </c>
      <c r="B113" t="s">
        <v>108</v>
      </c>
      <c r="C113" t="s">
        <v>109</v>
      </c>
      <c r="D113" t="s">
        <v>228</v>
      </c>
      <c r="E113" t="s">
        <v>45</v>
      </c>
      <c r="F113" t="s">
        <v>46</v>
      </c>
      <c r="G113">
        <v>2004</v>
      </c>
      <c r="H113" t="s">
        <v>110</v>
      </c>
      <c r="I113">
        <v>325</v>
      </c>
      <c r="J113">
        <v>350</v>
      </c>
      <c r="K113">
        <v>6.75</v>
      </c>
      <c r="L113">
        <v>306.75</v>
      </c>
      <c r="M113">
        <v>4</v>
      </c>
      <c r="N113" t="s">
        <v>111</v>
      </c>
      <c r="O113" t="s">
        <v>112</v>
      </c>
      <c r="P113">
        <v>80</v>
      </c>
      <c r="Q113">
        <v>200</v>
      </c>
      <c r="R113">
        <v>37.200000000000003</v>
      </c>
      <c r="T113">
        <v>34.5</v>
      </c>
      <c r="U113">
        <f t="shared" ref="U113:U178" si="32">IF(ISBLANK($S113),$T113-$R113,$S113-$R113)</f>
        <v>-2.7000000000000028</v>
      </c>
      <c r="V113" s="6">
        <f t="shared" si="25"/>
        <v>-675.00000000000068</v>
      </c>
      <c r="W113" s="7">
        <f t="shared" si="31"/>
        <v>-1.81451612903226</v>
      </c>
    </row>
    <row r="114" spans="1:23" x14ac:dyDescent="0.35">
      <c r="A114">
        <v>2011</v>
      </c>
      <c r="B114" t="s">
        <v>108</v>
      </c>
      <c r="C114" t="s">
        <v>109</v>
      </c>
      <c r="D114" t="s">
        <v>228</v>
      </c>
      <c r="E114" t="s">
        <v>45</v>
      </c>
      <c r="F114" t="s">
        <v>46</v>
      </c>
      <c r="G114">
        <v>2004</v>
      </c>
      <c r="H114" t="s">
        <v>110</v>
      </c>
      <c r="I114">
        <v>325</v>
      </c>
      <c r="J114">
        <v>350</v>
      </c>
      <c r="K114">
        <v>6.75</v>
      </c>
      <c r="L114">
        <v>306.75</v>
      </c>
      <c r="M114">
        <v>4</v>
      </c>
      <c r="N114" t="s">
        <v>113</v>
      </c>
      <c r="O114" t="s">
        <v>112</v>
      </c>
      <c r="P114">
        <v>80</v>
      </c>
      <c r="Q114">
        <v>200</v>
      </c>
      <c r="R114">
        <v>36.799999999999997</v>
      </c>
      <c r="T114">
        <v>33.5</v>
      </c>
      <c r="U114">
        <f t="shared" si="32"/>
        <v>-3.2999999999999972</v>
      </c>
      <c r="V114" s="6">
        <f t="shared" si="25"/>
        <v>-824.99999999999932</v>
      </c>
      <c r="W114" s="7">
        <f t="shared" si="31"/>
        <v>-2.2418478260869548</v>
      </c>
    </row>
    <row r="115" spans="1:23" x14ac:dyDescent="0.35">
      <c r="A115">
        <v>2011</v>
      </c>
      <c r="B115" t="s">
        <v>108</v>
      </c>
      <c r="C115" t="s">
        <v>109</v>
      </c>
      <c r="D115" t="s">
        <v>228</v>
      </c>
      <c r="E115" t="s">
        <v>45</v>
      </c>
      <c r="F115" t="s">
        <v>46</v>
      </c>
      <c r="G115">
        <v>2004</v>
      </c>
      <c r="H115" t="s">
        <v>110</v>
      </c>
      <c r="I115">
        <v>325</v>
      </c>
      <c r="J115">
        <v>350</v>
      </c>
      <c r="K115">
        <v>6.75</v>
      </c>
      <c r="L115">
        <v>306.75</v>
      </c>
      <c r="M115">
        <v>4</v>
      </c>
      <c r="N115" t="s">
        <v>114</v>
      </c>
      <c r="O115" t="s">
        <v>112</v>
      </c>
      <c r="P115">
        <v>80</v>
      </c>
      <c r="Q115">
        <v>200</v>
      </c>
      <c r="R115">
        <v>38.200000000000003</v>
      </c>
      <c r="T115">
        <v>33.799999999999997</v>
      </c>
      <c r="U115">
        <f t="shared" si="32"/>
        <v>-4.4000000000000057</v>
      </c>
      <c r="V115" s="6">
        <f t="shared" si="25"/>
        <v>-1100.0000000000014</v>
      </c>
      <c r="W115" s="7">
        <f t="shared" si="31"/>
        <v>-2.8795811518324643</v>
      </c>
    </row>
    <row r="116" spans="1:23" x14ac:dyDescent="0.35">
      <c r="A116">
        <v>2011</v>
      </c>
      <c r="B116" t="s">
        <v>108</v>
      </c>
      <c r="C116" t="s">
        <v>109</v>
      </c>
      <c r="D116" t="s">
        <v>228</v>
      </c>
      <c r="E116" t="s">
        <v>45</v>
      </c>
      <c r="F116" t="s">
        <v>46</v>
      </c>
      <c r="G116">
        <v>2004</v>
      </c>
      <c r="H116" t="s">
        <v>110</v>
      </c>
      <c r="I116">
        <v>325</v>
      </c>
      <c r="J116">
        <v>350</v>
      </c>
      <c r="K116">
        <v>6.75</v>
      </c>
      <c r="L116">
        <v>306.75</v>
      </c>
      <c r="M116">
        <v>4</v>
      </c>
      <c r="N116" t="s">
        <v>115</v>
      </c>
      <c r="O116" t="s">
        <v>112</v>
      </c>
      <c r="P116">
        <v>80</v>
      </c>
      <c r="Q116">
        <v>200</v>
      </c>
      <c r="R116">
        <v>36.1</v>
      </c>
      <c r="T116">
        <v>34.700000000000003</v>
      </c>
      <c r="U116">
        <f t="shared" si="32"/>
        <v>-1.3999999999999986</v>
      </c>
      <c r="V116" s="6">
        <f t="shared" si="25"/>
        <v>-349.99999999999966</v>
      </c>
      <c r="W116" s="7">
        <f t="shared" si="31"/>
        <v>-0.96952908587257502</v>
      </c>
    </row>
    <row r="117" spans="1:23" x14ac:dyDescent="0.35">
      <c r="D117" t="s">
        <v>228</v>
      </c>
      <c r="V117" s="6"/>
      <c r="W117" s="7"/>
    </row>
    <row r="118" spans="1:23" x14ac:dyDescent="0.35">
      <c r="A118">
        <v>2009</v>
      </c>
      <c r="B118" t="s">
        <v>116</v>
      </c>
      <c r="C118" t="s">
        <v>117</v>
      </c>
      <c r="D118" t="s">
        <v>228</v>
      </c>
      <c r="E118" t="s">
        <v>56</v>
      </c>
      <c r="F118" t="s">
        <v>29</v>
      </c>
      <c r="G118">
        <v>1962</v>
      </c>
      <c r="H118" t="s">
        <v>34</v>
      </c>
      <c r="K118">
        <v>11.2</v>
      </c>
      <c r="L118">
        <v>921</v>
      </c>
      <c r="M118">
        <v>43</v>
      </c>
      <c r="N118" t="s">
        <v>68</v>
      </c>
      <c r="O118" t="s">
        <v>118</v>
      </c>
      <c r="P118">
        <v>250</v>
      </c>
      <c r="Q118">
        <v>300</v>
      </c>
      <c r="R118">
        <v>45.3</v>
      </c>
      <c r="T118">
        <v>80</v>
      </c>
      <c r="U118">
        <f t="shared" si="32"/>
        <v>34.700000000000003</v>
      </c>
      <c r="V118" s="6">
        <f t="shared" si="25"/>
        <v>806.97674418604663</v>
      </c>
      <c r="W118" s="7">
        <f t="shared" si="31"/>
        <v>1.7814056163047387</v>
      </c>
    </row>
    <row r="119" spans="1:23" x14ac:dyDescent="0.35">
      <c r="A119">
        <v>2009</v>
      </c>
      <c r="B119" t="s">
        <v>116</v>
      </c>
      <c r="C119" t="s">
        <v>117</v>
      </c>
      <c r="D119" t="s">
        <v>228</v>
      </c>
      <c r="E119" t="s">
        <v>56</v>
      </c>
      <c r="F119" t="s">
        <v>29</v>
      </c>
      <c r="G119">
        <v>1962</v>
      </c>
      <c r="H119" t="s">
        <v>34</v>
      </c>
      <c r="K119">
        <v>11.2</v>
      </c>
      <c r="L119">
        <v>921</v>
      </c>
      <c r="M119">
        <v>43</v>
      </c>
      <c r="N119" t="s">
        <v>68</v>
      </c>
      <c r="O119" t="s">
        <v>105</v>
      </c>
      <c r="P119">
        <v>400</v>
      </c>
      <c r="Q119">
        <v>300</v>
      </c>
      <c r="R119">
        <v>44.8</v>
      </c>
      <c r="T119">
        <v>80</v>
      </c>
      <c r="U119">
        <f t="shared" si="32"/>
        <v>35.200000000000003</v>
      </c>
      <c r="V119" s="6">
        <f t="shared" si="25"/>
        <v>818.60465116279079</v>
      </c>
      <c r="W119" s="7">
        <f t="shared" si="31"/>
        <v>1.8272425249169437</v>
      </c>
    </row>
    <row r="120" spans="1:23" x14ac:dyDescent="0.35">
      <c r="D120" t="s">
        <v>228</v>
      </c>
      <c r="V120" s="6"/>
      <c r="W120" s="7" t="e">
        <f t="shared" si="31"/>
        <v>#DIV/0!</v>
      </c>
    </row>
    <row r="121" spans="1:23" x14ac:dyDescent="0.35">
      <c r="A121">
        <v>2009</v>
      </c>
      <c r="B121" t="s">
        <v>119</v>
      </c>
      <c r="C121" t="s">
        <v>120</v>
      </c>
      <c r="D121" t="s">
        <v>228</v>
      </c>
      <c r="E121" t="s">
        <v>121</v>
      </c>
      <c r="F121" t="s">
        <v>122</v>
      </c>
      <c r="H121" t="s">
        <v>123</v>
      </c>
      <c r="I121">
        <v>275</v>
      </c>
      <c r="J121">
        <v>395</v>
      </c>
      <c r="N121" t="s">
        <v>69</v>
      </c>
      <c r="O121" t="s">
        <v>124</v>
      </c>
      <c r="Q121">
        <v>600</v>
      </c>
      <c r="R121">
        <v>97.6</v>
      </c>
      <c r="T121">
        <v>104</v>
      </c>
      <c r="U121">
        <f t="shared" si="32"/>
        <v>6.4000000000000057</v>
      </c>
      <c r="V121" s="6" t="e">
        <f t="shared" si="25"/>
        <v>#DIV/0!</v>
      </c>
      <c r="W121" s="7" t="e">
        <f t="shared" si="31"/>
        <v>#DIV/0!</v>
      </c>
    </row>
    <row r="122" spans="1:23" x14ac:dyDescent="0.35">
      <c r="A122">
        <v>2009</v>
      </c>
      <c r="B122" t="s">
        <v>119</v>
      </c>
      <c r="C122" t="s">
        <v>120</v>
      </c>
      <c r="D122" t="s">
        <v>228</v>
      </c>
      <c r="E122" t="s">
        <v>125</v>
      </c>
      <c r="F122" t="s">
        <v>122</v>
      </c>
      <c r="H122" t="s">
        <v>123</v>
      </c>
      <c r="I122">
        <v>308</v>
      </c>
      <c r="J122">
        <v>355</v>
      </c>
      <c r="N122" t="s">
        <v>69</v>
      </c>
      <c r="O122" t="s">
        <v>124</v>
      </c>
      <c r="Q122">
        <v>600</v>
      </c>
      <c r="R122">
        <v>82.3</v>
      </c>
      <c r="T122">
        <v>79</v>
      </c>
      <c r="U122">
        <f t="shared" si="32"/>
        <v>-3.2999999999999972</v>
      </c>
      <c r="V122" s="6" t="e">
        <f t="shared" si="25"/>
        <v>#DIV/0!</v>
      </c>
      <c r="W122" s="7" t="e">
        <f t="shared" si="31"/>
        <v>#DIV/0!</v>
      </c>
    </row>
    <row r="123" spans="1:23" x14ac:dyDescent="0.35">
      <c r="A123">
        <v>2009</v>
      </c>
      <c r="B123" t="s">
        <v>119</v>
      </c>
      <c r="C123" t="s">
        <v>120</v>
      </c>
      <c r="D123" t="s">
        <v>228</v>
      </c>
      <c r="E123" t="s">
        <v>126</v>
      </c>
      <c r="F123" t="s">
        <v>29</v>
      </c>
      <c r="H123" t="s">
        <v>110</v>
      </c>
      <c r="I123">
        <v>183</v>
      </c>
      <c r="J123">
        <v>348</v>
      </c>
      <c r="N123" t="s">
        <v>32</v>
      </c>
      <c r="O123" t="s">
        <v>124</v>
      </c>
      <c r="Q123">
        <v>600</v>
      </c>
      <c r="R123">
        <v>117</v>
      </c>
      <c r="T123">
        <v>143</v>
      </c>
      <c r="U123">
        <f t="shared" si="32"/>
        <v>26</v>
      </c>
      <c r="V123" s="6" t="e">
        <f t="shared" si="25"/>
        <v>#DIV/0!</v>
      </c>
      <c r="W123" s="7" t="e">
        <f t="shared" si="31"/>
        <v>#DIV/0!</v>
      </c>
    </row>
    <row r="124" spans="1:23" x14ac:dyDescent="0.35">
      <c r="A124">
        <v>2009</v>
      </c>
      <c r="B124" t="s">
        <v>119</v>
      </c>
      <c r="C124" t="s">
        <v>120</v>
      </c>
      <c r="D124" t="s">
        <v>228</v>
      </c>
      <c r="E124" t="s">
        <v>127</v>
      </c>
      <c r="F124" t="s">
        <v>29</v>
      </c>
      <c r="H124" t="s">
        <v>34</v>
      </c>
      <c r="I124">
        <v>183</v>
      </c>
      <c r="J124">
        <v>315</v>
      </c>
      <c r="N124" t="s">
        <v>32</v>
      </c>
      <c r="O124" t="s">
        <v>124</v>
      </c>
      <c r="Q124">
        <v>600</v>
      </c>
      <c r="R124">
        <v>46.3</v>
      </c>
      <c r="T124">
        <v>66.7</v>
      </c>
      <c r="U124">
        <f t="shared" si="32"/>
        <v>20.400000000000006</v>
      </c>
      <c r="V124" s="6" t="e">
        <f t="shared" si="25"/>
        <v>#DIV/0!</v>
      </c>
      <c r="W124" s="7" t="e">
        <f t="shared" si="31"/>
        <v>#DIV/0!</v>
      </c>
    </row>
    <row r="125" spans="1:23" x14ac:dyDescent="0.35">
      <c r="A125">
        <v>2009</v>
      </c>
      <c r="B125" t="s">
        <v>119</v>
      </c>
      <c r="C125" t="s">
        <v>120</v>
      </c>
      <c r="D125" t="s">
        <v>228</v>
      </c>
      <c r="E125" t="s">
        <v>128</v>
      </c>
      <c r="F125" t="s">
        <v>129</v>
      </c>
      <c r="H125" t="s">
        <v>110</v>
      </c>
      <c r="I125">
        <v>200</v>
      </c>
      <c r="J125">
        <v>476</v>
      </c>
      <c r="N125" t="s">
        <v>130</v>
      </c>
      <c r="O125" t="s">
        <v>124</v>
      </c>
      <c r="Q125">
        <v>600</v>
      </c>
      <c r="R125">
        <v>96.4</v>
      </c>
      <c r="T125">
        <v>83.4</v>
      </c>
      <c r="U125">
        <f t="shared" si="32"/>
        <v>-13</v>
      </c>
      <c r="V125" s="6" t="e">
        <f t="shared" si="25"/>
        <v>#DIV/0!</v>
      </c>
      <c r="W125" s="7" t="e">
        <f t="shared" si="31"/>
        <v>#DIV/0!</v>
      </c>
    </row>
    <row r="126" spans="1:23" x14ac:dyDescent="0.35">
      <c r="D126" t="s">
        <v>228</v>
      </c>
      <c r="V126" s="6"/>
      <c r="W126" s="7" t="e">
        <f t="shared" si="31"/>
        <v>#DIV/0!</v>
      </c>
    </row>
    <row r="127" spans="1:23" x14ac:dyDescent="0.35">
      <c r="A127">
        <v>2008</v>
      </c>
      <c r="B127" t="s">
        <v>131</v>
      </c>
      <c r="C127" t="s">
        <v>132</v>
      </c>
      <c r="D127" t="s">
        <v>228</v>
      </c>
      <c r="E127" t="s">
        <v>133</v>
      </c>
      <c r="F127" t="s">
        <v>134</v>
      </c>
      <c r="G127">
        <v>2002</v>
      </c>
      <c r="H127" t="s">
        <v>34</v>
      </c>
      <c r="M127">
        <v>6</v>
      </c>
      <c r="N127" t="s">
        <v>135</v>
      </c>
      <c r="O127" t="s">
        <v>124</v>
      </c>
      <c r="Q127">
        <v>600</v>
      </c>
      <c r="R127">
        <v>322</v>
      </c>
      <c r="T127">
        <v>349</v>
      </c>
      <c r="U127">
        <f t="shared" si="32"/>
        <v>27</v>
      </c>
      <c r="V127" s="6">
        <f t="shared" si="25"/>
        <v>4500</v>
      </c>
      <c r="W127" s="7">
        <f t="shared" si="31"/>
        <v>1.3975155279503106</v>
      </c>
    </row>
    <row r="128" spans="1:23" x14ac:dyDescent="0.35">
      <c r="A128">
        <v>2008</v>
      </c>
      <c r="B128" t="s">
        <v>131</v>
      </c>
      <c r="C128" t="s">
        <v>132</v>
      </c>
      <c r="D128" t="s">
        <v>228</v>
      </c>
      <c r="E128" t="s">
        <v>136</v>
      </c>
      <c r="F128" t="s">
        <v>134</v>
      </c>
      <c r="H128" t="s">
        <v>35</v>
      </c>
      <c r="N128" t="s">
        <v>137</v>
      </c>
      <c r="O128" t="s">
        <v>124</v>
      </c>
      <c r="Q128">
        <v>600</v>
      </c>
      <c r="R128">
        <v>233</v>
      </c>
      <c r="T128">
        <v>260</v>
      </c>
      <c r="U128">
        <f t="shared" si="32"/>
        <v>27</v>
      </c>
      <c r="V128" s="6" t="e">
        <f t="shared" si="25"/>
        <v>#DIV/0!</v>
      </c>
      <c r="W128" s="7" t="e">
        <f t="shared" si="31"/>
        <v>#DIV/0!</v>
      </c>
    </row>
    <row r="129" spans="1:23" x14ac:dyDescent="0.35">
      <c r="A129">
        <v>2008</v>
      </c>
      <c r="B129" t="s">
        <v>131</v>
      </c>
      <c r="C129" t="s">
        <v>132</v>
      </c>
      <c r="D129" t="s">
        <v>228</v>
      </c>
      <c r="E129" t="s">
        <v>138</v>
      </c>
      <c r="F129" t="s">
        <v>134</v>
      </c>
      <c r="H129" t="s">
        <v>34</v>
      </c>
      <c r="N129" t="s">
        <v>139</v>
      </c>
      <c r="O129" t="s">
        <v>124</v>
      </c>
      <c r="Q129">
        <v>600</v>
      </c>
      <c r="R129">
        <v>401</v>
      </c>
      <c r="T129">
        <v>270</v>
      </c>
      <c r="U129">
        <f t="shared" si="32"/>
        <v>-131</v>
      </c>
      <c r="V129" s="6" t="e">
        <f t="shared" si="25"/>
        <v>#DIV/0!</v>
      </c>
      <c r="W129" s="7" t="e">
        <f t="shared" si="31"/>
        <v>#DIV/0!</v>
      </c>
    </row>
    <row r="130" spans="1:23" x14ac:dyDescent="0.35">
      <c r="A130">
        <v>2008</v>
      </c>
      <c r="B130" t="s">
        <v>131</v>
      </c>
      <c r="C130" t="s">
        <v>132</v>
      </c>
      <c r="D130" t="s">
        <v>228</v>
      </c>
      <c r="E130" t="s">
        <v>140</v>
      </c>
      <c r="F130" t="s">
        <v>29</v>
      </c>
      <c r="H130" t="s">
        <v>30</v>
      </c>
      <c r="N130" t="s">
        <v>32</v>
      </c>
      <c r="O130" t="s">
        <v>124</v>
      </c>
      <c r="Q130">
        <v>600</v>
      </c>
      <c r="R130">
        <v>412</v>
      </c>
      <c r="T130">
        <v>338</v>
      </c>
      <c r="U130">
        <f t="shared" si="32"/>
        <v>-74</v>
      </c>
      <c r="V130" s="6" t="e">
        <f t="shared" si="25"/>
        <v>#DIV/0!</v>
      </c>
      <c r="W130" s="7" t="e">
        <f t="shared" si="31"/>
        <v>#DIV/0!</v>
      </c>
    </row>
    <row r="131" spans="1:23" x14ac:dyDescent="0.35">
      <c r="A131">
        <v>2008</v>
      </c>
      <c r="B131" t="s">
        <v>131</v>
      </c>
      <c r="C131" t="s">
        <v>132</v>
      </c>
      <c r="D131" t="s">
        <v>228</v>
      </c>
      <c r="E131" t="s">
        <v>141</v>
      </c>
      <c r="F131" t="s">
        <v>29</v>
      </c>
      <c r="H131" t="s">
        <v>35</v>
      </c>
      <c r="N131" t="s">
        <v>142</v>
      </c>
      <c r="O131" t="s">
        <v>124</v>
      </c>
      <c r="Q131">
        <v>600</v>
      </c>
      <c r="R131">
        <v>274</v>
      </c>
      <c r="T131">
        <v>197</v>
      </c>
      <c r="U131">
        <f t="shared" si="32"/>
        <v>-77</v>
      </c>
      <c r="V131" s="6" t="e">
        <f t="shared" si="25"/>
        <v>#DIV/0!</v>
      </c>
      <c r="W131" s="7" t="e">
        <f t="shared" si="31"/>
        <v>#DIV/0!</v>
      </c>
    </row>
    <row r="132" spans="1:23" x14ac:dyDescent="0.35">
      <c r="A132">
        <v>2008</v>
      </c>
      <c r="B132" t="s">
        <v>131</v>
      </c>
      <c r="C132" t="s">
        <v>132</v>
      </c>
      <c r="D132" t="s">
        <v>228</v>
      </c>
      <c r="E132" t="s">
        <v>127</v>
      </c>
      <c r="F132" t="s">
        <v>29</v>
      </c>
      <c r="H132" t="s">
        <v>110</v>
      </c>
      <c r="N132" t="s">
        <v>32</v>
      </c>
      <c r="O132" t="s">
        <v>124</v>
      </c>
      <c r="Q132">
        <v>600</v>
      </c>
      <c r="R132">
        <v>258</v>
      </c>
      <c r="T132">
        <v>356</v>
      </c>
      <c r="U132">
        <f t="shared" si="32"/>
        <v>98</v>
      </c>
      <c r="V132" s="6" t="e">
        <f t="shared" si="25"/>
        <v>#DIV/0!</v>
      </c>
      <c r="W132" s="7" t="e">
        <f t="shared" si="31"/>
        <v>#DIV/0!</v>
      </c>
    </row>
    <row r="133" spans="1:23" x14ac:dyDescent="0.35">
      <c r="A133">
        <v>2008</v>
      </c>
      <c r="B133" t="s">
        <v>131</v>
      </c>
      <c r="C133" t="s">
        <v>132</v>
      </c>
      <c r="D133" t="s">
        <v>228</v>
      </c>
      <c r="E133" t="s">
        <v>143</v>
      </c>
      <c r="F133" t="s">
        <v>144</v>
      </c>
      <c r="H133" t="s">
        <v>34</v>
      </c>
      <c r="N133" t="s">
        <v>32</v>
      </c>
      <c r="O133" t="s">
        <v>124</v>
      </c>
      <c r="Q133">
        <v>600</v>
      </c>
      <c r="R133">
        <v>269</v>
      </c>
      <c r="T133">
        <v>321</v>
      </c>
      <c r="U133">
        <f t="shared" si="32"/>
        <v>52</v>
      </c>
      <c r="V133" s="6" t="e">
        <f t="shared" ref="V133:V137" si="33">U133/M133*1000</f>
        <v>#DIV/0!</v>
      </c>
      <c r="W133" s="7" t="e">
        <f t="shared" si="31"/>
        <v>#DIV/0!</v>
      </c>
    </row>
    <row r="134" spans="1:23" x14ac:dyDescent="0.35">
      <c r="A134">
        <v>2008</v>
      </c>
      <c r="B134" t="s">
        <v>131</v>
      </c>
      <c r="C134" t="s">
        <v>132</v>
      </c>
      <c r="D134" t="s">
        <v>228</v>
      </c>
      <c r="E134" t="s">
        <v>145</v>
      </c>
      <c r="F134" t="s">
        <v>144</v>
      </c>
      <c r="H134" t="s">
        <v>34</v>
      </c>
      <c r="N134" t="s">
        <v>32</v>
      </c>
      <c r="O134" t="s">
        <v>124</v>
      </c>
      <c r="Q134">
        <v>600</v>
      </c>
      <c r="R134">
        <v>306</v>
      </c>
      <c r="T134">
        <v>282</v>
      </c>
      <c r="U134">
        <f t="shared" si="32"/>
        <v>-24</v>
      </c>
      <c r="V134" s="6" t="e">
        <f t="shared" si="33"/>
        <v>#DIV/0!</v>
      </c>
      <c r="W134" s="7" t="e">
        <f t="shared" si="31"/>
        <v>#DIV/0!</v>
      </c>
    </row>
    <row r="135" spans="1:23" x14ac:dyDescent="0.35">
      <c r="A135">
        <v>2008</v>
      </c>
      <c r="B135" t="s">
        <v>131</v>
      </c>
      <c r="C135" t="s">
        <v>132</v>
      </c>
      <c r="D135" t="s">
        <v>228</v>
      </c>
      <c r="E135" t="s">
        <v>146</v>
      </c>
      <c r="F135" t="s">
        <v>144</v>
      </c>
      <c r="H135" t="s">
        <v>34</v>
      </c>
      <c r="N135" t="s">
        <v>68</v>
      </c>
      <c r="O135" t="s">
        <v>124</v>
      </c>
      <c r="Q135">
        <v>600</v>
      </c>
      <c r="R135">
        <v>373</v>
      </c>
      <c r="T135">
        <v>411</v>
      </c>
      <c r="U135">
        <f t="shared" si="32"/>
        <v>38</v>
      </c>
      <c r="V135" s="6" t="e">
        <f t="shared" si="33"/>
        <v>#DIV/0!</v>
      </c>
      <c r="W135" s="7" t="e">
        <f t="shared" si="31"/>
        <v>#DIV/0!</v>
      </c>
    </row>
    <row r="136" spans="1:23" x14ac:dyDescent="0.35">
      <c r="A136">
        <v>2008</v>
      </c>
      <c r="B136" t="s">
        <v>131</v>
      </c>
      <c r="C136" t="s">
        <v>132</v>
      </c>
      <c r="D136" t="s">
        <v>228</v>
      </c>
      <c r="E136" t="s">
        <v>147</v>
      </c>
      <c r="F136" t="s">
        <v>144</v>
      </c>
      <c r="H136" t="s">
        <v>34</v>
      </c>
      <c r="N136" t="s">
        <v>32</v>
      </c>
      <c r="O136" t="s">
        <v>124</v>
      </c>
      <c r="Q136">
        <v>600</v>
      </c>
      <c r="R136">
        <v>197</v>
      </c>
      <c r="T136">
        <v>202</v>
      </c>
      <c r="U136">
        <f t="shared" si="32"/>
        <v>5</v>
      </c>
      <c r="V136" s="6" t="e">
        <f t="shared" si="33"/>
        <v>#DIV/0!</v>
      </c>
      <c r="W136" s="7" t="e">
        <f t="shared" si="31"/>
        <v>#DIV/0!</v>
      </c>
    </row>
    <row r="137" spans="1:23" x14ac:dyDescent="0.35">
      <c r="A137">
        <v>2008</v>
      </c>
      <c r="B137" t="s">
        <v>131</v>
      </c>
      <c r="C137" t="s">
        <v>132</v>
      </c>
      <c r="D137" t="s">
        <v>228</v>
      </c>
      <c r="E137" t="s">
        <v>148</v>
      </c>
      <c r="F137" t="s">
        <v>144</v>
      </c>
      <c r="H137" t="s">
        <v>123</v>
      </c>
      <c r="N137" t="s">
        <v>32</v>
      </c>
      <c r="O137" t="s">
        <v>124</v>
      </c>
      <c r="Q137">
        <v>600</v>
      </c>
      <c r="R137">
        <v>321</v>
      </c>
      <c r="T137">
        <v>325</v>
      </c>
      <c r="U137">
        <f t="shared" si="32"/>
        <v>4</v>
      </c>
      <c r="V137" s="6" t="e">
        <f t="shared" si="33"/>
        <v>#DIV/0!</v>
      </c>
      <c r="W137" s="7" t="e">
        <f t="shared" si="31"/>
        <v>#DIV/0!</v>
      </c>
    </row>
    <row r="138" spans="1:23" x14ac:dyDescent="0.35">
      <c r="D138" t="s">
        <v>228</v>
      </c>
      <c r="V138" s="6"/>
      <c r="W138" s="7"/>
    </row>
    <row r="139" spans="1:23" s="9" customFormat="1" ht="15.5" x14ac:dyDescent="0.35">
      <c r="A139" s="9">
        <v>2007</v>
      </c>
      <c r="B139" s="9" t="s">
        <v>149</v>
      </c>
      <c r="C139" s="9" t="s">
        <v>150</v>
      </c>
      <c r="D139" t="s">
        <v>228</v>
      </c>
      <c r="E139" s="9" t="s">
        <v>151</v>
      </c>
      <c r="F139" s="9" t="s">
        <v>152</v>
      </c>
      <c r="G139" s="9">
        <v>1983</v>
      </c>
      <c r="H139" s="9" t="s">
        <v>40</v>
      </c>
      <c r="I139" s="9">
        <v>170</v>
      </c>
      <c r="J139" s="9">
        <v>645</v>
      </c>
      <c r="L139" s="9">
        <v>340</v>
      </c>
      <c r="M139" s="9">
        <v>21</v>
      </c>
      <c r="N139" s="9" t="s">
        <v>153</v>
      </c>
      <c r="O139" s="9" t="s">
        <v>154</v>
      </c>
      <c r="P139" s="9">
        <v>100</v>
      </c>
      <c r="Q139" s="9">
        <v>200</v>
      </c>
      <c r="T139" s="9">
        <v>30</v>
      </c>
      <c r="U139" s="9">
        <f t="shared" si="32"/>
        <v>30</v>
      </c>
      <c r="V139" s="10">
        <f>U139/M139*1000</f>
        <v>1428.5714285714287</v>
      </c>
      <c r="W139" s="11" t="e">
        <f t="shared" si="31"/>
        <v>#DIV/0!</v>
      </c>
    </row>
    <row r="140" spans="1:23" x14ac:dyDescent="0.35">
      <c r="D140" t="s">
        <v>228</v>
      </c>
      <c r="U140">
        <f t="shared" si="32"/>
        <v>0</v>
      </c>
      <c r="V140" s="6"/>
      <c r="W140" s="7" t="e">
        <f t="shared" si="31"/>
        <v>#DIV/0!</v>
      </c>
    </row>
    <row r="141" spans="1:23" x14ac:dyDescent="0.35">
      <c r="A141">
        <v>2006</v>
      </c>
      <c r="B141" t="s">
        <v>155</v>
      </c>
      <c r="C141" t="s">
        <v>156</v>
      </c>
      <c r="D141" t="s">
        <v>228</v>
      </c>
      <c r="E141" t="s">
        <v>157</v>
      </c>
      <c r="F141" t="s">
        <v>158</v>
      </c>
      <c r="G141">
        <v>1980</v>
      </c>
      <c r="H141" t="s">
        <v>35</v>
      </c>
      <c r="M141">
        <v>23</v>
      </c>
      <c r="N141" t="s">
        <v>159</v>
      </c>
      <c r="O141" t="s">
        <v>62</v>
      </c>
      <c r="Q141">
        <v>450</v>
      </c>
      <c r="R141">
        <v>97</v>
      </c>
      <c r="T141">
        <v>108</v>
      </c>
      <c r="U141">
        <f t="shared" si="32"/>
        <v>11</v>
      </c>
      <c r="V141" s="6">
        <f t="shared" ref="V141:V167" si="34">U141/M141*1000</f>
        <v>478.26086956521743</v>
      </c>
      <c r="W141" s="7">
        <f t="shared" si="31"/>
        <v>0.49305244285073957</v>
      </c>
    </row>
    <row r="142" spans="1:23" x14ac:dyDescent="0.35">
      <c r="A142">
        <v>2006</v>
      </c>
      <c r="B142" t="s">
        <v>155</v>
      </c>
      <c r="C142" t="s">
        <v>156</v>
      </c>
      <c r="D142" t="s">
        <v>228</v>
      </c>
      <c r="E142" t="s">
        <v>157</v>
      </c>
      <c r="F142" t="s">
        <v>158</v>
      </c>
      <c r="G142">
        <v>1980</v>
      </c>
      <c r="H142" t="s">
        <v>35</v>
      </c>
      <c r="M142">
        <v>23</v>
      </c>
      <c r="N142" t="s">
        <v>159</v>
      </c>
      <c r="O142" t="s">
        <v>160</v>
      </c>
      <c r="Q142">
        <v>450</v>
      </c>
      <c r="R142">
        <v>108</v>
      </c>
      <c r="T142">
        <v>108</v>
      </c>
      <c r="U142">
        <f t="shared" si="32"/>
        <v>0</v>
      </c>
      <c r="V142" s="6">
        <f t="shared" si="34"/>
        <v>0</v>
      </c>
      <c r="W142" s="7">
        <f t="shared" si="31"/>
        <v>0</v>
      </c>
    </row>
    <row r="143" spans="1:23" x14ac:dyDescent="0.35">
      <c r="A143">
        <v>2006</v>
      </c>
      <c r="B143" t="s">
        <v>155</v>
      </c>
      <c r="C143" t="s">
        <v>156</v>
      </c>
      <c r="D143" t="s">
        <v>228</v>
      </c>
      <c r="E143" t="s">
        <v>157</v>
      </c>
      <c r="F143" t="s">
        <v>158</v>
      </c>
      <c r="G143">
        <v>1980</v>
      </c>
      <c r="H143" t="s">
        <v>35</v>
      </c>
      <c r="M143">
        <v>23</v>
      </c>
      <c r="N143" t="s">
        <v>161</v>
      </c>
      <c r="O143" t="s">
        <v>62</v>
      </c>
      <c r="Q143">
        <v>450</v>
      </c>
      <c r="R143">
        <v>117</v>
      </c>
      <c r="T143">
        <v>106</v>
      </c>
      <c r="U143">
        <f t="shared" si="32"/>
        <v>-11</v>
      </c>
      <c r="V143" s="6">
        <f t="shared" si="34"/>
        <v>-478.26086956521743</v>
      </c>
      <c r="W143" s="7">
        <f t="shared" si="31"/>
        <v>-0.40876997398736531</v>
      </c>
    </row>
    <row r="144" spans="1:23" x14ac:dyDescent="0.35">
      <c r="A144">
        <v>2006</v>
      </c>
      <c r="B144" t="s">
        <v>155</v>
      </c>
      <c r="C144" t="s">
        <v>156</v>
      </c>
      <c r="D144" t="s">
        <v>228</v>
      </c>
      <c r="E144" t="s">
        <v>157</v>
      </c>
      <c r="F144" t="s">
        <v>158</v>
      </c>
      <c r="G144">
        <v>1980</v>
      </c>
      <c r="H144" t="s">
        <v>35</v>
      </c>
      <c r="M144">
        <v>23</v>
      </c>
      <c r="N144" t="s">
        <v>161</v>
      </c>
      <c r="O144" t="s">
        <v>160</v>
      </c>
      <c r="Q144">
        <v>450</v>
      </c>
      <c r="R144">
        <v>117</v>
      </c>
      <c r="T144">
        <v>106</v>
      </c>
      <c r="U144">
        <f t="shared" si="32"/>
        <v>-11</v>
      </c>
      <c r="V144" s="6">
        <f t="shared" si="34"/>
        <v>-478.26086956521743</v>
      </c>
      <c r="W144" s="7">
        <f t="shared" si="31"/>
        <v>-0.40876997398736531</v>
      </c>
    </row>
    <row r="145" spans="1:23" x14ac:dyDescent="0.35">
      <c r="D145" t="s">
        <v>228</v>
      </c>
      <c r="V145" s="6"/>
      <c r="W145" s="7"/>
    </row>
    <row r="146" spans="1:23" x14ac:dyDescent="0.35">
      <c r="A146">
        <v>2005</v>
      </c>
      <c r="B146" t="s">
        <v>162</v>
      </c>
      <c r="C146" t="s">
        <v>163</v>
      </c>
      <c r="D146" t="s">
        <v>228</v>
      </c>
      <c r="E146" t="s">
        <v>164</v>
      </c>
      <c r="F146" t="s">
        <v>165</v>
      </c>
      <c r="G146">
        <v>1962</v>
      </c>
      <c r="H146" t="s">
        <v>34</v>
      </c>
      <c r="M146">
        <v>41</v>
      </c>
      <c r="N146" t="s">
        <v>166</v>
      </c>
      <c r="O146" t="s">
        <v>62</v>
      </c>
      <c r="Q146">
        <v>800</v>
      </c>
      <c r="R146">
        <v>80</v>
      </c>
      <c r="T146">
        <v>86</v>
      </c>
      <c r="U146">
        <f t="shared" si="32"/>
        <v>6</v>
      </c>
      <c r="V146" s="6">
        <f t="shared" si="34"/>
        <v>146.34146341463415</v>
      </c>
      <c r="W146" s="7">
        <f t="shared" si="31"/>
        <v>0.18292682926829268</v>
      </c>
    </row>
    <row r="147" spans="1:23" x14ac:dyDescent="0.35">
      <c r="A147">
        <v>2005</v>
      </c>
      <c r="B147" t="s">
        <v>162</v>
      </c>
      <c r="C147" t="s">
        <v>163</v>
      </c>
      <c r="D147" t="s">
        <v>228</v>
      </c>
      <c r="E147" t="s">
        <v>164</v>
      </c>
      <c r="F147" t="s">
        <v>165</v>
      </c>
      <c r="G147">
        <v>1962</v>
      </c>
      <c r="H147" t="s">
        <v>34</v>
      </c>
      <c r="M147">
        <v>41</v>
      </c>
      <c r="N147" t="s">
        <v>166</v>
      </c>
      <c r="O147" t="s">
        <v>15</v>
      </c>
      <c r="Q147">
        <v>800</v>
      </c>
      <c r="R147">
        <v>79</v>
      </c>
      <c r="T147">
        <v>86</v>
      </c>
      <c r="U147">
        <f t="shared" si="32"/>
        <v>7</v>
      </c>
      <c r="V147" s="6">
        <f t="shared" si="34"/>
        <v>170.73170731707319</v>
      </c>
      <c r="W147" s="7">
        <f t="shared" si="31"/>
        <v>0.21611608521148501</v>
      </c>
    </row>
    <row r="148" spans="1:23" x14ac:dyDescent="0.35">
      <c r="A148">
        <v>2005</v>
      </c>
      <c r="B148" t="s">
        <v>162</v>
      </c>
      <c r="C148" t="s">
        <v>163</v>
      </c>
      <c r="D148" t="s">
        <v>228</v>
      </c>
      <c r="E148" t="s">
        <v>28</v>
      </c>
      <c r="F148" t="s">
        <v>167</v>
      </c>
      <c r="G148">
        <v>1987</v>
      </c>
      <c r="H148" t="s">
        <v>107</v>
      </c>
      <c r="M148">
        <v>16</v>
      </c>
      <c r="N148" t="s">
        <v>32</v>
      </c>
      <c r="O148" t="s">
        <v>168</v>
      </c>
      <c r="Q148">
        <v>800</v>
      </c>
      <c r="R148">
        <v>125</v>
      </c>
      <c r="T148">
        <v>123</v>
      </c>
      <c r="U148">
        <f t="shared" si="32"/>
        <v>-2</v>
      </c>
      <c r="V148" s="6">
        <f t="shared" si="34"/>
        <v>-125</v>
      </c>
      <c r="W148" s="7">
        <f t="shared" si="31"/>
        <v>-0.1</v>
      </c>
    </row>
    <row r="149" spans="1:23" x14ac:dyDescent="0.35">
      <c r="A149">
        <v>2005</v>
      </c>
      <c r="B149" t="s">
        <v>162</v>
      </c>
      <c r="C149" t="s">
        <v>163</v>
      </c>
      <c r="D149" t="s">
        <v>228</v>
      </c>
      <c r="E149" t="s">
        <v>28</v>
      </c>
      <c r="F149" t="s">
        <v>167</v>
      </c>
      <c r="G149">
        <v>1987</v>
      </c>
      <c r="H149" t="s">
        <v>107</v>
      </c>
      <c r="M149">
        <v>16</v>
      </c>
      <c r="N149" t="s">
        <v>169</v>
      </c>
      <c r="O149" t="s">
        <v>62</v>
      </c>
      <c r="Q149">
        <v>800</v>
      </c>
      <c r="R149">
        <v>125</v>
      </c>
      <c r="T149">
        <v>122</v>
      </c>
      <c r="U149">
        <f t="shared" si="32"/>
        <v>-3</v>
      </c>
      <c r="V149" s="6">
        <f t="shared" si="34"/>
        <v>-187.5</v>
      </c>
      <c r="W149" s="7">
        <f t="shared" si="31"/>
        <v>-0.15</v>
      </c>
    </row>
    <row r="150" spans="1:23" x14ac:dyDescent="0.35">
      <c r="A150">
        <v>2005</v>
      </c>
      <c r="B150" t="s">
        <v>162</v>
      </c>
      <c r="C150" t="s">
        <v>163</v>
      </c>
      <c r="D150" t="s">
        <v>228</v>
      </c>
      <c r="E150" t="s">
        <v>28</v>
      </c>
      <c r="F150" t="s">
        <v>167</v>
      </c>
      <c r="G150">
        <v>1987</v>
      </c>
      <c r="H150" t="s">
        <v>107</v>
      </c>
      <c r="M150">
        <v>16</v>
      </c>
      <c r="N150" t="s">
        <v>169</v>
      </c>
      <c r="O150" t="s">
        <v>170</v>
      </c>
      <c r="Q150">
        <v>800</v>
      </c>
      <c r="R150">
        <v>132</v>
      </c>
      <c r="T150">
        <v>122</v>
      </c>
      <c r="U150">
        <f t="shared" si="32"/>
        <v>-10</v>
      </c>
      <c r="V150" s="6">
        <f t="shared" si="34"/>
        <v>-625</v>
      </c>
      <c r="W150" s="7">
        <f t="shared" si="31"/>
        <v>-0.47348484848484851</v>
      </c>
    </row>
    <row r="151" spans="1:23" x14ac:dyDescent="0.35">
      <c r="D151" t="s">
        <v>228</v>
      </c>
      <c r="V151" s="6"/>
      <c r="W151" s="7"/>
    </row>
    <row r="152" spans="1:23" x14ac:dyDescent="0.35">
      <c r="A152">
        <v>2005</v>
      </c>
      <c r="B152" t="s">
        <v>171</v>
      </c>
      <c r="C152" t="s">
        <v>172</v>
      </c>
      <c r="D152" t="s">
        <v>228</v>
      </c>
      <c r="E152" t="s">
        <v>91</v>
      </c>
      <c r="F152" t="s">
        <v>51</v>
      </c>
      <c r="G152">
        <v>1993</v>
      </c>
      <c r="H152" t="s">
        <v>30</v>
      </c>
      <c r="M152">
        <v>8</v>
      </c>
      <c r="N152" t="s">
        <v>80</v>
      </c>
      <c r="O152" t="s">
        <v>173</v>
      </c>
      <c r="Q152">
        <v>800</v>
      </c>
      <c r="R152">
        <v>139</v>
      </c>
      <c r="S152">
        <v>134</v>
      </c>
      <c r="U152">
        <f t="shared" si="32"/>
        <v>-5</v>
      </c>
      <c r="V152" s="6">
        <f t="shared" si="34"/>
        <v>-625</v>
      </c>
      <c r="W152" s="7">
        <f t="shared" si="31"/>
        <v>-0.44964028776978415</v>
      </c>
    </row>
    <row r="153" spans="1:23" x14ac:dyDescent="0.35">
      <c r="A153">
        <v>2005</v>
      </c>
      <c r="B153" t="s">
        <v>171</v>
      </c>
      <c r="C153" t="s">
        <v>172</v>
      </c>
      <c r="D153" t="s">
        <v>228</v>
      </c>
      <c r="E153" t="s">
        <v>91</v>
      </c>
      <c r="F153" t="s">
        <v>51</v>
      </c>
      <c r="G153">
        <v>1993</v>
      </c>
      <c r="H153" t="s">
        <v>30</v>
      </c>
      <c r="M153">
        <v>8</v>
      </c>
      <c r="N153" t="s">
        <v>80</v>
      </c>
      <c r="O153" t="s">
        <v>160</v>
      </c>
      <c r="Q153">
        <v>800</v>
      </c>
      <c r="R153">
        <v>139</v>
      </c>
      <c r="T153">
        <v>143</v>
      </c>
      <c r="U153">
        <f t="shared" si="32"/>
        <v>4</v>
      </c>
      <c r="V153" s="6">
        <f t="shared" si="34"/>
        <v>500</v>
      </c>
      <c r="W153" s="7">
        <f t="shared" si="31"/>
        <v>0.35971223021582738</v>
      </c>
    </row>
    <row r="154" spans="1:23" x14ac:dyDescent="0.35">
      <c r="D154" t="s">
        <v>228</v>
      </c>
      <c r="V154" s="6"/>
      <c r="W154" s="7"/>
    </row>
    <row r="155" spans="1:23" x14ac:dyDescent="0.35">
      <c r="A155">
        <v>2005</v>
      </c>
      <c r="B155" t="s">
        <v>174</v>
      </c>
      <c r="C155" t="s">
        <v>175</v>
      </c>
      <c r="D155" t="s">
        <v>228</v>
      </c>
      <c r="E155" t="s">
        <v>176</v>
      </c>
      <c r="F155" t="s">
        <v>60</v>
      </c>
      <c r="G155">
        <v>1998</v>
      </c>
      <c r="H155" t="s">
        <v>177</v>
      </c>
      <c r="M155">
        <v>3</v>
      </c>
      <c r="N155" t="s">
        <v>104</v>
      </c>
      <c r="O155" t="s">
        <v>178</v>
      </c>
      <c r="P155" s="8">
        <v>200250</v>
      </c>
      <c r="Q155">
        <v>150</v>
      </c>
      <c r="R155">
        <v>43.64</v>
      </c>
      <c r="S155">
        <v>52.98</v>
      </c>
      <c r="U155">
        <f t="shared" si="32"/>
        <v>9.3399999999999963</v>
      </c>
      <c r="V155" s="6">
        <f t="shared" si="34"/>
        <v>3113.3333333333321</v>
      </c>
      <c r="W155" s="7">
        <f t="shared" si="31"/>
        <v>7.1341277115795867</v>
      </c>
    </row>
    <row r="156" spans="1:23" x14ac:dyDescent="0.35">
      <c r="A156">
        <v>2005</v>
      </c>
      <c r="B156" t="s">
        <v>174</v>
      </c>
      <c r="C156" t="s">
        <v>175</v>
      </c>
      <c r="D156" t="s">
        <v>228</v>
      </c>
      <c r="E156" t="s">
        <v>176</v>
      </c>
      <c r="F156" t="s">
        <v>60</v>
      </c>
      <c r="G156">
        <v>1998</v>
      </c>
      <c r="H156" t="s">
        <v>177</v>
      </c>
      <c r="M156">
        <v>3</v>
      </c>
      <c r="N156" t="s">
        <v>104</v>
      </c>
      <c r="O156" t="s">
        <v>63</v>
      </c>
      <c r="P156">
        <v>460</v>
      </c>
      <c r="Q156">
        <v>150</v>
      </c>
      <c r="R156">
        <v>44.67</v>
      </c>
      <c r="T156">
        <v>52.57</v>
      </c>
      <c r="U156">
        <f t="shared" si="32"/>
        <v>7.8999999999999986</v>
      </c>
      <c r="V156" s="6">
        <f t="shared" si="34"/>
        <v>2633.333333333333</v>
      </c>
      <c r="W156" s="7">
        <f t="shared" si="31"/>
        <v>5.8950824565330935</v>
      </c>
    </row>
    <row r="157" spans="1:23" x14ac:dyDescent="0.35">
      <c r="A157">
        <v>2005</v>
      </c>
      <c r="B157" t="s">
        <v>174</v>
      </c>
      <c r="C157" t="s">
        <v>175</v>
      </c>
      <c r="D157" t="s">
        <v>228</v>
      </c>
      <c r="E157" t="s">
        <v>176</v>
      </c>
      <c r="F157" t="s">
        <v>60</v>
      </c>
      <c r="G157">
        <v>1998</v>
      </c>
      <c r="H157" t="s">
        <v>177</v>
      </c>
      <c r="M157">
        <v>3</v>
      </c>
      <c r="N157" t="s">
        <v>104</v>
      </c>
      <c r="O157" t="s">
        <v>13</v>
      </c>
      <c r="P157">
        <v>250</v>
      </c>
      <c r="Q157">
        <v>150</v>
      </c>
      <c r="R157">
        <v>43.64</v>
      </c>
      <c r="T157">
        <v>52.57</v>
      </c>
      <c r="U157">
        <f t="shared" si="32"/>
        <v>8.93</v>
      </c>
      <c r="V157" s="6">
        <f t="shared" si="34"/>
        <v>2976.6666666666665</v>
      </c>
      <c r="W157" s="7">
        <f t="shared" si="31"/>
        <v>6.8209593644974031</v>
      </c>
    </row>
    <row r="158" spans="1:23" x14ac:dyDescent="0.35">
      <c r="A158">
        <v>2005</v>
      </c>
      <c r="B158" t="s">
        <v>174</v>
      </c>
      <c r="C158" t="s">
        <v>175</v>
      </c>
      <c r="D158" t="s">
        <v>228</v>
      </c>
      <c r="E158" t="s">
        <v>176</v>
      </c>
      <c r="F158" t="s">
        <v>60</v>
      </c>
      <c r="G158">
        <v>1998</v>
      </c>
      <c r="H158" t="s">
        <v>177</v>
      </c>
      <c r="M158">
        <v>3</v>
      </c>
      <c r="N158" t="s">
        <v>104</v>
      </c>
      <c r="O158" t="s">
        <v>15</v>
      </c>
      <c r="P158">
        <v>250</v>
      </c>
      <c r="Q158">
        <v>150</v>
      </c>
      <c r="R158">
        <v>39.9</v>
      </c>
      <c r="T158">
        <v>52.57</v>
      </c>
      <c r="U158">
        <f t="shared" si="32"/>
        <v>12.670000000000002</v>
      </c>
      <c r="V158" s="6">
        <f t="shared" si="34"/>
        <v>4223.3333333333339</v>
      </c>
      <c r="W158" s="7">
        <f t="shared" si="31"/>
        <v>10.584795321637429</v>
      </c>
    </row>
    <row r="159" spans="1:23" x14ac:dyDescent="0.35">
      <c r="D159" t="s">
        <v>228</v>
      </c>
      <c r="V159" s="6"/>
      <c r="W159" s="7"/>
    </row>
    <row r="160" spans="1:23" x14ac:dyDescent="0.35">
      <c r="A160">
        <v>2005</v>
      </c>
      <c r="B160" t="s">
        <v>179</v>
      </c>
      <c r="C160" t="s">
        <v>180</v>
      </c>
      <c r="D160" t="s">
        <v>228</v>
      </c>
      <c r="E160" t="s">
        <v>176</v>
      </c>
      <c r="F160" t="s">
        <v>9</v>
      </c>
      <c r="G160">
        <v>1994</v>
      </c>
      <c r="H160" t="s">
        <v>181</v>
      </c>
      <c r="I160">
        <v>330</v>
      </c>
      <c r="J160">
        <v>217</v>
      </c>
      <c r="M160">
        <v>7</v>
      </c>
      <c r="N160" t="s">
        <v>32</v>
      </c>
      <c r="O160" t="s">
        <v>62</v>
      </c>
      <c r="P160">
        <v>250</v>
      </c>
      <c r="Q160">
        <v>600</v>
      </c>
      <c r="R160">
        <v>195.93</v>
      </c>
      <c r="T160">
        <v>228</v>
      </c>
      <c r="U160">
        <f t="shared" si="32"/>
        <v>32.069999999999993</v>
      </c>
      <c r="V160" s="6">
        <f t="shared" si="34"/>
        <v>4581.4285714285697</v>
      </c>
      <c r="W160" s="7">
        <f t="shared" si="31"/>
        <v>2.338298663516853</v>
      </c>
    </row>
    <row r="161" spans="1:23" x14ac:dyDescent="0.35">
      <c r="A161">
        <v>2005</v>
      </c>
      <c r="B161" t="s">
        <v>179</v>
      </c>
      <c r="C161" t="s">
        <v>180</v>
      </c>
      <c r="D161" t="s">
        <v>228</v>
      </c>
      <c r="E161" t="s">
        <v>176</v>
      </c>
      <c r="F161" t="s">
        <v>9</v>
      </c>
      <c r="G161">
        <v>1994</v>
      </c>
      <c r="H161" t="s">
        <v>182</v>
      </c>
      <c r="I161">
        <v>348</v>
      </c>
      <c r="J161">
        <v>26</v>
      </c>
      <c r="M161">
        <v>7</v>
      </c>
      <c r="N161" t="s">
        <v>32</v>
      </c>
      <c r="O161" t="s">
        <v>62</v>
      </c>
      <c r="P161">
        <v>250</v>
      </c>
      <c r="Q161">
        <v>600</v>
      </c>
      <c r="R161">
        <v>177.8</v>
      </c>
      <c r="T161">
        <v>180.7</v>
      </c>
      <c r="U161">
        <f t="shared" si="32"/>
        <v>2.8999999999999773</v>
      </c>
      <c r="V161" s="6">
        <f t="shared" si="34"/>
        <v>414.28571428571104</v>
      </c>
      <c r="W161" s="7">
        <f t="shared" si="31"/>
        <v>0.23300658846215466</v>
      </c>
    </row>
    <row r="162" spans="1:23" x14ac:dyDescent="0.35">
      <c r="A162">
        <v>2005</v>
      </c>
      <c r="B162" t="s">
        <v>179</v>
      </c>
      <c r="C162" t="s">
        <v>180</v>
      </c>
      <c r="D162" t="s">
        <v>228</v>
      </c>
      <c r="E162" t="s">
        <v>176</v>
      </c>
      <c r="F162" t="s">
        <v>9</v>
      </c>
      <c r="G162">
        <v>1994</v>
      </c>
      <c r="H162" t="s">
        <v>183</v>
      </c>
      <c r="I162">
        <v>243</v>
      </c>
      <c r="J162">
        <v>342</v>
      </c>
      <c r="M162">
        <v>7</v>
      </c>
      <c r="N162" t="s">
        <v>32</v>
      </c>
      <c r="O162" t="s">
        <v>62</v>
      </c>
      <c r="P162">
        <v>250</v>
      </c>
      <c r="Q162">
        <v>600</v>
      </c>
      <c r="R162">
        <v>156.9</v>
      </c>
      <c r="T162">
        <v>169.2</v>
      </c>
      <c r="U162">
        <f t="shared" si="32"/>
        <v>12.299999999999983</v>
      </c>
      <c r="V162" s="6">
        <f t="shared" si="34"/>
        <v>1757.1428571428546</v>
      </c>
      <c r="W162" s="7">
        <f t="shared" si="31"/>
        <v>1.1199125921879252</v>
      </c>
    </row>
    <row r="163" spans="1:23" x14ac:dyDescent="0.35">
      <c r="A163">
        <v>2005</v>
      </c>
      <c r="B163" t="s">
        <v>179</v>
      </c>
      <c r="C163" t="s">
        <v>180</v>
      </c>
      <c r="D163" t="s">
        <v>228</v>
      </c>
      <c r="E163" t="s">
        <v>176</v>
      </c>
      <c r="F163" t="s">
        <v>9</v>
      </c>
      <c r="G163">
        <v>1994</v>
      </c>
      <c r="H163" t="s">
        <v>184</v>
      </c>
      <c r="I163">
        <v>291</v>
      </c>
      <c r="J163">
        <v>18</v>
      </c>
      <c r="M163">
        <v>7</v>
      </c>
      <c r="N163" t="s">
        <v>32</v>
      </c>
      <c r="O163" t="s">
        <v>62</v>
      </c>
      <c r="P163">
        <v>250</v>
      </c>
      <c r="Q163">
        <v>600</v>
      </c>
      <c r="R163">
        <v>147.1</v>
      </c>
      <c r="T163">
        <v>157.5</v>
      </c>
      <c r="U163">
        <f t="shared" si="32"/>
        <v>10.400000000000006</v>
      </c>
      <c r="V163" s="6">
        <f t="shared" si="34"/>
        <v>1485.7142857142865</v>
      </c>
      <c r="W163" s="7">
        <f t="shared" si="31"/>
        <v>1.0100029134699433</v>
      </c>
    </row>
    <row r="164" spans="1:23" x14ac:dyDescent="0.35">
      <c r="A164">
        <v>2005</v>
      </c>
      <c r="B164" t="s">
        <v>179</v>
      </c>
      <c r="C164" t="s">
        <v>180</v>
      </c>
      <c r="D164" t="s">
        <v>228</v>
      </c>
      <c r="E164" t="s">
        <v>176</v>
      </c>
      <c r="F164" t="s">
        <v>9</v>
      </c>
      <c r="G164">
        <v>1994</v>
      </c>
      <c r="H164" t="s">
        <v>185</v>
      </c>
      <c r="I164">
        <v>347</v>
      </c>
      <c r="J164">
        <v>15</v>
      </c>
      <c r="M164">
        <v>7</v>
      </c>
      <c r="N164" t="s">
        <v>32</v>
      </c>
      <c r="O164" t="s">
        <v>62</v>
      </c>
      <c r="P164">
        <v>250</v>
      </c>
      <c r="Q164">
        <v>600</v>
      </c>
      <c r="R164">
        <v>180.2</v>
      </c>
      <c r="T164">
        <v>200.6</v>
      </c>
      <c r="U164">
        <f t="shared" si="32"/>
        <v>20.400000000000006</v>
      </c>
      <c r="V164" s="6">
        <f t="shared" si="34"/>
        <v>2914.2857142857151</v>
      </c>
      <c r="W164" s="7">
        <f t="shared" si="31"/>
        <v>1.6172506738544483</v>
      </c>
    </row>
    <row r="165" spans="1:23" x14ac:dyDescent="0.35">
      <c r="A165">
        <v>2005</v>
      </c>
      <c r="B165" t="s">
        <v>179</v>
      </c>
      <c r="C165" t="s">
        <v>180</v>
      </c>
      <c r="D165" t="s">
        <v>228</v>
      </c>
      <c r="E165" t="s">
        <v>176</v>
      </c>
      <c r="F165" t="s">
        <v>60</v>
      </c>
      <c r="G165">
        <v>1998</v>
      </c>
      <c r="H165" t="s">
        <v>181</v>
      </c>
      <c r="I165">
        <v>285</v>
      </c>
      <c r="J165">
        <v>193</v>
      </c>
      <c r="M165">
        <v>3</v>
      </c>
      <c r="N165" t="s">
        <v>32</v>
      </c>
      <c r="O165" t="s">
        <v>186</v>
      </c>
      <c r="P165" s="8">
        <v>200250</v>
      </c>
      <c r="Q165">
        <v>600</v>
      </c>
      <c r="R165">
        <v>186.7</v>
      </c>
      <c r="S165">
        <v>218.1</v>
      </c>
      <c r="U165">
        <f t="shared" si="32"/>
        <v>31.400000000000006</v>
      </c>
      <c r="V165" s="6">
        <f t="shared" si="34"/>
        <v>10466.666666666668</v>
      </c>
      <c r="W165" s="7">
        <f t="shared" si="31"/>
        <v>5.6061417603999297</v>
      </c>
    </row>
    <row r="166" spans="1:23" x14ac:dyDescent="0.35">
      <c r="A166">
        <v>2005</v>
      </c>
      <c r="B166" t="s">
        <v>179</v>
      </c>
      <c r="C166" t="s">
        <v>180</v>
      </c>
      <c r="D166" t="s">
        <v>228</v>
      </c>
      <c r="E166" t="s">
        <v>176</v>
      </c>
      <c r="F166" t="s">
        <v>60</v>
      </c>
      <c r="G166">
        <v>1998</v>
      </c>
      <c r="H166" t="s">
        <v>181</v>
      </c>
      <c r="I166">
        <v>285</v>
      </c>
      <c r="J166">
        <v>193</v>
      </c>
      <c r="M166">
        <v>3</v>
      </c>
      <c r="N166" t="s">
        <v>32</v>
      </c>
      <c r="O166" t="s">
        <v>187</v>
      </c>
      <c r="P166">
        <v>250</v>
      </c>
      <c r="Q166">
        <v>600</v>
      </c>
      <c r="R166">
        <v>186.7</v>
      </c>
      <c r="T166">
        <v>224.1</v>
      </c>
      <c r="U166">
        <f t="shared" si="32"/>
        <v>37.400000000000006</v>
      </c>
      <c r="V166" s="6">
        <f t="shared" si="34"/>
        <v>12466.666666666668</v>
      </c>
      <c r="W166" s="7">
        <f t="shared" si="31"/>
        <v>6.6773790394572412</v>
      </c>
    </row>
    <row r="167" spans="1:23" x14ac:dyDescent="0.35">
      <c r="A167">
        <v>2005</v>
      </c>
      <c r="B167" t="s">
        <v>179</v>
      </c>
      <c r="C167" t="s">
        <v>180</v>
      </c>
      <c r="D167" t="s">
        <v>228</v>
      </c>
      <c r="E167" t="s">
        <v>176</v>
      </c>
      <c r="F167" t="s">
        <v>60</v>
      </c>
      <c r="G167">
        <v>1998</v>
      </c>
      <c r="H167" t="s">
        <v>181</v>
      </c>
      <c r="I167">
        <v>285</v>
      </c>
      <c r="J167">
        <v>193</v>
      </c>
      <c r="M167">
        <v>3</v>
      </c>
      <c r="N167" t="s">
        <v>32</v>
      </c>
      <c r="O167" t="s">
        <v>63</v>
      </c>
      <c r="P167">
        <v>460</v>
      </c>
      <c r="Q167">
        <v>600</v>
      </c>
      <c r="R167">
        <v>173.3</v>
      </c>
      <c r="T167">
        <v>224.1</v>
      </c>
      <c r="U167">
        <f t="shared" si="32"/>
        <v>50.799999999999983</v>
      </c>
      <c r="V167" s="6">
        <f t="shared" si="34"/>
        <v>16933.333333333325</v>
      </c>
      <c r="W167" s="7">
        <f t="shared" si="31"/>
        <v>9.7711098288132288</v>
      </c>
    </row>
    <row r="168" spans="1:23" x14ac:dyDescent="0.35">
      <c r="A168">
        <v>2005</v>
      </c>
      <c r="B168" t="s">
        <v>179</v>
      </c>
      <c r="C168" t="s">
        <v>180</v>
      </c>
      <c r="D168" t="s">
        <v>228</v>
      </c>
      <c r="E168" t="s">
        <v>176</v>
      </c>
      <c r="F168" t="s">
        <v>60</v>
      </c>
      <c r="G168">
        <v>1998</v>
      </c>
      <c r="H168" t="s">
        <v>181</v>
      </c>
      <c r="I168">
        <v>285</v>
      </c>
      <c r="J168">
        <v>193</v>
      </c>
      <c r="M168">
        <v>3</v>
      </c>
      <c r="N168" t="s">
        <v>32</v>
      </c>
      <c r="O168" t="s">
        <v>15</v>
      </c>
      <c r="P168">
        <v>250</v>
      </c>
      <c r="Q168">
        <v>600</v>
      </c>
      <c r="R168">
        <v>203.9</v>
      </c>
      <c r="T168">
        <v>224.1</v>
      </c>
      <c r="U168">
        <f t="shared" si="32"/>
        <v>20.199999999999989</v>
      </c>
      <c r="V168" s="6">
        <f>U168/M168*1000</f>
        <v>6733.3333333333294</v>
      </c>
      <c r="W168" s="7">
        <f t="shared" si="31"/>
        <v>3.3022723557299316</v>
      </c>
    </row>
    <row r="169" spans="1:23" x14ac:dyDescent="0.35">
      <c r="D169" t="s">
        <v>228</v>
      </c>
      <c r="V169" s="6"/>
      <c r="W169" s="7"/>
    </row>
    <row r="170" spans="1:23" x14ac:dyDescent="0.35">
      <c r="A170">
        <v>2005</v>
      </c>
      <c r="B170" t="s">
        <v>179</v>
      </c>
      <c r="C170" t="s">
        <v>188</v>
      </c>
      <c r="D170" t="s">
        <v>228</v>
      </c>
      <c r="E170" t="s">
        <v>189</v>
      </c>
      <c r="F170" t="s">
        <v>9</v>
      </c>
      <c r="G170">
        <v>1994</v>
      </c>
      <c r="H170" t="s">
        <v>190</v>
      </c>
      <c r="M170">
        <v>7</v>
      </c>
      <c r="N170" t="s">
        <v>104</v>
      </c>
      <c r="O170" t="s">
        <v>62</v>
      </c>
      <c r="P170">
        <v>250</v>
      </c>
      <c r="Q170">
        <v>300</v>
      </c>
      <c r="R170">
        <f>46.4+33.3</f>
        <v>79.699999999999989</v>
      </c>
      <c r="T170">
        <f>54.3+39</f>
        <v>93.3</v>
      </c>
      <c r="U170">
        <f t="shared" si="32"/>
        <v>13.600000000000009</v>
      </c>
      <c r="V170" s="6">
        <f t="shared" ref="V170:V206" si="35">U170/M170*1000</f>
        <v>1942.8571428571443</v>
      </c>
      <c r="W170" s="7">
        <f t="shared" si="31"/>
        <v>2.4377128517655509</v>
      </c>
    </row>
    <row r="171" spans="1:23" x14ac:dyDescent="0.35">
      <c r="A171">
        <v>2005</v>
      </c>
      <c r="B171" t="s">
        <v>179</v>
      </c>
      <c r="C171" t="s">
        <v>188</v>
      </c>
      <c r="D171" t="s">
        <v>228</v>
      </c>
      <c r="E171" t="s">
        <v>8</v>
      </c>
      <c r="F171" t="s">
        <v>9</v>
      </c>
      <c r="G171">
        <v>1994</v>
      </c>
      <c r="H171" t="s">
        <v>191</v>
      </c>
      <c r="M171">
        <v>7</v>
      </c>
      <c r="N171" t="s">
        <v>104</v>
      </c>
      <c r="O171" t="s">
        <v>62</v>
      </c>
      <c r="P171">
        <v>250</v>
      </c>
      <c r="Q171">
        <v>300</v>
      </c>
      <c r="R171">
        <f>38.7+41.4</f>
        <v>80.099999999999994</v>
      </c>
      <c r="T171">
        <f>40.5+39.6</f>
        <v>80.099999999999994</v>
      </c>
      <c r="U171">
        <f t="shared" si="32"/>
        <v>0</v>
      </c>
      <c r="V171" s="6">
        <f t="shared" si="35"/>
        <v>0</v>
      </c>
      <c r="W171" s="7">
        <f t="shared" si="31"/>
        <v>0</v>
      </c>
    </row>
    <row r="172" spans="1:23" x14ac:dyDescent="0.35">
      <c r="A172">
        <v>2005</v>
      </c>
      <c r="B172" t="s">
        <v>179</v>
      </c>
      <c r="C172" t="s">
        <v>188</v>
      </c>
      <c r="D172" t="s">
        <v>228</v>
      </c>
      <c r="E172" t="s">
        <v>18</v>
      </c>
      <c r="F172" t="s">
        <v>9</v>
      </c>
      <c r="G172">
        <v>1994</v>
      </c>
      <c r="H172" t="s">
        <v>192</v>
      </c>
      <c r="M172">
        <v>7</v>
      </c>
      <c r="N172" t="s">
        <v>104</v>
      </c>
      <c r="O172" t="s">
        <v>62</v>
      </c>
      <c r="P172">
        <v>250</v>
      </c>
      <c r="Q172">
        <v>300</v>
      </c>
      <c r="R172">
        <f>35.4+31.2</f>
        <v>66.599999999999994</v>
      </c>
      <c r="T172">
        <f>42.3+27</f>
        <v>69.3</v>
      </c>
      <c r="U172">
        <f t="shared" si="32"/>
        <v>2.7000000000000028</v>
      </c>
      <c r="V172" s="6">
        <f t="shared" si="35"/>
        <v>385.71428571428612</v>
      </c>
      <c r="W172" s="7">
        <f t="shared" si="31"/>
        <v>0.57915057915057977</v>
      </c>
    </row>
    <row r="173" spans="1:23" x14ac:dyDescent="0.35">
      <c r="A173">
        <v>2005</v>
      </c>
      <c r="B173" t="s">
        <v>179</v>
      </c>
      <c r="C173" t="s">
        <v>188</v>
      </c>
      <c r="D173" t="s">
        <v>228</v>
      </c>
      <c r="E173" t="s">
        <v>22</v>
      </c>
      <c r="F173" t="s">
        <v>9</v>
      </c>
      <c r="G173">
        <v>1994</v>
      </c>
      <c r="H173" t="s">
        <v>193</v>
      </c>
      <c r="M173">
        <v>7</v>
      </c>
      <c r="N173" t="s">
        <v>104</v>
      </c>
      <c r="O173" t="s">
        <v>62</v>
      </c>
      <c r="P173">
        <v>250</v>
      </c>
      <c r="Q173">
        <v>300</v>
      </c>
      <c r="R173">
        <f>30.9+36.3</f>
        <v>67.199999999999989</v>
      </c>
      <c r="T173">
        <f>32.9+35.9</f>
        <v>68.8</v>
      </c>
      <c r="U173">
        <f t="shared" si="32"/>
        <v>1.6000000000000085</v>
      </c>
      <c r="V173" s="6">
        <f t="shared" si="35"/>
        <v>228.57142857142978</v>
      </c>
      <c r="W173" s="7">
        <f t="shared" si="31"/>
        <v>0.34013605442177058</v>
      </c>
    </row>
    <row r="174" spans="1:23" x14ac:dyDescent="0.35">
      <c r="A174">
        <v>2005</v>
      </c>
      <c r="B174" t="s">
        <v>179</v>
      </c>
      <c r="C174" t="s">
        <v>188</v>
      </c>
      <c r="D174" t="s">
        <v>228</v>
      </c>
      <c r="E174" t="s">
        <v>194</v>
      </c>
      <c r="F174" t="s">
        <v>9</v>
      </c>
      <c r="G174">
        <v>1994</v>
      </c>
      <c r="H174" t="s">
        <v>195</v>
      </c>
      <c r="M174">
        <v>7</v>
      </c>
      <c r="N174" t="s">
        <v>104</v>
      </c>
      <c r="O174" t="s">
        <v>62</v>
      </c>
      <c r="P174">
        <v>250</v>
      </c>
      <c r="Q174">
        <v>300</v>
      </c>
      <c r="R174">
        <f>39.9+35.1</f>
        <v>75</v>
      </c>
      <c r="T174">
        <f>47.6+35</f>
        <v>82.6</v>
      </c>
      <c r="U174">
        <f t="shared" si="32"/>
        <v>7.5999999999999943</v>
      </c>
      <c r="V174" s="6">
        <f t="shared" si="35"/>
        <v>1085.7142857142849</v>
      </c>
      <c r="W174" s="7">
        <f t="shared" ref="W174:W206" si="36">U174/R174/M174*100</f>
        <v>1.4476190476190465</v>
      </c>
    </row>
    <row r="175" spans="1:23" x14ac:dyDescent="0.35">
      <c r="A175">
        <v>2005</v>
      </c>
      <c r="B175" t="s">
        <v>179</v>
      </c>
      <c r="C175" t="s">
        <v>188</v>
      </c>
      <c r="D175" t="s">
        <v>228</v>
      </c>
      <c r="E175" t="s">
        <v>20</v>
      </c>
      <c r="F175" t="s">
        <v>9</v>
      </c>
      <c r="G175">
        <v>1998</v>
      </c>
      <c r="H175" t="s">
        <v>190</v>
      </c>
      <c r="M175">
        <v>3</v>
      </c>
      <c r="N175" t="s">
        <v>104</v>
      </c>
      <c r="O175" t="s">
        <v>196</v>
      </c>
      <c r="P175" s="8">
        <v>200250</v>
      </c>
      <c r="Q175">
        <v>300</v>
      </c>
      <c r="R175">
        <v>89.4</v>
      </c>
      <c r="S175">
        <f>49.2+48.5</f>
        <v>97.7</v>
      </c>
      <c r="U175">
        <f t="shared" si="32"/>
        <v>8.2999999999999972</v>
      </c>
      <c r="V175" s="6">
        <f t="shared" si="35"/>
        <v>2766.6666666666656</v>
      </c>
      <c r="W175" s="7">
        <f t="shared" si="36"/>
        <v>3.0947054436987309</v>
      </c>
    </row>
    <row r="176" spans="1:23" x14ac:dyDescent="0.35">
      <c r="A176">
        <v>2005</v>
      </c>
      <c r="B176" t="s">
        <v>179</v>
      </c>
      <c r="C176" t="s">
        <v>188</v>
      </c>
      <c r="D176" t="s">
        <v>228</v>
      </c>
      <c r="E176" t="s">
        <v>20</v>
      </c>
      <c r="F176" t="s">
        <v>9</v>
      </c>
      <c r="G176">
        <v>1998</v>
      </c>
      <c r="H176" t="s">
        <v>190</v>
      </c>
      <c r="M176">
        <v>3</v>
      </c>
      <c r="N176" t="s">
        <v>104</v>
      </c>
      <c r="O176" t="s">
        <v>62</v>
      </c>
      <c r="P176">
        <v>250</v>
      </c>
      <c r="Q176">
        <v>300</v>
      </c>
      <c r="R176">
        <f>47.7+41.7</f>
        <v>89.4</v>
      </c>
      <c r="T176">
        <f t="shared" ref="T176:T178" si="37">39.6+44.7</f>
        <v>84.300000000000011</v>
      </c>
      <c r="U176">
        <f t="shared" si="32"/>
        <v>-5.0999999999999943</v>
      </c>
      <c r="V176" s="6">
        <f t="shared" si="35"/>
        <v>-1699.9999999999982</v>
      </c>
      <c r="W176" s="7">
        <f t="shared" si="36"/>
        <v>-1.9015659955257249</v>
      </c>
    </row>
    <row r="177" spans="1:23" x14ac:dyDescent="0.35">
      <c r="A177">
        <v>2005</v>
      </c>
      <c r="B177" t="s">
        <v>179</v>
      </c>
      <c r="C177" t="s">
        <v>188</v>
      </c>
      <c r="D177" t="s">
        <v>228</v>
      </c>
      <c r="E177" t="s">
        <v>20</v>
      </c>
      <c r="F177" t="s">
        <v>9</v>
      </c>
      <c r="G177">
        <v>1998</v>
      </c>
      <c r="H177" t="s">
        <v>190</v>
      </c>
      <c r="M177">
        <v>3</v>
      </c>
      <c r="N177" t="s">
        <v>104</v>
      </c>
      <c r="O177" t="s">
        <v>14</v>
      </c>
      <c r="P177">
        <v>460</v>
      </c>
      <c r="Q177">
        <v>300</v>
      </c>
      <c r="R177">
        <f>38.4+37.7</f>
        <v>76.099999999999994</v>
      </c>
      <c r="T177">
        <f t="shared" si="37"/>
        <v>84.300000000000011</v>
      </c>
      <c r="U177">
        <f t="shared" si="32"/>
        <v>8.2000000000000171</v>
      </c>
      <c r="V177" s="6">
        <f t="shared" si="35"/>
        <v>2733.3333333333389</v>
      </c>
      <c r="W177" s="7">
        <f t="shared" si="36"/>
        <v>3.5917652212001836</v>
      </c>
    </row>
    <row r="178" spans="1:23" x14ac:dyDescent="0.35">
      <c r="A178">
        <v>2005</v>
      </c>
      <c r="B178" t="s">
        <v>179</v>
      </c>
      <c r="C178" t="s">
        <v>188</v>
      </c>
      <c r="D178" t="s">
        <v>228</v>
      </c>
      <c r="E178" t="s">
        <v>20</v>
      </c>
      <c r="F178" t="s">
        <v>9</v>
      </c>
      <c r="G178">
        <v>1998</v>
      </c>
      <c r="H178" t="s">
        <v>190</v>
      </c>
      <c r="M178">
        <v>3</v>
      </c>
      <c r="N178" t="s">
        <v>104</v>
      </c>
      <c r="O178" t="s">
        <v>160</v>
      </c>
      <c r="P178">
        <v>250</v>
      </c>
      <c r="Q178">
        <v>300</v>
      </c>
      <c r="R178">
        <f>42.9+46.4</f>
        <v>89.3</v>
      </c>
      <c r="T178">
        <f t="shared" si="37"/>
        <v>84.300000000000011</v>
      </c>
      <c r="U178">
        <f t="shared" si="32"/>
        <v>-4.9999999999999858</v>
      </c>
      <c r="V178" s="6">
        <f t="shared" si="35"/>
        <v>-1666.666666666662</v>
      </c>
      <c r="W178" s="7">
        <f t="shared" si="36"/>
        <v>-1.8663680477790168</v>
      </c>
    </row>
    <row r="179" spans="1:23" x14ac:dyDescent="0.35">
      <c r="D179" t="s">
        <v>228</v>
      </c>
      <c r="V179" s="6"/>
      <c r="W179" s="7"/>
    </row>
    <row r="180" spans="1:23" x14ac:dyDescent="0.35">
      <c r="A180">
        <v>2002</v>
      </c>
      <c r="B180" t="s">
        <v>197</v>
      </c>
      <c r="C180" t="s">
        <v>198</v>
      </c>
      <c r="D180" t="s">
        <v>228</v>
      </c>
      <c r="E180" t="s">
        <v>77</v>
      </c>
      <c r="F180" t="s">
        <v>39</v>
      </c>
      <c r="G180">
        <v>1983</v>
      </c>
      <c r="H180" t="s">
        <v>47</v>
      </c>
      <c r="L180">
        <v>418</v>
      </c>
      <c r="M180">
        <v>12</v>
      </c>
      <c r="N180" t="s">
        <v>199</v>
      </c>
      <c r="O180" t="s">
        <v>200</v>
      </c>
      <c r="P180">
        <v>120</v>
      </c>
      <c r="Q180">
        <v>304</v>
      </c>
      <c r="R180">
        <v>65.599999999999994</v>
      </c>
      <c r="T180">
        <v>62.9</v>
      </c>
      <c r="U180">
        <f t="shared" ref="U180:U206" si="38">IF(ISBLANK($S180),$T180-$R180,$S180-$R180)</f>
        <v>-2.6999999999999957</v>
      </c>
      <c r="V180" s="6">
        <f t="shared" si="35"/>
        <v>-224.99999999999966</v>
      </c>
      <c r="W180" s="7">
        <f t="shared" si="36"/>
        <v>-0.34298780487804825</v>
      </c>
    </row>
    <row r="181" spans="1:23" x14ac:dyDescent="0.35">
      <c r="A181">
        <v>2002</v>
      </c>
      <c r="B181" t="s">
        <v>197</v>
      </c>
      <c r="C181" t="s">
        <v>198</v>
      </c>
      <c r="D181" t="s">
        <v>228</v>
      </c>
      <c r="E181" t="s">
        <v>77</v>
      </c>
      <c r="F181" t="s">
        <v>39</v>
      </c>
      <c r="G181">
        <v>1983</v>
      </c>
      <c r="H181" t="s">
        <v>47</v>
      </c>
      <c r="L181">
        <v>418</v>
      </c>
      <c r="M181">
        <v>12</v>
      </c>
      <c r="N181" t="s">
        <v>199</v>
      </c>
      <c r="O181" t="s">
        <v>201</v>
      </c>
      <c r="P181" s="12" t="s">
        <v>202</v>
      </c>
      <c r="Q181">
        <v>304</v>
      </c>
      <c r="R181">
        <v>65.599999999999994</v>
      </c>
      <c r="S181">
        <v>65.5</v>
      </c>
      <c r="U181">
        <f t="shared" si="38"/>
        <v>-9.9999999999994316E-2</v>
      </c>
      <c r="V181" s="6">
        <f t="shared" si="35"/>
        <v>-8.3333333333328596</v>
      </c>
      <c r="W181" s="7">
        <f>U181/R181/M181*100</f>
        <v>-1.2703252032519605E-2</v>
      </c>
    </row>
    <row r="182" spans="1:23" x14ac:dyDescent="0.35">
      <c r="A182">
        <v>2002</v>
      </c>
      <c r="B182" t="s">
        <v>197</v>
      </c>
      <c r="C182" t="s">
        <v>198</v>
      </c>
      <c r="D182" t="s">
        <v>228</v>
      </c>
      <c r="E182" t="s">
        <v>77</v>
      </c>
      <c r="F182" t="s">
        <v>39</v>
      </c>
      <c r="G182">
        <v>1983</v>
      </c>
      <c r="H182" t="s">
        <v>47</v>
      </c>
      <c r="L182">
        <v>418</v>
      </c>
      <c r="M182">
        <v>12</v>
      </c>
      <c r="N182" t="s">
        <v>203</v>
      </c>
      <c r="O182" t="s">
        <v>204</v>
      </c>
      <c r="P182">
        <v>150</v>
      </c>
      <c r="Q182">
        <v>304</v>
      </c>
      <c r="R182">
        <v>64.099999999999994</v>
      </c>
      <c r="T182">
        <v>70.599999999999994</v>
      </c>
      <c r="U182">
        <f t="shared" si="38"/>
        <v>6.5</v>
      </c>
      <c r="V182" s="6">
        <f t="shared" si="35"/>
        <v>541.66666666666663</v>
      </c>
      <c r="W182" s="7">
        <f t="shared" si="36"/>
        <v>0.84503380135205419</v>
      </c>
    </row>
    <row r="183" spans="1:23" x14ac:dyDescent="0.35">
      <c r="A183">
        <v>2002</v>
      </c>
      <c r="B183" t="s">
        <v>197</v>
      </c>
      <c r="C183" t="s">
        <v>198</v>
      </c>
      <c r="D183" t="s">
        <v>228</v>
      </c>
      <c r="E183" t="s">
        <v>77</v>
      </c>
      <c r="F183" t="s">
        <v>39</v>
      </c>
      <c r="G183">
        <v>1983</v>
      </c>
      <c r="H183" t="s">
        <v>47</v>
      </c>
      <c r="L183">
        <v>418</v>
      </c>
      <c r="M183">
        <v>12</v>
      </c>
      <c r="N183" t="s">
        <v>203</v>
      </c>
      <c r="O183" t="s">
        <v>205</v>
      </c>
      <c r="P183" s="12" t="s">
        <v>206</v>
      </c>
      <c r="Q183">
        <v>304</v>
      </c>
      <c r="R183">
        <v>64.099999999999994</v>
      </c>
      <c r="S183">
        <v>68.900000000000006</v>
      </c>
      <c r="U183">
        <f t="shared" si="38"/>
        <v>4.8000000000000114</v>
      </c>
      <c r="V183" s="6">
        <f t="shared" si="35"/>
        <v>400.00000000000097</v>
      </c>
      <c r="W183" s="7">
        <f t="shared" si="36"/>
        <v>0.6240249609984414</v>
      </c>
    </row>
    <row r="184" spans="1:23" x14ac:dyDescent="0.35">
      <c r="D184" t="s">
        <v>228</v>
      </c>
      <c r="V184" s="6"/>
      <c r="W184" s="7"/>
    </row>
    <row r="185" spans="1:23" x14ac:dyDescent="0.35">
      <c r="A185">
        <v>2001</v>
      </c>
      <c r="B185" t="s">
        <v>207</v>
      </c>
      <c r="C185" t="s">
        <v>208</v>
      </c>
      <c r="D185" t="s">
        <v>228</v>
      </c>
      <c r="E185" t="s">
        <v>209</v>
      </c>
      <c r="F185" t="s">
        <v>210</v>
      </c>
      <c r="G185">
        <v>1989</v>
      </c>
      <c r="H185" t="s">
        <v>107</v>
      </c>
      <c r="L185">
        <v>475</v>
      </c>
      <c r="M185">
        <v>8</v>
      </c>
      <c r="N185" t="s">
        <v>32</v>
      </c>
      <c r="O185" t="s">
        <v>211</v>
      </c>
      <c r="Q185">
        <v>200</v>
      </c>
      <c r="R185">
        <v>39.68</v>
      </c>
      <c r="S185">
        <v>53.24</v>
      </c>
      <c r="U185">
        <f t="shared" si="38"/>
        <v>13.560000000000002</v>
      </c>
      <c r="V185" s="6">
        <f t="shared" si="35"/>
        <v>1695.0000000000002</v>
      </c>
      <c r="W185" s="7">
        <f t="shared" si="36"/>
        <v>4.2716733870967749</v>
      </c>
    </row>
    <row r="186" spans="1:23" x14ac:dyDescent="0.35">
      <c r="A186">
        <v>2001</v>
      </c>
      <c r="B186" t="s">
        <v>207</v>
      </c>
      <c r="C186" t="s">
        <v>208</v>
      </c>
      <c r="D186" t="s">
        <v>228</v>
      </c>
      <c r="E186" t="s">
        <v>209</v>
      </c>
      <c r="F186" t="s">
        <v>210</v>
      </c>
      <c r="G186">
        <v>1989</v>
      </c>
      <c r="H186" t="s">
        <v>107</v>
      </c>
      <c r="L186">
        <v>520</v>
      </c>
      <c r="M186">
        <v>9</v>
      </c>
      <c r="N186" t="s">
        <v>32</v>
      </c>
      <c r="O186" t="s">
        <v>211</v>
      </c>
      <c r="Q186">
        <v>200</v>
      </c>
      <c r="R186">
        <v>55.95</v>
      </c>
      <c r="S186">
        <v>51.89</v>
      </c>
      <c r="U186">
        <f t="shared" si="38"/>
        <v>-4.0600000000000023</v>
      </c>
      <c r="V186" s="6">
        <f t="shared" si="35"/>
        <v>-451.11111111111137</v>
      </c>
      <c r="W186" s="7">
        <f t="shared" si="36"/>
        <v>-0.80627544434514975</v>
      </c>
    </row>
    <row r="187" spans="1:23" x14ac:dyDescent="0.35">
      <c r="D187" t="s">
        <v>228</v>
      </c>
      <c r="V187" s="6"/>
      <c r="W187" s="7"/>
    </row>
    <row r="188" spans="1:23" x14ac:dyDescent="0.35">
      <c r="A188">
        <v>2000</v>
      </c>
      <c r="B188" t="s">
        <v>212</v>
      </c>
      <c r="C188" t="s">
        <v>213</v>
      </c>
      <c r="D188" t="s">
        <v>228</v>
      </c>
      <c r="E188" t="s">
        <v>157</v>
      </c>
      <c r="F188" t="s">
        <v>214</v>
      </c>
      <c r="G188">
        <v>1980</v>
      </c>
      <c r="H188" t="s">
        <v>34</v>
      </c>
      <c r="K188">
        <v>7</v>
      </c>
      <c r="L188">
        <v>820</v>
      </c>
      <c r="M188">
        <v>2</v>
      </c>
      <c r="N188" t="s">
        <v>215</v>
      </c>
      <c r="O188" t="s">
        <v>13</v>
      </c>
      <c r="P188">
        <v>170</v>
      </c>
      <c r="Q188">
        <v>300</v>
      </c>
      <c r="R188">
        <v>87</v>
      </c>
      <c r="T188">
        <v>107</v>
      </c>
      <c r="U188">
        <f t="shared" si="38"/>
        <v>20</v>
      </c>
      <c r="V188" s="6">
        <f t="shared" si="35"/>
        <v>10000</v>
      </c>
      <c r="W188" s="7">
        <f t="shared" si="36"/>
        <v>11.494252873563218</v>
      </c>
    </row>
    <row r="189" spans="1:23" x14ac:dyDescent="0.35">
      <c r="A189">
        <v>2000</v>
      </c>
      <c r="B189" t="s">
        <v>212</v>
      </c>
      <c r="C189" t="s">
        <v>213</v>
      </c>
      <c r="D189" t="s">
        <v>228</v>
      </c>
      <c r="E189" t="s">
        <v>157</v>
      </c>
      <c r="F189" t="s">
        <v>214</v>
      </c>
      <c r="G189">
        <v>1980</v>
      </c>
      <c r="H189" t="s">
        <v>34</v>
      </c>
      <c r="K189">
        <v>7</v>
      </c>
      <c r="L189">
        <v>820</v>
      </c>
      <c r="M189">
        <v>2</v>
      </c>
      <c r="N189" t="s">
        <v>216</v>
      </c>
      <c r="O189" t="s">
        <v>13</v>
      </c>
      <c r="P189">
        <v>170</v>
      </c>
      <c r="Q189">
        <v>300</v>
      </c>
      <c r="R189">
        <v>95.5</v>
      </c>
      <c r="T189">
        <v>89.1</v>
      </c>
      <c r="U189">
        <f t="shared" si="38"/>
        <v>-6.4000000000000057</v>
      </c>
      <c r="V189" s="6">
        <f t="shared" si="35"/>
        <v>-3200.0000000000027</v>
      </c>
      <c r="W189" s="7">
        <f t="shared" si="36"/>
        <v>-3.3507853403141392</v>
      </c>
    </row>
    <row r="190" spans="1:23" x14ac:dyDescent="0.35">
      <c r="A190">
        <v>2000</v>
      </c>
      <c r="B190" t="s">
        <v>212</v>
      </c>
      <c r="C190" t="s">
        <v>213</v>
      </c>
      <c r="D190" t="s">
        <v>228</v>
      </c>
      <c r="E190" t="s">
        <v>157</v>
      </c>
      <c r="F190" t="s">
        <v>214</v>
      </c>
      <c r="G190">
        <v>1980</v>
      </c>
      <c r="H190" t="s">
        <v>34</v>
      </c>
      <c r="K190">
        <v>7</v>
      </c>
      <c r="L190">
        <v>820</v>
      </c>
      <c r="M190">
        <v>2</v>
      </c>
      <c r="N190" t="s">
        <v>215</v>
      </c>
      <c r="O190" t="s">
        <v>160</v>
      </c>
      <c r="P190">
        <v>230</v>
      </c>
      <c r="Q190">
        <v>300</v>
      </c>
      <c r="R190">
        <v>101.2</v>
      </c>
      <c r="T190">
        <v>107</v>
      </c>
      <c r="U190">
        <f t="shared" si="38"/>
        <v>5.7999999999999972</v>
      </c>
      <c r="V190" s="6">
        <f t="shared" si="35"/>
        <v>2899.9999999999986</v>
      </c>
      <c r="W190" s="7">
        <f t="shared" si="36"/>
        <v>2.8656126482213424</v>
      </c>
    </row>
    <row r="191" spans="1:23" x14ac:dyDescent="0.35">
      <c r="A191">
        <v>2000</v>
      </c>
      <c r="B191" t="s">
        <v>212</v>
      </c>
      <c r="C191" t="s">
        <v>213</v>
      </c>
      <c r="D191" t="s">
        <v>228</v>
      </c>
      <c r="E191" t="s">
        <v>157</v>
      </c>
      <c r="F191" t="s">
        <v>214</v>
      </c>
      <c r="G191">
        <v>1980</v>
      </c>
      <c r="H191" t="s">
        <v>34</v>
      </c>
      <c r="K191">
        <v>7</v>
      </c>
      <c r="L191">
        <v>820</v>
      </c>
      <c r="M191">
        <v>2</v>
      </c>
      <c r="N191" t="s">
        <v>217</v>
      </c>
      <c r="O191" t="s">
        <v>160</v>
      </c>
      <c r="P191">
        <v>230</v>
      </c>
      <c r="Q191">
        <v>300</v>
      </c>
      <c r="R191">
        <v>99.1</v>
      </c>
      <c r="T191">
        <v>89.1</v>
      </c>
      <c r="U191">
        <f t="shared" si="38"/>
        <v>-10</v>
      </c>
      <c r="V191" s="6">
        <f t="shared" si="35"/>
        <v>-5000</v>
      </c>
      <c r="W191" s="7">
        <f t="shared" si="36"/>
        <v>-5.0454086781029268</v>
      </c>
    </row>
    <row r="192" spans="1:23" x14ac:dyDescent="0.35">
      <c r="A192">
        <v>2000</v>
      </c>
      <c r="B192" t="s">
        <v>212</v>
      </c>
      <c r="C192" t="s">
        <v>213</v>
      </c>
      <c r="D192" t="s">
        <v>228</v>
      </c>
      <c r="E192" t="s">
        <v>157</v>
      </c>
      <c r="F192" t="s">
        <v>214</v>
      </c>
      <c r="G192">
        <v>1980</v>
      </c>
      <c r="H192" t="s">
        <v>34</v>
      </c>
      <c r="K192">
        <v>7</v>
      </c>
      <c r="L192">
        <v>820</v>
      </c>
      <c r="M192">
        <v>2</v>
      </c>
      <c r="N192" t="s">
        <v>218</v>
      </c>
      <c r="O192" t="s">
        <v>13</v>
      </c>
      <c r="P192">
        <v>170</v>
      </c>
      <c r="Q192">
        <v>300</v>
      </c>
      <c r="R192">
        <v>93.5</v>
      </c>
      <c r="T192">
        <v>101.6</v>
      </c>
      <c r="U192">
        <f t="shared" si="38"/>
        <v>8.0999999999999943</v>
      </c>
      <c r="V192" s="6">
        <f t="shared" si="35"/>
        <v>4049.9999999999973</v>
      </c>
      <c r="W192" s="7">
        <f t="shared" si="36"/>
        <v>4.3315508021390343</v>
      </c>
    </row>
    <row r="193" spans="1:23" x14ac:dyDescent="0.35">
      <c r="A193">
        <v>2000</v>
      </c>
      <c r="B193" t="s">
        <v>212</v>
      </c>
      <c r="C193" t="s">
        <v>213</v>
      </c>
      <c r="D193" t="s">
        <v>228</v>
      </c>
      <c r="E193" t="s">
        <v>157</v>
      </c>
      <c r="F193" t="s">
        <v>214</v>
      </c>
      <c r="G193">
        <v>1980</v>
      </c>
      <c r="H193" t="s">
        <v>34</v>
      </c>
      <c r="K193">
        <v>7</v>
      </c>
      <c r="L193">
        <v>820</v>
      </c>
      <c r="M193">
        <v>2</v>
      </c>
      <c r="N193" t="s">
        <v>219</v>
      </c>
      <c r="O193" t="s">
        <v>13</v>
      </c>
      <c r="P193">
        <v>170</v>
      </c>
      <c r="Q193">
        <v>300</v>
      </c>
      <c r="R193">
        <v>97.5</v>
      </c>
      <c r="T193">
        <v>100</v>
      </c>
      <c r="U193">
        <f t="shared" si="38"/>
        <v>2.5</v>
      </c>
      <c r="V193" s="6">
        <f t="shared" si="35"/>
        <v>1250</v>
      </c>
      <c r="W193" s="7">
        <f t="shared" si="36"/>
        <v>1.2820512820512819</v>
      </c>
    </row>
    <row r="194" spans="1:23" x14ac:dyDescent="0.35">
      <c r="A194">
        <v>2000</v>
      </c>
      <c r="B194" t="s">
        <v>212</v>
      </c>
      <c r="C194" t="s">
        <v>213</v>
      </c>
      <c r="D194" t="s">
        <v>228</v>
      </c>
      <c r="E194" t="s">
        <v>157</v>
      </c>
      <c r="F194" t="s">
        <v>214</v>
      </c>
      <c r="G194">
        <v>1980</v>
      </c>
      <c r="H194" t="s">
        <v>34</v>
      </c>
      <c r="K194">
        <v>7</v>
      </c>
      <c r="L194">
        <v>820</v>
      </c>
      <c r="M194">
        <v>2</v>
      </c>
      <c r="N194" t="s">
        <v>218</v>
      </c>
      <c r="O194" t="s">
        <v>160</v>
      </c>
      <c r="P194">
        <v>230</v>
      </c>
      <c r="Q194">
        <v>300</v>
      </c>
      <c r="R194">
        <v>109.8</v>
      </c>
      <c r="T194">
        <v>101.6</v>
      </c>
      <c r="U194">
        <f t="shared" si="38"/>
        <v>-8.2000000000000028</v>
      </c>
      <c r="V194" s="6">
        <f t="shared" si="35"/>
        <v>-4100.0000000000018</v>
      </c>
      <c r="W194" s="7">
        <f t="shared" si="36"/>
        <v>-3.7340619307832439</v>
      </c>
    </row>
    <row r="195" spans="1:23" x14ac:dyDescent="0.35">
      <c r="A195">
        <v>2000</v>
      </c>
      <c r="B195" t="s">
        <v>212</v>
      </c>
      <c r="C195" t="s">
        <v>213</v>
      </c>
      <c r="D195" t="s">
        <v>228</v>
      </c>
      <c r="E195" t="s">
        <v>157</v>
      </c>
      <c r="F195" t="s">
        <v>214</v>
      </c>
      <c r="G195">
        <v>1980</v>
      </c>
      <c r="H195" t="s">
        <v>34</v>
      </c>
      <c r="K195">
        <v>7</v>
      </c>
      <c r="L195">
        <v>820</v>
      </c>
      <c r="M195">
        <v>2</v>
      </c>
      <c r="N195" t="s">
        <v>220</v>
      </c>
      <c r="O195" t="s">
        <v>160</v>
      </c>
      <c r="P195">
        <v>230</v>
      </c>
      <c r="Q195">
        <v>300</v>
      </c>
      <c r="R195">
        <v>96.8</v>
      </c>
      <c r="T195">
        <v>100</v>
      </c>
      <c r="U195">
        <f t="shared" si="38"/>
        <v>3.2000000000000028</v>
      </c>
      <c r="V195" s="6">
        <f t="shared" si="35"/>
        <v>1600.0000000000014</v>
      </c>
      <c r="W195" s="7">
        <f t="shared" si="36"/>
        <v>1.6528925619834725</v>
      </c>
    </row>
    <row r="196" spans="1:23" x14ac:dyDescent="0.35">
      <c r="A196">
        <v>2000</v>
      </c>
      <c r="B196" t="s">
        <v>212</v>
      </c>
      <c r="C196" t="s">
        <v>213</v>
      </c>
      <c r="D196" t="s">
        <v>228</v>
      </c>
      <c r="E196" t="s">
        <v>157</v>
      </c>
      <c r="F196" t="s">
        <v>214</v>
      </c>
      <c r="G196">
        <v>1980</v>
      </c>
      <c r="H196" t="s">
        <v>34</v>
      </c>
      <c r="K196">
        <v>7</v>
      </c>
      <c r="L196">
        <v>820</v>
      </c>
      <c r="M196">
        <v>13</v>
      </c>
      <c r="N196" t="s">
        <v>215</v>
      </c>
      <c r="O196" t="s">
        <v>13</v>
      </c>
      <c r="P196">
        <v>170</v>
      </c>
      <c r="Q196">
        <v>300</v>
      </c>
      <c r="R196">
        <v>86.8</v>
      </c>
      <c r="T196">
        <v>91.4</v>
      </c>
      <c r="U196">
        <f t="shared" si="38"/>
        <v>4.6000000000000085</v>
      </c>
      <c r="V196" s="6">
        <f t="shared" si="35"/>
        <v>353.84615384615449</v>
      </c>
      <c r="W196" s="7">
        <f t="shared" si="36"/>
        <v>0.40765685926976325</v>
      </c>
    </row>
    <row r="197" spans="1:23" x14ac:dyDescent="0.35">
      <c r="A197">
        <v>2000</v>
      </c>
      <c r="B197" t="s">
        <v>212</v>
      </c>
      <c r="C197" t="s">
        <v>213</v>
      </c>
      <c r="D197" t="s">
        <v>228</v>
      </c>
      <c r="E197" t="s">
        <v>157</v>
      </c>
      <c r="F197" t="s">
        <v>214</v>
      </c>
      <c r="G197">
        <v>1980</v>
      </c>
      <c r="H197" t="s">
        <v>34</v>
      </c>
      <c r="K197">
        <v>7</v>
      </c>
      <c r="L197">
        <v>820</v>
      </c>
      <c r="M197">
        <v>13</v>
      </c>
      <c r="N197" t="s">
        <v>216</v>
      </c>
      <c r="O197" t="s">
        <v>13</v>
      </c>
      <c r="P197">
        <v>170</v>
      </c>
      <c r="Q197">
        <v>300</v>
      </c>
      <c r="R197">
        <v>94.7</v>
      </c>
      <c r="T197">
        <v>85.4</v>
      </c>
      <c r="U197">
        <f t="shared" si="38"/>
        <v>-9.2999999999999972</v>
      </c>
      <c r="V197" s="6">
        <f t="shared" si="35"/>
        <v>-715.38461538461513</v>
      </c>
      <c r="W197" s="7">
        <f t="shared" si="36"/>
        <v>-0.75542198034278263</v>
      </c>
    </row>
    <row r="198" spans="1:23" x14ac:dyDescent="0.35">
      <c r="A198">
        <v>2000</v>
      </c>
      <c r="B198" t="s">
        <v>212</v>
      </c>
      <c r="C198" t="s">
        <v>213</v>
      </c>
      <c r="D198" t="s">
        <v>228</v>
      </c>
      <c r="E198" t="s">
        <v>157</v>
      </c>
      <c r="F198" t="s">
        <v>214</v>
      </c>
      <c r="G198">
        <v>1980</v>
      </c>
      <c r="H198" t="s">
        <v>34</v>
      </c>
      <c r="K198">
        <v>7</v>
      </c>
      <c r="L198">
        <v>820</v>
      </c>
      <c r="M198">
        <v>13</v>
      </c>
      <c r="N198" t="s">
        <v>215</v>
      </c>
      <c r="O198" t="s">
        <v>160</v>
      </c>
      <c r="P198">
        <v>230</v>
      </c>
      <c r="Q198">
        <v>300</v>
      </c>
      <c r="R198">
        <v>93.5</v>
      </c>
      <c r="T198">
        <v>91.4</v>
      </c>
      <c r="U198">
        <f t="shared" si="38"/>
        <v>-2.0999999999999943</v>
      </c>
      <c r="V198" s="6">
        <f t="shared" si="35"/>
        <v>-161.53846153846109</v>
      </c>
      <c r="W198" s="7">
        <f t="shared" si="36"/>
        <v>-0.17276840806252522</v>
      </c>
    </row>
    <row r="199" spans="1:23" x14ac:dyDescent="0.35">
      <c r="A199">
        <v>2000</v>
      </c>
      <c r="B199" t="s">
        <v>212</v>
      </c>
      <c r="C199" t="s">
        <v>213</v>
      </c>
      <c r="D199" t="s">
        <v>228</v>
      </c>
      <c r="E199" t="s">
        <v>157</v>
      </c>
      <c r="F199" t="s">
        <v>214</v>
      </c>
      <c r="G199">
        <v>1980</v>
      </c>
      <c r="H199" t="s">
        <v>34</v>
      </c>
      <c r="K199">
        <v>7</v>
      </c>
      <c r="L199">
        <v>820</v>
      </c>
      <c r="M199">
        <v>13</v>
      </c>
      <c r="N199" t="s">
        <v>217</v>
      </c>
      <c r="O199" t="s">
        <v>160</v>
      </c>
      <c r="P199">
        <v>230</v>
      </c>
      <c r="Q199">
        <v>300</v>
      </c>
      <c r="R199">
        <v>94.7</v>
      </c>
      <c r="T199">
        <v>85.4</v>
      </c>
      <c r="U199">
        <f t="shared" si="38"/>
        <v>-9.2999999999999972</v>
      </c>
      <c r="V199" s="6">
        <f t="shared" si="35"/>
        <v>-715.38461538461513</v>
      </c>
      <c r="W199" s="7">
        <f t="shared" si="36"/>
        <v>-0.75542198034278263</v>
      </c>
    </row>
    <row r="200" spans="1:23" x14ac:dyDescent="0.35">
      <c r="A200">
        <v>2000</v>
      </c>
      <c r="B200" t="s">
        <v>212</v>
      </c>
      <c r="C200" t="s">
        <v>213</v>
      </c>
      <c r="D200" t="s">
        <v>228</v>
      </c>
      <c r="E200" t="s">
        <v>157</v>
      </c>
      <c r="F200" t="s">
        <v>214</v>
      </c>
      <c r="G200">
        <v>1980</v>
      </c>
      <c r="H200" t="s">
        <v>34</v>
      </c>
      <c r="K200">
        <v>7</v>
      </c>
      <c r="L200">
        <v>820</v>
      </c>
      <c r="M200">
        <v>13</v>
      </c>
      <c r="N200" t="s">
        <v>218</v>
      </c>
      <c r="O200" t="s">
        <v>13</v>
      </c>
      <c r="P200">
        <v>170</v>
      </c>
      <c r="Q200">
        <v>300</v>
      </c>
      <c r="R200">
        <v>81.7</v>
      </c>
      <c r="T200">
        <v>87.8</v>
      </c>
      <c r="U200">
        <f t="shared" si="38"/>
        <v>6.0999999999999943</v>
      </c>
      <c r="V200" s="6">
        <f t="shared" si="35"/>
        <v>469.23076923076877</v>
      </c>
      <c r="W200" s="7">
        <f t="shared" si="36"/>
        <v>0.57433386686752597</v>
      </c>
    </row>
    <row r="201" spans="1:23" x14ac:dyDescent="0.35">
      <c r="A201">
        <v>2000</v>
      </c>
      <c r="B201" t="s">
        <v>212</v>
      </c>
      <c r="C201" t="s">
        <v>213</v>
      </c>
      <c r="D201" t="s">
        <v>228</v>
      </c>
      <c r="E201" t="s">
        <v>157</v>
      </c>
      <c r="F201" t="s">
        <v>214</v>
      </c>
      <c r="G201">
        <v>1980</v>
      </c>
      <c r="H201" t="s">
        <v>34</v>
      </c>
      <c r="K201">
        <v>7</v>
      </c>
      <c r="L201">
        <v>820</v>
      </c>
      <c r="M201">
        <v>13</v>
      </c>
      <c r="N201" t="s">
        <v>219</v>
      </c>
      <c r="O201" t="s">
        <v>13</v>
      </c>
      <c r="P201">
        <v>170</v>
      </c>
      <c r="Q201">
        <v>300</v>
      </c>
      <c r="R201">
        <v>101.1</v>
      </c>
      <c r="T201">
        <v>107.1</v>
      </c>
      <c r="U201">
        <f t="shared" si="38"/>
        <v>6</v>
      </c>
      <c r="V201" s="6">
        <f t="shared" si="35"/>
        <v>461.53846153846155</v>
      </c>
      <c r="W201" s="7">
        <f t="shared" si="36"/>
        <v>0.45651677699155446</v>
      </c>
    </row>
    <row r="202" spans="1:23" x14ac:dyDescent="0.35">
      <c r="A202">
        <v>2000</v>
      </c>
      <c r="B202" t="s">
        <v>212</v>
      </c>
      <c r="C202" t="s">
        <v>213</v>
      </c>
      <c r="D202" t="s">
        <v>228</v>
      </c>
      <c r="E202" t="s">
        <v>157</v>
      </c>
      <c r="F202" t="s">
        <v>214</v>
      </c>
      <c r="G202">
        <v>1980</v>
      </c>
      <c r="H202" t="s">
        <v>34</v>
      </c>
      <c r="K202">
        <v>7</v>
      </c>
      <c r="L202">
        <v>820</v>
      </c>
      <c r="M202">
        <v>13</v>
      </c>
      <c r="N202" t="s">
        <v>218</v>
      </c>
      <c r="O202" t="s">
        <v>160</v>
      </c>
      <c r="P202">
        <v>230</v>
      </c>
      <c r="Q202">
        <v>300</v>
      </c>
      <c r="R202">
        <v>95.5</v>
      </c>
      <c r="T202">
        <v>87.8</v>
      </c>
      <c r="U202">
        <f t="shared" si="38"/>
        <v>-7.7000000000000028</v>
      </c>
      <c r="V202" s="6">
        <f t="shared" si="35"/>
        <v>-592.30769230769249</v>
      </c>
      <c r="W202" s="7">
        <f t="shared" si="36"/>
        <v>-0.62021747885622258</v>
      </c>
    </row>
    <row r="203" spans="1:23" x14ac:dyDescent="0.35">
      <c r="A203">
        <v>2000</v>
      </c>
      <c r="B203" t="s">
        <v>212</v>
      </c>
      <c r="C203" t="s">
        <v>213</v>
      </c>
      <c r="D203" t="s">
        <v>228</v>
      </c>
      <c r="E203" t="s">
        <v>157</v>
      </c>
      <c r="F203" t="s">
        <v>214</v>
      </c>
      <c r="G203">
        <v>1980</v>
      </c>
      <c r="H203" t="s">
        <v>34</v>
      </c>
      <c r="K203">
        <v>7</v>
      </c>
      <c r="L203">
        <v>820</v>
      </c>
      <c r="M203">
        <v>13</v>
      </c>
      <c r="N203" t="s">
        <v>220</v>
      </c>
      <c r="O203" t="s">
        <v>160</v>
      </c>
      <c r="P203">
        <v>230</v>
      </c>
      <c r="Q203">
        <v>300</v>
      </c>
      <c r="R203">
        <v>100.4</v>
      </c>
      <c r="T203">
        <v>107.1</v>
      </c>
      <c r="U203">
        <f t="shared" si="38"/>
        <v>6.6999999999999886</v>
      </c>
      <c r="V203" s="6">
        <f t="shared" si="35"/>
        <v>515.38461538461456</v>
      </c>
      <c r="W203" s="7">
        <f t="shared" si="36"/>
        <v>0.51333129022371971</v>
      </c>
    </row>
    <row r="204" spans="1:23" x14ac:dyDescent="0.35">
      <c r="D204" t="s">
        <v>228</v>
      </c>
      <c r="V204" s="6"/>
      <c r="W204" s="7"/>
    </row>
    <row r="205" spans="1:23" x14ac:dyDescent="0.35">
      <c r="A205">
        <v>1999</v>
      </c>
      <c r="B205" t="s">
        <v>221</v>
      </c>
      <c r="C205" t="s">
        <v>222</v>
      </c>
      <c r="D205" t="s">
        <v>228</v>
      </c>
      <c r="E205" t="s">
        <v>223</v>
      </c>
      <c r="F205" t="s">
        <v>224</v>
      </c>
      <c r="G205">
        <v>1994</v>
      </c>
      <c r="H205" t="s">
        <v>225</v>
      </c>
      <c r="M205">
        <v>2</v>
      </c>
      <c r="N205" t="s">
        <v>32</v>
      </c>
      <c r="O205" t="s">
        <v>226</v>
      </c>
      <c r="P205">
        <v>100</v>
      </c>
      <c r="Q205">
        <v>900</v>
      </c>
      <c r="R205">
        <v>93.5</v>
      </c>
      <c r="T205">
        <v>89.3</v>
      </c>
      <c r="U205">
        <f t="shared" si="38"/>
        <v>-4.2000000000000028</v>
      </c>
      <c r="V205" s="6">
        <f t="shared" si="35"/>
        <v>-2100.0000000000014</v>
      </c>
      <c r="W205" s="7">
        <f t="shared" si="36"/>
        <v>-2.2459893048128357</v>
      </c>
    </row>
    <row r="206" spans="1:23" x14ac:dyDescent="0.35">
      <c r="A206">
        <v>1999</v>
      </c>
      <c r="B206" t="s">
        <v>221</v>
      </c>
      <c r="C206" t="s">
        <v>222</v>
      </c>
      <c r="D206" t="s">
        <v>228</v>
      </c>
      <c r="E206" t="s">
        <v>223</v>
      </c>
      <c r="F206" t="s">
        <v>224</v>
      </c>
      <c r="G206">
        <v>1994</v>
      </c>
      <c r="H206" t="s">
        <v>225</v>
      </c>
      <c r="M206">
        <v>2</v>
      </c>
      <c r="N206" t="s">
        <v>32</v>
      </c>
      <c r="O206" t="s">
        <v>160</v>
      </c>
      <c r="P206">
        <v>700</v>
      </c>
      <c r="Q206">
        <v>900</v>
      </c>
      <c r="R206">
        <v>89.8</v>
      </c>
      <c r="T206">
        <v>89.3</v>
      </c>
      <c r="U206">
        <f t="shared" si="38"/>
        <v>-0.5</v>
      </c>
      <c r="V206" s="6">
        <f t="shared" si="35"/>
        <v>-250</v>
      </c>
      <c r="W206" s="7">
        <f t="shared" si="36"/>
        <v>-0.27839643652561247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8" r:id="rId3" name="Control 24">
          <controlPr defaultSize="0" r:id="rId4">
            <anchor moveWithCells="1">
              <from>
                <xdr:col>4</xdr:col>
                <xdr:colOff>0</xdr:colOff>
                <xdr:row>97</xdr:row>
                <xdr:rowOff>0</xdr:rowOff>
              </from>
              <to>
                <xdr:col>4</xdr:col>
                <xdr:colOff>914400</xdr:colOff>
                <xdr:row>98</xdr:row>
                <xdr:rowOff>50800</xdr:rowOff>
              </to>
            </anchor>
          </controlPr>
        </control>
      </mc:Choice>
      <mc:Fallback>
        <control shapeId="1048" r:id="rId3" name="Control 2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Hung,Chih-Yu (il | he, him) (ECCC)</dc:creator>
  <cp:lastModifiedBy>Hung,Chih-Yu (il | he, him) (ECCC)</cp:lastModifiedBy>
  <dcterms:created xsi:type="dcterms:W3CDTF">2024-07-30T19:50:28Z</dcterms:created>
  <dcterms:modified xsi:type="dcterms:W3CDTF">2024-07-31T18:16:46Z</dcterms:modified>
</cp:coreProperties>
</file>