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007gc-my.sharepoint.com/personal/chih-yu_hung_ec_gc_ca/Documents/2023/Fuel LCA/2.1 USASOC_minimeta/"/>
    </mc:Choice>
  </mc:AlternateContent>
  <xr:revisionPtr revIDLastSave="2596" documentId="13_ncr:1_{7DCAE6B2-7973-40A9-A402-2DC85B63B25D}" xr6:coauthVersionLast="47" xr6:coauthVersionMax="47" xr10:uidLastSave="{BD3FAF76-DDBA-4244-8521-AE18FE15DD8E}"/>
  <bookViews>
    <workbookView xWindow="-110" yWindow="-110" windowWidth="19420" windowHeight="10300" xr2:uid="{00000000-000D-0000-FFFF-FFFF00000000}"/>
  </bookViews>
  <sheets>
    <sheet name="Data" sheetId="8" r:id="rId1"/>
    <sheet name="Abbreviation" sheetId="9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05" i="8" l="1"/>
  <c r="V206" i="8"/>
  <c r="V207" i="8"/>
  <c r="V208" i="8"/>
  <c r="V209" i="8"/>
  <c r="V210" i="8"/>
  <c r="V211" i="8"/>
  <c r="V212" i="8"/>
  <c r="V213" i="8"/>
  <c r="V214" i="8"/>
  <c r="V215" i="8"/>
  <c r="V216" i="8"/>
  <c r="V217" i="8"/>
  <c r="V218" i="8"/>
  <c r="V219" i="8"/>
  <c r="V204" i="8"/>
  <c r="V199" i="8"/>
  <c r="V198" i="8"/>
  <c r="V197" i="8"/>
  <c r="V196" i="8"/>
  <c r="V194" i="8"/>
  <c r="V193" i="8"/>
  <c r="V192" i="8"/>
  <c r="V191" i="8"/>
  <c r="V190" i="8"/>
  <c r="V189" i="8"/>
  <c r="V188" i="8"/>
  <c r="V187" i="8"/>
  <c r="V186" i="8"/>
  <c r="V184" i="8"/>
  <c r="V183" i="8"/>
  <c r="V182" i="8"/>
  <c r="V181" i="8"/>
  <c r="V180" i="8"/>
  <c r="V179" i="8"/>
  <c r="V178" i="8"/>
  <c r="V177" i="8"/>
  <c r="V176" i="8"/>
  <c r="V174" i="8"/>
  <c r="V173" i="8"/>
  <c r="V172" i="8"/>
  <c r="V171" i="8"/>
  <c r="V169" i="8"/>
  <c r="U191" i="8"/>
  <c r="X71" i="8"/>
  <c r="X70" i="8"/>
  <c r="X69" i="8"/>
  <c r="X68" i="8"/>
  <c r="X67" i="8"/>
  <c r="V70" i="8"/>
  <c r="V69" i="8"/>
  <c r="V71" i="8"/>
  <c r="V68" i="8"/>
  <c r="V67" i="8"/>
  <c r="V64" i="8"/>
  <c r="X64" i="8" s="1"/>
  <c r="V63" i="8"/>
  <c r="X63" i="8" s="1"/>
  <c r="V62" i="8"/>
  <c r="X62" i="8" s="1"/>
  <c r="X168" i="8"/>
  <c r="X121" i="8"/>
  <c r="X120" i="8"/>
  <c r="V168" i="8"/>
  <c r="V117" i="8"/>
  <c r="X117" i="8" s="1"/>
  <c r="V118" i="8"/>
  <c r="X118" i="8" s="1"/>
  <c r="V119" i="8"/>
  <c r="W119" i="8" s="1"/>
  <c r="V120" i="8"/>
  <c r="W120" i="8" s="1"/>
  <c r="V121" i="8"/>
  <c r="W121" i="8"/>
  <c r="V122" i="8"/>
  <c r="X122" i="8" s="1"/>
  <c r="V115" i="8"/>
  <c r="X115" i="8" s="1"/>
  <c r="V114" i="8"/>
  <c r="X114" i="8" s="1"/>
  <c r="V110" i="8"/>
  <c r="X110" i="8" s="1"/>
  <c r="V109" i="8"/>
  <c r="X109" i="8" s="1"/>
  <c r="V108" i="8"/>
  <c r="X108" i="8" s="1"/>
  <c r="V107" i="8"/>
  <c r="X107" i="8" s="1"/>
  <c r="V99" i="8"/>
  <c r="X99" i="8" s="1"/>
  <c r="V98" i="8"/>
  <c r="X98" i="8" s="1"/>
  <c r="V97" i="8"/>
  <c r="X97" i="8" s="1"/>
  <c r="V86" i="8"/>
  <c r="X86" i="8" s="1"/>
  <c r="V85" i="8"/>
  <c r="X85" i="8" s="1"/>
  <c r="V60" i="8"/>
  <c r="X60" i="8" s="1"/>
  <c r="V59" i="8"/>
  <c r="X59" i="8" s="1"/>
  <c r="X119" i="8" l="1"/>
  <c r="W122" i="8"/>
  <c r="W118" i="8"/>
  <c r="W117" i="8"/>
  <c r="V100" i="8"/>
  <c r="X100" i="8" s="1"/>
  <c r="V83" i="8"/>
  <c r="X83" i="8" s="1"/>
  <c r="V84" i="8"/>
  <c r="W84" i="8" l="1"/>
  <c r="X84" i="8"/>
  <c r="W100" i="8"/>
  <c r="W83" i="8"/>
  <c r="V160" i="8"/>
  <c r="X160" i="8" s="1"/>
  <c r="V159" i="8"/>
  <c r="X159" i="8" s="1"/>
  <c r="S192" i="8"/>
  <c r="U186" i="8"/>
  <c r="S186" i="8"/>
  <c r="X214" i="8"/>
  <c r="X215" i="8"/>
  <c r="X216" i="8"/>
  <c r="X218" i="8"/>
  <c r="X219" i="8"/>
  <c r="X213" i="8"/>
  <c r="X212" i="8"/>
  <c r="X211" i="8"/>
  <c r="X210" i="8"/>
  <c r="W59" i="8"/>
  <c r="W62" i="8"/>
  <c r="V78" i="8"/>
  <c r="X78" i="8" s="1"/>
  <c r="V79" i="8"/>
  <c r="X79" i="8" s="1"/>
  <c r="V80" i="8"/>
  <c r="X80" i="8" s="1"/>
  <c r="V81" i="8"/>
  <c r="X81" i="8" s="1"/>
  <c r="W85" i="8"/>
  <c r="W86" i="8"/>
  <c r="W97" i="8"/>
  <c r="W98" i="8"/>
  <c r="V102" i="8"/>
  <c r="W114" i="8"/>
  <c r="V124" i="8"/>
  <c r="X124" i="8" s="1"/>
  <c r="V125" i="8"/>
  <c r="X125" i="8" s="1"/>
  <c r="V126" i="8"/>
  <c r="X126" i="8" s="1"/>
  <c r="V127" i="8"/>
  <c r="X127" i="8" s="1"/>
  <c r="V129" i="8"/>
  <c r="X129" i="8" s="1"/>
  <c r="V130" i="8"/>
  <c r="X130" i="8" s="1"/>
  <c r="V131" i="8"/>
  <c r="V132" i="8"/>
  <c r="X132" i="8" s="1"/>
  <c r="V134" i="8"/>
  <c r="V135" i="8"/>
  <c r="X135" i="8" s="1"/>
  <c r="V137" i="8"/>
  <c r="V138" i="8"/>
  <c r="V139" i="8"/>
  <c r="V140" i="8"/>
  <c r="V141" i="8"/>
  <c r="V143" i="8"/>
  <c r="V144" i="8"/>
  <c r="X144" i="8" s="1"/>
  <c r="V145" i="8"/>
  <c r="X145" i="8" s="1"/>
  <c r="V146" i="8"/>
  <c r="V147" i="8"/>
  <c r="V148" i="8"/>
  <c r="X148" i="8" s="1"/>
  <c r="V149" i="8"/>
  <c r="X149" i="8" s="1"/>
  <c r="V150" i="8"/>
  <c r="X150" i="8" s="1"/>
  <c r="V151" i="8"/>
  <c r="V152" i="8"/>
  <c r="X152" i="8" s="1"/>
  <c r="V153" i="8"/>
  <c r="X153" i="8" s="1"/>
  <c r="V155" i="8"/>
  <c r="X155" i="8" s="1"/>
  <c r="V156" i="8"/>
  <c r="V157" i="8"/>
  <c r="X157" i="8" s="1"/>
  <c r="V158" i="8"/>
  <c r="X158" i="8" s="1"/>
  <c r="V162" i="8"/>
  <c r="V163" i="8"/>
  <c r="V164" i="8"/>
  <c r="V165" i="8"/>
  <c r="V166" i="8"/>
  <c r="W168" i="8"/>
  <c r="X169" i="8"/>
  <c r="X171" i="8"/>
  <c r="X172" i="8"/>
  <c r="X176" i="8"/>
  <c r="X177" i="8"/>
  <c r="X178" i="8"/>
  <c r="X179" i="8"/>
  <c r="X181" i="8"/>
  <c r="X182" i="8"/>
  <c r="X183" i="8"/>
  <c r="X184" i="8"/>
  <c r="X197" i="8"/>
  <c r="X198" i="8"/>
  <c r="V201" i="8"/>
  <c r="V202" i="8"/>
  <c r="X202" i="8" s="1"/>
  <c r="X204" i="8"/>
  <c r="X206" i="8"/>
  <c r="X207" i="8"/>
  <c r="X208" i="8"/>
  <c r="V221" i="8"/>
  <c r="X221" i="8" s="1"/>
  <c r="V222" i="8"/>
  <c r="X222" i="8" s="1"/>
  <c r="S194" i="8"/>
  <c r="S193" i="8"/>
  <c r="T191" i="8"/>
  <c r="X191" i="8" s="1"/>
  <c r="U192" i="8"/>
  <c r="U193" i="8"/>
  <c r="U194" i="8"/>
  <c r="S190" i="8"/>
  <c r="U190" i="8"/>
  <c r="S189" i="8"/>
  <c r="U189" i="8"/>
  <c r="S188" i="8"/>
  <c r="U188" i="8"/>
  <c r="S187" i="8"/>
  <c r="U187" i="8"/>
  <c r="U112" i="8"/>
  <c r="S112" i="8"/>
  <c r="U104" i="8"/>
  <c r="S104" i="8"/>
  <c r="U92" i="8"/>
  <c r="U93" i="8"/>
  <c r="U94" i="8"/>
  <c r="U95" i="8"/>
  <c r="S92" i="8"/>
  <c r="S93" i="8"/>
  <c r="S94" i="8"/>
  <c r="S95" i="8"/>
  <c r="U89" i="8"/>
  <c r="V89" i="8" s="1"/>
  <c r="U90" i="8"/>
  <c r="U91" i="8"/>
  <c r="U88" i="8"/>
  <c r="S89" i="8"/>
  <c r="S90" i="8"/>
  <c r="S91" i="8"/>
  <c r="S88" i="8"/>
  <c r="S71" i="8"/>
  <c r="S70" i="8"/>
  <c r="S69" i="8"/>
  <c r="S68" i="8"/>
  <c r="S67" i="8"/>
  <c r="U71" i="8"/>
  <c r="U70" i="8"/>
  <c r="U69" i="8"/>
  <c r="U67" i="8"/>
  <c r="U68" i="8"/>
  <c r="S57" i="8"/>
  <c r="S56" i="8"/>
  <c r="S55" i="8"/>
  <c r="S54" i="8"/>
  <c r="S53" i="8"/>
  <c r="S52" i="8"/>
  <c r="S51" i="8"/>
  <c r="S50" i="8"/>
  <c r="U57" i="8"/>
  <c r="U56" i="8"/>
  <c r="U55" i="8"/>
  <c r="U54" i="8"/>
  <c r="U53" i="8"/>
  <c r="U52" i="8"/>
  <c r="U51" i="8"/>
  <c r="U50" i="8"/>
  <c r="S49" i="8"/>
  <c r="S48" i="8"/>
  <c r="S47" i="8"/>
  <c r="S45" i="8"/>
  <c r="S44" i="8"/>
  <c r="S43" i="8"/>
  <c r="S46" i="8"/>
  <c r="S42" i="8"/>
  <c r="U49" i="8"/>
  <c r="U48" i="8"/>
  <c r="U47" i="8"/>
  <c r="U46" i="8"/>
  <c r="V46" i="8" s="1"/>
  <c r="X46" i="8" s="1"/>
  <c r="U43" i="8"/>
  <c r="V43" i="8" s="1"/>
  <c r="X43" i="8" s="1"/>
  <c r="U44" i="8"/>
  <c r="V44" i="8" s="1"/>
  <c r="X44" i="8" s="1"/>
  <c r="U45" i="8"/>
  <c r="U42" i="8"/>
  <c r="S41" i="8"/>
  <c r="S40" i="8"/>
  <c r="S39" i="8"/>
  <c r="S38" i="8"/>
  <c r="S37" i="8"/>
  <c r="S36" i="8"/>
  <c r="S35" i="8"/>
  <c r="S34" i="8"/>
  <c r="U41" i="8"/>
  <c r="V41" i="8" s="1"/>
  <c r="X41" i="8" s="1"/>
  <c r="U40" i="8"/>
  <c r="V40" i="8" s="1"/>
  <c r="X40" i="8" s="1"/>
  <c r="U39" i="8"/>
  <c r="V39" i="8" s="1"/>
  <c r="X39" i="8" s="1"/>
  <c r="U38" i="8"/>
  <c r="U37" i="8"/>
  <c r="U36" i="8"/>
  <c r="U35" i="8"/>
  <c r="U34" i="8"/>
  <c r="S33" i="8"/>
  <c r="S32" i="8"/>
  <c r="S31" i="8"/>
  <c r="S30" i="8"/>
  <c r="S29" i="8"/>
  <c r="S28" i="8"/>
  <c r="S27" i="8"/>
  <c r="S26" i="8"/>
  <c r="U33" i="8"/>
  <c r="U32" i="8"/>
  <c r="U31" i="8"/>
  <c r="U30" i="8"/>
  <c r="U29" i="8"/>
  <c r="U28" i="8"/>
  <c r="U27" i="8"/>
  <c r="U26" i="8"/>
  <c r="S25" i="8"/>
  <c r="S24" i="8"/>
  <c r="S23" i="8"/>
  <c r="S22" i="8"/>
  <c r="S21" i="8"/>
  <c r="S20" i="8"/>
  <c r="S19" i="8"/>
  <c r="S18" i="8"/>
  <c r="U23" i="8"/>
  <c r="U24" i="8"/>
  <c r="U25" i="8"/>
  <c r="U22" i="8"/>
  <c r="U21" i="8"/>
  <c r="V21" i="8" s="1"/>
  <c r="X21" i="8" s="1"/>
  <c r="U20" i="8"/>
  <c r="V20" i="8" s="1"/>
  <c r="X20" i="8" s="1"/>
  <c r="U19" i="8"/>
  <c r="V19" i="8" s="1"/>
  <c r="X19" i="8" s="1"/>
  <c r="U18" i="8"/>
  <c r="S17" i="8"/>
  <c r="S16" i="8"/>
  <c r="S15" i="8"/>
  <c r="S14" i="8"/>
  <c r="S13" i="8"/>
  <c r="S12" i="8"/>
  <c r="S11" i="8"/>
  <c r="S10" i="8"/>
  <c r="U15" i="8"/>
  <c r="V15" i="8" s="1"/>
  <c r="U16" i="8"/>
  <c r="V16" i="8" s="1"/>
  <c r="X16" i="8" s="1"/>
  <c r="U17" i="8"/>
  <c r="V17" i="8" s="1"/>
  <c r="X17" i="8" s="1"/>
  <c r="U14" i="8"/>
  <c r="U11" i="8"/>
  <c r="U12" i="8"/>
  <c r="U13" i="8"/>
  <c r="U10" i="8"/>
  <c r="U7" i="8"/>
  <c r="V7" i="8" s="1"/>
  <c r="X7" i="8" s="1"/>
  <c r="U8" i="8"/>
  <c r="V8" i="8" s="1"/>
  <c r="X8" i="8" s="1"/>
  <c r="U9" i="8"/>
  <c r="V9" i="8" s="1"/>
  <c r="X9" i="8" s="1"/>
  <c r="U6" i="8"/>
  <c r="V6" i="8" s="1"/>
  <c r="X6" i="8" s="1"/>
  <c r="U3" i="8"/>
  <c r="V3" i="8" s="1"/>
  <c r="X3" i="8" s="1"/>
  <c r="U4" i="8"/>
  <c r="V4" i="8" s="1"/>
  <c r="X4" i="8" s="1"/>
  <c r="U5" i="8"/>
  <c r="U2" i="8"/>
  <c r="S9" i="8"/>
  <c r="S8" i="8"/>
  <c r="S7" i="8"/>
  <c r="S6" i="8"/>
  <c r="S5" i="8"/>
  <c r="S4" i="8"/>
  <c r="S3" i="8"/>
  <c r="S2" i="8"/>
  <c r="V45" i="8" l="1"/>
  <c r="X45" i="8" s="1"/>
  <c r="V26" i="8"/>
  <c r="X26" i="8" s="1"/>
  <c r="V47" i="8"/>
  <c r="X47" i="8" s="1"/>
  <c r="V23" i="8"/>
  <c r="X23" i="8" s="1"/>
  <c r="V112" i="8"/>
  <c r="V50" i="8"/>
  <c r="X50" i="8" s="1"/>
  <c r="V27" i="8"/>
  <c r="X27" i="8" s="1"/>
  <c r="V22" i="8"/>
  <c r="X22" i="8" s="1"/>
  <c r="V51" i="8"/>
  <c r="X51" i="8" s="1"/>
  <c r="V24" i="8"/>
  <c r="X24" i="8" s="1"/>
  <c r="V95" i="8"/>
  <c r="X95" i="8" s="1"/>
  <c r="V49" i="8"/>
  <c r="W49" i="8" s="1"/>
  <c r="V94" i="8"/>
  <c r="X94" i="8" s="1"/>
  <c r="V34" i="8"/>
  <c r="X34" i="8" s="1"/>
  <c r="V93" i="8"/>
  <c r="X93" i="8" s="1"/>
  <c r="W165" i="8"/>
  <c r="X165" i="8"/>
  <c r="W143" i="8"/>
  <c r="X143" i="8"/>
  <c r="W139" i="8"/>
  <c r="X139" i="8"/>
  <c r="V28" i="8"/>
  <c r="X28" i="8" s="1"/>
  <c r="V52" i="8"/>
  <c r="X52" i="8" s="1"/>
  <c r="X88" i="8"/>
  <c r="W151" i="8"/>
  <c r="X151" i="8"/>
  <c r="W205" i="8"/>
  <c r="X205" i="8"/>
  <c r="W166" i="8"/>
  <c r="X166" i="8"/>
  <c r="W137" i="8"/>
  <c r="X137" i="8"/>
  <c r="V54" i="8"/>
  <c r="X54" i="8" s="1"/>
  <c r="V13" i="8"/>
  <c r="X13" i="8" s="1"/>
  <c r="X15" i="8"/>
  <c r="V31" i="8"/>
  <c r="X31" i="8" s="1"/>
  <c r="V35" i="8"/>
  <c r="X35" i="8" s="1"/>
  <c r="V55" i="8"/>
  <c r="X55" i="8" s="1"/>
  <c r="X89" i="8"/>
  <c r="V92" i="8"/>
  <c r="X92" i="8" s="1"/>
  <c r="W164" i="8"/>
  <c r="X164" i="8"/>
  <c r="W134" i="8"/>
  <c r="X134" i="8"/>
  <c r="V25" i="8"/>
  <c r="X25" i="8" s="1"/>
  <c r="X188" i="8"/>
  <c r="V53" i="8"/>
  <c r="X53" i="8" s="1"/>
  <c r="W180" i="8"/>
  <c r="X180" i="8"/>
  <c r="V12" i="8"/>
  <c r="X12" i="8" s="1"/>
  <c r="V32" i="8"/>
  <c r="X32" i="8" s="1"/>
  <c r="V36" i="8"/>
  <c r="X36" i="8" s="1"/>
  <c r="V56" i="8"/>
  <c r="X56" i="8" s="1"/>
  <c r="V88" i="8"/>
  <c r="V105" i="8"/>
  <c r="W105" i="8" s="1"/>
  <c r="W163" i="8"/>
  <c r="X163" i="8"/>
  <c r="W147" i="8"/>
  <c r="X147" i="8"/>
  <c r="V11" i="8"/>
  <c r="X11" i="8" s="1"/>
  <c r="V33" i="8"/>
  <c r="X33" i="8" s="1"/>
  <c r="V37" i="8"/>
  <c r="X37" i="8" s="1"/>
  <c r="V57" i="8"/>
  <c r="X57" i="8" s="1"/>
  <c r="V91" i="8"/>
  <c r="X91" i="8" s="1"/>
  <c r="V104" i="8"/>
  <c r="X104" i="8" s="1"/>
  <c r="W201" i="8"/>
  <c r="X201" i="8"/>
  <c r="W162" i="8"/>
  <c r="X162" i="8"/>
  <c r="W146" i="8"/>
  <c r="X146" i="8"/>
  <c r="W131" i="8"/>
  <c r="X131" i="8"/>
  <c r="W173" i="8"/>
  <c r="X173" i="8"/>
  <c r="W217" i="8"/>
  <c r="X217" i="8"/>
  <c r="W196" i="8"/>
  <c r="X196" i="8"/>
  <c r="X141" i="8"/>
  <c r="W141" i="8"/>
  <c r="W140" i="8"/>
  <c r="X140" i="8"/>
  <c r="V48" i="8"/>
  <c r="X48" i="8" s="1"/>
  <c r="V30" i="8"/>
  <c r="X30" i="8" s="1"/>
  <c r="V2" i="8"/>
  <c r="X2" i="8" s="1"/>
  <c r="V14" i="8"/>
  <c r="X14" i="8" s="1"/>
  <c r="V18" i="8"/>
  <c r="X18" i="8" s="1"/>
  <c r="V38" i="8"/>
  <c r="X38" i="8" s="1"/>
  <c r="V42" i="8"/>
  <c r="X42" i="8" s="1"/>
  <c r="V90" i="8"/>
  <c r="X90" i="8" s="1"/>
  <c r="X112" i="8"/>
  <c r="W199" i="8"/>
  <c r="X199" i="8"/>
  <c r="X138" i="8"/>
  <c r="W138" i="8"/>
  <c r="V29" i="8"/>
  <c r="X29" i="8" s="1"/>
  <c r="W209" i="8"/>
  <c r="X209" i="8"/>
  <c r="V10" i="8"/>
  <c r="X10" i="8" s="1"/>
  <c r="V5" i="8"/>
  <c r="X5" i="8" s="1"/>
  <c r="W174" i="8"/>
  <c r="X174" i="8"/>
  <c r="X186" i="8"/>
  <c r="W110" i="8"/>
  <c r="W30" i="8"/>
  <c r="W109" i="8"/>
  <c r="W108" i="8"/>
  <c r="W16" i="8"/>
  <c r="W20" i="8"/>
  <c r="W160" i="8"/>
  <c r="W39" i="8"/>
  <c r="W27" i="8"/>
  <c r="W159" i="8"/>
  <c r="W198" i="8"/>
  <c r="W197" i="8"/>
  <c r="W216" i="8"/>
  <c r="X192" i="8"/>
  <c r="W215" i="8"/>
  <c r="W214" i="8"/>
  <c r="W213" i="8"/>
  <c r="W212" i="8"/>
  <c r="W219" i="8"/>
  <c r="W211" i="8"/>
  <c r="W218" i="8"/>
  <c r="W210" i="8"/>
  <c r="W12" i="8"/>
  <c r="W50" i="8"/>
  <c r="W92" i="8"/>
  <c r="W194" i="8"/>
  <c r="W46" i="8"/>
  <c r="W15" i="8"/>
  <c r="X190" i="8"/>
  <c r="W23" i="8"/>
  <c r="W7" i="8"/>
  <c r="W188" i="8"/>
  <c r="X193" i="8"/>
  <c r="X189" i="8"/>
  <c r="W44" i="8"/>
  <c r="W71" i="8"/>
  <c r="X187" i="8"/>
  <c r="W150" i="8"/>
  <c r="W206" i="8"/>
  <c r="W207" i="8"/>
  <c r="W208" i="8"/>
  <c r="W204" i="8"/>
  <c r="W222" i="8"/>
  <c r="W191" i="8"/>
  <c r="W221" i="8"/>
  <c r="W181" i="8"/>
  <c r="W202" i="8"/>
  <c r="W183" i="8"/>
  <c r="W157" i="8"/>
  <c r="W182" i="8"/>
  <c r="W172" i="8"/>
  <c r="W169" i="8"/>
  <c r="W171" i="8"/>
  <c r="W158" i="8"/>
  <c r="W184" i="8"/>
  <c r="W176" i="8"/>
  <c r="W179" i="8"/>
  <c r="W178" i="8"/>
  <c r="W177" i="8"/>
  <c r="W145" i="8"/>
  <c r="W153" i="8"/>
  <c r="W144" i="8"/>
  <c r="W152" i="8"/>
  <c r="W149" i="8"/>
  <c r="W148" i="8"/>
  <c r="W155" i="8"/>
  <c r="W129" i="8"/>
  <c r="W127" i="8"/>
  <c r="W130" i="8"/>
  <c r="W126" i="8"/>
  <c r="W135" i="8"/>
  <c r="W115" i="8"/>
  <c r="W125" i="8"/>
  <c r="W124" i="8"/>
  <c r="W132" i="8"/>
  <c r="W104" i="8"/>
  <c r="W99" i="8"/>
  <c r="W64" i="8"/>
  <c r="W67" i="8"/>
  <c r="W69" i="8"/>
  <c r="W70" i="8"/>
  <c r="W68" i="8"/>
  <c r="W81" i="8"/>
  <c r="W80" i="8"/>
  <c r="W79" i="8"/>
  <c r="W78" i="8"/>
  <c r="W63" i="8"/>
  <c r="W60" i="8"/>
  <c r="W29" i="8"/>
  <c r="W38" i="8"/>
  <c r="W14" i="8"/>
  <c r="W40" i="8"/>
  <c r="W18" i="8" l="1"/>
  <c r="W47" i="8"/>
  <c r="W48" i="8"/>
  <c r="W28" i="8"/>
  <c r="W53" i="8"/>
  <c r="W22" i="8"/>
  <c r="W55" i="8"/>
  <c r="W31" i="8"/>
  <c r="W26" i="8"/>
  <c r="W24" i="8"/>
  <c r="W95" i="8"/>
  <c r="W42" i="8"/>
  <c r="W10" i="8"/>
  <c r="W54" i="8"/>
  <c r="W34" i="8"/>
  <c r="W36" i="8"/>
  <c r="X194" i="8"/>
  <c r="W32" i="8"/>
  <c r="W52" i="8"/>
  <c r="W11" i="8"/>
  <c r="W33" i="8"/>
  <c r="W56" i="8"/>
  <c r="W186" i="8"/>
  <c r="W94" i="8"/>
  <c r="W25" i="8"/>
  <c r="X49" i="8"/>
  <c r="W192" i="8"/>
  <c r="W189" i="8"/>
  <c r="W112" i="8"/>
  <c r="W187" i="8"/>
  <c r="W193" i="8"/>
  <c r="W190" i="8"/>
  <c r="W107" i="8"/>
  <c r="W89" i="8"/>
  <c r="W91" i="8"/>
  <c r="W88" i="8"/>
  <c r="W93" i="8"/>
  <c r="W90" i="8"/>
  <c r="W2" i="8"/>
  <c r="W19" i="8"/>
  <c r="W5" i="8"/>
  <c r="W21" i="8"/>
  <c r="W17" i="8"/>
  <c r="W41" i="8"/>
  <c r="W9" i="8"/>
  <c r="W13" i="8"/>
  <c r="W4" i="8"/>
  <c r="W3" i="8"/>
  <c r="W43" i="8"/>
  <c r="W8" i="8"/>
  <c r="W45" i="8"/>
  <c r="W37" i="8"/>
  <c r="W57" i="8"/>
  <c r="W6" i="8"/>
  <c r="W35" i="8"/>
  <c r="W51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Hung,Chih-Yu (ECCC)</author>
    <author>tc={0DE070A3-D55D-4402-A016-51D29124A063}</author>
    <author>tc={3442FA69-E871-4320-9D14-4485C4FFF646}</author>
    <author>tc={EC2E7A4B-A887-4BE0-9644-FC6EC93C660C}</author>
    <author>tc={3AA54966-3309-4580-BEFB-9CEEDAE3DA98}</author>
    <author>tc={3B11AEAC-F5C3-4AAA-808F-743042EB3E65}</author>
    <author>tc={EA0FCAE9-098A-4C93-AC18-470300620E95}</author>
    <author>tc={8D6830BD-CD5D-41BB-883F-78607D473126}</author>
    <author>tc={F4BDFC6F-4C8F-4C63-ABEB-D05E12B87E2D}</author>
    <author>tc={2FFB7972-1B95-44E1-95B8-8FBF272A4356}</author>
    <author>tc={8CB6287C-087C-449E-90ED-FE5E5870911F}</author>
    <author>tc={46792B5B-462D-4A8B-BE18-A7102E559F23}</author>
    <author>tc={1E1E5ED3-4F24-44EF-8C41-0588B07E8BAD}</author>
    <author>tc={3FB3B386-3612-4B3A-B11F-880870BD0F2C}</author>
    <author>tc={1DAED7FA-C992-48C5-A678-1C4221533982}</author>
    <author>tc={83281C51-5E64-4985-BC2C-CD4BCE0AAD23}</author>
    <author>tc={811C19D6-A4C8-4AC3-A411-C555404BFA24}</author>
    <author>tc={07E39E8C-BADB-40E4-B3B9-A9343BD4DC61}</author>
    <author>tc={A3E84587-02C8-4120-90B8-2E8C683764CC}</author>
    <author>tc={82D3D0C5-634B-4B11-9CF9-62AA447623BC}</author>
    <author>tc={EAE3BED4-1D82-4EAA-865D-F394B8C70E15}</author>
    <author>tc={69E3B711-CACB-45FF-BC33-50EB5436D762}</author>
    <author>tc={805C3A12-CE82-41A2-9AA7-82483F0C52D0}</author>
    <author>tc={1DB396C6-666C-4377-89D7-7B62A023D8F0}</author>
    <author>tc={B747D080-69DE-4F03-8B53-F9517F6C82FB}</author>
    <author>tc={A185EA59-4439-4F08-9878-1C16F659031D}</author>
  </authors>
  <commentList>
    <comment ref="T1" authorId="0" shapeId="0" xr:uid="{3445DE6A-B97B-4DE6-BD8B-90BDE8BB97A1}">
      <text>
        <r>
          <rPr>
            <b/>
            <sz val="9"/>
            <color indexed="81"/>
            <rFont val="Tahoma"/>
            <family val="2"/>
          </rPr>
          <t>Hung,Chih-Yu (ECCC):</t>
        </r>
        <r>
          <rPr>
            <sz val="9"/>
            <color indexed="81"/>
            <rFont val="Tahoma"/>
            <family val="2"/>
          </rPr>
          <t xml:space="preserve">
optional
</t>
        </r>
      </text>
    </comment>
    <comment ref="K2" authorId="1" shapeId="0" xr:uid="{0DE070A3-D55D-4402-A016-51D29124A063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`Annual Temperature_US.Rmd`</t>
      </text>
    </comment>
    <comment ref="A78" authorId="2" shapeId="0" xr:uid="{3442FA69-E871-4320-9D14-4485C4FFF646}">
      <text>
        <t>[Threaded comment]
Your version of Excel allows you to read this threaded comment; however, any edits to it will get removed if the file is opened in a newer version of Excel. Learn more: https://go.microsoft.com/fwlink/?linkid=870924
Comment:
    Abandoned/ not in our scope</t>
      </text>
    </comment>
    <comment ref="A84" authorId="3" shapeId="0" xr:uid="{EC2E7A4B-A887-4BE0-9644-FC6EC93C660C}">
      <text>
        <t>[Threaded comment]
Your version of Excel allows you to read this threaded comment; however, any edits to it will get removed if the file is opened in a newer version of Excel. Learn more: https://go.microsoft.com/fwlink/?linkid=870924
Comment:
    No need to compare RT and CT</t>
      </text>
    </comment>
    <comment ref="O107" authorId="4" shapeId="0" xr:uid="{3AA54966-3309-4580-BEFB-9CEEDAE3DA98}">
      <text>
        <t>[Threaded comment]
Your version of Excel allows you to read this threaded comment; however, any edits to it will get removed if the file is opened in a newer version of Excel. Learn more: https://go.microsoft.com/fwlink/?linkid=870924
Comment:
    Nitrogen application ranging from 67 to 134</t>
      </text>
    </comment>
    <comment ref="O109" authorId="5" shapeId="0" xr:uid="{3B11AEAC-F5C3-4AAA-808F-743042EB3E65}">
      <text>
        <t>[Threaded comment]
Your version of Excel allows you to read this threaded comment; however, any edits to it will get removed if the file is opened in a newer version of Excel. Learn more: https://go.microsoft.com/fwlink/?linkid=870924
Comment:
    No nitrogen applied</t>
      </text>
    </comment>
    <comment ref="P118" authorId="6" shapeId="0" xr:uid="{EA0FCAE9-098A-4C93-AC18-470300620E95}">
      <text>
        <t>[Threaded comment]
Your version of Excel allows you to read this threaded comment; however, any edits to it will get removed if the file is opened in a newer version of Excel. Learn more: https://go.microsoft.com/fwlink/?linkid=870924
Comment:
    RT Tillage method, CT Tillage method</t>
      </text>
    </comment>
    <comment ref="Q118" authorId="7" shapeId="0" xr:uid="{8D6830BD-CD5D-41BB-883F-78607D473126}">
      <text>
        <t>[Threaded comment]
Your version of Excel allows you to read this threaded comment; however, any edits to it will get removed if the file is opened in a newer version of Excel. Learn more: https://go.microsoft.com/fwlink/?linkid=870924
Comment:
    RT Tillage depth, CT Tillage depth</t>
      </text>
    </comment>
    <comment ref="P120" authorId="8" shapeId="0" xr:uid="{F4BDFC6F-4C8F-4C63-ABEB-D05E12B87E2D}">
      <text>
        <t>[Threaded comment]
Your version of Excel allows you to read this threaded comment; however, any edits to it will get removed if the file is opened in a newer version of Excel. Learn more: https://go.microsoft.com/fwlink/?linkid=870924
Comment:
    RT Tillage method, CT Tillage method</t>
      </text>
    </comment>
    <comment ref="Q120" authorId="9" shapeId="0" xr:uid="{2FFB7972-1B95-44E1-95B8-8FBF272A4356}">
      <text>
        <t>[Threaded comment]
Your version of Excel allows you to read this threaded comment; however, any edits to it will get removed if the file is opened in a newer version of Excel. Learn more: https://go.microsoft.com/fwlink/?linkid=870924
Comment:
    RT Tillage depth, CT Tillage depth</t>
      </text>
    </comment>
    <comment ref="P122" authorId="10" shapeId="0" xr:uid="{8CB6287C-087C-449E-90ED-FE5E5870911F}">
      <text>
        <t>[Threaded comment]
Your version of Excel allows you to read this threaded comment; however, any edits to it will get removed if the file is opened in a newer version of Excel. Learn more: https://go.microsoft.com/fwlink/?linkid=870924
Comment:
    RT Tillage method, CT Tillage method</t>
      </text>
    </comment>
    <comment ref="Q122" authorId="11" shapeId="0" xr:uid="{46792B5B-462D-4A8B-BE18-A7102E559F23}">
      <text>
        <t>[Threaded comment]
Your version of Excel allows you to read this threaded comment; however, any edits to it will get removed if the file is opened in a newer version of Excel. Learn more: https://go.microsoft.com/fwlink/?linkid=870924
Comment:
    RT Tillage depth, CT Tillage depth</t>
      </text>
    </comment>
    <comment ref="P125" authorId="12" shapeId="0" xr:uid="{1E1E5ED3-4F24-44EF-8C41-0588B07E8BAD}">
      <text>
        <t>[Threaded comment]
Your version of Excel allows you to read this threaded comment; however, any edits to it will get removed if the file is opened in a newer version of Excel. Learn more: https://go.microsoft.com/fwlink/?linkid=870924
Comment:
    RT Tillage method, CT Tillage method</t>
      </text>
    </comment>
    <comment ref="Q125" authorId="13" shapeId="0" xr:uid="{3FB3B386-3612-4B3A-B11F-880870BD0F2C}">
      <text>
        <t>[Threaded comment]
Your version of Excel allows you to read this threaded comment; however, any edits to it will get removed if the file is opened in a newer version of Excel. Learn more: https://go.microsoft.com/fwlink/?linkid=870924
Comment:
    RT Tillage depth, CT Tillage depth</t>
      </text>
    </comment>
    <comment ref="P127" authorId="14" shapeId="0" xr:uid="{1DAED7FA-C992-48C5-A678-1C4221533982}">
      <text>
        <t>[Threaded comment]
Your version of Excel allows you to read this threaded comment; however, any edits to it will get removed if the file is opened in a newer version of Excel. Learn more: https://go.microsoft.com/fwlink/?linkid=870924
Comment:
    RT Tillage method, CT Tillage method</t>
      </text>
    </comment>
    <comment ref="Q127" authorId="15" shapeId="0" xr:uid="{83281C51-5E64-4985-BC2C-CD4BCE0AAD23}">
      <text>
        <t>[Threaded comment]
Your version of Excel allows you to read this threaded comment; however, any edits to it will get removed if the file is opened in a newer version of Excel. Learn more: https://go.microsoft.com/fwlink/?linkid=870924
Comment:
    RT Tillage depth, CT Tillage depth</t>
      </text>
    </comment>
    <comment ref="P168" authorId="16" shapeId="0" xr:uid="{811C19D6-A4C8-4AC3-A411-C555404BFA24}">
      <text>
        <t>[Threaded comment]
Your version of Excel allows you to read this threaded comment; however, any edits to it will get removed if the file is opened in a newer version of Excel. Learn more: https://go.microsoft.com/fwlink/?linkid=870924
Comment:
    RT tillage method, CT tillage method</t>
      </text>
    </comment>
    <comment ref="P171" authorId="17" shapeId="0" xr:uid="{07E39E8C-BADB-40E4-B3B9-A9343BD4DC61}">
      <text>
        <t>[Threaded comment]
Your version of Excel allows you to read this threaded comment; however, any edits to it will get removed if the file is opened in a newer version of Excel. Learn more: https://go.microsoft.com/fwlink/?linkid=870924
Comment:
    RT tillage method, CT tillage method</t>
      </text>
    </comment>
    <comment ref="Q171" authorId="18" shapeId="0" xr:uid="{A3E84587-02C8-4120-90B8-2E8C683764CC}">
      <text>
        <t>[Threaded comment]
Your version of Excel allows you to read this threaded comment; however, any edits to it will get removed if the file is opened in a newer version of Excel. Learn more: https://go.microsoft.com/fwlink/?linkid=870924
Comment:
    RT tillage depth, CT tillage depth</t>
      </text>
    </comment>
    <comment ref="P181" authorId="19" shapeId="0" xr:uid="{82D3D0C5-634B-4B11-9CF9-62AA447623BC}">
      <text>
        <t>[Threaded comment]
Your version of Excel allows you to read this threaded comment; however, any edits to it will get removed if the file is opened in a newer version of Excel. Learn more: https://go.microsoft.com/fwlink/?linkid=870924
Comment:
    RT tillage method, CT tillage method</t>
      </text>
    </comment>
    <comment ref="Q181" authorId="20" shapeId="0" xr:uid="{EAE3BED4-1D82-4EAA-865D-F394B8C70E15}">
      <text>
        <t>[Threaded comment]
Your version of Excel allows you to read this threaded comment; however, any edits to it will get removed if the file is opened in a newer version of Excel. Learn more: https://go.microsoft.com/fwlink/?linkid=870924
Comment:
    RT tillage depth, CT tillage depth</t>
      </text>
    </comment>
    <comment ref="P191" authorId="21" shapeId="0" xr:uid="{69E3B711-CACB-45FF-BC33-50EB5436D762}">
      <text>
        <t>[Threaded comment]
Your version of Excel allows you to read this threaded comment; however, any edits to it will get removed if the file is opened in a newer version of Excel. Learn more: https://go.microsoft.com/fwlink/?linkid=870924
Comment:
    RT tillage method, CT tillage method</t>
      </text>
    </comment>
    <comment ref="Q191" authorId="22" shapeId="0" xr:uid="{805C3A12-CE82-41A2-9AA7-82483F0C52D0}">
      <text>
        <t>[Threaded comment]
Your version of Excel allows you to read this threaded comment; however, any edits to it will get removed if the file is opened in a newer version of Excel. Learn more: https://go.microsoft.com/fwlink/?linkid=870924
Comment:
    RT tillage depth, CT tillage depth</t>
      </text>
    </comment>
    <comment ref="P197" authorId="23" shapeId="0" xr:uid="{1DB396C6-666C-4377-89D7-7B62A023D8F0}">
      <text>
        <t>[Threaded comment]
Your version of Excel allows you to read this threaded comment; however, any edits to it will get removed if the file is opened in a newer version of Excel. Learn more: https://go.microsoft.com/fwlink/?linkid=870924
Comment:
    RT tillage method, CT tillage method</t>
      </text>
    </comment>
    <comment ref="Q197" authorId="24" shapeId="0" xr:uid="{B747D080-69DE-4F03-8B53-F9517F6C82FB}">
      <text>
        <t>[Threaded comment]
Your version of Excel allows you to read this threaded comment; however, any edits to it will get removed if the file is opened in a newer version of Excel. Learn more: https://go.microsoft.com/fwlink/?linkid=870924
Comment:
    RT tillage depth, CT tillage depth</t>
      </text>
    </comment>
    <comment ref="P201" authorId="25" shapeId="0" xr:uid="{A185EA59-4439-4F08-9878-1C16F659031D}">
      <text>
        <t>[Threaded comment]
Your version of Excel allows you to read this threaded comment; however, any edits to it will get removed if the file is opened in a newer version of Excel. Learn more: https://go.microsoft.com/fwlink/?linkid=870924
Comment:
    RT tillage method, CT tillage method</t>
      </text>
    </comment>
  </commentList>
</comments>
</file>

<file path=xl/sharedStrings.xml><?xml version="1.0" encoding="utf-8"?>
<sst xmlns="http://schemas.openxmlformats.org/spreadsheetml/2006/main" count="1365" uniqueCount="278">
  <si>
    <t>Pub year</t>
  </si>
  <si>
    <t>Reference</t>
  </si>
  <si>
    <t>Article title</t>
  </si>
  <si>
    <t>Location</t>
  </si>
  <si>
    <t>State</t>
  </si>
  <si>
    <t>Start year</t>
  </si>
  <si>
    <t>Soil type</t>
  </si>
  <si>
    <t>Clay content</t>
  </si>
  <si>
    <t>Sand content</t>
  </si>
  <si>
    <t>Tair</t>
  </si>
  <si>
    <t>Annual Prec.</t>
  </si>
  <si>
    <t>Duration</t>
  </si>
  <si>
    <t>Crop</t>
  </si>
  <si>
    <t>Tillage method</t>
  </si>
  <si>
    <t>Depth</t>
  </si>
  <si>
    <r>
      <t>SOC</t>
    </r>
    <r>
      <rPr>
        <vertAlign val="subscript"/>
        <sz val="8"/>
        <color theme="1"/>
        <rFont val="Arial"/>
        <family val="2"/>
      </rPr>
      <t>CT</t>
    </r>
  </si>
  <si>
    <r>
      <t>SOC</t>
    </r>
    <r>
      <rPr>
        <b/>
        <vertAlign val="subscript"/>
        <sz val="8"/>
        <color theme="1"/>
        <rFont val="Arial"/>
        <family val="2"/>
      </rPr>
      <t>R</t>
    </r>
    <r>
      <rPr>
        <vertAlign val="subscript"/>
        <sz val="8"/>
        <color theme="1"/>
        <rFont val="Arial"/>
        <family val="2"/>
      </rPr>
      <t>T</t>
    </r>
  </si>
  <si>
    <r>
      <t>SOC</t>
    </r>
    <r>
      <rPr>
        <vertAlign val="subscript"/>
        <sz val="8"/>
        <color theme="1"/>
        <rFont val="Arial"/>
        <family val="2"/>
      </rPr>
      <t>NT</t>
    </r>
  </si>
  <si>
    <t>ΔSOC</t>
  </si>
  <si>
    <t>Gain/Loss of SOC</t>
  </si>
  <si>
    <t>Gain/Loss %</t>
  </si>
  <si>
    <t>Al-Kaisi, Kwaw-Mensah</t>
  </si>
  <si>
    <t>Quantifying soil carbon change in a long-term tillage and crop rotation study across Iowa landscapes</t>
  </si>
  <si>
    <t>Sutherland</t>
  </si>
  <si>
    <t>Iowa</t>
  </si>
  <si>
    <t>silty clay loam</t>
  </si>
  <si>
    <t>corn</t>
  </si>
  <si>
    <t>Strip tillage</t>
  </si>
  <si>
    <t>Chisel plow</t>
  </si>
  <si>
    <t>Deep rip</t>
  </si>
  <si>
    <t>Moldboard plow</t>
  </si>
  <si>
    <t>corn-corn-soybean</t>
  </si>
  <si>
    <t>Kanawha</t>
  </si>
  <si>
    <t>Nashua</t>
  </si>
  <si>
    <t>loam</t>
  </si>
  <si>
    <t>Ames</t>
  </si>
  <si>
    <t>clay loam</t>
  </si>
  <si>
    <t>Armstrong</t>
  </si>
  <si>
    <t>McNay</t>
  </si>
  <si>
    <t>silty loam</t>
  </si>
  <si>
    <t>Crawfordsville</t>
  </si>
  <si>
    <t>column</t>
  </si>
  <si>
    <t>code</t>
  </si>
  <si>
    <t>meaning</t>
  </si>
  <si>
    <t>Unit</t>
  </si>
  <si>
    <t>year</t>
  </si>
  <si>
    <t>g kg-1 soil</t>
  </si>
  <si>
    <t>Annual air temperature</t>
  </si>
  <si>
    <t>degree C</t>
  </si>
  <si>
    <t>Prec.(may-oct)</t>
  </si>
  <si>
    <t>precipitation</t>
  </si>
  <si>
    <t>mm</t>
  </si>
  <si>
    <t>yr</t>
  </si>
  <si>
    <t>estimated soil depth</t>
  </si>
  <si>
    <t>SOC conventional tillage</t>
  </si>
  <si>
    <r>
      <t>Mg C ha</t>
    </r>
    <r>
      <rPr>
        <vertAlign val="superscript"/>
        <sz val="12"/>
        <color theme="1"/>
        <rFont val="Arial"/>
        <family val="2"/>
      </rPr>
      <t>-1</t>
    </r>
  </si>
  <si>
    <r>
      <t>SOC</t>
    </r>
    <r>
      <rPr>
        <b/>
        <vertAlign val="subscript"/>
        <sz val="8"/>
        <rFont val="Arial"/>
        <family val="2"/>
      </rPr>
      <t>R</t>
    </r>
    <r>
      <rPr>
        <vertAlign val="subscript"/>
        <sz val="8"/>
        <color theme="1"/>
        <rFont val="Arial"/>
        <family val="2"/>
      </rPr>
      <t>T</t>
    </r>
  </si>
  <si>
    <t>SOC reduced tillage</t>
  </si>
  <si>
    <t>SOC no tillage</t>
  </si>
  <si>
    <r>
      <t>kg C ha</t>
    </r>
    <r>
      <rPr>
        <vertAlign val="superscript"/>
        <sz val="12"/>
        <color theme="1"/>
        <rFont val="Arial"/>
        <family val="2"/>
      </rPr>
      <t>-1</t>
    </r>
    <r>
      <rPr>
        <sz val="12"/>
        <color theme="1"/>
        <rFont val="Arial"/>
        <family val="2"/>
      </rPr>
      <t>yr</t>
    </r>
    <r>
      <rPr>
        <vertAlign val="superscript"/>
        <sz val="12"/>
        <color theme="1"/>
        <rFont val="Arial"/>
        <family val="2"/>
      </rPr>
      <t>-1</t>
    </r>
  </si>
  <si>
    <t>Gain/Loss%</t>
  </si>
  <si>
    <t>% yr-1</t>
  </si>
  <si>
    <t>Assessment of long-term tillage practices on physical properties of two Ohio soils</t>
  </si>
  <si>
    <t>Burgos Hernández, Tania D. (57204674518); Slater, Brian K. (7005198767); Tirado Corbalá, Rebecca (36443096600); Shaffer, Jared M. (57197315329)</t>
  </si>
  <si>
    <t>Hoytville</t>
  </si>
  <si>
    <t>Ohio</t>
  </si>
  <si>
    <t>Silty clay loam</t>
  </si>
  <si>
    <t>Wooster</t>
  </si>
  <si>
    <t>Silt loam</t>
  </si>
  <si>
    <t xml:space="preserve">Silt loam </t>
  </si>
  <si>
    <t>Tillage depth</t>
  </si>
  <si>
    <t>Depth of SOC</t>
  </si>
  <si>
    <t>corn-corn</t>
  </si>
  <si>
    <t>corn-soybean</t>
  </si>
  <si>
    <t>Can novel management practice improve soil and environmental quality and sustain crop yield simultaneously?</t>
  </si>
  <si>
    <t>Sainju U.M.</t>
  </si>
  <si>
    <t>Nesson Valley</t>
  </si>
  <si>
    <t>North Dakota</t>
  </si>
  <si>
    <t>Sandy loam</t>
  </si>
  <si>
    <t>Sidney</t>
  </si>
  <si>
    <t>Montana</t>
  </si>
  <si>
    <t xml:space="preserve">Loam </t>
  </si>
  <si>
    <t>malt barley-pea</t>
  </si>
  <si>
    <t xml:space="preserve">North Dakota </t>
  </si>
  <si>
    <t>NT - non irrigated</t>
  </si>
  <si>
    <t>NT - irrigated</t>
  </si>
  <si>
    <t>Soil organic carbon pools in ploughed and no-till Alfisols of central Ohio</t>
  </si>
  <si>
    <t>Nakajima T.; Shrestha R.K.; Jacinthe P.-A.; Lal R.; Bilen S.; Dick W.</t>
  </si>
  <si>
    <t>Bucyrus</t>
  </si>
  <si>
    <t>Centerbug</t>
  </si>
  <si>
    <t>South Charleston</t>
  </si>
  <si>
    <t xml:space="preserve">Wooster </t>
  </si>
  <si>
    <t xml:space="preserve">Ohio </t>
  </si>
  <si>
    <t>Mount Gilead</t>
  </si>
  <si>
    <t>Afisols</t>
  </si>
  <si>
    <t>NT</t>
  </si>
  <si>
    <t xml:space="preserve">PT - mouldboard ploughing </t>
  </si>
  <si>
    <t>Cropping sequence and nitrogen fertilization impact on surface residue, soil carbon sequestration, and crop yields</t>
  </si>
  <si>
    <t xml:space="preserve">Sidney </t>
  </si>
  <si>
    <t>Eastern Montana</t>
  </si>
  <si>
    <t>malt barley pea</t>
  </si>
  <si>
    <t>malt barley fallow</t>
  </si>
  <si>
    <t>cont. malt barley</t>
  </si>
  <si>
    <t xml:space="preserve">CT </t>
  </si>
  <si>
    <t>Soil microaggregate and macroaggregate decay over, time and soil carbon change as influenced by different tillage systems</t>
  </si>
  <si>
    <t>Al-Kaisi M.M.; Douelle A.; Kwaw-Mensah D.</t>
  </si>
  <si>
    <t xml:space="preserve">Iowa </t>
  </si>
  <si>
    <t xml:space="preserve">Fine loam </t>
  </si>
  <si>
    <t>Strip till</t>
  </si>
  <si>
    <t xml:space="preserve">Chisel plow </t>
  </si>
  <si>
    <t xml:space="preserve">Deep rip </t>
  </si>
  <si>
    <t>Crop rotation and tillage effects on soil physical and chemical properties in Illinois</t>
  </si>
  <si>
    <t>Zuber S.M.; Behnke G.D.; Nafziger E.D.; Villamil M.B.</t>
  </si>
  <si>
    <t>Monmouth</t>
  </si>
  <si>
    <t xml:space="preserve">Illinois </t>
  </si>
  <si>
    <t>Perry</t>
  </si>
  <si>
    <t>continuous corn</t>
  </si>
  <si>
    <t>corn-soybean-wheat</t>
  </si>
  <si>
    <t>continuous soybean</t>
  </si>
  <si>
    <t>Carbon and macronutrient losses during accelerated erosion under different tillage and residue management</t>
  </si>
  <si>
    <t>Beniston J.W.; Shipitalo M.J.; Lal R.; Dayton E.A.; Hopkins D.W.; Jones F.; Joynes A.; Dungait J.A.J.</t>
  </si>
  <si>
    <t>Coshocton</t>
  </si>
  <si>
    <t>maize</t>
  </si>
  <si>
    <t xml:space="preserve">Mouldboard ploughing </t>
  </si>
  <si>
    <t>Impacts of crop sequence and tillage management on soil carbon stocks in south-central North Dakota</t>
  </si>
  <si>
    <t>Halvorson J.J.; Liebig M.A.; Archer D.W.; West M.S.; Tanaka D.L.</t>
  </si>
  <si>
    <t>Mandan</t>
  </si>
  <si>
    <t>sweep plow</t>
  </si>
  <si>
    <t>spring wheat fallow</t>
  </si>
  <si>
    <t>Effects of Tillage Practices and Land Use Management on Soil Aggregates and Soil Organic Carbon in the North Appalachian Region, USA</t>
  </si>
  <si>
    <t>NATH A.J.; LAL R.</t>
  </si>
  <si>
    <t xml:space="preserve">corn </t>
  </si>
  <si>
    <t xml:space="preserve">Chisel plow - disking </t>
  </si>
  <si>
    <t>Soil carbon and crop yields affected by irrigation, tillage, cropping system, and nitrogen fertilization</t>
  </si>
  <si>
    <t>Sainju U.M.; Stevens W.B.; Caesar-TonThat T.</t>
  </si>
  <si>
    <t xml:space="preserve">Sandy loam </t>
  </si>
  <si>
    <t xml:space="preserve">Rototiller </t>
  </si>
  <si>
    <t>Long-term tillage and drainage influences on soil organic carbon dynamics, aggregate stability and corn yield</t>
  </si>
  <si>
    <t>Kumar S.; Nakajima T.; Mbonimpa E.G.; Gautam S.; Somireddy U.R.; Kadono A.; Lal R.; Chintala R.; Rafique R.; Fausey N.</t>
  </si>
  <si>
    <t>Columbus</t>
  </si>
  <si>
    <t>Effects of 24 years of conservation tillage systems on soil organic carbon and soil productivity</t>
  </si>
  <si>
    <t>Olson K.R.; Ebelhar S.A.; Lang J.M.</t>
  </si>
  <si>
    <t>Chisel plow-disking</t>
  </si>
  <si>
    <t>Moldboard plow- disking</t>
  </si>
  <si>
    <t>Tillage and N-fertilizer influences on selected organic carbon fractions in a North Dakota silty clay soil</t>
  </si>
  <si>
    <t>Awale R.; Chatterjee A.; Franzen D.</t>
  </si>
  <si>
    <t xml:space="preserve">Silty clay </t>
  </si>
  <si>
    <t>corn-soybean-sugarbeet</t>
  </si>
  <si>
    <t>Long-term no-till impacts on organic carbon and properties of two contrasting soils and corn yields in Ohio</t>
  </si>
  <si>
    <t>Kumar S.; Kadono A.; Lal R.; Dick W.</t>
  </si>
  <si>
    <t xml:space="preserve">Clay loam </t>
  </si>
  <si>
    <t xml:space="preserve">corn-soybean </t>
  </si>
  <si>
    <t>Moldboard plowing</t>
  </si>
  <si>
    <t>Dryland residue and soil organic matter as influenced by tillage, crop rotation, and cultural practice</t>
  </si>
  <si>
    <t>Loam</t>
  </si>
  <si>
    <t>continuous wheat</t>
  </si>
  <si>
    <t>wheat-pea</t>
  </si>
  <si>
    <t>wheat-barley hay-pea</t>
  </si>
  <si>
    <t>wheat-barley hay-corn-pea</t>
  </si>
  <si>
    <t>Sainju U.M.; Lenssen A.W.; Caesar-TonThat T.; Jabro J.D.; Lartey R.T.; Evans R.G.; Allen B.L.</t>
  </si>
  <si>
    <t>Conventional</t>
  </si>
  <si>
    <t>Long-term tillage effects on soil carbon storage and carbon dioxide emissions in continuous corn cropping system from an alfisol in Ohio</t>
  </si>
  <si>
    <t>Ussiri D.A.N.; Lal R.</t>
  </si>
  <si>
    <t>Chisel till</t>
  </si>
  <si>
    <t>On farm assessment of tillage impact on soil carbon and associated soil quality parameters</t>
  </si>
  <si>
    <t>Chatterjee A.; Lal R.</t>
  </si>
  <si>
    <t>Temperence</t>
  </si>
  <si>
    <t>Michigan</t>
  </si>
  <si>
    <t>Lenawee</t>
  </si>
  <si>
    <t>Scioto</t>
  </si>
  <si>
    <t>Canal Fulton</t>
  </si>
  <si>
    <t>Salisbury</t>
  </si>
  <si>
    <t>Pennylvania</t>
  </si>
  <si>
    <t>corn-alfalfa</t>
  </si>
  <si>
    <t>Clay loam</t>
  </si>
  <si>
    <t>Chisel plow + Moldboard plow</t>
  </si>
  <si>
    <t>No-tillage and soil-profile carbon sequestration: An on-farm assessment</t>
  </si>
  <si>
    <t>Blanco-Canqui H.; Lal R.</t>
  </si>
  <si>
    <t>Georgetown</t>
  </si>
  <si>
    <t>Kentucky</t>
  </si>
  <si>
    <t>Glasgow</t>
  </si>
  <si>
    <t>McKee</t>
  </si>
  <si>
    <t>Fremont</t>
  </si>
  <si>
    <t>Jackson</t>
  </si>
  <si>
    <t>Grove City</t>
  </si>
  <si>
    <t>Pennsylvania</t>
  </si>
  <si>
    <t>Greenville</t>
  </si>
  <si>
    <t>Troy</t>
  </si>
  <si>
    <t>Lewisburg</t>
  </si>
  <si>
    <t>Lancaster</t>
  </si>
  <si>
    <t>corn-soybean-alfalfa</t>
  </si>
  <si>
    <t>corn-soybean-tobacco</t>
  </si>
  <si>
    <t>corn-soybean-pumpkin</t>
  </si>
  <si>
    <t>continuous corn-tobacco</t>
  </si>
  <si>
    <t>Long-term tillage and cropping sequence effects on dryland residue and soil carbon fractions</t>
  </si>
  <si>
    <t>Sainju U.M.; Caesar-TonThat T.; Lenssen A.W.; Evans R.G.; Kolberg R.</t>
  </si>
  <si>
    <t xml:space="preserve">Culbertson </t>
  </si>
  <si>
    <t xml:space="preserve">spring-wheat </t>
  </si>
  <si>
    <t xml:space="preserve">Sweep plow </t>
  </si>
  <si>
    <t>Soil organic carbon and nitrogen in a Minnesota soil as related to tillage, residue and nitrogen management</t>
  </si>
  <si>
    <t>Dolan M.S.; Clapp C.E.; Allmaras R.R.; Baker J.M.; Molina J.A.E.</t>
  </si>
  <si>
    <t>Rosemount</t>
  </si>
  <si>
    <t>Minnesota</t>
  </si>
  <si>
    <t xml:space="preserve">Moldboard plow </t>
  </si>
  <si>
    <t>Soil organic carbon sequestration rates in two long-term no-till experiments in Ohio</t>
  </si>
  <si>
    <t>Jarecki M.K.; Lal R.</t>
  </si>
  <si>
    <t xml:space="preserve">South Charleston </t>
  </si>
  <si>
    <t xml:space="preserve">continuous corn </t>
  </si>
  <si>
    <t>corn-soybean-oat</t>
  </si>
  <si>
    <t>Rotational tillage</t>
  </si>
  <si>
    <t>Subsoiling</t>
  </si>
  <si>
    <t>Soil organic carbon and nitrogen in a Mollisol in central Ohio as affected by tillage and land use</t>
  </si>
  <si>
    <t>Puget P.; Lal R.</t>
  </si>
  <si>
    <t>Tillage and crop residue effects on soil carbon and carbon dioxide emission in corn-soybean rotations</t>
  </si>
  <si>
    <t>Al-Kaisi M.M.; Yin X.</t>
  </si>
  <si>
    <t xml:space="preserve">Ames </t>
  </si>
  <si>
    <t xml:space="preserve">Fine loamy </t>
  </si>
  <si>
    <t>Soil carbon and nitrogen changes as affected by tillage system and crop biomass in a corn-soybean rotation</t>
  </si>
  <si>
    <t>Al-Kaisi M.M.; Yin X.; Licht M.A.</t>
  </si>
  <si>
    <t>Clarion-Nicolet-Webster</t>
  </si>
  <si>
    <t>Galva-Primghar-Sac</t>
  </si>
  <si>
    <t>Kenyon-Floyd-Clyde</t>
  </si>
  <si>
    <t>Marshall</t>
  </si>
  <si>
    <t>Otley-Mahaska-Taintor</t>
  </si>
  <si>
    <t>Chisel Plow</t>
  </si>
  <si>
    <t>Soil carbon and nitrogen changes as influenced by tillage and cropping systems in some Iowa soils</t>
  </si>
  <si>
    <t xml:space="preserve">Kanawha </t>
  </si>
  <si>
    <t xml:space="preserve">Crawfordsville </t>
  </si>
  <si>
    <t>Tillage, nitrogen, and cropping system effects on soil carbon sequestration</t>
  </si>
  <si>
    <t>Halvorson A.D.; Wienhold B.J.; Black A.L.</t>
  </si>
  <si>
    <t>spring wheat-fallow</t>
  </si>
  <si>
    <t>spring wheat-winter wheat-sunflower</t>
  </si>
  <si>
    <t>Tandem disk</t>
  </si>
  <si>
    <t>Crop yield and soil condition under ridge and chisel-plow tillage in the northern Corn Belt, USA</t>
  </si>
  <si>
    <t>Pikul Jr. J.L.; Carpenter-Boggs L.; Vigil M.; Schumacher T.E.; Lindstrom M.J.; Riedell W.E.</t>
  </si>
  <si>
    <t>Brookings</t>
  </si>
  <si>
    <t xml:space="preserve">South Dakota </t>
  </si>
  <si>
    <t>Soil organic carbon and 13C abundance as related to tillage, crop residue, and nitrogen fertilization under continuous corn management in Minnesota</t>
  </si>
  <si>
    <t>Clapp C.E.; Allmaras R.R.; Layese M.F.; Linden D.R.; Dowdy R.H.</t>
  </si>
  <si>
    <t xml:space="preserve">Minnesota </t>
  </si>
  <si>
    <t>Tillage effects on soil organic carbon distribution and storage in a silt loam soil in Illinois</t>
  </si>
  <si>
    <t>Yang X.-M.; Wander M.M.</t>
  </si>
  <si>
    <t>Urbana</t>
  </si>
  <si>
    <t>Illinois</t>
  </si>
  <si>
    <t xml:space="preserve">Silty loam </t>
  </si>
  <si>
    <t>Disking tillage</t>
  </si>
  <si>
    <t>corn-stover returned-0 N</t>
  </si>
  <si>
    <t>corn-stover returned-200 N</t>
  </si>
  <si>
    <t>corn-stover harvested-0 N</t>
  </si>
  <si>
    <t>corn-stover harvested-200 N</t>
  </si>
  <si>
    <t xml:space="preserve">corn-stover returned- 0 N </t>
  </si>
  <si>
    <t xml:space="preserve">corn-stover returned- 200 N </t>
  </si>
  <si>
    <t>Disk tillage</t>
  </si>
  <si>
    <t>Fine-loamy (Clarion-Nicollet-Webster)</t>
  </si>
  <si>
    <t>Fine-silty (Galva-Primghar-Sac)</t>
  </si>
  <si>
    <t>Fine-loamy (Kenyon-Floyd-Clyde)</t>
  </si>
  <si>
    <t>Fine-silty (Marshall)</t>
  </si>
  <si>
    <t>Fine-silty (Otley-Mahaska-Taintor)</t>
  </si>
  <si>
    <t xml:space="preserve">Ridge tillage, Chisel plow-Moldboard plow </t>
  </si>
  <si>
    <t xml:space="preserve">Strip-tillage, Chisel plow </t>
  </si>
  <si>
    <t>Sweep plow, Tandem disk</t>
  </si>
  <si>
    <t>Sweep plow, Disk tillage</t>
  </si>
  <si>
    <t>80, 120</t>
  </si>
  <si>
    <t>75, 150</t>
  </si>
  <si>
    <t xml:space="preserve">Strip-tillage, Chisel Plow </t>
  </si>
  <si>
    <t>Strip-tillage, Chisel plow</t>
  </si>
  <si>
    <t>Chisel till, Moldboard plow</t>
  </si>
  <si>
    <t xml:space="preserve">corn-soybean-harvested </t>
  </si>
  <si>
    <t>corn-soybean-stover returned</t>
  </si>
  <si>
    <t>Chisel plowing, Moldboard plowing</t>
  </si>
  <si>
    <t>Strip-till, Chisel plow</t>
  </si>
  <si>
    <t>Fargo</t>
  </si>
  <si>
    <t xml:space="preserve">Southern Illinois </t>
  </si>
  <si>
    <t xml:space="preserve">malt barley (67-134) - irrigated </t>
  </si>
  <si>
    <t>malt barley (67-134) - non irrigated</t>
  </si>
  <si>
    <t xml:space="preserve">malt barley (0) - non irrigated </t>
  </si>
  <si>
    <t xml:space="preserve">malt barley (0) - irrigated </t>
  </si>
  <si>
    <t>Simpsons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</si>
</sst>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b/>
      <sz val="10"/>
      <name val="Arial"/>
      <family val="2"/>
    </font>
    <font>
      <b/>
      <vertAlign val="subscript"/>
      <sz val="8"/>
      <name val="Arial"/>
      <family val="2"/>
    </font>
    <font>
      <vertAlign val="superscript"/>
      <sz val="12"/>
      <color theme="1"/>
      <name val="Arial"/>
      <family val="2"/>
    </font>
    <font>
      <b/>
      <sz val="10"/>
      <color theme="1"/>
      <name val="Arial"/>
      <family val="2"/>
    </font>
    <font>
      <b/>
      <vertAlign val="subscript"/>
      <sz val="8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FF0000"/>
      <name val="Arial"/>
      <family val="2"/>
    </font>
    <font>
      <sz val="9"/>
      <color indexed="81"/>
      <name val="Tahoma"/>
      <charset val="1"/>
    </font>
    <font>
      <sz val="12"/>
      <color theme="0" tint="-0.24997711111789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7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wrapText="1"/>
    </xf>
    <xf numFmtId="0" fontId="0" fillId="0" borderId="0" xfId="0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0" fillId="2" borderId="0" xfId="0" applyFill="1"/>
    <xf numFmtId="2" fontId="0" fillId="0" borderId="0" xfId="0" applyNumberFormat="1"/>
    <xf numFmtId="0" fontId="8" fillId="0" borderId="0" xfId="0" applyFont="1" applyAlignment="1">
      <alignment horizontal="center" vertical="center" wrapText="1"/>
    </xf>
    <xf numFmtId="1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0" fontId="12" fillId="0" borderId="0" xfId="0" applyFont="1"/>
    <xf numFmtId="0" fontId="12" fillId="2" borderId="0" xfId="0" applyFont="1" applyFill="1"/>
    <xf numFmtId="1" fontId="12" fillId="0" borderId="0" xfId="0" applyNumberFormat="1" applyFont="1"/>
    <xf numFmtId="0" fontId="0" fillId="0" borderId="0" xfId="0" applyFill="1"/>
    <xf numFmtId="0" fontId="14" fillId="0" borderId="0" xfId="0" applyFont="1"/>
    <xf numFmtId="0" fontId="14" fillId="2" borderId="0" xfId="0" applyFont="1" applyFill="1"/>
    <xf numFmtId="1" fontId="14" fillId="0" borderId="0" xfId="0" applyNumberFormat="1" applyFont="1"/>
    <xf numFmtId="2" fontId="14" fillId="0" borderId="0" xfId="0" applyNumberFormat="1" applyFont="1"/>
    <xf numFmtId="0" fontId="0" fillId="0" borderId="0" xfId="0" applyFont="1"/>
    <xf numFmtId="0" fontId="14" fillId="3" borderId="0" xfId="0" applyFont="1" applyFill="1"/>
    <xf numFmtId="3" fontId="14" fillId="0" borderId="0" xfId="0" applyNumberFormat="1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ung,Chih-Yu (il | he, him) (ECCC)" id="{7B819546-54A2-4186-891D-256FD73338DC}" userId="S::Chih-Yu.Hung@ec.gc.ca::d1dcc15b-df1e-401f-964e-cb0da4c960f3" providerId="AD"/>
  <person displayName="Ewondo,Fernande (ECCC)" id="{A399D229-05ED-4F44-9CBA-FF00A650942C}" userId="S::Fernande.Ewondo@ec.gc.ca::7f923c97-7096-4011-9a98-6821a05b08a5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2" dT="2024-07-30T21:49:37.27" personId="{7B819546-54A2-4186-891D-256FD73338DC}" id="{0DE070A3-D55D-4402-A016-51D29124A063}">
    <text>See `Annual Temperature_US.Rmd`</text>
  </threadedComment>
  <threadedComment ref="A78" dT="2024-07-31T01:00:31.10" personId="{7B819546-54A2-4186-891D-256FD73338DC}" id="{3442FA69-E871-4320-9D14-4485C4FFF646}">
    <text>Abandoned/ not in our scope</text>
  </threadedComment>
  <threadedComment ref="A84" dT="2024-07-31T01:15:38.10" personId="{7B819546-54A2-4186-891D-256FD73338DC}" id="{EC2E7A4B-A887-4BE0-9644-FC6EC93C660C}">
    <text>No need to compare RT and CT</text>
  </threadedComment>
  <threadedComment ref="O107" dT="2024-05-15T13:10:49.54" personId="{A399D229-05ED-4F44-9CBA-FF00A650942C}" id="{3AA54966-3309-4580-BEFB-9CEEDAE3DA98}">
    <text>Nitrogen application ranging from 67 to 134</text>
  </threadedComment>
  <threadedComment ref="O109" dT="2024-05-15T13:11:08.22" personId="{A399D229-05ED-4F44-9CBA-FF00A650942C}" id="{3B11AEAC-F5C3-4AAA-808F-743042EB3E65}">
    <text>No nitrogen applied</text>
  </threadedComment>
  <threadedComment ref="P118" dT="2024-06-06T20:01:59.74" personId="{A399D229-05ED-4F44-9CBA-FF00A650942C}" id="{EA0FCAE9-098A-4C93-AC18-470300620E95}">
    <text>RT Tillage method, CT Tillage method</text>
  </threadedComment>
  <threadedComment ref="Q118" dT="2024-06-06T20:02:32.88" personId="{A399D229-05ED-4F44-9CBA-FF00A650942C}" id="{8D6830BD-CD5D-41BB-883F-78607D473126}">
    <text>RT Tillage depth, CT Tillage depth</text>
  </threadedComment>
  <threadedComment ref="P120" dT="2024-06-06T20:01:59.74" personId="{A399D229-05ED-4F44-9CBA-FF00A650942C}" id="{F4BDFC6F-4C8F-4C63-ABEB-D05E12B87E2D}">
    <text>RT Tillage method, CT Tillage method</text>
  </threadedComment>
  <threadedComment ref="Q120" dT="2024-06-06T20:02:32.88" personId="{A399D229-05ED-4F44-9CBA-FF00A650942C}" id="{2FFB7972-1B95-44E1-95B8-8FBF272A4356}">
    <text>RT Tillage depth, CT Tillage depth</text>
  </threadedComment>
  <threadedComment ref="P122" dT="2024-06-06T20:01:59.74" personId="{A399D229-05ED-4F44-9CBA-FF00A650942C}" id="{8CB6287C-087C-449E-90ED-FE5E5870911F}">
    <text>RT Tillage method, CT Tillage method</text>
  </threadedComment>
  <threadedComment ref="Q122" dT="2024-06-06T20:02:32.88" personId="{A399D229-05ED-4F44-9CBA-FF00A650942C}" id="{46792B5B-462D-4A8B-BE18-A7102E559F23}">
    <text>RT Tillage depth, CT Tillage depth</text>
  </threadedComment>
  <threadedComment ref="P125" dT="2024-06-06T17:14:30.65" personId="{A399D229-05ED-4F44-9CBA-FF00A650942C}" id="{1E1E5ED3-4F24-44EF-8C41-0588B07E8BAD}">
    <text>RT Tillage method, CT Tillage method</text>
  </threadedComment>
  <threadedComment ref="Q125" dT="2024-06-06T17:15:00.36" personId="{A399D229-05ED-4F44-9CBA-FF00A650942C}" id="{3FB3B386-3612-4B3A-B11F-880870BD0F2C}">
    <text>RT Tillage depth, CT Tillage depth</text>
  </threadedComment>
  <threadedComment ref="P127" dT="2024-06-06T17:14:30.65" personId="{A399D229-05ED-4F44-9CBA-FF00A650942C}" id="{1DAED7FA-C992-48C5-A678-1C4221533982}">
    <text>RT Tillage method, CT Tillage method</text>
  </threadedComment>
  <threadedComment ref="Q127" dT="2024-06-06T17:15:00.36" personId="{A399D229-05ED-4F44-9CBA-FF00A650942C}" id="{83281C51-5E64-4985-BC2C-CD4BCE0AAD23}">
    <text>RT Tillage depth, CT Tillage depth</text>
  </threadedComment>
  <threadedComment ref="P168" dT="2024-06-05T15:38:20.89" personId="{A399D229-05ED-4F44-9CBA-FF00A650942C}" id="{811C19D6-A4C8-4AC3-A411-C555404BFA24}">
    <text>RT tillage method, CT tillage method</text>
  </threadedComment>
  <threadedComment ref="P171" dT="2024-06-05T15:13:29.37" personId="{A399D229-05ED-4F44-9CBA-FF00A650942C}" id="{07E39E8C-BADB-40E4-B3B9-A9343BD4DC61}">
    <text>RT tillage method, CT tillage method</text>
  </threadedComment>
  <threadedComment ref="Q171" dT="2024-06-05T15:13:42.12" personId="{A399D229-05ED-4F44-9CBA-FF00A650942C}" id="{A3E84587-02C8-4120-90B8-2E8C683764CC}">
    <text>RT tillage depth, CT tillage depth</text>
  </threadedComment>
  <threadedComment ref="P181" dT="2024-06-05T15:01:48.38" personId="{A399D229-05ED-4F44-9CBA-FF00A650942C}" id="{82D3D0C5-634B-4B11-9CF9-62AA447623BC}">
    <text>RT tillage method, CT tillage method</text>
  </threadedComment>
  <threadedComment ref="Q181" dT="2024-06-05T15:02:04.79" personId="{A399D229-05ED-4F44-9CBA-FF00A650942C}" id="{EAE3BED4-1D82-4EAA-865D-F394B8C70E15}">
    <text>RT tillage depth, CT tillage depth</text>
  </threadedComment>
  <threadedComment ref="P191" dT="2024-06-05T14:14:46.35" personId="{A399D229-05ED-4F44-9CBA-FF00A650942C}" id="{69E3B711-CACB-45FF-BC33-50EB5436D762}">
    <text>RT tillage method, CT tillage method</text>
  </threadedComment>
  <threadedComment ref="Q191" dT="2024-06-05T14:15:15.96" personId="{A399D229-05ED-4F44-9CBA-FF00A650942C}" id="{805C3A12-CE82-41A2-9AA7-82483F0C52D0}">
    <text>RT tillage depth, CT tillage depth</text>
  </threadedComment>
  <threadedComment ref="P197" dT="2024-06-05T14:09:58.38" personId="{A399D229-05ED-4F44-9CBA-FF00A650942C}" id="{1DB396C6-666C-4377-89D7-7B62A023D8F0}">
    <text>RT tillage method, CT tillage method</text>
  </threadedComment>
  <threadedComment ref="Q197" dT="2024-06-05T14:10:13.34" personId="{A399D229-05ED-4F44-9CBA-FF00A650942C}" id="{B747D080-69DE-4F03-8B53-F9517F6C82FB}">
    <text>RT tillage depth, CT tillage depth</text>
  </threadedComment>
  <threadedComment ref="P201" dT="2024-06-05T12:39:06.60" personId="{A399D229-05ED-4F44-9CBA-FF00A650942C}" id="{A185EA59-4439-4F08-9878-1C16F659031D}">
    <text>RT tillage method, CT tillage method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1B0AF-B1CB-4256-9BCB-A6492121A31E}">
  <dimension ref="A1:AE222"/>
  <sheetViews>
    <sheetView tabSelected="1" topLeftCell="C1" zoomScale="80" zoomScaleNormal="80" workbookViewId="0">
      <pane ySplit="1" topLeftCell="A189" activePane="bottomLeft" state="frozen"/>
      <selection activeCell="D1" sqref="D1"/>
      <selection pane="bottomLeft" activeCell="D196" sqref="D196"/>
    </sheetView>
  </sheetViews>
  <sheetFormatPr defaultRowHeight="15.5" x14ac:dyDescent="0.35"/>
  <cols>
    <col min="3" max="3" width="120.765625" customWidth="1"/>
    <col min="4" max="4" width="15.4609375" customWidth="1"/>
    <col min="5" max="5" width="16.3828125" customWidth="1"/>
    <col min="7" max="7" width="31.53515625" customWidth="1"/>
    <col min="10" max="10" width="3.3046875" style="10" customWidth="1"/>
    <col min="13" max="13" width="3.3046875" style="10" customWidth="1"/>
    <col min="15" max="15" width="29.765625" customWidth="1"/>
    <col min="16" max="16" width="35.765625" customWidth="1"/>
    <col min="17" max="17" width="17.23046875" customWidth="1"/>
  </cols>
  <sheetData>
    <row r="1" spans="1:31" s="7" customFormat="1" ht="26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>
        <v>2</v>
      </c>
      <c r="K1" s="4" t="s">
        <v>9</v>
      </c>
      <c r="L1" s="4" t="s">
        <v>10</v>
      </c>
      <c r="M1" s="5">
        <v>3</v>
      </c>
      <c r="N1" s="4" t="s">
        <v>11</v>
      </c>
      <c r="O1" s="4" t="s">
        <v>12</v>
      </c>
      <c r="P1" s="4" t="s">
        <v>13</v>
      </c>
      <c r="Q1" s="4" t="s">
        <v>70</v>
      </c>
      <c r="R1" s="4" t="s">
        <v>71</v>
      </c>
      <c r="S1" s="4" t="s">
        <v>15</v>
      </c>
      <c r="T1" s="12" t="s">
        <v>16</v>
      </c>
      <c r="U1" s="4" t="s">
        <v>17</v>
      </c>
      <c r="V1" s="4" t="s">
        <v>18</v>
      </c>
      <c r="W1" s="4" t="s">
        <v>19</v>
      </c>
      <c r="X1" s="4" t="s">
        <v>20</v>
      </c>
      <c r="Y1" s="6"/>
      <c r="Z1" s="6"/>
      <c r="AD1" s="4"/>
      <c r="AE1" s="4"/>
    </row>
    <row r="2" spans="1:31" x14ac:dyDescent="0.35">
      <c r="A2">
        <v>2020</v>
      </c>
      <c r="B2" t="s">
        <v>21</v>
      </c>
      <c r="C2" t="s">
        <v>22</v>
      </c>
      <c r="D2" t="s">
        <v>23</v>
      </c>
      <c r="E2" t="s">
        <v>24</v>
      </c>
      <c r="F2">
        <v>2002</v>
      </c>
      <c r="G2" t="s">
        <v>25</v>
      </c>
      <c r="H2">
        <v>480</v>
      </c>
      <c r="I2">
        <v>30</v>
      </c>
      <c r="K2">
        <v>8.08</v>
      </c>
      <c r="L2">
        <v>816</v>
      </c>
      <c r="N2">
        <v>12</v>
      </c>
      <c r="O2" t="s">
        <v>26</v>
      </c>
      <c r="P2" t="s">
        <v>27</v>
      </c>
      <c r="R2">
        <v>600</v>
      </c>
      <c r="S2">
        <f>138.88+4.32</f>
        <v>143.19999999999999</v>
      </c>
      <c r="U2">
        <f>138.88+5.09</f>
        <v>143.97</v>
      </c>
      <c r="V2">
        <f>IF(ISBLANK($T2),$U2-$S2,$U2-$T2)</f>
        <v>0.77000000000001023</v>
      </c>
      <c r="W2" s="13">
        <f>V2/N2*1000</f>
        <v>64.166666666667524</v>
      </c>
      <c r="X2" s="11">
        <f>IF(S2&gt;0,V2/S2/N2*100,V2/T2/N2*100)</f>
        <v>4.480912476722592E-2</v>
      </c>
    </row>
    <row r="3" spans="1:31" x14ac:dyDescent="0.35">
      <c r="A3">
        <v>2020</v>
      </c>
      <c r="B3" t="s">
        <v>21</v>
      </c>
      <c r="C3" t="s">
        <v>22</v>
      </c>
      <c r="D3" t="s">
        <v>23</v>
      </c>
      <c r="E3" t="s">
        <v>24</v>
      </c>
      <c r="F3">
        <v>2002</v>
      </c>
      <c r="G3" t="s">
        <v>25</v>
      </c>
      <c r="H3">
        <v>480</v>
      </c>
      <c r="I3">
        <v>30</v>
      </c>
      <c r="K3">
        <v>8.08</v>
      </c>
      <c r="L3">
        <v>816</v>
      </c>
      <c r="N3">
        <v>12</v>
      </c>
      <c r="O3" t="s">
        <v>26</v>
      </c>
      <c r="P3" t="s">
        <v>28</v>
      </c>
      <c r="R3">
        <v>600</v>
      </c>
      <c r="S3">
        <f>138.88-4.03</f>
        <v>134.85</v>
      </c>
      <c r="U3">
        <f t="shared" ref="U3:U5" si="0">138.88+5.09</f>
        <v>143.97</v>
      </c>
      <c r="V3">
        <f t="shared" ref="V3:V70" si="1">IF(ISBLANK($T3),$U3-$S3,$U3-$T3)</f>
        <v>9.1200000000000045</v>
      </c>
      <c r="W3" s="13">
        <f t="shared" ref="W3:W57" si="2">V3/N3*1000</f>
        <v>760.00000000000034</v>
      </c>
      <c r="X3" s="11">
        <f t="shared" ref="X3:X57" si="3">IF(S3&gt;0,V3/S3/N3*100,V3/T3/N3*100)</f>
        <v>0.56358917315535817</v>
      </c>
    </row>
    <row r="4" spans="1:31" x14ac:dyDescent="0.35">
      <c r="A4">
        <v>2020</v>
      </c>
      <c r="B4" t="s">
        <v>21</v>
      </c>
      <c r="C4" t="s">
        <v>22</v>
      </c>
      <c r="D4" t="s">
        <v>23</v>
      </c>
      <c r="E4" t="s">
        <v>24</v>
      </c>
      <c r="F4">
        <v>2002</v>
      </c>
      <c r="G4" t="s">
        <v>25</v>
      </c>
      <c r="H4">
        <v>480</v>
      </c>
      <c r="I4">
        <v>30</v>
      </c>
      <c r="K4">
        <v>8.08</v>
      </c>
      <c r="L4">
        <v>816</v>
      </c>
      <c r="N4">
        <v>12</v>
      </c>
      <c r="O4" t="s">
        <v>26</v>
      </c>
      <c r="P4" t="s">
        <v>29</v>
      </c>
      <c r="R4">
        <v>600</v>
      </c>
      <c r="S4">
        <f>138.88-3.88</f>
        <v>135</v>
      </c>
      <c r="U4">
        <f t="shared" si="0"/>
        <v>143.97</v>
      </c>
      <c r="V4">
        <f t="shared" si="1"/>
        <v>8.9699999999999989</v>
      </c>
      <c r="W4" s="13">
        <f t="shared" si="2"/>
        <v>747.49999999999989</v>
      </c>
      <c r="X4" s="11">
        <f t="shared" si="3"/>
        <v>0.55370370370370359</v>
      </c>
    </row>
    <row r="5" spans="1:31" x14ac:dyDescent="0.35">
      <c r="A5">
        <v>2020</v>
      </c>
      <c r="B5" t="s">
        <v>21</v>
      </c>
      <c r="C5" t="s">
        <v>22</v>
      </c>
      <c r="D5" t="s">
        <v>23</v>
      </c>
      <c r="E5" t="s">
        <v>24</v>
      </c>
      <c r="F5">
        <v>2002</v>
      </c>
      <c r="G5" t="s">
        <v>25</v>
      </c>
      <c r="H5">
        <v>480</v>
      </c>
      <c r="I5">
        <v>30</v>
      </c>
      <c r="K5">
        <v>8.08</v>
      </c>
      <c r="L5">
        <v>816</v>
      </c>
      <c r="N5">
        <v>12</v>
      </c>
      <c r="O5" t="s">
        <v>26</v>
      </c>
      <c r="P5" t="s">
        <v>30</v>
      </c>
      <c r="R5">
        <v>600</v>
      </c>
      <c r="S5">
        <f>138.88-4.61</f>
        <v>134.26999999999998</v>
      </c>
      <c r="U5">
        <f t="shared" si="0"/>
        <v>143.97</v>
      </c>
      <c r="V5">
        <f t="shared" si="1"/>
        <v>9.7000000000000171</v>
      </c>
      <c r="W5" s="13">
        <f t="shared" si="2"/>
        <v>808.33333333333474</v>
      </c>
      <c r="X5" s="11">
        <f t="shared" si="3"/>
        <v>0.60202080385293433</v>
      </c>
    </row>
    <row r="6" spans="1:31" x14ac:dyDescent="0.35">
      <c r="A6">
        <v>2020</v>
      </c>
      <c r="B6" t="s">
        <v>21</v>
      </c>
      <c r="C6" t="s">
        <v>22</v>
      </c>
      <c r="D6" t="s">
        <v>23</v>
      </c>
      <c r="E6" t="s">
        <v>24</v>
      </c>
      <c r="F6">
        <v>2002</v>
      </c>
      <c r="G6" t="s">
        <v>25</v>
      </c>
      <c r="H6">
        <v>480</v>
      </c>
      <c r="I6">
        <v>30</v>
      </c>
      <c r="K6">
        <v>8.08</v>
      </c>
      <c r="L6">
        <v>816</v>
      </c>
      <c r="N6">
        <v>12</v>
      </c>
      <c r="O6" t="s">
        <v>31</v>
      </c>
      <c r="P6" t="s">
        <v>27</v>
      </c>
      <c r="R6">
        <v>600</v>
      </c>
      <c r="S6">
        <f>138.88+3.38</f>
        <v>142.26</v>
      </c>
      <c r="U6">
        <f>138.88+4.7</f>
        <v>143.57999999999998</v>
      </c>
      <c r="V6">
        <f t="shared" si="1"/>
        <v>1.3199999999999932</v>
      </c>
      <c r="W6" s="13">
        <f t="shared" si="2"/>
        <v>109.99999999999943</v>
      </c>
      <c r="X6" s="11">
        <f t="shared" si="3"/>
        <v>7.7323211022071875E-2</v>
      </c>
    </row>
    <row r="7" spans="1:31" x14ac:dyDescent="0.35">
      <c r="A7">
        <v>2020</v>
      </c>
      <c r="B7" t="s">
        <v>21</v>
      </c>
      <c r="C7" t="s">
        <v>22</v>
      </c>
      <c r="D7" t="s">
        <v>23</v>
      </c>
      <c r="E7" t="s">
        <v>24</v>
      </c>
      <c r="F7">
        <v>2002</v>
      </c>
      <c r="G7" t="s">
        <v>25</v>
      </c>
      <c r="H7">
        <v>480</v>
      </c>
      <c r="I7">
        <v>30</v>
      </c>
      <c r="K7">
        <v>8.08</v>
      </c>
      <c r="L7">
        <v>816</v>
      </c>
      <c r="N7">
        <v>12</v>
      </c>
      <c r="O7" t="s">
        <v>31</v>
      </c>
      <c r="P7" t="s">
        <v>28</v>
      </c>
      <c r="R7">
        <v>600</v>
      </c>
      <c r="S7">
        <f>138.88-4.07</f>
        <v>134.81</v>
      </c>
      <c r="U7">
        <f t="shared" ref="U7:U9" si="4">138.88+4.7</f>
        <v>143.57999999999998</v>
      </c>
      <c r="V7">
        <f t="shared" si="1"/>
        <v>8.7699999999999818</v>
      </c>
      <c r="W7" s="13">
        <f t="shared" si="2"/>
        <v>730.83333333333178</v>
      </c>
      <c r="X7" s="11">
        <f t="shared" si="3"/>
        <v>0.54212100981628342</v>
      </c>
    </row>
    <row r="8" spans="1:31" x14ac:dyDescent="0.35">
      <c r="A8">
        <v>2020</v>
      </c>
      <c r="B8" t="s">
        <v>21</v>
      </c>
      <c r="C8" t="s">
        <v>22</v>
      </c>
      <c r="D8" t="s">
        <v>23</v>
      </c>
      <c r="E8" t="s">
        <v>24</v>
      </c>
      <c r="F8">
        <v>2002</v>
      </c>
      <c r="G8" t="s">
        <v>25</v>
      </c>
      <c r="H8">
        <v>480</v>
      </c>
      <c r="I8">
        <v>30</v>
      </c>
      <c r="K8">
        <v>8.08</v>
      </c>
      <c r="L8">
        <v>816</v>
      </c>
      <c r="N8">
        <v>12</v>
      </c>
      <c r="O8" t="s">
        <v>31</v>
      </c>
      <c r="P8" t="s">
        <v>29</v>
      </c>
      <c r="R8">
        <v>600</v>
      </c>
      <c r="S8">
        <f>138.88-2.91</f>
        <v>135.97</v>
      </c>
      <c r="U8">
        <f t="shared" si="4"/>
        <v>143.57999999999998</v>
      </c>
      <c r="V8">
        <f t="shared" si="1"/>
        <v>7.6099999999999852</v>
      </c>
      <c r="W8" s="13">
        <f t="shared" si="2"/>
        <v>634.16666666666538</v>
      </c>
      <c r="X8" s="11">
        <f t="shared" si="3"/>
        <v>0.46640190238042617</v>
      </c>
    </row>
    <row r="9" spans="1:31" x14ac:dyDescent="0.35">
      <c r="A9">
        <v>2020</v>
      </c>
      <c r="B9" t="s">
        <v>21</v>
      </c>
      <c r="C9" t="s">
        <v>22</v>
      </c>
      <c r="D9" t="s">
        <v>23</v>
      </c>
      <c r="E9" t="s">
        <v>24</v>
      </c>
      <c r="F9">
        <v>2002</v>
      </c>
      <c r="G9" t="s">
        <v>25</v>
      </c>
      <c r="H9">
        <v>480</v>
      </c>
      <c r="I9">
        <v>30</v>
      </c>
      <c r="K9">
        <v>8.08</v>
      </c>
      <c r="N9">
        <v>12</v>
      </c>
      <c r="O9" t="s">
        <v>31</v>
      </c>
      <c r="P9" t="s">
        <v>30</v>
      </c>
      <c r="R9">
        <v>600</v>
      </c>
      <c r="S9">
        <f>138.88-4.76</f>
        <v>134.12</v>
      </c>
      <c r="U9">
        <f t="shared" si="4"/>
        <v>143.57999999999998</v>
      </c>
      <c r="V9">
        <f t="shared" si="1"/>
        <v>9.4599999999999795</v>
      </c>
      <c r="W9" s="13">
        <f t="shared" si="2"/>
        <v>788.33333333333167</v>
      </c>
      <c r="X9" s="11">
        <f t="shared" si="3"/>
        <v>0.58778208569440171</v>
      </c>
    </row>
    <row r="10" spans="1:31" x14ac:dyDescent="0.35">
      <c r="A10">
        <v>2020</v>
      </c>
      <c r="B10" t="s">
        <v>21</v>
      </c>
      <c r="C10" t="s">
        <v>22</v>
      </c>
      <c r="D10" t="s">
        <v>32</v>
      </c>
      <c r="E10" t="s">
        <v>24</v>
      </c>
      <c r="F10">
        <v>2002</v>
      </c>
      <c r="G10" t="s">
        <v>25</v>
      </c>
      <c r="H10">
        <v>260</v>
      </c>
      <c r="I10">
        <v>40</v>
      </c>
      <c r="K10">
        <v>7.59</v>
      </c>
      <c r="L10">
        <v>861</v>
      </c>
      <c r="N10">
        <v>12</v>
      </c>
      <c r="O10" t="s">
        <v>26</v>
      </c>
      <c r="P10" t="s">
        <v>27</v>
      </c>
      <c r="R10">
        <v>600</v>
      </c>
      <c r="S10">
        <f>143.04+3.39</f>
        <v>146.42999999999998</v>
      </c>
      <c r="U10">
        <f>143.04+4.66</f>
        <v>147.69999999999999</v>
      </c>
      <c r="V10">
        <f t="shared" si="1"/>
        <v>1.2700000000000102</v>
      </c>
      <c r="W10" s="13">
        <f t="shared" si="2"/>
        <v>105.83333333333418</v>
      </c>
      <c r="X10" s="11">
        <f t="shared" si="3"/>
        <v>7.2275717635275696E-2</v>
      </c>
    </row>
    <row r="11" spans="1:31" x14ac:dyDescent="0.35">
      <c r="A11">
        <v>2020</v>
      </c>
      <c r="B11" t="s">
        <v>21</v>
      </c>
      <c r="C11" t="s">
        <v>22</v>
      </c>
      <c r="D11" t="s">
        <v>32</v>
      </c>
      <c r="E11" t="s">
        <v>24</v>
      </c>
      <c r="F11">
        <v>2002</v>
      </c>
      <c r="G11" t="s">
        <v>25</v>
      </c>
      <c r="H11">
        <v>260</v>
      </c>
      <c r="I11">
        <v>40</v>
      </c>
      <c r="K11">
        <v>7.59</v>
      </c>
      <c r="L11">
        <v>861</v>
      </c>
      <c r="N11">
        <v>12</v>
      </c>
      <c r="O11" t="s">
        <v>26</v>
      </c>
      <c r="P11" t="s">
        <v>28</v>
      </c>
      <c r="R11">
        <v>600</v>
      </c>
      <c r="S11">
        <f>143.04-4.34</f>
        <v>138.69999999999999</v>
      </c>
      <c r="U11">
        <f t="shared" ref="U11:U13" si="5">143.04+4.66</f>
        <v>147.69999999999999</v>
      </c>
      <c r="V11">
        <f t="shared" si="1"/>
        <v>9</v>
      </c>
      <c r="W11" s="13">
        <f t="shared" si="2"/>
        <v>750</v>
      </c>
      <c r="X11" s="11">
        <f t="shared" si="3"/>
        <v>0.54073540014419619</v>
      </c>
    </row>
    <row r="12" spans="1:31" x14ac:dyDescent="0.35">
      <c r="A12">
        <v>2020</v>
      </c>
      <c r="B12" t="s">
        <v>21</v>
      </c>
      <c r="C12" t="s">
        <v>22</v>
      </c>
      <c r="D12" t="s">
        <v>32</v>
      </c>
      <c r="E12" t="s">
        <v>24</v>
      </c>
      <c r="F12">
        <v>2002</v>
      </c>
      <c r="G12" t="s">
        <v>25</v>
      </c>
      <c r="H12">
        <v>260</v>
      </c>
      <c r="I12">
        <v>40</v>
      </c>
      <c r="K12">
        <v>7.59</v>
      </c>
      <c r="L12">
        <v>861</v>
      </c>
      <c r="N12">
        <v>12</v>
      </c>
      <c r="O12" t="s">
        <v>26</v>
      </c>
      <c r="P12" t="s">
        <v>29</v>
      </c>
      <c r="R12">
        <v>600</v>
      </c>
      <c r="S12">
        <f>143.04-3.6</f>
        <v>139.44</v>
      </c>
      <c r="U12">
        <f t="shared" si="5"/>
        <v>147.69999999999999</v>
      </c>
      <c r="V12">
        <f t="shared" si="1"/>
        <v>8.2599999999999909</v>
      </c>
      <c r="W12" s="13">
        <f t="shared" si="2"/>
        <v>688.33333333333258</v>
      </c>
      <c r="X12" s="11">
        <f t="shared" si="3"/>
        <v>0.4936412315930383</v>
      </c>
    </row>
    <row r="13" spans="1:31" x14ac:dyDescent="0.35">
      <c r="A13">
        <v>2020</v>
      </c>
      <c r="B13" t="s">
        <v>21</v>
      </c>
      <c r="C13" t="s">
        <v>22</v>
      </c>
      <c r="D13" t="s">
        <v>32</v>
      </c>
      <c r="E13" t="s">
        <v>24</v>
      </c>
      <c r="F13">
        <v>2002</v>
      </c>
      <c r="G13" t="s">
        <v>25</v>
      </c>
      <c r="H13">
        <v>260</v>
      </c>
      <c r="I13">
        <v>40</v>
      </c>
      <c r="K13">
        <v>7.59</v>
      </c>
      <c r="L13">
        <v>861</v>
      </c>
      <c r="N13">
        <v>12</v>
      </c>
      <c r="O13" t="s">
        <v>26</v>
      </c>
      <c r="P13" t="s">
        <v>30</v>
      </c>
      <c r="R13">
        <v>600</v>
      </c>
      <c r="S13">
        <f>143.04-4.25</f>
        <v>138.79</v>
      </c>
      <c r="U13">
        <f t="shared" si="5"/>
        <v>147.69999999999999</v>
      </c>
      <c r="V13">
        <f t="shared" si="1"/>
        <v>8.9099999999999966</v>
      </c>
      <c r="W13" s="13">
        <f t="shared" si="2"/>
        <v>742.49999999999977</v>
      </c>
      <c r="X13" s="11">
        <f t="shared" si="3"/>
        <v>0.53498090640536045</v>
      </c>
    </row>
    <row r="14" spans="1:31" x14ac:dyDescent="0.35">
      <c r="A14">
        <v>2020</v>
      </c>
      <c r="B14" t="s">
        <v>21</v>
      </c>
      <c r="C14" t="s">
        <v>22</v>
      </c>
      <c r="D14" t="s">
        <v>32</v>
      </c>
      <c r="E14" t="s">
        <v>24</v>
      </c>
      <c r="F14">
        <v>2002</v>
      </c>
      <c r="G14" t="s">
        <v>25</v>
      </c>
      <c r="H14">
        <v>260</v>
      </c>
      <c r="I14">
        <v>40</v>
      </c>
      <c r="K14">
        <v>7.59</v>
      </c>
      <c r="L14">
        <v>861</v>
      </c>
      <c r="N14">
        <v>12</v>
      </c>
      <c r="O14" t="s">
        <v>31</v>
      </c>
      <c r="P14" t="s">
        <v>27</v>
      </c>
      <c r="R14">
        <v>600</v>
      </c>
      <c r="S14">
        <f>143.04+3.51</f>
        <v>146.54999999999998</v>
      </c>
      <c r="U14">
        <f>143.04+4.83</f>
        <v>147.87</v>
      </c>
      <c r="V14">
        <f t="shared" si="1"/>
        <v>1.3200000000000216</v>
      </c>
      <c r="W14" s="13">
        <f t="shared" si="2"/>
        <v>110.0000000000018</v>
      </c>
      <c r="X14" s="11">
        <f t="shared" si="3"/>
        <v>7.5059706584784586E-2</v>
      </c>
    </row>
    <row r="15" spans="1:31" x14ac:dyDescent="0.35">
      <c r="A15">
        <v>2020</v>
      </c>
      <c r="B15" t="s">
        <v>21</v>
      </c>
      <c r="C15" t="s">
        <v>22</v>
      </c>
      <c r="D15" t="s">
        <v>32</v>
      </c>
      <c r="E15" t="s">
        <v>24</v>
      </c>
      <c r="F15">
        <v>2002</v>
      </c>
      <c r="G15" t="s">
        <v>25</v>
      </c>
      <c r="H15">
        <v>260</v>
      </c>
      <c r="I15">
        <v>40</v>
      </c>
      <c r="K15">
        <v>7.59</v>
      </c>
      <c r="L15">
        <v>861</v>
      </c>
      <c r="N15">
        <v>12</v>
      </c>
      <c r="O15" t="s">
        <v>31</v>
      </c>
      <c r="P15" t="s">
        <v>28</v>
      </c>
      <c r="R15">
        <v>600</v>
      </c>
      <c r="S15">
        <f>143.04-3.99</f>
        <v>139.04999999999998</v>
      </c>
      <c r="U15">
        <f t="shared" ref="U15:U17" si="6">143.04+4.83</f>
        <v>147.87</v>
      </c>
      <c r="V15">
        <f t="shared" si="1"/>
        <v>8.8200000000000216</v>
      </c>
      <c r="W15" s="13">
        <f t="shared" si="2"/>
        <v>735.00000000000182</v>
      </c>
      <c r="X15" s="11">
        <f t="shared" si="3"/>
        <v>0.52858683926645222</v>
      </c>
    </row>
    <row r="16" spans="1:31" x14ac:dyDescent="0.35">
      <c r="A16">
        <v>2020</v>
      </c>
      <c r="B16" t="s">
        <v>21</v>
      </c>
      <c r="C16" t="s">
        <v>22</v>
      </c>
      <c r="D16" t="s">
        <v>32</v>
      </c>
      <c r="E16" t="s">
        <v>24</v>
      </c>
      <c r="F16">
        <v>2002</v>
      </c>
      <c r="G16" t="s">
        <v>25</v>
      </c>
      <c r="H16">
        <v>260</v>
      </c>
      <c r="I16">
        <v>40</v>
      </c>
      <c r="K16">
        <v>7.59</v>
      </c>
      <c r="L16">
        <v>861</v>
      </c>
      <c r="N16">
        <v>12</v>
      </c>
      <c r="O16" t="s">
        <v>31</v>
      </c>
      <c r="P16" t="s">
        <v>29</v>
      </c>
      <c r="R16">
        <v>600</v>
      </c>
      <c r="S16">
        <f>143.04+3.65</f>
        <v>146.69</v>
      </c>
      <c r="U16">
        <f t="shared" si="6"/>
        <v>147.87</v>
      </c>
      <c r="V16">
        <f t="shared" si="1"/>
        <v>1.1800000000000068</v>
      </c>
      <c r="W16" s="13">
        <f t="shared" si="2"/>
        <v>98.333333333333897</v>
      </c>
      <c r="X16" s="11">
        <f t="shared" si="3"/>
        <v>6.7034789919785884E-2</v>
      </c>
    </row>
    <row r="17" spans="1:24" x14ac:dyDescent="0.35">
      <c r="A17">
        <v>2020</v>
      </c>
      <c r="B17" t="s">
        <v>21</v>
      </c>
      <c r="C17" t="s">
        <v>22</v>
      </c>
      <c r="D17" t="s">
        <v>32</v>
      </c>
      <c r="E17" t="s">
        <v>24</v>
      </c>
      <c r="F17">
        <v>2002</v>
      </c>
      <c r="G17" t="s">
        <v>25</v>
      </c>
      <c r="H17">
        <v>260</v>
      </c>
      <c r="I17">
        <v>40</v>
      </c>
      <c r="K17">
        <v>7.59</v>
      </c>
      <c r="L17">
        <v>861</v>
      </c>
      <c r="N17">
        <v>12</v>
      </c>
      <c r="O17" t="s">
        <v>31</v>
      </c>
      <c r="P17" t="s">
        <v>30</v>
      </c>
      <c r="R17">
        <v>600</v>
      </c>
      <c r="S17">
        <f>143.04-4.69</f>
        <v>138.35</v>
      </c>
      <c r="U17">
        <f t="shared" si="6"/>
        <v>147.87</v>
      </c>
      <c r="V17">
        <f t="shared" si="1"/>
        <v>9.5200000000000102</v>
      </c>
      <c r="W17" s="13">
        <f t="shared" si="2"/>
        <v>793.33333333333417</v>
      </c>
      <c r="X17" s="11">
        <f t="shared" si="3"/>
        <v>0.57342488856764318</v>
      </c>
    </row>
    <row r="18" spans="1:24" x14ac:dyDescent="0.35">
      <c r="A18">
        <v>2020</v>
      </c>
      <c r="B18" t="s">
        <v>21</v>
      </c>
      <c r="C18" t="s">
        <v>22</v>
      </c>
      <c r="D18" t="s">
        <v>33</v>
      </c>
      <c r="E18" t="s">
        <v>24</v>
      </c>
      <c r="F18">
        <v>2002</v>
      </c>
      <c r="G18" t="s">
        <v>34</v>
      </c>
      <c r="H18">
        <v>200</v>
      </c>
      <c r="I18">
        <v>150</v>
      </c>
      <c r="K18">
        <v>7.62</v>
      </c>
      <c r="L18">
        <v>963</v>
      </c>
      <c r="N18">
        <v>12</v>
      </c>
      <c r="O18" t="s">
        <v>26</v>
      </c>
      <c r="P18" t="s">
        <v>27</v>
      </c>
      <c r="R18">
        <v>600</v>
      </c>
      <c r="S18">
        <f>105.18+3.56</f>
        <v>108.74000000000001</v>
      </c>
      <c r="U18">
        <f>105.18+3.97</f>
        <v>109.15</v>
      </c>
      <c r="V18">
        <f t="shared" si="1"/>
        <v>0.40999999999999659</v>
      </c>
      <c r="W18" s="13">
        <f t="shared" si="2"/>
        <v>34.16666666666638</v>
      </c>
      <c r="X18" s="11">
        <f t="shared" si="3"/>
        <v>3.1420513763717475E-2</v>
      </c>
    </row>
    <row r="19" spans="1:24" x14ac:dyDescent="0.35">
      <c r="A19">
        <v>2020</v>
      </c>
      <c r="B19" t="s">
        <v>21</v>
      </c>
      <c r="C19" t="s">
        <v>22</v>
      </c>
      <c r="D19" t="s">
        <v>33</v>
      </c>
      <c r="E19" t="s">
        <v>24</v>
      </c>
      <c r="F19">
        <v>2002</v>
      </c>
      <c r="G19" t="s">
        <v>34</v>
      </c>
      <c r="H19">
        <v>200</v>
      </c>
      <c r="I19">
        <v>150</v>
      </c>
      <c r="K19">
        <v>7.62</v>
      </c>
      <c r="L19">
        <v>963</v>
      </c>
      <c r="N19">
        <v>12</v>
      </c>
      <c r="O19" t="s">
        <v>26</v>
      </c>
      <c r="P19" t="s">
        <v>28</v>
      </c>
      <c r="R19">
        <v>600</v>
      </c>
      <c r="S19">
        <f>105.18-3.83</f>
        <v>101.35000000000001</v>
      </c>
      <c r="U19">
        <f t="shared" ref="U19:U21" si="7">105.18+3.97</f>
        <v>109.15</v>
      </c>
      <c r="V19">
        <f t="shared" si="1"/>
        <v>7.7999999999999972</v>
      </c>
      <c r="W19" s="13">
        <f t="shared" si="2"/>
        <v>649.99999999999977</v>
      </c>
      <c r="X19" s="11">
        <f t="shared" si="3"/>
        <v>0.64134188455846053</v>
      </c>
    </row>
    <row r="20" spans="1:24" x14ac:dyDescent="0.35">
      <c r="A20">
        <v>2020</v>
      </c>
      <c r="B20" t="s">
        <v>21</v>
      </c>
      <c r="C20" t="s">
        <v>22</v>
      </c>
      <c r="D20" t="s">
        <v>33</v>
      </c>
      <c r="E20" t="s">
        <v>24</v>
      </c>
      <c r="F20">
        <v>2002</v>
      </c>
      <c r="G20" t="s">
        <v>34</v>
      </c>
      <c r="H20">
        <v>200</v>
      </c>
      <c r="I20">
        <v>150</v>
      </c>
      <c r="K20">
        <v>7.62</v>
      </c>
      <c r="L20">
        <v>963</v>
      </c>
      <c r="N20">
        <v>12</v>
      </c>
      <c r="O20" t="s">
        <v>26</v>
      </c>
      <c r="P20" t="s">
        <v>29</v>
      </c>
      <c r="R20">
        <v>600</v>
      </c>
      <c r="S20">
        <f>105.18-3.54</f>
        <v>101.64</v>
      </c>
      <c r="U20">
        <f t="shared" si="7"/>
        <v>109.15</v>
      </c>
      <c r="V20">
        <f t="shared" si="1"/>
        <v>7.5100000000000051</v>
      </c>
      <c r="W20" s="13">
        <f t="shared" si="2"/>
        <v>625.83333333333383</v>
      </c>
      <c r="X20" s="11">
        <f t="shared" si="3"/>
        <v>0.6157352748261844</v>
      </c>
    </row>
    <row r="21" spans="1:24" x14ac:dyDescent="0.35">
      <c r="A21">
        <v>2020</v>
      </c>
      <c r="B21" t="s">
        <v>21</v>
      </c>
      <c r="C21" t="s">
        <v>22</v>
      </c>
      <c r="D21" t="s">
        <v>33</v>
      </c>
      <c r="E21" t="s">
        <v>24</v>
      </c>
      <c r="F21">
        <v>2002</v>
      </c>
      <c r="G21" t="s">
        <v>34</v>
      </c>
      <c r="H21">
        <v>200</v>
      </c>
      <c r="I21">
        <v>150</v>
      </c>
      <c r="K21">
        <v>7.62</v>
      </c>
      <c r="L21">
        <v>963</v>
      </c>
      <c r="N21">
        <v>12</v>
      </c>
      <c r="O21" t="s">
        <v>26</v>
      </c>
      <c r="P21" t="s">
        <v>30</v>
      </c>
      <c r="R21">
        <v>600</v>
      </c>
      <c r="S21">
        <f>105.18-4.53</f>
        <v>100.65</v>
      </c>
      <c r="U21">
        <f t="shared" si="7"/>
        <v>109.15</v>
      </c>
      <c r="V21">
        <f t="shared" si="1"/>
        <v>8.5</v>
      </c>
      <c r="W21" s="13">
        <f t="shared" si="2"/>
        <v>708.33333333333337</v>
      </c>
      <c r="X21" s="11">
        <f t="shared" si="3"/>
        <v>0.70375890048021195</v>
      </c>
    </row>
    <row r="22" spans="1:24" x14ac:dyDescent="0.35">
      <c r="A22">
        <v>2020</v>
      </c>
      <c r="B22" t="s">
        <v>21</v>
      </c>
      <c r="C22" t="s">
        <v>22</v>
      </c>
      <c r="D22" t="s">
        <v>33</v>
      </c>
      <c r="E22" t="s">
        <v>24</v>
      </c>
      <c r="F22">
        <v>2002</v>
      </c>
      <c r="G22" t="s">
        <v>34</v>
      </c>
      <c r="H22">
        <v>200</v>
      </c>
      <c r="I22">
        <v>150</v>
      </c>
      <c r="K22">
        <v>7.62</v>
      </c>
      <c r="L22">
        <v>963</v>
      </c>
      <c r="N22">
        <v>12</v>
      </c>
      <c r="O22" t="s">
        <v>31</v>
      </c>
      <c r="P22" t="s">
        <v>27</v>
      </c>
      <c r="R22">
        <v>600</v>
      </c>
      <c r="S22">
        <f>105.18+3.66</f>
        <v>108.84</v>
      </c>
      <c r="U22">
        <f>105.18+4.01</f>
        <v>109.19000000000001</v>
      </c>
      <c r="V22">
        <f t="shared" si="1"/>
        <v>0.35000000000000853</v>
      </c>
      <c r="W22" s="13">
        <f t="shared" si="2"/>
        <v>29.166666666667378</v>
      </c>
      <c r="X22" s="11">
        <f t="shared" si="3"/>
        <v>2.679774592674327E-2</v>
      </c>
    </row>
    <row r="23" spans="1:24" x14ac:dyDescent="0.35">
      <c r="A23">
        <v>2020</v>
      </c>
      <c r="B23" t="s">
        <v>21</v>
      </c>
      <c r="C23" t="s">
        <v>22</v>
      </c>
      <c r="D23" t="s">
        <v>33</v>
      </c>
      <c r="E23" t="s">
        <v>24</v>
      </c>
      <c r="F23">
        <v>2002</v>
      </c>
      <c r="G23" t="s">
        <v>34</v>
      </c>
      <c r="H23">
        <v>200</v>
      </c>
      <c r="I23">
        <v>150</v>
      </c>
      <c r="K23">
        <v>7.62</v>
      </c>
      <c r="L23">
        <v>963</v>
      </c>
      <c r="N23">
        <v>12</v>
      </c>
      <c r="O23" t="s">
        <v>31</v>
      </c>
      <c r="P23" t="s">
        <v>28</v>
      </c>
      <c r="R23">
        <v>600</v>
      </c>
      <c r="S23">
        <f>105.18-4.14</f>
        <v>101.04</v>
      </c>
      <c r="U23">
        <f t="shared" ref="U23:U25" si="8">105.18+4.01</f>
        <v>109.19000000000001</v>
      </c>
      <c r="V23">
        <f t="shared" si="1"/>
        <v>8.1500000000000057</v>
      </c>
      <c r="W23" s="13">
        <f t="shared" si="2"/>
        <v>679.1666666666672</v>
      </c>
      <c r="X23" s="11">
        <f t="shared" si="3"/>
        <v>0.67217603589337604</v>
      </c>
    </row>
    <row r="24" spans="1:24" x14ac:dyDescent="0.35">
      <c r="A24">
        <v>2020</v>
      </c>
      <c r="B24" t="s">
        <v>21</v>
      </c>
      <c r="C24" t="s">
        <v>22</v>
      </c>
      <c r="D24" t="s">
        <v>33</v>
      </c>
      <c r="E24" t="s">
        <v>24</v>
      </c>
      <c r="F24">
        <v>2002</v>
      </c>
      <c r="G24" t="s">
        <v>34</v>
      </c>
      <c r="H24">
        <v>200</v>
      </c>
      <c r="I24">
        <v>150</v>
      </c>
      <c r="K24">
        <v>7.62</v>
      </c>
      <c r="L24">
        <v>963</v>
      </c>
      <c r="N24">
        <v>12</v>
      </c>
      <c r="O24" t="s">
        <v>31</v>
      </c>
      <c r="P24" t="s">
        <v>29</v>
      </c>
      <c r="R24">
        <v>600</v>
      </c>
      <c r="S24">
        <f>105.18-3.85</f>
        <v>101.33000000000001</v>
      </c>
      <c r="U24">
        <f t="shared" si="8"/>
        <v>109.19000000000001</v>
      </c>
      <c r="V24">
        <f t="shared" si="1"/>
        <v>7.8599999999999994</v>
      </c>
      <c r="W24" s="13">
        <f t="shared" si="2"/>
        <v>654.99999999999989</v>
      </c>
      <c r="X24" s="11">
        <f t="shared" si="3"/>
        <v>0.64640284219875643</v>
      </c>
    </row>
    <row r="25" spans="1:24" x14ac:dyDescent="0.35">
      <c r="A25">
        <v>2020</v>
      </c>
      <c r="B25" t="s">
        <v>21</v>
      </c>
      <c r="C25" t="s">
        <v>22</v>
      </c>
      <c r="D25" t="s">
        <v>33</v>
      </c>
      <c r="E25" t="s">
        <v>24</v>
      </c>
      <c r="F25">
        <v>2002</v>
      </c>
      <c r="G25" t="s">
        <v>34</v>
      </c>
      <c r="H25">
        <v>200</v>
      </c>
      <c r="I25">
        <v>150</v>
      </c>
      <c r="K25">
        <v>7.62</v>
      </c>
      <c r="L25">
        <v>963</v>
      </c>
      <c r="N25">
        <v>12</v>
      </c>
      <c r="O25" t="s">
        <v>31</v>
      </c>
      <c r="P25" t="s">
        <v>30</v>
      </c>
      <c r="R25">
        <v>600</v>
      </c>
      <c r="S25">
        <f>105.18-5.29</f>
        <v>99.89</v>
      </c>
      <c r="U25">
        <f t="shared" si="8"/>
        <v>109.19000000000001</v>
      </c>
      <c r="V25">
        <f t="shared" si="1"/>
        <v>9.3000000000000114</v>
      </c>
      <c r="W25" s="13">
        <f t="shared" si="2"/>
        <v>775.00000000000091</v>
      </c>
      <c r="X25" s="11">
        <f t="shared" si="3"/>
        <v>0.77585343878266189</v>
      </c>
    </row>
    <row r="26" spans="1:24" x14ac:dyDescent="0.35">
      <c r="A26">
        <v>2020</v>
      </c>
      <c r="B26" t="s">
        <v>21</v>
      </c>
      <c r="C26" t="s">
        <v>22</v>
      </c>
      <c r="D26" t="s">
        <v>35</v>
      </c>
      <c r="E26" t="s">
        <v>24</v>
      </c>
      <c r="F26">
        <v>2002</v>
      </c>
      <c r="G26" t="s">
        <v>36</v>
      </c>
      <c r="H26">
        <v>250</v>
      </c>
      <c r="I26">
        <v>200</v>
      </c>
      <c r="K26">
        <v>8.86</v>
      </c>
      <c r="L26">
        <v>1020</v>
      </c>
      <c r="N26">
        <v>12</v>
      </c>
      <c r="O26" t="s">
        <v>26</v>
      </c>
      <c r="P26" t="s">
        <v>27</v>
      </c>
      <c r="R26">
        <v>600</v>
      </c>
      <c r="S26">
        <f>126.33+3.74</f>
        <v>130.07</v>
      </c>
      <c r="U26">
        <f>126.33+4.46</f>
        <v>130.79</v>
      </c>
      <c r="V26">
        <f t="shared" si="1"/>
        <v>0.71999999999999886</v>
      </c>
      <c r="W26" s="13">
        <f t="shared" si="2"/>
        <v>59.999999999999908</v>
      </c>
      <c r="X26" s="11">
        <f t="shared" si="3"/>
        <v>4.6129007457522797E-2</v>
      </c>
    </row>
    <row r="27" spans="1:24" x14ac:dyDescent="0.35">
      <c r="A27">
        <v>2020</v>
      </c>
      <c r="B27" t="s">
        <v>21</v>
      </c>
      <c r="C27" t="s">
        <v>22</v>
      </c>
      <c r="D27" t="s">
        <v>35</v>
      </c>
      <c r="E27" t="s">
        <v>24</v>
      </c>
      <c r="F27">
        <v>2002</v>
      </c>
      <c r="G27" t="s">
        <v>36</v>
      </c>
      <c r="H27">
        <v>250</v>
      </c>
      <c r="I27">
        <v>200</v>
      </c>
      <c r="K27">
        <v>8.86</v>
      </c>
      <c r="L27">
        <v>1020</v>
      </c>
      <c r="N27">
        <v>12</v>
      </c>
      <c r="O27" t="s">
        <v>26</v>
      </c>
      <c r="P27" t="s">
        <v>28</v>
      </c>
      <c r="R27">
        <v>600</v>
      </c>
      <c r="S27">
        <f>126.33-4.13</f>
        <v>122.2</v>
      </c>
      <c r="U27">
        <f t="shared" ref="U27:U29" si="9">126.33+4.46</f>
        <v>130.79</v>
      </c>
      <c r="V27">
        <f t="shared" si="1"/>
        <v>8.5899999999999892</v>
      </c>
      <c r="W27" s="13">
        <f t="shared" si="2"/>
        <v>715.83333333333246</v>
      </c>
      <c r="X27" s="11">
        <f t="shared" si="3"/>
        <v>0.58578832515002655</v>
      </c>
    </row>
    <row r="28" spans="1:24" x14ac:dyDescent="0.35">
      <c r="A28">
        <v>2020</v>
      </c>
      <c r="B28" t="s">
        <v>21</v>
      </c>
      <c r="C28" t="s">
        <v>22</v>
      </c>
      <c r="D28" t="s">
        <v>35</v>
      </c>
      <c r="E28" t="s">
        <v>24</v>
      </c>
      <c r="F28">
        <v>2002</v>
      </c>
      <c r="G28" t="s">
        <v>36</v>
      </c>
      <c r="H28">
        <v>250</v>
      </c>
      <c r="I28">
        <v>200</v>
      </c>
      <c r="K28">
        <v>8.86</v>
      </c>
      <c r="L28">
        <v>1020</v>
      </c>
      <c r="N28">
        <v>12</v>
      </c>
      <c r="O28" t="s">
        <v>26</v>
      </c>
      <c r="P28" t="s">
        <v>29</v>
      </c>
      <c r="R28">
        <v>600</v>
      </c>
      <c r="S28">
        <f>126.33-3.51</f>
        <v>122.82</v>
      </c>
      <c r="U28">
        <f t="shared" si="9"/>
        <v>130.79</v>
      </c>
      <c r="V28">
        <f t="shared" si="1"/>
        <v>7.9699999999999989</v>
      </c>
      <c r="W28" s="13">
        <f t="shared" si="2"/>
        <v>664.16666666666652</v>
      </c>
      <c r="X28" s="11">
        <f t="shared" si="3"/>
        <v>0.54076426206372463</v>
      </c>
    </row>
    <row r="29" spans="1:24" x14ac:dyDescent="0.35">
      <c r="A29">
        <v>2020</v>
      </c>
      <c r="B29" t="s">
        <v>21</v>
      </c>
      <c r="C29" t="s">
        <v>22</v>
      </c>
      <c r="D29" t="s">
        <v>35</v>
      </c>
      <c r="E29" t="s">
        <v>24</v>
      </c>
      <c r="F29">
        <v>2002</v>
      </c>
      <c r="G29" t="s">
        <v>36</v>
      </c>
      <c r="H29">
        <v>250</v>
      </c>
      <c r="I29">
        <v>200</v>
      </c>
      <c r="K29">
        <v>8.86</v>
      </c>
      <c r="L29">
        <v>1020</v>
      </c>
      <c r="N29">
        <v>12</v>
      </c>
      <c r="O29" t="s">
        <v>26</v>
      </c>
      <c r="P29" t="s">
        <v>30</v>
      </c>
      <c r="R29">
        <v>600</v>
      </c>
      <c r="S29">
        <f>126.33-4.72</f>
        <v>121.61</v>
      </c>
      <c r="U29">
        <f t="shared" si="9"/>
        <v>130.79</v>
      </c>
      <c r="V29">
        <f t="shared" si="1"/>
        <v>9.1799999999999926</v>
      </c>
      <c r="W29" s="13">
        <f t="shared" si="2"/>
        <v>764.99999999999932</v>
      </c>
      <c r="X29" s="11">
        <f t="shared" si="3"/>
        <v>0.62906011018830643</v>
      </c>
    </row>
    <row r="30" spans="1:24" x14ac:dyDescent="0.35">
      <c r="A30">
        <v>2020</v>
      </c>
      <c r="B30" t="s">
        <v>21</v>
      </c>
      <c r="C30" t="s">
        <v>22</v>
      </c>
      <c r="D30" t="s">
        <v>35</v>
      </c>
      <c r="E30" t="s">
        <v>24</v>
      </c>
      <c r="F30">
        <v>2002</v>
      </c>
      <c r="G30" t="s">
        <v>36</v>
      </c>
      <c r="H30">
        <v>250</v>
      </c>
      <c r="I30">
        <v>200</v>
      </c>
      <c r="K30">
        <v>8.86</v>
      </c>
      <c r="L30">
        <v>1020</v>
      </c>
      <c r="N30">
        <v>12</v>
      </c>
      <c r="O30" t="s">
        <v>31</v>
      </c>
      <c r="P30" t="s">
        <v>27</v>
      </c>
      <c r="R30">
        <v>600</v>
      </c>
      <c r="S30">
        <f>126.33+2.97</f>
        <v>129.30000000000001</v>
      </c>
      <c r="U30">
        <f>126.33+3.35</f>
        <v>129.68</v>
      </c>
      <c r="V30">
        <f t="shared" si="1"/>
        <v>0.37999999999999545</v>
      </c>
      <c r="W30" s="13">
        <f t="shared" si="2"/>
        <v>31.666666666666288</v>
      </c>
      <c r="X30" s="11">
        <f t="shared" si="3"/>
        <v>2.4490848156741133E-2</v>
      </c>
    </row>
    <row r="31" spans="1:24" x14ac:dyDescent="0.35">
      <c r="A31">
        <v>2020</v>
      </c>
      <c r="B31" t="s">
        <v>21</v>
      </c>
      <c r="C31" t="s">
        <v>22</v>
      </c>
      <c r="D31" t="s">
        <v>35</v>
      </c>
      <c r="E31" t="s">
        <v>24</v>
      </c>
      <c r="F31">
        <v>2002</v>
      </c>
      <c r="G31" t="s">
        <v>36</v>
      </c>
      <c r="H31">
        <v>250</v>
      </c>
      <c r="I31">
        <v>200</v>
      </c>
      <c r="K31">
        <v>8.86</v>
      </c>
      <c r="L31">
        <v>1020</v>
      </c>
      <c r="N31">
        <v>12</v>
      </c>
      <c r="O31" t="s">
        <v>31</v>
      </c>
      <c r="P31" t="s">
        <v>28</v>
      </c>
      <c r="R31">
        <v>600</v>
      </c>
      <c r="S31">
        <f>126.33-3.53</f>
        <v>122.8</v>
      </c>
      <c r="U31">
        <f t="shared" ref="U31:U33" si="10">126.33+3.35</f>
        <v>129.68</v>
      </c>
      <c r="V31">
        <f t="shared" si="1"/>
        <v>6.8800000000000097</v>
      </c>
      <c r="W31" s="13">
        <f t="shared" si="2"/>
        <v>573.33333333333417</v>
      </c>
      <c r="X31" s="11">
        <f t="shared" si="3"/>
        <v>0.46688382193268257</v>
      </c>
    </row>
    <row r="32" spans="1:24" x14ac:dyDescent="0.35">
      <c r="A32">
        <v>2020</v>
      </c>
      <c r="B32" t="s">
        <v>21</v>
      </c>
      <c r="C32" t="s">
        <v>22</v>
      </c>
      <c r="D32" t="s">
        <v>35</v>
      </c>
      <c r="E32" t="s">
        <v>24</v>
      </c>
      <c r="F32">
        <v>2002</v>
      </c>
      <c r="G32" t="s">
        <v>36</v>
      </c>
      <c r="H32">
        <v>250</v>
      </c>
      <c r="I32">
        <v>200</v>
      </c>
      <c r="K32">
        <v>8.86</v>
      </c>
      <c r="L32">
        <v>1020</v>
      </c>
      <c r="N32">
        <v>12</v>
      </c>
      <c r="O32" t="s">
        <v>31</v>
      </c>
      <c r="P32" t="s">
        <v>29</v>
      </c>
      <c r="R32">
        <v>600</v>
      </c>
      <c r="S32">
        <f>126.33-3.42</f>
        <v>122.91</v>
      </c>
      <c r="U32">
        <f t="shared" si="10"/>
        <v>129.68</v>
      </c>
      <c r="V32">
        <f t="shared" si="1"/>
        <v>6.7700000000000102</v>
      </c>
      <c r="W32" s="13">
        <f t="shared" si="2"/>
        <v>564.16666666666754</v>
      </c>
      <c r="X32" s="11">
        <f t="shared" si="3"/>
        <v>0.45900794619369256</v>
      </c>
    </row>
    <row r="33" spans="1:24" x14ac:dyDescent="0.35">
      <c r="A33">
        <v>2020</v>
      </c>
      <c r="B33" t="s">
        <v>21</v>
      </c>
      <c r="C33" t="s">
        <v>22</v>
      </c>
      <c r="D33" t="s">
        <v>35</v>
      </c>
      <c r="E33" t="s">
        <v>24</v>
      </c>
      <c r="F33">
        <v>2002</v>
      </c>
      <c r="G33" t="s">
        <v>36</v>
      </c>
      <c r="H33">
        <v>250</v>
      </c>
      <c r="I33">
        <v>200</v>
      </c>
      <c r="K33">
        <v>8.86</v>
      </c>
      <c r="L33">
        <v>1020</v>
      </c>
      <c r="N33">
        <v>12</v>
      </c>
      <c r="O33" t="s">
        <v>31</v>
      </c>
      <c r="P33" t="s">
        <v>30</v>
      </c>
      <c r="R33">
        <v>600</v>
      </c>
      <c r="S33">
        <f>126.33-3.47</f>
        <v>122.86</v>
      </c>
      <c r="U33">
        <f t="shared" si="10"/>
        <v>129.68</v>
      </c>
      <c r="V33">
        <f t="shared" si="1"/>
        <v>6.8200000000000074</v>
      </c>
      <c r="W33" s="13">
        <f t="shared" si="2"/>
        <v>568.33333333333394</v>
      </c>
      <c r="X33" s="11">
        <f t="shared" si="3"/>
        <v>0.46258614140756465</v>
      </c>
    </row>
    <row r="34" spans="1:24" x14ac:dyDescent="0.35">
      <c r="A34">
        <v>2020</v>
      </c>
      <c r="B34" t="s">
        <v>21</v>
      </c>
      <c r="C34" t="s">
        <v>22</v>
      </c>
      <c r="D34" t="s">
        <v>37</v>
      </c>
      <c r="E34" t="s">
        <v>24</v>
      </c>
      <c r="F34">
        <v>2002</v>
      </c>
      <c r="G34" t="s">
        <v>25</v>
      </c>
      <c r="H34">
        <v>350</v>
      </c>
      <c r="I34">
        <v>30</v>
      </c>
      <c r="K34">
        <v>7.55</v>
      </c>
      <c r="L34">
        <v>936</v>
      </c>
      <c r="N34">
        <v>12</v>
      </c>
      <c r="O34" t="s">
        <v>26</v>
      </c>
      <c r="P34" t="s">
        <v>27</v>
      </c>
      <c r="R34">
        <v>600</v>
      </c>
      <c r="S34">
        <f>136.06+3.78</f>
        <v>139.84</v>
      </c>
      <c r="U34">
        <f>136.06+4.42</f>
        <v>140.47999999999999</v>
      </c>
      <c r="V34">
        <f t="shared" si="1"/>
        <v>0.63999999999998636</v>
      </c>
      <c r="W34" s="13">
        <f t="shared" si="2"/>
        <v>53.333333333332199</v>
      </c>
      <c r="X34" s="11">
        <f t="shared" si="3"/>
        <v>3.8138825324179199E-2</v>
      </c>
    </row>
    <row r="35" spans="1:24" x14ac:dyDescent="0.35">
      <c r="A35">
        <v>2020</v>
      </c>
      <c r="B35" t="s">
        <v>21</v>
      </c>
      <c r="C35" t="s">
        <v>22</v>
      </c>
      <c r="D35" t="s">
        <v>37</v>
      </c>
      <c r="E35" t="s">
        <v>24</v>
      </c>
      <c r="F35">
        <v>2002</v>
      </c>
      <c r="G35" t="s">
        <v>25</v>
      </c>
      <c r="H35">
        <v>350</v>
      </c>
      <c r="I35">
        <v>30</v>
      </c>
      <c r="K35">
        <v>7.55</v>
      </c>
      <c r="L35">
        <v>936</v>
      </c>
      <c r="N35">
        <v>12</v>
      </c>
      <c r="O35" t="s">
        <v>26</v>
      </c>
      <c r="P35" t="s">
        <v>28</v>
      </c>
      <c r="R35">
        <v>600</v>
      </c>
      <c r="S35">
        <f>136.06-4.2</f>
        <v>131.86000000000001</v>
      </c>
      <c r="U35">
        <f t="shared" ref="U35:U36" si="11">136.06+4.42</f>
        <v>140.47999999999999</v>
      </c>
      <c r="V35">
        <f t="shared" si="1"/>
        <v>8.6199999999999761</v>
      </c>
      <c r="W35" s="13">
        <f t="shared" si="2"/>
        <v>718.33333333333132</v>
      </c>
      <c r="X35" s="11">
        <f t="shared" si="3"/>
        <v>0.54476970524293289</v>
      </c>
    </row>
    <row r="36" spans="1:24" x14ac:dyDescent="0.35">
      <c r="A36">
        <v>2020</v>
      </c>
      <c r="B36" t="s">
        <v>21</v>
      </c>
      <c r="C36" t="s">
        <v>22</v>
      </c>
      <c r="D36" t="s">
        <v>37</v>
      </c>
      <c r="E36" t="s">
        <v>24</v>
      </c>
      <c r="F36">
        <v>2002</v>
      </c>
      <c r="G36" t="s">
        <v>25</v>
      </c>
      <c r="H36">
        <v>350</v>
      </c>
      <c r="I36">
        <v>30</v>
      </c>
      <c r="K36">
        <v>7.55</v>
      </c>
      <c r="L36">
        <v>936</v>
      </c>
      <c r="N36">
        <v>12</v>
      </c>
      <c r="O36" t="s">
        <v>26</v>
      </c>
      <c r="P36" t="s">
        <v>29</v>
      </c>
      <c r="R36">
        <v>600</v>
      </c>
      <c r="S36">
        <f>136.06-3.86</f>
        <v>132.19999999999999</v>
      </c>
      <c r="U36">
        <f t="shared" si="11"/>
        <v>140.47999999999999</v>
      </c>
      <c r="V36">
        <f t="shared" si="1"/>
        <v>8.2800000000000011</v>
      </c>
      <c r="W36" s="13">
        <f t="shared" si="2"/>
        <v>690.00000000000011</v>
      </c>
      <c r="X36" s="11">
        <f t="shared" si="3"/>
        <v>0.52193645990922855</v>
      </c>
    </row>
    <row r="37" spans="1:24" x14ac:dyDescent="0.35">
      <c r="A37">
        <v>2020</v>
      </c>
      <c r="B37" t="s">
        <v>21</v>
      </c>
      <c r="C37" t="s">
        <v>22</v>
      </c>
      <c r="D37" t="s">
        <v>37</v>
      </c>
      <c r="E37" t="s">
        <v>24</v>
      </c>
      <c r="F37">
        <v>2002</v>
      </c>
      <c r="G37" t="s">
        <v>25</v>
      </c>
      <c r="H37">
        <v>350</v>
      </c>
      <c r="I37">
        <v>30</v>
      </c>
      <c r="K37">
        <v>7.55</v>
      </c>
      <c r="L37">
        <v>936</v>
      </c>
      <c r="N37">
        <v>12</v>
      </c>
      <c r="O37" t="s">
        <v>26</v>
      </c>
      <c r="P37" t="s">
        <v>30</v>
      </c>
      <c r="R37">
        <v>600</v>
      </c>
      <c r="S37">
        <f>136.06-5.19</f>
        <v>130.87</v>
      </c>
      <c r="U37">
        <f>136.06+4.42</f>
        <v>140.47999999999999</v>
      </c>
      <c r="V37">
        <f t="shared" si="1"/>
        <v>9.6099999999999852</v>
      </c>
      <c r="W37" s="13">
        <f t="shared" si="2"/>
        <v>800.83333333333212</v>
      </c>
      <c r="X37" s="11">
        <f t="shared" si="3"/>
        <v>0.6119304144061527</v>
      </c>
    </row>
    <row r="38" spans="1:24" x14ac:dyDescent="0.35">
      <c r="A38">
        <v>2020</v>
      </c>
      <c r="B38" t="s">
        <v>21</v>
      </c>
      <c r="C38" t="s">
        <v>22</v>
      </c>
      <c r="D38" t="s">
        <v>37</v>
      </c>
      <c r="E38" t="s">
        <v>24</v>
      </c>
      <c r="F38">
        <v>2002</v>
      </c>
      <c r="G38" t="s">
        <v>25</v>
      </c>
      <c r="H38">
        <v>350</v>
      </c>
      <c r="I38">
        <v>30</v>
      </c>
      <c r="K38">
        <v>7.55</v>
      </c>
      <c r="L38">
        <v>936</v>
      </c>
      <c r="N38">
        <v>12</v>
      </c>
      <c r="O38" t="s">
        <v>31</v>
      </c>
      <c r="P38" t="s">
        <v>27</v>
      </c>
      <c r="R38">
        <v>600</v>
      </c>
      <c r="S38">
        <f>136.06+3.98</f>
        <v>140.04</v>
      </c>
      <c r="U38">
        <f>136.06+5.12</f>
        <v>141.18</v>
      </c>
      <c r="V38">
        <f t="shared" si="1"/>
        <v>1.1400000000000148</v>
      </c>
      <c r="W38" s="13">
        <f t="shared" si="2"/>
        <v>95.000000000001236</v>
      </c>
      <c r="X38" s="11">
        <f t="shared" si="3"/>
        <v>6.7837760639818084E-2</v>
      </c>
    </row>
    <row r="39" spans="1:24" x14ac:dyDescent="0.35">
      <c r="A39">
        <v>2020</v>
      </c>
      <c r="B39" t="s">
        <v>21</v>
      </c>
      <c r="C39" t="s">
        <v>22</v>
      </c>
      <c r="D39" t="s">
        <v>37</v>
      </c>
      <c r="E39" t="s">
        <v>24</v>
      </c>
      <c r="F39">
        <v>2002</v>
      </c>
      <c r="G39" t="s">
        <v>25</v>
      </c>
      <c r="H39">
        <v>350</v>
      </c>
      <c r="I39">
        <v>30</v>
      </c>
      <c r="K39">
        <v>7.55</v>
      </c>
      <c r="L39">
        <v>936</v>
      </c>
      <c r="N39">
        <v>12</v>
      </c>
      <c r="O39" t="s">
        <v>31</v>
      </c>
      <c r="P39" t="s">
        <v>28</v>
      </c>
      <c r="R39">
        <v>600</v>
      </c>
      <c r="S39">
        <f>136.06-4.2</f>
        <v>131.86000000000001</v>
      </c>
      <c r="U39">
        <f t="shared" ref="U39:U41" si="12">136.06+5.12</f>
        <v>141.18</v>
      </c>
      <c r="V39">
        <f t="shared" si="1"/>
        <v>9.3199999999999932</v>
      </c>
      <c r="W39" s="13">
        <f t="shared" si="2"/>
        <v>776.66666666666606</v>
      </c>
      <c r="X39" s="11">
        <f t="shared" si="3"/>
        <v>0.58900854441579398</v>
      </c>
    </row>
    <row r="40" spans="1:24" x14ac:dyDescent="0.35">
      <c r="A40">
        <v>2020</v>
      </c>
      <c r="B40" t="s">
        <v>21</v>
      </c>
      <c r="C40" t="s">
        <v>22</v>
      </c>
      <c r="D40" t="s">
        <v>37</v>
      </c>
      <c r="E40" t="s">
        <v>24</v>
      </c>
      <c r="F40">
        <v>2002</v>
      </c>
      <c r="G40" t="s">
        <v>25</v>
      </c>
      <c r="H40">
        <v>350</v>
      </c>
      <c r="I40">
        <v>30</v>
      </c>
      <c r="K40">
        <v>7.55</v>
      </c>
      <c r="L40">
        <v>936</v>
      </c>
      <c r="N40">
        <v>12</v>
      </c>
      <c r="O40" t="s">
        <v>31</v>
      </c>
      <c r="P40" t="s">
        <v>29</v>
      </c>
      <c r="R40">
        <v>600</v>
      </c>
      <c r="S40">
        <f>136.06-3.88</f>
        <v>132.18</v>
      </c>
      <c r="U40">
        <f t="shared" si="12"/>
        <v>141.18</v>
      </c>
      <c r="V40">
        <f t="shared" si="1"/>
        <v>9</v>
      </c>
      <c r="W40" s="13">
        <f t="shared" si="2"/>
        <v>750</v>
      </c>
      <c r="X40" s="11">
        <f t="shared" si="3"/>
        <v>0.56740807989105757</v>
      </c>
    </row>
    <row r="41" spans="1:24" x14ac:dyDescent="0.35">
      <c r="A41">
        <v>2020</v>
      </c>
      <c r="B41" t="s">
        <v>21</v>
      </c>
      <c r="C41" t="s">
        <v>22</v>
      </c>
      <c r="D41" t="s">
        <v>37</v>
      </c>
      <c r="E41" t="s">
        <v>24</v>
      </c>
      <c r="F41">
        <v>2002</v>
      </c>
      <c r="G41" t="s">
        <v>25</v>
      </c>
      <c r="H41">
        <v>350</v>
      </c>
      <c r="I41">
        <v>30</v>
      </c>
      <c r="K41">
        <v>7.55</v>
      </c>
      <c r="L41">
        <v>936</v>
      </c>
      <c r="N41">
        <v>12</v>
      </c>
      <c r="O41" t="s">
        <v>31</v>
      </c>
      <c r="P41" t="s">
        <v>30</v>
      </c>
      <c r="R41">
        <v>600</v>
      </c>
      <c r="S41">
        <f>136.06-4.8</f>
        <v>131.26</v>
      </c>
      <c r="U41">
        <f t="shared" si="12"/>
        <v>141.18</v>
      </c>
      <c r="V41">
        <f t="shared" si="1"/>
        <v>9.9200000000000159</v>
      </c>
      <c r="W41" s="13">
        <f t="shared" si="2"/>
        <v>826.66666666666799</v>
      </c>
      <c r="X41" s="11">
        <f t="shared" si="3"/>
        <v>0.62979328559094017</v>
      </c>
    </row>
    <row r="42" spans="1:24" x14ac:dyDescent="0.35">
      <c r="A42">
        <v>2020</v>
      </c>
      <c r="B42" t="s">
        <v>21</v>
      </c>
      <c r="C42" t="s">
        <v>22</v>
      </c>
      <c r="D42" t="s">
        <v>38</v>
      </c>
      <c r="E42" t="s">
        <v>24</v>
      </c>
      <c r="F42">
        <v>2002</v>
      </c>
      <c r="G42" t="s">
        <v>39</v>
      </c>
      <c r="H42">
        <v>480</v>
      </c>
      <c r="I42">
        <v>50</v>
      </c>
      <c r="K42">
        <v>9.91</v>
      </c>
      <c r="L42">
        <v>1047</v>
      </c>
      <c r="N42">
        <v>12</v>
      </c>
      <c r="O42" t="s">
        <v>26</v>
      </c>
      <c r="P42" t="s">
        <v>27</v>
      </c>
      <c r="R42">
        <v>600</v>
      </c>
      <c r="S42">
        <f>106.34+4.17</f>
        <v>110.51</v>
      </c>
      <c r="U42">
        <f>106.34+5.02</f>
        <v>111.36</v>
      </c>
      <c r="V42">
        <f t="shared" si="1"/>
        <v>0.84999999999999432</v>
      </c>
      <c r="W42" s="13">
        <f t="shared" si="2"/>
        <v>70.83333333333286</v>
      </c>
      <c r="X42" s="11">
        <f t="shared" si="3"/>
        <v>6.4096763490483086E-2</v>
      </c>
    </row>
    <row r="43" spans="1:24" x14ac:dyDescent="0.35">
      <c r="A43">
        <v>2020</v>
      </c>
      <c r="B43" t="s">
        <v>21</v>
      </c>
      <c r="C43" t="s">
        <v>22</v>
      </c>
      <c r="D43" t="s">
        <v>38</v>
      </c>
      <c r="E43" t="s">
        <v>24</v>
      </c>
      <c r="F43">
        <v>2002</v>
      </c>
      <c r="G43" t="s">
        <v>39</v>
      </c>
      <c r="H43">
        <v>480</v>
      </c>
      <c r="I43">
        <v>50</v>
      </c>
      <c r="K43">
        <v>9.91</v>
      </c>
      <c r="L43">
        <v>1047</v>
      </c>
      <c r="N43">
        <v>12</v>
      </c>
      <c r="O43" t="s">
        <v>26</v>
      </c>
      <c r="P43" t="s">
        <v>28</v>
      </c>
      <c r="R43">
        <v>600</v>
      </c>
      <c r="S43">
        <f>106.34-4.14</f>
        <v>102.2</v>
      </c>
      <c r="U43">
        <f t="shared" ref="U43:U45" si="13">106.34+5.02</f>
        <v>111.36</v>
      </c>
      <c r="V43">
        <f t="shared" si="1"/>
        <v>9.1599999999999966</v>
      </c>
      <c r="W43" s="13">
        <f t="shared" si="2"/>
        <v>763.33333333333303</v>
      </c>
      <c r="X43" s="11">
        <f t="shared" si="3"/>
        <v>0.74690150032615754</v>
      </c>
    </row>
    <row r="44" spans="1:24" x14ac:dyDescent="0.35">
      <c r="A44">
        <v>2020</v>
      </c>
      <c r="B44" t="s">
        <v>21</v>
      </c>
      <c r="C44" t="s">
        <v>22</v>
      </c>
      <c r="D44" t="s">
        <v>38</v>
      </c>
      <c r="E44" t="s">
        <v>24</v>
      </c>
      <c r="F44">
        <v>2002</v>
      </c>
      <c r="G44" t="s">
        <v>39</v>
      </c>
      <c r="H44">
        <v>480</v>
      </c>
      <c r="I44">
        <v>50</v>
      </c>
      <c r="K44">
        <v>9.91</v>
      </c>
      <c r="L44">
        <v>1047</v>
      </c>
      <c r="N44">
        <v>12</v>
      </c>
      <c r="O44" t="s">
        <v>26</v>
      </c>
      <c r="P44" t="s">
        <v>29</v>
      </c>
      <c r="R44">
        <v>600</v>
      </c>
      <c r="S44">
        <f>106.34-3.74</f>
        <v>102.60000000000001</v>
      </c>
      <c r="U44">
        <f t="shared" si="13"/>
        <v>111.36</v>
      </c>
      <c r="V44">
        <f t="shared" si="1"/>
        <v>8.7599999999999909</v>
      </c>
      <c r="W44" s="13">
        <f t="shared" si="2"/>
        <v>729.9999999999992</v>
      </c>
      <c r="X44" s="11">
        <f t="shared" si="3"/>
        <v>0.71150097465886863</v>
      </c>
    </row>
    <row r="45" spans="1:24" x14ac:dyDescent="0.35">
      <c r="A45">
        <v>2020</v>
      </c>
      <c r="B45" t="s">
        <v>21</v>
      </c>
      <c r="C45" t="s">
        <v>22</v>
      </c>
      <c r="D45" t="s">
        <v>38</v>
      </c>
      <c r="E45" t="s">
        <v>24</v>
      </c>
      <c r="F45">
        <v>2002</v>
      </c>
      <c r="G45" t="s">
        <v>39</v>
      </c>
      <c r="H45">
        <v>480</v>
      </c>
      <c r="I45">
        <v>50</v>
      </c>
      <c r="K45">
        <v>9.91</v>
      </c>
      <c r="L45">
        <v>1047</v>
      </c>
      <c r="N45">
        <v>12</v>
      </c>
      <c r="O45" t="s">
        <v>26</v>
      </c>
      <c r="P45" t="s">
        <v>30</v>
      </c>
      <c r="R45">
        <v>600</v>
      </c>
      <c r="S45">
        <f>106.34-4.56</f>
        <v>101.78</v>
      </c>
      <c r="U45">
        <f t="shared" si="13"/>
        <v>111.36</v>
      </c>
      <c r="V45">
        <f t="shared" si="1"/>
        <v>9.5799999999999983</v>
      </c>
      <c r="W45" s="13">
        <f t="shared" si="2"/>
        <v>798.33333333333326</v>
      </c>
      <c r="X45" s="11">
        <f t="shared" si="3"/>
        <v>0.78437152027248291</v>
      </c>
    </row>
    <row r="46" spans="1:24" x14ac:dyDescent="0.35">
      <c r="A46">
        <v>2020</v>
      </c>
      <c r="B46" t="s">
        <v>21</v>
      </c>
      <c r="C46" t="s">
        <v>22</v>
      </c>
      <c r="D46" t="s">
        <v>38</v>
      </c>
      <c r="E46" t="s">
        <v>24</v>
      </c>
      <c r="F46">
        <v>2002</v>
      </c>
      <c r="G46" t="s">
        <v>39</v>
      </c>
      <c r="H46">
        <v>480</v>
      </c>
      <c r="I46">
        <v>50</v>
      </c>
      <c r="K46">
        <v>9.91</v>
      </c>
      <c r="L46">
        <v>1047</v>
      </c>
      <c r="N46">
        <v>12</v>
      </c>
      <c r="O46" t="s">
        <v>31</v>
      </c>
      <c r="P46" t="s">
        <v>27</v>
      </c>
      <c r="R46">
        <v>600</v>
      </c>
      <c r="S46">
        <f>106.34+4.21</f>
        <v>110.55</v>
      </c>
      <c r="U46">
        <f>106.34+4.39</f>
        <v>110.73</v>
      </c>
      <c r="V46">
        <f t="shared" si="1"/>
        <v>0.18000000000000682</v>
      </c>
      <c r="W46" s="13">
        <f t="shared" si="2"/>
        <v>15.000000000000568</v>
      </c>
      <c r="X46" s="11">
        <f t="shared" si="3"/>
        <v>1.3568521031208113E-2</v>
      </c>
    </row>
    <row r="47" spans="1:24" x14ac:dyDescent="0.35">
      <c r="A47">
        <v>2020</v>
      </c>
      <c r="B47" t="s">
        <v>21</v>
      </c>
      <c r="C47" t="s">
        <v>22</v>
      </c>
      <c r="D47" t="s">
        <v>38</v>
      </c>
      <c r="E47" t="s">
        <v>24</v>
      </c>
      <c r="F47">
        <v>2002</v>
      </c>
      <c r="G47" t="s">
        <v>39</v>
      </c>
      <c r="H47">
        <v>480</v>
      </c>
      <c r="I47">
        <v>50</v>
      </c>
      <c r="K47">
        <v>9.91</v>
      </c>
      <c r="L47">
        <v>1047</v>
      </c>
      <c r="N47">
        <v>12</v>
      </c>
      <c r="O47" t="s">
        <v>31</v>
      </c>
      <c r="P47" t="s">
        <v>28</v>
      </c>
      <c r="R47">
        <v>600</v>
      </c>
      <c r="S47">
        <f>106.34-4.47</f>
        <v>101.87</v>
      </c>
      <c r="U47">
        <f t="shared" ref="U47:U49" si="14">106.34+4.39</f>
        <v>110.73</v>
      </c>
      <c r="V47">
        <f t="shared" si="1"/>
        <v>8.86</v>
      </c>
      <c r="W47" s="13">
        <f t="shared" si="2"/>
        <v>738.33333333333326</v>
      </c>
      <c r="X47" s="11">
        <f t="shared" si="3"/>
        <v>0.72477994830012105</v>
      </c>
    </row>
    <row r="48" spans="1:24" x14ac:dyDescent="0.35">
      <c r="A48">
        <v>2020</v>
      </c>
      <c r="B48" t="s">
        <v>21</v>
      </c>
      <c r="C48" t="s">
        <v>22</v>
      </c>
      <c r="D48" t="s">
        <v>38</v>
      </c>
      <c r="E48" t="s">
        <v>24</v>
      </c>
      <c r="F48">
        <v>2002</v>
      </c>
      <c r="G48" t="s">
        <v>39</v>
      </c>
      <c r="H48">
        <v>480</v>
      </c>
      <c r="I48">
        <v>50</v>
      </c>
      <c r="K48">
        <v>9.91</v>
      </c>
      <c r="L48">
        <v>1047</v>
      </c>
      <c r="N48">
        <v>12</v>
      </c>
      <c r="O48" t="s">
        <v>31</v>
      </c>
      <c r="P48" t="s">
        <v>29</v>
      </c>
      <c r="R48">
        <v>600</v>
      </c>
      <c r="S48">
        <f>106.34-4.15</f>
        <v>102.19</v>
      </c>
      <c r="U48">
        <f t="shared" si="14"/>
        <v>110.73</v>
      </c>
      <c r="V48">
        <f t="shared" si="1"/>
        <v>8.5400000000000063</v>
      </c>
      <c r="W48" s="13">
        <f t="shared" si="2"/>
        <v>711.6666666666672</v>
      </c>
      <c r="X48" s="11">
        <f t="shared" si="3"/>
        <v>0.69641517434843647</v>
      </c>
    </row>
    <row r="49" spans="1:24" x14ac:dyDescent="0.35">
      <c r="A49">
        <v>2020</v>
      </c>
      <c r="B49" t="s">
        <v>21</v>
      </c>
      <c r="C49" t="s">
        <v>22</v>
      </c>
      <c r="D49" t="s">
        <v>38</v>
      </c>
      <c r="E49" t="s">
        <v>24</v>
      </c>
      <c r="F49">
        <v>2002</v>
      </c>
      <c r="G49" t="s">
        <v>39</v>
      </c>
      <c r="H49">
        <v>480</v>
      </c>
      <c r="I49">
        <v>50</v>
      </c>
      <c r="K49">
        <v>9.91</v>
      </c>
      <c r="L49">
        <v>1047</v>
      </c>
      <c r="N49">
        <v>12</v>
      </c>
      <c r="O49" t="s">
        <v>31</v>
      </c>
      <c r="P49" t="s">
        <v>30</v>
      </c>
      <c r="R49">
        <v>600</v>
      </c>
      <c r="S49">
        <f>106.34-4.9</f>
        <v>101.44</v>
      </c>
      <c r="U49">
        <f t="shared" si="14"/>
        <v>110.73</v>
      </c>
      <c r="V49">
        <f t="shared" si="1"/>
        <v>9.2900000000000063</v>
      </c>
      <c r="W49" s="13">
        <f t="shared" si="2"/>
        <v>774.1666666666672</v>
      </c>
      <c r="X49" s="11">
        <f t="shared" si="3"/>
        <v>0.76317691903259777</v>
      </c>
    </row>
    <row r="50" spans="1:24" x14ac:dyDescent="0.35">
      <c r="A50">
        <v>2020</v>
      </c>
      <c r="B50" t="s">
        <v>21</v>
      </c>
      <c r="C50" t="s">
        <v>22</v>
      </c>
      <c r="D50" t="s">
        <v>40</v>
      </c>
      <c r="E50" t="s">
        <v>24</v>
      </c>
      <c r="F50">
        <v>2002</v>
      </c>
      <c r="G50" t="s">
        <v>25</v>
      </c>
      <c r="H50">
        <v>300</v>
      </c>
      <c r="I50">
        <v>40</v>
      </c>
      <c r="K50">
        <v>10.039999999999999</v>
      </c>
      <c r="L50">
        <v>1040</v>
      </c>
      <c r="N50">
        <v>12</v>
      </c>
      <c r="O50" t="s">
        <v>26</v>
      </c>
      <c r="P50" t="s">
        <v>27</v>
      </c>
      <c r="R50">
        <v>600</v>
      </c>
      <c r="S50">
        <f>158.86+3.69</f>
        <v>162.55000000000001</v>
      </c>
      <c r="U50">
        <f>158.86+5.06</f>
        <v>163.92000000000002</v>
      </c>
      <c r="V50">
        <f t="shared" si="1"/>
        <v>1.3700000000000045</v>
      </c>
      <c r="W50" s="13">
        <f t="shared" si="2"/>
        <v>114.16666666666704</v>
      </c>
      <c r="X50" s="11">
        <f t="shared" si="3"/>
        <v>7.0234799548856988E-2</v>
      </c>
    </row>
    <row r="51" spans="1:24" x14ac:dyDescent="0.35">
      <c r="A51">
        <v>2020</v>
      </c>
      <c r="B51" t="s">
        <v>21</v>
      </c>
      <c r="C51" t="s">
        <v>22</v>
      </c>
      <c r="D51" t="s">
        <v>40</v>
      </c>
      <c r="E51" t="s">
        <v>24</v>
      </c>
      <c r="F51">
        <v>2002</v>
      </c>
      <c r="G51" t="s">
        <v>25</v>
      </c>
      <c r="H51">
        <v>300</v>
      </c>
      <c r="I51">
        <v>40</v>
      </c>
      <c r="K51">
        <v>10.039999999999999</v>
      </c>
      <c r="L51">
        <v>1040</v>
      </c>
      <c r="N51">
        <v>12</v>
      </c>
      <c r="O51" t="s">
        <v>26</v>
      </c>
      <c r="P51" t="s">
        <v>28</v>
      </c>
      <c r="R51">
        <v>600</v>
      </c>
      <c r="S51">
        <f>158.86-4.34</f>
        <v>154.52000000000001</v>
      </c>
      <c r="U51">
        <f t="shared" ref="U51:U53" si="15">158.86+5.06</f>
        <v>163.92000000000002</v>
      </c>
      <c r="V51">
        <f t="shared" si="1"/>
        <v>9.4000000000000057</v>
      </c>
      <c r="W51" s="13">
        <f t="shared" si="2"/>
        <v>783.33333333333383</v>
      </c>
      <c r="X51" s="11">
        <f t="shared" si="3"/>
        <v>0.50694624212615447</v>
      </c>
    </row>
    <row r="52" spans="1:24" x14ac:dyDescent="0.35">
      <c r="A52">
        <v>2020</v>
      </c>
      <c r="B52" t="s">
        <v>21</v>
      </c>
      <c r="C52" t="s">
        <v>22</v>
      </c>
      <c r="D52" t="s">
        <v>40</v>
      </c>
      <c r="E52" t="s">
        <v>24</v>
      </c>
      <c r="F52">
        <v>2002</v>
      </c>
      <c r="G52" t="s">
        <v>25</v>
      </c>
      <c r="H52">
        <v>300</v>
      </c>
      <c r="I52">
        <v>40</v>
      </c>
      <c r="K52">
        <v>10.039999999999999</v>
      </c>
      <c r="L52">
        <v>1040</v>
      </c>
      <c r="N52">
        <v>12</v>
      </c>
      <c r="O52" t="s">
        <v>26</v>
      </c>
      <c r="P52" t="s">
        <v>29</v>
      </c>
      <c r="R52">
        <v>600</v>
      </c>
      <c r="S52">
        <f>158.86-3.85</f>
        <v>155.01000000000002</v>
      </c>
      <c r="U52">
        <f t="shared" si="15"/>
        <v>163.92000000000002</v>
      </c>
      <c r="V52">
        <f t="shared" si="1"/>
        <v>8.9099999999999966</v>
      </c>
      <c r="W52" s="13">
        <f t="shared" si="2"/>
        <v>742.49999999999977</v>
      </c>
      <c r="X52" s="11">
        <f t="shared" si="3"/>
        <v>0.47900135475130612</v>
      </c>
    </row>
    <row r="53" spans="1:24" x14ac:dyDescent="0.35">
      <c r="A53">
        <v>2020</v>
      </c>
      <c r="B53" t="s">
        <v>21</v>
      </c>
      <c r="C53" t="s">
        <v>22</v>
      </c>
      <c r="D53" t="s">
        <v>40</v>
      </c>
      <c r="E53" t="s">
        <v>24</v>
      </c>
      <c r="F53">
        <v>2002</v>
      </c>
      <c r="G53" t="s">
        <v>25</v>
      </c>
      <c r="H53">
        <v>300</v>
      </c>
      <c r="I53">
        <v>40</v>
      </c>
      <c r="K53">
        <v>10.039999999999999</v>
      </c>
      <c r="L53">
        <v>1040</v>
      </c>
      <c r="N53">
        <v>12</v>
      </c>
      <c r="O53" t="s">
        <v>26</v>
      </c>
      <c r="P53" t="s">
        <v>30</v>
      </c>
      <c r="R53">
        <v>600</v>
      </c>
      <c r="S53">
        <f>158.86-5.5</f>
        <v>153.36000000000001</v>
      </c>
      <c r="U53">
        <f t="shared" si="15"/>
        <v>163.92000000000002</v>
      </c>
      <c r="V53">
        <f t="shared" si="1"/>
        <v>10.560000000000002</v>
      </c>
      <c r="W53" s="13">
        <f t="shared" si="2"/>
        <v>880.00000000000023</v>
      </c>
      <c r="X53" s="11">
        <f t="shared" si="3"/>
        <v>0.57381324986958793</v>
      </c>
    </row>
    <row r="54" spans="1:24" x14ac:dyDescent="0.35">
      <c r="A54">
        <v>2020</v>
      </c>
      <c r="B54" t="s">
        <v>21</v>
      </c>
      <c r="C54" t="s">
        <v>22</v>
      </c>
      <c r="D54" t="s">
        <v>40</v>
      </c>
      <c r="E54" t="s">
        <v>24</v>
      </c>
      <c r="F54">
        <v>2002</v>
      </c>
      <c r="G54" t="s">
        <v>25</v>
      </c>
      <c r="H54">
        <v>300</v>
      </c>
      <c r="I54">
        <v>40</v>
      </c>
      <c r="K54">
        <v>10.039999999999999</v>
      </c>
      <c r="L54">
        <v>1040</v>
      </c>
      <c r="N54">
        <v>12</v>
      </c>
      <c r="O54" t="s">
        <v>31</v>
      </c>
      <c r="P54" t="s">
        <v>27</v>
      </c>
      <c r="R54">
        <v>600</v>
      </c>
      <c r="S54">
        <f>158.86+3.18</f>
        <v>162.04000000000002</v>
      </c>
      <c r="U54">
        <f>158.86+4.04</f>
        <v>162.9</v>
      </c>
      <c r="V54">
        <f t="shared" si="1"/>
        <v>0.85999999999998522</v>
      </c>
      <c r="W54" s="13">
        <f t="shared" si="2"/>
        <v>71.666666666665435</v>
      </c>
      <c r="X54" s="11">
        <f t="shared" si="3"/>
        <v>4.4227762692338579E-2</v>
      </c>
    </row>
    <row r="55" spans="1:24" x14ac:dyDescent="0.35">
      <c r="A55">
        <v>2020</v>
      </c>
      <c r="B55" t="s">
        <v>21</v>
      </c>
      <c r="C55" t="s">
        <v>22</v>
      </c>
      <c r="D55" t="s">
        <v>40</v>
      </c>
      <c r="E55" t="s">
        <v>24</v>
      </c>
      <c r="F55">
        <v>2002</v>
      </c>
      <c r="G55" t="s">
        <v>25</v>
      </c>
      <c r="H55">
        <v>300</v>
      </c>
      <c r="I55">
        <v>40</v>
      </c>
      <c r="K55">
        <v>10.039999999999999</v>
      </c>
      <c r="L55">
        <v>1040</v>
      </c>
      <c r="N55">
        <v>12</v>
      </c>
      <c r="O55" t="s">
        <v>31</v>
      </c>
      <c r="P55" t="s">
        <v>28</v>
      </c>
      <c r="R55">
        <v>600</v>
      </c>
      <c r="S55">
        <f>158.86-4.72</f>
        <v>154.14000000000001</v>
      </c>
      <c r="U55">
        <f t="shared" ref="U55:U57" si="16">158.86+4.04</f>
        <v>162.9</v>
      </c>
      <c r="V55">
        <f t="shared" si="1"/>
        <v>8.7599999999999909</v>
      </c>
      <c r="W55" s="13">
        <f t="shared" si="2"/>
        <v>729.9999999999992</v>
      </c>
      <c r="X55" s="11">
        <f t="shared" si="3"/>
        <v>0.47359543272349758</v>
      </c>
    </row>
    <row r="56" spans="1:24" x14ac:dyDescent="0.35">
      <c r="A56">
        <v>2020</v>
      </c>
      <c r="B56" t="s">
        <v>21</v>
      </c>
      <c r="C56" t="s">
        <v>22</v>
      </c>
      <c r="D56" t="s">
        <v>40</v>
      </c>
      <c r="E56" t="s">
        <v>24</v>
      </c>
      <c r="F56">
        <v>2002</v>
      </c>
      <c r="G56" t="s">
        <v>25</v>
      </c>
      <c r="H56">
        <v>300</v>
      </c>
      <c r="I56">
        <v>40</v>
      </c>
      <c r="K56">
        <v>10.039999999999999</v>
      </c>
      <c r="L56">
        <v>1040</v>
      </c>
      <c r="N56">
        <v>12</v>
      </c>
      <c r="O56" t="s">
        <v>31</v>
      </c>
      <c r="P56" t="s">
        <v>29</v>
      </c>
      <c r="R56">
        <v>600</v>
      </c>
      <c r="S56">
        <f>158.86-2.89</f>
        <v>155.97000000000003</v>
      </c>
      <c r="U56">
        <f t="shared" si="16"/>
        <v>162.9</v>
      </c>
      <c r="V56">
        <f t="shared" si="1"/>
        <v>6.9299999999999784</v>
      </c>
      <c r="W56" s="13">
        <f t="shared" si="2"/>
        <v>577.49999999999818</v>
      </c>
      <c r="X56" s="11">
        <f t="shared" si="3"/>
        <v>0.37026351221388609</v>
      </c>
    </row>
    <row r="57" spans="1:24" x14ac:dyDescent="0.35">
      <c r="A57">
        <v>2020</v>
      </c>
      <c r="B57" t="s">
        <v>21</v>
      </c>
      <c r="C57" t="s">
        <v>22</v>
      </c>
      <c r="D57" t="s">
        <v>40</v>
      </c>
      <c r="E57" t="s">
        <v>24</v>
      </c>
      <c r="F57">
        <v>2002</v>
      </c>
      <c r="G57" t="s">
        <v>25</v>
      </c>
      <c r="H57">
        <v>300</v>
      </c>
      <c r="I57">
        <v>40</v>
      </c>
      <c r="K57">
        <v>10.039999999999999</v>
      </c>
      <c r="L57">
        <v>1040</v>
      </c>
      <c r="N57">
        <v>12</v>
      </c>
      <c r="O57" t="s">
        <v>31</v>
      </c>
      <c r="P57" t="s">
        <v>30</v>
      </c>
      <c r="R57">
        <v>600</v>
      </c>
      <c r="S57">
        <f>158.86-5.02</f>
        <v>153.84</v>
      </c>
      <c r="U57">
        <f t="shared" si="16"/>
        <v>162.9</v>
      </c>
      <c r="V57">
        <f t="shared" si="1"/>
        <v>9.0600000000000023</v>
      </c>
      <c r="W57" s="13">
        <f t="shared" si="2"/>
        <v>755.00000000000023</v>
      </c>
      <c r="X57" s="11">
        <f t="shared" si="3"/>
        <v>0.4907696307852315</v>
      </c>
    </row>
    <row r="58" spans="1:24" x14ac:dyDescent="0.35">
      <c r="T58" s="19"/>
      <c r="U58" s="19"/>
    </row>
    <row r="59" spans="1:24" x14ac:dyDescent="0.35">
      <c r="A59">
        <v>2019</v>
      </c>
      <c r="B59" t="s">
        <v>63</v>
      </c>
      <c r="C59" t="s">
        <v>62</v>
      </c>
      <c r="D59" t="s">
        <v>64</v>
      </c>
      <c r="E59" t="s">
        <v>65</v>
      </c>
      <c r="F59">
        <v>1993</v>
      </c>
      <c r="G59" t="s">
        <v>66</v>
      </c>
      <c r="K59">
        <v>10.7</v>
      </c>
      <c r="L59">
        <v>874</v>
      </c>
      <c r="N59">
        <v>20</v>
      </c>
      <c r="O59" t="s">
        <v>73</v>
      </c>
      <c r="P59" t="s">
        <v>30</v>
      </c>
      <c r="Q59">
        <v>250</v>
      </c>
      <c r="R59">
        <v>300</v>
      </c>
      <c r="S59">
        <v>43.6</v>
      </c>
      <c r="T59" s="19"/>
      <c r="U59" s="19">
        <v>50.1</v>
      </c>
      <c r="V59">
        <f t="shared" si="1"/>
        <v>6.5</v>
      </c>
      <c r="W59" s="13">
        <f>V59/N59*1000</f>
        <v>325</v>
      </c>
      <c r="X59" s="11">
        <f>IF(S59&gt;0,V59/S59/N59*100,V59/T59/N59*100)</f>
        <v>0.74541284403669716</v>
      </c>
    </row>
    <row r="60" spans="1:24" x14ac:dyDescent="0.35">
      <c r="A60">
        <v>2019</v>
      </c>
      <c r="B60" t="s">
        <v>63</v>
      </c>
      <c r="C60" t="s">
        <v>62</v>
      </c>
      <c r="D60" t="s">
        <v>67</v>
      </c>
      <c r="E60" t="s">
        <v>65</v>
      </c>
      <c r="F60">
        <v>1993</v>
      </c>
      <c r="G60" t="s">
        <v>69</v>
      </c>
      <c r="K60">
        <v>9.9</v>
      </c>
      <c r="L60">
        <v>1018</v>
      </c>
      <c r="N60">
        <v>20</v>
      </c>
      <c r="O60" t="s">
        <v>73</v>
      </c>
      <c r="P60" t="s">
        <v>30</v>
      </c>
      <c r="Q60">
        <v>250</v>
      </c>
      <c r="R60">
        <v>300</v>
      </c>
      <c r="S60">
        <v>55.2</v>
      </c>
      <c r="U60">
        <v>50.2</v>
      </c>
      <c r="V60">
        <f t="shared" si="1"/>
        <v>-5</v>
      </c>
      <c r="W60" s="13">
        <f t="shared" ref="W60:W80" si="17">V60/N60*1000</f>
        <v>-250</v>
      </c>
      <c r="X60" s="11">
        <f t="shared" ref="X60:X112" si="18">IF(S60&gt;0,V60/S60/N60*100,V60/T60/N60*100)</f>
        <v>-0.45289855072463769</v>
      </c>
    </row>
    <row r="61" spans="1:24" x14ac:dyDescent="0.35">
      <c r="W61" s="13"/>
      <c r="X61" s="11"/>
    </row>
    <row r="62" spans="1:24" x14ac:dyDescent="0.35">
      <c r="A62">
        <v>2016</v>
      </c>
      <c r="B62" t="s">
        <v>75</v>
      </c>
      <c r="C62" t="s">
        <v>74</v>
      </c>
      <c r="D62" t="s">
        <v>76</v>
      </c>
      <c r="E62" t="s">
        <v>77</v>
      </c>
      <c r="F62">
        <v>2005</v>
      </c>
      <c r="G62" t="s">
        <v>78</v>
      </c>
      <c r="H62">
        <v>160</v>
      </c>
      <c r="I62">
        <v>720</v>
      </c>
      <c r="K62">
        <v>4.76</v>
      </c>
      <c r="L62">
        <v>405</v>
      </c>
      <c r="N62">
        <v>6</v>
      </c>
      <c r="O62" t="s">
        <v>82</v>
      </c>
      <c r="P62" t="s">
        <v>84</v>
      </c>
      <c r="R62">
        <v>850</v>
      </c>
      <c r="S62">
        <v>63</v>
      </c>
      <c r="U62">
        <v>61</v>
      </c>
      <c r="V62">
        <f t="shared" si="1"/>
        <v>-2</v>
      </c>
      <c r="W62" s="13">
        <f t="shared" si="17"/>
        <v>-333.33333333333331</v>
      </c>
      <c r="X62" s="11">
        <f t="shared" si="18"/>
        <v>-0.52910052910052907</v>
      </c>
    </row>
    <row r="63" spans="1:24" ht="18" customHeight="1" x14ac:dyDescent="0.35">
      <c r="A63">
        <v>2016</v>
      </c>
      <c r="B63" t="s">
        <v>75</v>
      </c>
      <c r="C63" t="s">
        <v>74</v>
      </c>
      <c r="D63" t="s">
        <v>76</v>
      </c>
      <c r="E63" t="s">
        <v>77</v>
      </c>
      <c r="F63">
        <v>2005</v>
      </c>
      <c r="G63" t="s">
        <v>78</v>
      </c>
      <c r="H63">
        <v>160</v>
      </c>
      <c r="I63">
        <v>720</v>
      </c>
      <c r="K63">
        <v>4.76</v>
      </c>
      <c r="L63">
        <v>405</v>
      </c>
      <c r="N63">
        <v>6</v>
      </c>
      <c r="O63" t="s">
        <v>82</v>
      </c>
      <c r="P63" t="s">
        <v>85</v>
      </c>
      <c r="R63">
        <v>850</v>
      </c>
      <c r="S63">
        <v>57</v>
      </c>
      <c r="U63">
        <v>60</v>
      </c>
      <c r="V63">
        <f t="shared" si="1"/>
        <v>3</v>
      </c>
      <c r="W63" s="13">
        <f t="shared" si="17"/>
        <v>500</v>
      </c>
      <c r="X63" s="11">
        <f t="shared" si="18"/>
        <v>0.8771929824561403</v>
      </c>
    </row>
    <row r="64" spans="1:24" x14ac:dyDescent="0.35">
      <c r="A64">
        <v>2016</v>
      </c>
      <c r="B64" t="s">
        <v>75</v>
      </c>
      <c r="C64" t="s">
        <v>74</v>
      </c>
      <c r="D64" t="s">
        <v>79</v>
      </c>
      <c r="E64" t="s">
        <v>80</v>
      </c>
      <c r="F64">
        <v>2006</v>
      </c>
      <c r="G64" t="s">
        <v>81</v>
      </c>
      <c r="H64">
        <v>325</v>
      </c>
      <c r="I64">
        <v>350</v>
      </c>
      <c r="K64">
        <v>6.08</v>
      </c>
      <c r="L64">
        <v>340</v>
      </c>
      <c r="N64">
        <v>5</v>
      </c>
      <c r="O64" t="s">
        <v>82</v>
      </c>
      <c r="P64" t="s">
        <v>84</v>
      </c>
      <c r="R64">
        <v>1200</v>
      </c>
      <c r="S64">
        <v>175</v>
      </c>
      <c r="U64">
        <v>183</v>
      </c>
      <c r="V64">
        <f t="shared" si="1"/>
        <v>8</v>
      </c>
      <c r="W64" s="13">
        <f t="shared" si="17"/>
        <v>1600</v>
      </c>
      <c r="X64" s="11">
        <f t="shared" si="18"/>
        <v>0.91428571428571437</v>
      </c>
    </row>
    <row r="65" spans="1:24" x14ac:dyDescent="0.35">
      <c r="W65" s="13"/>
      <c r="X65" s="11"/>
    </row>
    <row r="66" spans="1:24" x14ac:dyDescent="0.35">
      <c r="W66" s="13"/>
      <c r="X66" s="11"/>
    </row>
    <row r="67" spans="1:24" x14ac:dyDescent="0.35">
      <c r="A67">
        <v>2016</v>
      </c>
      <c r="B67" t="s">
        <v>87</v>
      </c>
      <c r="C67" t="s">
        <v>86</v>
      </c>
      <c r="D67" t="s">
        <v>93</v>
      </c>
      <c r="E67" t="s">
        <v>92</v>
      </c>
      <c r="F67">
        <v>2001</v>
      </c>
      <c r="G67" t="s">
        <v>94</v>
      </c>
      <c r="H67">
        <v>220</v>
      </c>
      <c r="K67">
        <v>10.4</v>
      </c>
      <c r="N67">
        <v>9</v>
      </c>
      <c r="O67" t="s">
        <v>73</v>
      </c>
      <c r="P67" t="s">
        <v>96</v>
      </c>
      <c r="Q67">
        <v>250</v>
      </c>
      <c r="R67">
        <v>300</v>
      </c>
      <c r="S67">
        <f>25+45+70</f>
        <v>140</v>
      </c>
      <c r="U67">
        <f>39+71+107</f>
        <v>217</v>
      </c>
      <c r="V67">
        <f t="shared" si="1"/>
        <v>77</v>
      </c>
      <c r="W67" s="13">
        <f t="shared" si="17"/>
        <v>8555.5555555555547</v>
      </c>
      <c r="X67" s="11">
        <f t="shared" si="18"/>
        <v>6.1111111111111116</v>
      </c>
    </row>
    <row r="68" spans="1:24" x14ac:dyDescent="0.35">
      <c r="A68">
        <v>2016</v>
      </c>
      <c r="B68" t="s">
        <v>87</v>
      </c>
      <c r="C68" t="s">
        <v>86</v>
      </c>
      <c r="D68" t="s">
        <v>88</v>
      </c>
      <c r="E68" t="s">
        <v>92</v>
      </c>
      <c r="F68">
        <v>1997</v>
      </c>
      <c r="G68" t="s">
        <v>94</v>
      </c>
      <c r="H68">
        <v>200</v>
      </c>
      <c r="K68">
        <v>10.3</v>
      </c>
      <c r="N68">
        <v>13</v>
      </c>
      <c r="O68" t="s">
        <v>73</v>
      </c>
      <c r="P68" t="s">
        <v>96</v>
      </c>
      <c r="Q68">
        <v>250</v>
      </c>
      <c r="R68">
        <v>300</v>
      </c>
      <c r="S68">
        <f>18+42+42</f>
        <v>102</v>
      </c>
      <c r="U68">
        <f>38+49+59</f>
        <v>146</v>
      </c>
      <c r="V68">
        <f t="shared" si="1"/>
        <v>44</v>
      </c>
      <c r="W68" s="13">
        <f t="shared" si="17"/>
        <v>3384.6153846153848</v>
      </c>
      <c r="X68" s="11">
        <f t="shared" si="18"/>
        <v>3.3182503770739067</v>
      </c>
    </row>
    <row r="69" spans="1:24" x14ac:dyDescent="0.35">
      <c r="A69">
        <v>2016</v>
      </c>
      <c r="B69" t="s">
        <v>87</v>
      </c>
      <c r="C69" t="s">
        <v>86</v>
      </c>
      <c r="D69" t="s">
        <v>89</v>
      </c>
      <c r="E69" t="s">
        <v>92</v>
      </c>
      <c r="F69">
        <v>1974</v>
      </c>
      <c r="G69" t="s">
        <v>94</v>
      </c>
      <c r="H69">
        <v>220</v>
      </c>
      <c r="K69">
        <v>10.5</v>
      </c>
      <c r="N69">
        <v>36</v>
      </c>
      <c r="O69" t="s">
        <v>73</v>
      </c>
      <c r="P69" t="s">
        <v>96</v>
      </c>
      <c r="Q69">
        <v>250</v>
      </c>
      <c r="R69">
        <v>300</v>
      </c>
      <c r="S69">
        <f>23+41+56</f>
        <v>120</v>
      </c>
      <c r="U69">
        <f>38+75+113</f>
        <v>226</v>
      </c>
      <c r="V69">
        <f t="shared" si="1"/>
        <v>106</v>
      </c>
      <c r="W69" s="13">
        <f t="shared" si="17"/>
        <v>2944.4444444444448</v>
      </c>
      <c r="X69" s="11">
        <f t="shared" si="18"/>
        <v>2.4537037037037037</v>
      </c>
    </row>
    <row r="70" spans="1:24" x14ac:dyDescent="0.35">
      <c r="A70">
        <v>2016</v>
      </c>
      <c r="B70" t="s">
        <v>87</v>
      </c>
      <c r="C70" t="s">
        <v>86</v>
      </c>
      <c r="D70" t="s">
        <v>90</v>
      </c>
      <c r="E70" t="s">
        <v>92</v>
      </c>
      <c r="F70">
        <v>1962</v>
      </c>
      <c r="G70" t="s">
        <v>94</v>
      </c>
      <c r="H70">
        <v>230</v>
      </c>
      <c r="K70">
        <v>10.8</v>
      </c>
      <c r="N70">
        <v>48</v>
      </c>
      <c r="O70" t="s">
        <v>72</v>
      </c>
      <c r="P70" t="s">
        <v>96</v>
      </c>
      <c r="Q70">
        <v>250</v>
      </c>
      <c r="R70">
        <v>300</v>
      </c>
      <c r="S70">
        <f>13+26+36</f>
        <v>75</v>
      </c>
      <c r="U70">
        <f>36+59+74</f>
        <v>169</v>
      </c>
      <c r="V70">
        <f t="shared" si="1"/>
        <v>94</v>
      </c>
      <c r="W70" s="13">
        <f t="shared" si="17"/>
        <v>1958.3333333333333</v>
      </c>
      <c r="X70" s="11">
        <f t="shared" si="18"/>
        <v>2.6111111111111112</v>
      </c>
    </row>
    <row r="71" spans="1:24" x14ac:dyDescent="0.35">
      <c r="A71">
        <v>2016</v>
      </c>
      <c r="B71" t="s">
        <v>87</v>
      </c>
      <c r="C71" t="s">
        <v>86</v>
      </c>
      <c r="D71" t="s">
        <v>91</v>
      </c>
      <c r="E71" t="s">
        <v>92</v>
      </c>
      <c r="F71">
        <v>1962</v>
      </c>
      <c r="G71" t="s">
        <v>94</v>
      </c>
      <c r="H71">
        <v>160</v>
      </c>
      <c r="K71">
        <v>10.3</v>
      </c>
      <c r="N71">
        <v>49</v>
      </c>
      <c r="O71" t="s">
        <v>72</v>
      </c>
      <c r="P71" t="s">
        <v>96</v>
      </c>
      <c r="Q71">
        <v>250</v>
      </c>
      <c r="R71">
        <v>300</v>
      </c>
      <c r="S71">
        <f>21+39+62</f>
        <v>122</v>
      </c>
      <c r="U71">
        <f>31+54+64</f>
        <v>149</v>
      </c>
      <c r="V71">
        <f t="shared" ref="V71" si="19">IF(ISBLANK($T71),$U71-$S71,$U71-$T71)</f>
        <v>27</v>
      </c>
      <c r="W71" s="13">
        <f t="shared" si="17"/>
        <v>551.0204081632653</v>
      </c>
      <c r="X71" s="11">
        <f t="shared" si="18"/>
        <v>0.45165607226497156</v>
      </c>
    </row>
    <row r="72" spans="1:24" x14ac:dyDescent="0.35">
      <c r="W72" s="13"/>
      <c r="X72" s="11"/>
    </row>
    <row r="73" spans="1:24" x14ac:dyDescent="0.35">
      <c r="W73" s="13"/>
      <c r="X73" s="11"/>
    </row>
    <row r="74" spans="1:24" x14ac:dyDescent="0.35">
      <c r="W74" s="13"/>
      <c r="X74" s="11"/>
    </row>
    <row r="75" spans="1:24" x14ac:dyDescent="0.35">
      <c r="W75" s="13"/>
      <c r="X75" s="11"/>
    </row>
    <row r="76" spans="1:24" x14ac:dyDescent="0.35">
      <c r="W76" s="13"/>
      <c r="X76" s="11"/>
    </row>
    <row r="77" spans="1:24" x14ac:dyDescent="0.35">
      <c r="W77" s="13"/>
      <c r="X77" s="11"/>
    </row>
    <row r="78" spans="1:24" s="20" customFormat="1" x14ac:dyDescent="0.35">
      <c r="A78" s="20">
        <v>2014</v>
      </c>
      <c r="B78" s="20" t="s">
        <v>75</v>
      </c>
      <c r="C78" s="20" t="s">
        <v>97</v>
      </c>
      <c r="D78" s="20" t="s">
        <v>98</v>
      </c>
      <c r="E78" s="20" t="s">
        <v>99</v>
      </c>
      <c r="F78" s="20">
        <v>2006</v>
      </c>
      <c r="G78" s="20" t="s">
        <v>81</v>
      </c>
      <c r="H78" s="20">
        <v>325</v>
      </c>
      <c r="I78" s="20">
        <v>350</v>
      </c>
      <c r="J78" s="21"/>
      <c r="M78" s="21"/>
      <c r="N78" s="20">
        <v>5</v>
      </c>
      <c r="O78" s="20" t="s">
        <v>102</v>
      </c>
      <c r="P78" s="20" t="s">
        <v>95</v>
      </c>
      <c r="R78" s="20">
        <v>1200</v>
      </c>
      <c r="U78" s="20">
        <v>5.48</v>
      </c>
      <c r="V78" s="20">
        <f t="shared" ref="V72:V127" si="20">IF(ISBLANK($T78),$U78-$S78,$T78-$S78)</f>
        <v>5.48</v>
      </c>
      <c r="W78" s="22">
        <f t="shared" si="17"/>
        <v>1096</v>
      </c>
      <c r="X78" s="23" t="e">
        <f t="shared" si="18"/>
        <v>#DIV/0!</v>
      </c>
    </row>
    <row r="79" spans="1:24" s="20" customFormat="1" x14ac:dyDescent="0.35">
      <c r="A79" s="20">
        <v>2014</v>
      </c>
      <c r="B79" s="20" t="s">
        <v>75</v>
      </c>
      <c r="C79" s="20" t="s">
        <v>97</v>
      </c>
      <c r="D79" s="20" t="s">
        <v>98</v>
      </c>
      <c r="E79" s="20" t="s">
        <v>99</v>
      </c>
      <c r="F79" s="20">
        <v>2006</v>
      </c>
      <c r="G79" s="20" t="s">
        <v>81</v>
      </c>
      <c r="H79" s="20">
        <v>325</v>
      </c>
      <c r="I79" s="20">
        <v>350</v>
      </c>
      <c r="J79" s="21"/>
      <c r="M79" s="21"/>
      <c r="N79" s="20">
        <v>5</v>
      </c>
      <c r="O79" s="20" t="s">
        <v>100</v>
      </c>
      <c r="P79" s="20" t="s">
        <v>95</v>
      </c>
      <c r="R79" s="20">
        <v>1200</v>
      </c>
      <c r="U79" s="20">
        <v>4.18</v>
      </c>
      <c r="V79" s="20">
        <f t="shared" si="20"/>
        <v>4.18</v>
      </c>
      <c r="W79" s="22">
        <f t="shared" si="17"/>
        <v>836</v>
      </c>
      <c r="X79" s="23" t="e">
        <f t="shared" si="18"/>
        <v>#DIV/0!</v>
      </c>
    </row>
    <row r="80" spans="1:24" s="20" customFormat="1" x14ac:dyDescent="0.35">
      <c r="A80" s="20">
        <v>2014</v>
      </c>
      <c r="B80" s="20" t="s">
        <v>75</v>
      </c>
      <c r="C80" s="20" t="s">
        <v>97</v>
      </c>
      <c r="D80" s="20" t="s">
        <v>98</v>
      </c>
      <c r="E80" s="20" t="s">
        <v>99</v>
      </c>
      <c r="F80" s="20">
        <v>2006</v>
      </c>
      <c r="G80" s="20" t="s">
        <v>81</v>
      </c>
      <c r="H80" s="20">
        <v>325</v>
      </c>
      <c r="I80" s="20">
        <v>350</v>
      </c>
      <c r="J80" s="21"/>
      <c r="M80" s="21"/>
      <c r="N80" s="20">
        <v>5</v>
      </c>
      <c r="O80" s="20" t="s">
        <v>101</v>
      </c>
      <c r="P80" s="20" t="s">
        <v>95</v>
      </c>
      <c r="R80" s="20">
        <v>1200</v>
      </c>
      <c r="U80" s="20">
        <v>4.09</v>
      </c>
      <c r="V80" s="20">
        <f t="shared" si="20"/>
        <v>4.09</v>
      </c>
      <c r="W80" s="22">
        <f t="shared" si="17"/>
        <v>818</v>
      </c>
      <c r="X80" s="23" t="e">
        <f t="shared" si="18"/>
        <v>#DIV/0!</v>
      </c>
    </row>
    <row r="81" spans="1:24" s="20" customFormat="1" x14ac:dyDescent="0.35">
      <c r="A81" s="20">
        <v>2014</v>
      </c>
      <c r="B81" s="20" t="s">
        <v>75</v>
      </c>
      <c r="C81" s="20" t="s">
        <v>97</v>
      </c>
      <c r="D81" s="20" t="s">
        <v>98</v>
      </c>
      <c r="E81" s="20" t="s">
        <v>99</v>
      </c>
      <c r="F81" s="20">
        <v>2006</v>
      </c>
      <c r="G81" s="20" t="s">
        <v>81</v>
      </c>
      <c r="H81" s="20">
        <v>325</v>
      </c>
      <c r="I81" s="20">
        <v>350</v>
      </c>
      <c r="J81" s="21"/>
      <c r="M81" s="21"/>
      <c r="N81" s="20">
        <v>5</v>
      </c>
      <c r="O81" s="20" t="s">
        <v>101</v>
      </c>
      <c r="P81" s="20" t="s">
        <v>103</v>
      </c>
      <c r="Q81" s="20">
        <v>100</v>
      </c>
      <c r="R81" s="20">
        <v>1200</v>
      </c>
      <c r="S81" s="20">
        <v>3.71</v>
      </c>
      <c r="V81" s="20">
        <f t="shared" si="20"/>
        <v>-3.71</v>
      </c>
      <c r="W81" s="22">
        <f>V81/N81*1000</f>
        <v>-742</v>
      </c>
      <c r="X81" s="23">
        <f t="shared" si="18"/>
        <v>-20</v>
      </c>
    </row>
    <row r="82" spans="1:24" x14ac:dyDescent="0.35">
      <c r="W82" s="13"/>
      <c r="X82" s="11"/>
    </row>
    <row r="83" spans="1:24" s="20" customFormat="1" x14ac:dyDescent="0.35">
      <c r="A83" s="20">
        <v>2014</v>
      </c>
      <c r="B83" s="20" t="s">
        <v>105</v>
      </c>
      <c r="C83" s="20" t="s">
        <v>104</v>
      </c>
      <c r="D83" s="20" t="s">
        <v>35</v>
      </c>
      <c r="E83" s="20" t="s">
        <v>106</v>
      </c>
      <c r="F83" s="20">
        <v>2002</v>
      </c>
      <c r="G83" s="20" t="s">
        <v>107</v>
      </c>
      <c r="J83" s="21"/>
      <c r="K83" s="20">
        <v>8.93</v>
      </c>
      <c r="M83" s="21"/>
      <c r="N83" s="20">
        <v>10</v>
      </c>
      <c r="O83" s="20" t="s">
        <v>73</v>
      </c>
      <c r="P83" s="20" t="s">
        <v>108</v>
      </c>
      <c r="Q83" s="20">
        <v>200</v>
      </c>
      <c r="R83" s="20">
        <v>150</v>
      </c>
      <c r="T83" s="25">
        <v>36.869999999999997</v>
      </c>
      <c r="U83" s="25">
        <v>44.66</v>
      </c>
      <c r="V83" s="20">
        <f t="shared" si="20"/>
        <v>36.869999999999997</v>
      </c>
      <c r="W83" s="22">
        <f t="shared" ref="W83:W148" si="21">V83/N83*1000</f>
        <v>3687</v>
      </c>
      <c r="X83" s="23">
        <f t="shared" si="18"/>
        <v>10</v>
      </c>
    </row>
    <row r="84" spans="1:24" s="20" customFormat="1" x14ac:dyDescent="0.35">
      <c r="A84" s="20">
        <v>2014</v>
      </c>
      <c r="B84" s="20" t="s">
        <v>105</v>
      </c>
      <c r="C84" s="20" t="s">
        <v>104</v>
      </c>
      <c r="D84" s="20" t="s">
        <v>35</v>
      </c>
      <c r="E84" s="20" t="s">
        <v>106</v>
      </c>
      <c r="F84" s="20">
        <v>2002</v>
      </c>
      <c r="G84" s="20" t="s">
        <v>107</v>
      </c>
      <c r="J84" s="21"/>
      <c r="K84" s="20">
        <v>8.93</v>
      </c>
      <c r="M84" s="21"/>
      <c r="N84" s="20">
        <v>10</v>
      </c>
      <c r="O84" s="20" t="s">
        <v>73</v>
      </c>
      <c r="P84" s="20" t="s">
        <v>109</v>
      </c>
      <c r="Q84" s="20">
        <v>250</v>
      </c>
      <c r="R84" s="20">
        <v>150</v>
      </c>
      <c r="T84" s="25">
        <v>37.33</v>
      </c>
      <c r="U84" s="25">
        <v>44.66</v>
      </c>
      <c r="V84" s="20">
        <f t="shared" si="20"/>
        <v>37.33</v>
      </c>
      <c r="W84" s="22">
        <f t="shared" si="21"/>
        <v>3732.9999999999995</v>
      </c>
      <c r="X84" s="23">
        <f t="shared" si="18"/>
        <v>10</v>
      </c>
    </row>
    <row r="85" spans="1:24" x14ac:dyDescent="0.35">
      <c r="A85">
        <v>2014</v>
      </c>
      <c r="B85" t="s">
        <v>105</v>
      </c>
      <c r="C85" t="s">
        <v>104</v>
      </c>
      <c r="D85" t="s">
        <v>35</v>
      </c>
      <c r="E85" t="s">
        <v>106</v>
      </c>
      <c r="F85">
        <v>2002</v>
      </c>
      <c r="G85" t="s">
        <v>107</v>
      </c>
      <c r="K85" s="24">
        <v>8.93</v>
      </c>
      <c r="N85">
        <v>10</v>
      </c>
      <c r="O85" t="s">
        <v>73</v>
      </c>
      <c r="P85" t="s">
        <v>110</v>
      </c>
      <c r="Q85">
        <v>460</v>
      </c>
      <c r="R85">
        <v>150</v>
      </c>
      <c r="S85">
        <v>33.21</v>
      </c>
      <c r="U85">
        <v>44.66</v>
      </c>
      <c r="V85">
        <f t="shared" ref="V85:V86" si="22">IF(ISBLANK($T85),$U85-$S85,$U85-$T85)</f>
        <v>11.449999999999996</v>
      </c>
      <c r="W85" s="13">
        <f t="shared" si="21"/>
        <v>1144.9999999999995</v>
      </c>
      <c r="X85" s="11">
        <f t="shared" si="18"/>
        <v>3.4477566997892186</v>
      </c>
    </row>
    <row r="86" spans="1:24" x14ac:dyDescent="0.35">
      <c r="A86">
        <v>2014</v>
      </c>
      <c r="B86" t="s">
        <v>105</v>
      </c>
      <c r="C86" t="s">
        <v>104</v>
      </c>
      <c r="D86" t="s">
        <v>35</v>
      </c>
      <c r="E86" t="s">
        <v>106</v>
      </c>
      <c r="F86">
        <v>2002</v>
      </c>
      <c r="G86" t="s">
        <v>107</v>
      </c>
      <c r="K86" s="24">
        <v>8.93</v>
      </c>
      <c r="N86">
        <v>10</v>
      </c>
      <c r="O86" t="s">
        <v>73</v>
      </c>
      <c r="P86" t="s">
        <v>30</v>
      </c>
      <c r="Q86">
        <v>250</v>
      </c>
      <c r="R86">
        <v>150</v>
      </c>
      <c r="S86">
        <v>31.83</v>
      </c>
      <c r="U86">
        <v>44.66</v>
      </c>
      <c r="V86">
        <f t="shared" si="22"/>
        <v>12.829999999999998</v>
      </c>
      <c r="W86" s="13">
        <f t="shared" si="21"/>
        <v>1283</v>
      </c>
      <c r="X86" s="11">
        <f t="shared" si="18"/>
        <v>4.0307885642475654</v>
      </c>
    </row>
    <row r="87" spans="1:24" x14ac:dyDescent="0.35">
      <c r="W87" s="13"/>
      <c r="X87" s="11"/>
    </row>
    <row r="88" spans="1:24" x14ac:dyDescent="0.35">
      <c r="A88">
        <v>2015</v>
      </c>
      <c r="B88" t="s">
        <v>112</v>
      </c>
      <c r="C88" t="s">
        <v>111</v>
      </c>
      <c r="D88" t="s">
        <v>113</v>
      </c>
      <c r="E88" t="s">
        <v>114</v>
      </c>
      <c r="F88">
        <v>2011</v>
      </c>
      <c r="G88" t="s">
        <v>66</v>
      </c>
      <c r="K88">
        <v>16</v>
      </c>
      <c r="L88">
        <v>978</v>
      </c>
      <c r="N88">
        <v>13</v>
      </c>
      <c r="O88" t="s">
        <v>116</v>
      </c>
      <c r="P88" t="s">
        <v>28</v>
      </c>
      <c r="Q88">
        <v>250</v>
      </c>
      <c r="R88">
        <v>600</v>
      </c>
      <c r="S88">
        <f>41.8+30.9+18.3+91</f>
        <v>182</v>
      </c>
      <c r="U88">
        <f>45+31.6+19.4+96</f>
        <v>192</v>
      </c>
      <c r="V88">
        <f t="shared" ref="V88:V95" si="23">IF(ISBLANK($T88),$U88-$S88,$U88-$T88)</f>
        <v>10</v>
      </c>
      <c r="W88" s="13">
        <f t="shared" si="21"/>
        <v>769.23076923076928</v>
      </c>
      <c r="X88" s="11">
        <f t="shared" si="18"/>
        <v>0.42265426880811491</v>
      </c>
    </row>
    <row r="89" spans="1:24" x14ac:dyDescent="0.35">
      <c r="A89">
        <v>2015</v>
      </c>
      <c r="B89" t="s">
        <v>112</v>
      </c>
      <c r="C89" t="s">
        <v>111</v>
      </c>
      <c r="D89" t="s">
        <v>113</v>
      </c>
      <c r="E89" t="s">
        <v>114</v>
      </c>
      <c r="F89">
        <v>2011</v>
      </c>
      <c r="G89" t="s">
        <v>66</v>
      </c>
      <c r="K89">
        <v>16</v>
      </c>
      <c r="L89">
        <v>978</v>
      </c>
      <c r="N89">
        <v>13</v>
      </c>
      <c r="O89" t="s">
        <v>73</v>
      </c>
      <c r="P89" t="s">
        <v>28</v>
      </c>
      <c r="Q89">
        <v>250</v>
      </c>
      <c r="R89">
        <v>600</v>
      </c>
      <c r="S89">
        <f t="shared" ref="S89:S95" si="24">41.8+30.9+18.3+91</f>
        <v>182</v>
      </c>
      <c r="U89">
        <f t="shared" ref="U89:U95" si="25">45+31.6+19.4+96</f>
        <v>192</v>
      </c>
      <c r="V89">
        <f t="shared" si="23"/>
        <v>10</v>
      </c>
      <c r="W89" s="13">
        <f t="shared" si="21"/>
        <v>769.23076923076928</v>
      </c>
      <c r="X89" s="11">
        <f t="shared" si="18"/>
        <v>0.42265426880811491</v>
      </c>
    </row>
    <row r="90" spans="1:24" x14ac:dyDescent="0.35">
      <c r="A90">
        <v>2015</v>
      </c>
      <c r="B90" t="s">
        <v>112</v>
      </c>
      <c r="C90" t="s">
        <v>111</v>
      </c>
      <c r="D90" t="s">
        <v>113</v>
      </c>
      <c r="E90" t="s">
        <v>114</v>
      </c>
      <c r="F90">
        <v>2011</v>
      </c>
      <c r="G90" t="s">
        <v>66</v>
      </c>
      <c r="K90">
        <v>16</v>
      </c>
      <c r="L90">
        <v>978</v>
      </c>
      <c r="N90">
        <v>13</v>
      </c>
      <c r="O90" t="s">
        <v>117</v>
      </c>
      <c r="P90" t="s">
        <v>28</v>
      </c>
      <c r="Q90">
        <v>250</v>
      </c>
      <c r="R90">
        <v>600</v>
      </c>
      <c r="S90">
        <f t="shared" si="24"/>
        <v>182</v>
      </c>
      <c r="U90">
        <f t="shared" si="25"/>
        <v>192</v>
      </c>
      <c r="V90">
        <f t="shared" si="23"/>
        <v>10</v>
      </c>
      <c r="W90" s="13">
        <f t="shared" si="21"/>
        <v>769.23076923076928</v>
      </c>
      <c r="X90" s="11">
        <f t="shared" si="18"/>
        <v>0.42265426880811491</v>
      </c>
    </row>
    <row r="91" spans="1:24" x14ac:dyDescent="0.35">
      <c r="A91">
        <v>2015</v>
      </c>
      <c r="B91" t="s">
        <v>112</v>
      </c>
      <c r="C91" t="s">
        <v>111</v>
      </c>
      <c r="D91" t="s">
        <v>113</v>
      </c>
      <c r="E91" t="s">
        <v>114</v>
      </c>
      <c r="F91">
        <v>2011</v>
      </c>
      <c r="G91" t="s">
        <v>66</v>
      </c>
      <c r="K91">
        <v>16</v>
      </c>
      <c r="L91">
        <v>978</v>
      </c>
      <c r="N91">
        <v>13</v>
      </c>
      <c r="O91" t="s">
        <v>118</v>
      </c>
      <c r="P91" t="s">
        <v>28</v>
      </c>
      <c r="Q91">
        <v>250</v>
      </c>
      <c r="R91">
        <v>600</v>
      </c>
      <c r="S91">
        <f t="shared" si="24"/>
        <v>182</v>
      </c>
      <c r="U91">
        <f t="shared" si="25"/>
        <v>192</v>
      </c>
      <c r="V91">
        <f t="shared" si="23"/>
        <v>10</v>
      </c>
      <c r="W91" s="13">
        <f t="shared" si="21"/>
        <v>769.23076923076928</v>
      </c>
      <c r="X91" s="11">
        <f t="shared" si="18"/>
        <v>0.42265426880811491</v>
      </c>
    </row>
    <row r="92" spans="1:24" x14ac:dyDescent="0.35">
      <c r="A92">
        <v>2015</v>
      </c>
      <c r="B92" t="s">
        <v>112</v>
      </c>
      <c r="C92" t="s">
        <v>111</v>
      </c>
      <c r="D92" t="s">
        <v>115</v>
      </c>
      <c r="E92" t="s">
        <v>114</v>
      </c>
      <c r="F92">
        <v>2011</v>
      </c>
      <c r="G92" t="s">
        <v>69</v>
      </c>
      <c r="K92">
        <v>18</v>
      </c>
      <c r="L92">
        <v>996</v>
      </c>
      <c r="N92">
        <v>14</v>
      </c>
      <c r="O92" t="s">
        <v>116</v>
      </c>
      <c r="P92" t="s">
        <v>28</v>
      </c>
      <c r="Q92">
        <v>250</v>
      </c>
      <c r="R92">
        <v>600</v>
      </c>
      <c r="S92">
        <f t="shared" si="24"/>
        <v>182</v>
      </c>
      <c r="U92">
        <f t="shared" si="25"/>
        <v>192</v>
      </c>
      <c r="V92">
        <f t="shared" si="23"/>
        <v>10</v>
      </c>
      <c r="W92" s="13">
        <f t="shared" si="21"/>
        <v>714.28571428571433</v>
      </c>
      <c r="X92" s="11">
        <f t="shared" si="18"/>
        <v>0.39246467817896385</v>
      </c>
    </row>
    <row r="93" spans="1:24" x14ac:dyDescent="0.35">
      <c r="A93">
        <v>2015</v>
      </c>
      <c r="B93" t="s">
        <v>112</v>
      </c>
      <c r="C93" t="s">
        <v>111</v>
      </c>
      <c r="D93" t="s">
        <v>115</v>
      </c>
      <c r="E93" t="s">
        <v>114</v>
      </c>
      <c r="F93">
        <v>2011</v>
      </c>
      <c r="G93" t="s">
        <v>69</v>
      </c>
      <c r="K93">
        <v>18</v>
      </c>
      <c r="L93">
        <v>996</v>
      </c>
      <c r="N93">
        <v>14</v>
      </c>
      <c r="O93" t="s">
        <v>73</v>
      </c>
      <c r="P93" t="s">
        <v>28</v>
      </c>
      <c r="Q93">
        <v>250</v>
      </c>
      <c r="R93">
        <v>600</v>
      </c>
      <c r="S93">
        <f t="shared" si="24"/>
        <v>182</v>
      </c>
      <c r="U93">
        <f t="shared" si="25"/>
        <v>192</v>
      </c>
      <c r="V93">
        <f t="shared" si="23"/>
        <v>10</v>
      </c>
      <c r="W93" s="13">
        <f t="shared" si="21"/>
        <v>714.28571428571433</v>
      </c>
      <c r="X93" s="11">
        <f t="shared" si="18"/>
        <v>0.39246467817896385</v>
      </c>
    </row>
    <row r="94" spans="1:24" x14ac:dyDescent="0.35">
      <c r="A94">
        <v>2015</v>
      </c>
      <c r="B94" t="s">
        <v>112</v>
      </c>
      <c r="C94" t="s">
        <v>111</v>
      </c>
      <c r="D94" t="s">
        <v>115</v>
      </c>
      <c r="E94" t="s">
        <v>114</v>
      </c>
      <c r="F94">
        <v>2011</v>
      </c>
      <c r="G94" t="s">
        <v>69</v>
      </c>
      <c r="K94">
        <v>18</v>
      </c>
      <c r="L94">
        <v>996</v>
      </c>
      <c r="N94">
        <v>14</v>
      </c>
      <c r="O94" t="s">
        <v>117</v>
      </c>
      <c r="P94" t="s">
        <v>28</v>
      </c>
      <c r="Q94">
        <v>250</v>
      </c>
      <c r="R94">
        <v>600</v>
      </c>
      <c r="S94">
        <f t="shared" si="24"/>
        <v>182</v>
      </c>
      <c r="U94">
        <f t="shared" si="25"/>
        <v>192</v>
      </c>
      <c r="V94">
        <f t="shared" si="23"/>
        <v>10</v>
      </c>
      <c r="W94" s="13">
        <f t="shared" si="21"/>
        <v>714.28571428571433</v>
      </c>
      <c r="X94" s="11">
        <f t="shared" si="18"/>
        <v>0.39246467817896385</v>
      </c>
    </row>
    <row r="95" spans="1:24" x14ac:dyDescent="0.35">
      <c r="A95">
        <v>2015</v>
      </c>
      <c r="B95" t="s">
        <v>112</v>
      </c>
      <c r="C95" t="s">
        <v>111</v>
      </c>
      <c r="D95" t="s">
        <v>115</v>
      </c>
      <c r="E95" t="s">
        <v>114</v>
      </c>
      <c r="F95">
        <v>2011</v>
      </c>
      <c r="G95" t="s">
        <v>69</v>
      </c>
      <c r="K95">
        <v>18</v>
      </c>
      <c r="L95">
        <v>996</v>
      </c>
      <c r="N95">
        <v>14</v>
      </c>
      <c r="O95" t="s">
        <v>118</v>
      </c>
      <c r="P95" t="s">
        <v>28</v>
      </c>
      <c r="Q95">
        <v>250</v>
      </c>
      <c r="R95">
        <v>600</v>
      </c>
      <c r="S95">
        <f t="shared" si="24"/>
        <v>182</v>
      </c>
      <c r="U95">
        <f t="shared" si="25"/>
        <v>192</v>
      </c>
      <c r="V95">
        <f t="shared" si="23"/>
        <v>10</v>
      </c>
      <c r="W95" s="13">
        <f t="shared" si="21"/>
        <v>714.28571428571433</v>
      </c>
      <c r="X95" s="11">
        <f t="shared" si="18"/>
        <v>0.39246467817896385</v>
      </c>
    </row>
    <row r="96" spans="1:24" x14ac:dyDescent="0.35">
      <c r="W96" s="13"/>
      <c r="X96" s="11"/>
    </row>
    <row r="97" spans="1:24" x14ac:dyDescent="0.35">
      <c r="A97">
        <v>2014</v>
      </c>
      <c r="B97" t="s">
        <v>120</v>
      </c>
      <c r="C97" t="s">
        <v>119</v>
      </c>
      <c r="D97" t="s">
        <v>121</v>
      </c>
      <c r="E97" t="s">
        <v>65</v>
      </c>
      <c r="F97">
        <v>1970</v>
      </c>
      <c r="G97" t="s">
        <v>68</v>
      </c>
      <c r="K97">
        <v>10.61</v>
      </c>
      <c r="L97">
        <v>950</v>
      </c>
      <c r="N97">
        <v>42</v>
      </c>
      <c r="O97" t="s">
        <v>122</v>
      </c>
      <c r="P97" t="s">
        <v>123</v>
      </c>
      <c r="Q97">
        <v>200</v>
      </c>
      <c r="R97">
        <v>50</v>
      </c>
      <c r="S97">
        <v>6.3490000000000002</v>
      </c>
      <c r="U97">
        <v>17.524000000000001</v>
      </c>
      <c r="V97">
        <f t="shared" ref="V97:V99" si="26">IF(ISBLANK($T97),$U97-$S97,$U97-$T97)</f>
        <v>11.175000000000001</v>
      </c>
      <c r="W97" s="13">
        <f t="shared" si="21"/>
        <v>266.07142857142856</v>
      </c>
      <c r="X97" s="11">
        <f t="shared" si="18"/>
        <v>4.1907611997389917</v>
      </c>
    </row>
    <row r="98" spans="1:24" x14ac:dyDescent="0.35">
      <c r="A98">
        <v>2014</v>
      </c>
      <c r="B98" t="s">
        <v>120</v>
      </c>
      <c r="C98" t="s">
        <v>119</v>
      </c>
      <c r="D98" t="s">
        <v>121</v>
      </c>
      <c r="E98" t="s">
        <v>65</v>
      </c>
      <c r="F98">
        <v>1970</v>
      </c>
      <c r="G98" t="s">
        <v>68</v>
      </c>
      <c r="K98">
        <v>10.61</v>
      </c>
      <c r="L98">
        <v>950</v>
      </c>
      <c r="N98">
        <v>42</v>
      </c>
      <c r="O98" t="s">
        <v>122</v>
      </c>
      <c r="P98" t="s">
        <v>123</v>
      </c>
      <c r="Q98">
        <v>200</v>
      </c>
      <c r="R98">
        <v>50</v>
      </c>
      <c r="S98">
        <v>6.3490000000000002</v>
      </c>
      <c r="U98">
        <v>17.236999999999998</v>
      </c>
      <c r="V98">
        <f t="shared" si="26"/>
        <v>10.887999999999998</v>
      </c>
      <c r="W98" s="13">
        <f t="shared" si="21"/>
        <v>259.23809523809518</v>
      </c>
      <c r="X98" s="11">
        <f t="shared" si="18"/>
        <v>4.0831327018128079</v>
      </c>
    </row>
    <row r="99" spans="1:24" x14ac:dyDescent="0.35">
      <c r="A99">
        <v>2014</v>
      </c>
      <c r="B99" t="s">
        <v>120</v>
      </c>
      <c r="C99" t="s">
        <v>119</v>
      </c>
      <c r="D99" t="s">
        <v>121</v>
      </c>
      <c r="E99" t="s">
        <v>65</v>
      </c>
      <c r="F99">
        <v>1970</v>
      </c>
      <c r="G99" t="s">
        <v>68</v>
      </c>
      <c r="K99">
        <v>10.61</v>
      </c>
      <c r="L99">
        <v>950</v>
      </c>
      <c r="N99">
        <v>42</v>
      </c>
      <c r="O99" t="s">
        <v>122</v>
      </c>
      <c r="P99" t="s">
        <v>123</v>
      </c>
      <c r="Q99">
        <v>200</v>
      </c>
      <c r="R99">
        <v>50</v>
      </c>
      <c r="S99">
        <v>6.3490000000000002</v>
      </c>
      <c r="U99">
        <v>11.786</v>
      </c>
      <c r="V99">
        <f t="shared" si="26"/>
        <v>5.4369999999999994</v>
      </c>
      <c r="W99" s="13">
        <f t="shared" si="21"/>
        <v>129.45238095238093</v>
      </c>
      <c r="X99" s="11">
        <f t="shared" si="18"/>
        <v>2.0389412655911312</v>
      </c>
    </row>
    <row r="100" spans="1:24" s="20" customFormat="1" x14ac:dyDescent="0.35">
      <c r="A100" s="20">
        <v>2014</v>
      </c>
      <c r="B100" s="20" t="s">
        <v>120</v>
      </c>
      <c r="C100" s="20" t="s">
        <v>119</v>
      </c>
      <c r="D100" s="20" t="s">
        <v>121</v>
      </c>
      <c r="E100" s="20" t="s">
        <v>65</v>
      </c>
      <c r="F100" s="20">
        <v>2012</v>
      </c>
      <c r="G100" s="20" t="s">
        <v>68</v>
      </c>
      <c r="J100" s="21"/>
      <c r="L100" s="20">
        <v>950</v>
      </c>
      <c r="M100" s="21"/>
      <c r="N100" s="20">
        <v>28</v>
      </c>
      <c r="O100" s="20" t="s">
        <v>122</v>
      </c>
      <c r="P100" s="20" t="s">
        <v>123</v>
      </c>
      <c r="Q100" s="20">
        <v>200</v>
      </c>
      <c r="R100" s="20">
        <v>50</v>
      </c>
      <c r="S100" s="20">
        <v>6.3490000000000002</v>
      </c>
      <c r="V100" s="20">
        <f t="shared" si="20"/>
        <v>-6.3490000000000002</v>
      </c>
      <c r="W100" s="22">
        <f t="shared" si="21"/>
        <v>-226.75</v>
      </c>
      <c r="X100" s="23">
        <f t="shared" si="18"/>
        <v>-3.5714285714285712</v>
      </c>
    </row>
    <row r="101" spans="1:24" x14ac:dyDescent="0.35">
      <c r="W101" s="13"/>
      <c r="X101" s="11"/>
    </row>
    <row r="102" spans="1:24" s="20" customFormat="1" x14ac:dyDescent="0.35">
      <c r="A102" s="20">
        <v>2016</v>
      </c>
      <c r="B102" s="20" t="s">
        <v>125</v>
      </c>
      <c r="C102" s="20" t="s">
        <v>124</v>
      </c>
      <c r="D102" s="20" t="s">
        <v>126</v>
      </c>
      <c r="E102" s="20" t="s">
        <v>77</v>
      </c>
      <c r="G102" s="20" t="s">
        <v>69</v>
      </c>
      <c r="J102" s="21"/>
      <c r="M102" s="21"/>
      <c r="O102" s="20" t="s">
        <v>128</v>
      </c>
      <c r="P102" s="20" t="s">
        <v>127</v>
      </c>
      <c r="Q102" s="20">
        <v>80</v>
      </c>
      <c r="R102" s="20">
        <v>914</v>
      </c>
      <c r="V102" s="20">
        <f t="shared" si="20"/>
        <v>0</v>
      </c>
      <c r="W102" s="22"/>
      <c r="X102" s="11"/>
    </row>
    <row r="103" spans="1:24" x14ac:dyDescent="0.35">
      <c r="W103" s="13"/>
      <c r="X103" s="11"/>
    </row>
    <row r="104" spans="1:24" x14ac:dyDescent="0.35">
      <c r="A104">
        <v>2017</v>
      </c>
      <c r="B104" t="s">
        <v>130</v>
      </c>
      <c r="C104" t="s">
        <v>129</v>
      </c>
      <c r="D104" t="s">
        <v>121</v>
      </c>
      <c r="E104" t="s">
        <v>65</v>
      </c>
      <c r="F104">
        <v>1970</v>
      </c>
      <c r="G104" t="s">
        <v>68</v>
      </c>
      <c r="K104">
        <v>10.61</v>
      </c>
      <c r="L104">
        <v>950</v>
      </c>
      <c r="N104">
        <v>44</v>
      </c>
      <c r="O104" t="s">
        <v>131</v>
      </c>
      <c r="P104" t="s">
        <v>132</v>
      </c>
      <c r="Q104">
        <v>200</v>
      </c>
      <c r="R104">
        <v>200</v>
      </c>
      <c r="S104">
        <f>14.91+12.13</f>
        <v>27.04</v>
      </c>
      <c r="U104">
        <f>22.87+21.57</f>
        <v>44.44</v>
      </c>
      <c r="V104">
        <f t="shared" ref="V104" si="27">IF(ISBLANK($T104),$U104-$S104,$U104-$T104)</f>
        <v>17.399999999999999</v>
      </c>
      <c r="W104" s="13">
        <f t="shared" si="21"/>
        <v>395.45454545454544</v>
      </c>
      <c r="X104" s="11">
        <f t="shared" si="18"/>
        <v>1.4624798278644433</v>
      </c>
    </row>
    <row r="105" spans="1:24" s="20" customFormat="1" x14ac:dyDescent="0.35">
      <c r="A105" s="20">
        <v>2017</v>
      </c>
      <c r="B105" s="20" t="s">
        <v>130</v>
      </c>
      <c r="C105" s="20" t="s">
        <v>129</v>
      </c>
      <c r="D105" s="20" t="s">
        <v>121</v>
      </c>
      <c r="E105" s="20" t="s">
        <v>65</v>
      </c>
      <c r="F105" s="20">
        <v>1985</v>
      </c>
      <c r="G105" s="20" t="s">
        <v>68</v>
      </c>
      <c r="J105" s="21"/>
      <c r="M105" s="21"/>
      <c r="N105" s="20">
        <v>29</v>
      </c>
      <c r="O105" s="20" t="s">
        <v>131</v>
      </c>
      <c r="R105" s="20">
        <v>200</v>
      </c>
      <c r="V105" s="20">
        <f>IF(ISBLANK($T105),$U105-$S104,$T105-$S104)</f>
        <v>-27.04</v>
      </c>
      <c r="W105" s="22">
        <f t="shared" si="21"/>
        <v>-932.41379310344826</v>
      </c>
      <c r="X105" s="11"/>
    </row>
    <row r="106" spans="1:24" x14ac:dyDescent="0.35">
      <c r="W106" s="13"/>
      <c r="X106" s="11"/>
    </row>
    <row r="107" spans="1:24" x14ac:dyDescent="0.35">
      <c r="A107">
        <v>2014</v>
      </c>
      <c r="B107" t="s">
        <v>134</v>
      </c>
      <c r="C107" t="s">
        <v>133</v>
      </c>
      <c r="D107" t="s">
        <v>76</v>
      </c>
      <c r="E107" t="s">
        <v>83</v>
      </c>
      <c r="F107">
        <v>2005</v>
      </c>
      <c r="G107" t="s">
        <v>135</v>
      </c>
      <c r="H107">
        <v>160</v>
      </c>
      <c r="I107">
        <v>720</v>
      </c>
      <c r="K107">
        <v>4.76</v>
      </c>
      <c r="L107">
        <v>373</v>
      </c>
      <c r="N107">
        <v>6</v>
      </c>
      <c r="O107" t="s">
        <v>273</v>
      </c>
      <c r="P107" t="s">
        <v>136</v>
      </c>
      <c r="Q107">
        <v>100</v>
      </c>
      <c r="R107">
        <v>850</v>
      </c>
      <c r="S107">
        <v>56.6</v>
      </c>
      <c r="U107">
        <v>57.2</v>
      </c>
      <c r="V107">
        <f t="shared" ref="V107:V110" si="28">IF(ISBLANK($T107),$U107-$S107,$U107-$T107)</f>
        <v>0.60000000000000142</v>
      </c>
      <c r="W107" s="13">
        <f t="shared" si="21"/>
        <v>100.00000000000024</v>
      </c>
      <c r="X107" s="11">
        <f t="shared" si="18"/>
        <v>0.1766784452296824</v>
      </c>
    </row>
    <row r="108" spans="1:24" x14ac:dyDescent="0.35">
      <c r="A108">
        <v>2014</v>
      </c>
      <c r="B108" t="s">
        <v>134</v>
      </c>
      <c r="C108" t="s">
        <v>133</v>
      </c>
      <c r="D108" t="s">
        <v>76</v>
      </c>
      <c r="E108" t="s">
        <v>83</v>
      </c>
      <c r="F108">
        <v>2005</v>
      </c>
      <c r="G108" t="s">
        <v>135</v>
      </c>
      <c r="H108">
        <v>160</v>
      </c>
      <c r="I108">
        <v>720</v>
      </c>
      <c r="K108">
        <v>4.76</v>
      </c>
      <c r="L108">
        <v>373</v>
      </c>
      <c r="N108">
        <v>6</v>
      </c>
      <c r="O108" t="s">
        <v>274</v>
      </c>
      <c r="P108" t="s">
        <v>136</v>
      </c>
      <c r="Q108">
        <v>100</v>
      </c>
      <c r="R108">
        <v>850</v>
      </c>
      <c r="S108">
        <v>71.099999999999994</v>
      </c>
      <c r="U108">
        <v>74.7</v>
      </c>
      <c r="V108">
        <f t="shared" si="28"/>
        <v>3.6000000000000085</v>
      </c>
      <c r="W108" s="13">
        <f t="shared" si="21"/>
        <v>600.00000000000136</v>
      </c>
      <c r="X108" s="11">
        <f t="shared" si="18"/>
        <v>0.84388185654008641</v>
      </c>
    </row>
    <row r="109" spans="1:24" x14ac:dyDescent="0.35">
      <c r="A109">
        <v>2014</v>
      </c>
      <c r="B109" t="s">
        <v>134</v>
      </c>
      <c r="C109" t="s">
        <v>133</v>
      </c>
      <c r="D109" t="s">
        <v>76</v>
      </c>
      <c r="E109" t="s">
        <v>83</v>
      </c>
      <c r="F109">
        <v>2005</v>
      </c>
      <c r="G109" t="s">
        <v>135</v>
      </c>
      <c r="H109">
        <v>160</v>
      </c>
      <c r="I109">
        <v>720</v>
      </c>
      <c r="K109">
        <v>4.76</v>
      </c>
      <c r="L109">
        <v>373</v>
      </c>
      <c r="N109">
        <v>6</v>
      </c>
      <c r="O109" t="s">
        <v>276</v>
      </c>
      <c r="P109" t="s">
        <v>136</v>
      </c>
      <c r="Q109">
        <v>100</v>
      </c>
      <c r="R109">
        <v>850</v>
      </c>
      <c r="S109">
        <v>56.8</v>
      </c>
      <c r="U109">
        <v>58.9</v>
      </c>
      <c r="V109">
        <f t="shared" si="28"/>
        <v>2.1000000000000014</v>
      </c>
      <c r="W109" s="13">
        <f t="shared" si="21"/>
        <v>350.00000000000023</v>
      </c>
      <c r="X109" s="11">
        <f t="shared" si="18"/>
        <v>0.61619718309859206</v>
      </c>
    </row>
    <row r="110" spans="1:24" x14ac:dyDescent="0.35">
      <c r="A110">
        <v>2014</v>
      </c>
      <c r="B110" t="s">
        <v>134</v>
      </c>
      <c r="C110" t="s">
        <v>133</v>
      </c>
      <c r="D110" t="s">
        <v>76</v>
      </c>
      <c r="E110" t="s">
        <v>83</v>
      </c>
      <c r="F110">
        <v>2005</v>
      </c>
      <c r="G110" t="s">
        <v>135</v>
      </c>
      <c r="H110">
        <v>160</v>
      </c>
      <c r="I110">
        <v>720</v>
      </c>
      <c r="K110">
        <v>4.76</v>
      </c>
      <c r="L110">
        <v>373</v>
      </c>
      <c r="N110">
        <v>6</v>
      </c>
      <c r="O110" t="s">
        <v>275</v>
      </c>
      <c r="P110" t="s">
        <v>136</v>
      </c>
      <c r="Q110">
        <v>100</v>
      </c>
      <c r="R110">
        <v>850</v>
      </c>
      <c r="S110">
        <v>65.5</v>
      </c>
      <c r="U110">
        <v>64.7</v>
      </c>
      <c r="V110">
        <f t="shared" si="28"/>
        <v>-0.79999999999999716</v>
      </c>
      <c r="W110" s="13">
        <f t="shared" si="21"/>
        <v>-133.33333333333286</v>
      </c>
      <c r="X110" s="11">
        <f t="shared" si="18"/>
        <v>-0.20356234096692039</v>
      </c>
    </row>
    <row r="111" spans="1:24" x14ac:dyDescent="0.35">
      <c r="W111" s="13"/>
      <c r="X111" s="11"/>
    </row>
    <row r="112" spans="1:24" x14ac:dyDescent="0.35">
      <c r="A112">
        <v>2014</v>
      </c>
      <c r="B112" t="s">
        <v>138</v>
      </c>
      <c r="C112" t="s">
        <v>137</v>
      </c>
      <c r="D112" t="s">
        <v>139</v>
      </c>
      <c r="E112" t="s">
        <v>65</v>
      </c>
      <c r="G112" t="s">
        <v>68</v>
      </c>
      <c r="K112">
        <v>11</v>
      </c>
      <c r="L112">
        <v>1016</v>
      </c>
      <c r="N112">
        <v>18</v>
      </c>
      <c r="O112" t="s">
        <v>26</v>
      </c>
      <c r="P112" t="s">
        <v>109</v>
      </c>
      <c r="Q112">
        <v>200</v>
      </c>
      <c r="R112">
        <v>600</v>
      </c>
      <c r="S112">
        <f>SUM(21.03,16.54,15.08,11.19)</f>
        <v>63.839999999999996</v>
      </c>
      <c r="U112">
        <f>SUM(14.59, 16.05, 22.85, 26.5)</f>
        <v>79.990000000000009</v>
      </c>
      <c r="V112">
        <f t="shared" ref="V112" si="29">IF(ISBLANK($T112),$U112-$S112,$U112-$T112)</f>
        <v>16.150000000000013</v>
      </c>
      <c r="W112" s="13">
        <f t="shared" si="21"/>
        <v>897.22222222222297</v>
      </c>
      <c r="X112" s="11">
        <f t="shared" si="18"/>
        <v>1.4054232804232816</v>
      </c>
    </row>
    <row r="113" spans="1:24" x14ac:dyDescent="0.35">
      <c r="W113" s="13"/>
      <c r="X113" s="11"/>
    </row>
    <row r="114" spans="1:24" x14ac:dyDescent="0.35">
      <c r="A114">
        <v>2013</v>
      </c>
      <c r="B114" t="s">
        <v>141</v>
      </c>
      <c r="C114" t="s">
        <v>140</v>
      </c>
      <c r="D114" t="s">
        <v>277</v>
      </c>
      <c r="E114" t="s">
        <v>272</v>
      </c>
      <c r="F114">
        <v>1988</v>
      </c>
      <c r="G114" t="s">
        <v>69</v>
      </c>
      <c r="K114">
        <v>13.85</v>
      </c>
      <c r="N114">
        <v>24</v>
      </c>
      <c r="O114" t="s">
        <v>73</v>
      </c>
      <c r="P114" t="s">
        <v>142</v>
      </c>
      <c r="Q114">
        <v>200</v>
      </c>
      <c r="R114">
        <v>750</v>
      </c>
      <c r="S114">
        <v>42</v>
      </c>
      <c r="U114">
        <v>50.9</v>
      </c>
      <c r="V114">
        <f t="shared" ref="V114:V115" si="30">IF(ISBLANK($T114),$U114-$S114,$U114-$T114)</f>
        <v>8.8999999999999986</v>
      </c>
      <c r="W114" s="13">
        <f t="shared" si="21"/>
        <v>370.83333333333331</v>
      </c>
      <c r="X114" s="11">
        <f>IF(S114&gt;0,V114/S114/N114*100,V114/T114/N114*100)</f>
        <v>0.8829365079365078</v>
      </c>
    </row>
    <row r="115" spans="1:24" x14ac:dyDescent="0.35">
      <c r="A115">
        <v>2013</v>
      </c>
      <c r="B115" t="s">
        <v>141</v>
      </c>
      <c r="C115" t="s">
        <v>140</v>
      </c>
      <c r="D115" t="s">
        <v>277</v>
      </c>
      <c r="E115" t="s">
        <v>272</v>
      </c>
      <c r="F115">
        <v>1988</v>
      </c>
      <c r="G115" t="s">
        <v>69</v>
      </c>
      <c r="K115">
        <v>13.85</v>
      </c>
      <c r="N115">
        <v>24</v>
      </c>
      <c r="O115" t="s">
        <v>73</v>
      </c>
      <c r="P115" t="s">
        <v>143</v>
      </c>
      <c r="Q115">
        <v>200</v>
      </c>
      <c r="R115">
        <v>750</v>
      </c>
      <c r="S115">
        <v>43.1</v>
      </c>
      <c r="U115">
        <v>50.9</v>
      </c>
      <c r="V115">
        <f t="shared" si="30"/>
        <v>7.7999999999999972</v>
      </c>
      <c r="W115" s="13">
        <f t="shared" si="21"/>
        <v>324.99999999999989</v>
      </c>
      <c r="X115" s="11">
        <f t="shared" ref="X115:X178" si="31">IF(S115&gt;0,V115/S115/N115*100,V115/T115/N115*100)</f>
        <v>0.75406032482598584</v>
      </c>
    </row>
    <row r="116" spans="1:24" x14ac:dyDescent="0.35">
      <c r="W116" s="13"/>
      <c r="X116" s="11"/>
    </row>
    <row r="117" spans="1:24" x14ac:dyDescent="0.35">
      <c r="A117">
        <v>2013</v>
      </c>
      <c r="B117" t="s">
        <v>145</v>
      </c>
      <c r="C117" t="s">
        <v>144</v>
      </c>
      <c r="D117" t="s">
        <v>271</v>
      </c>
      <c r="E117" t="s">
        <v>77</v>
      </c>
      <c r="F117">
        <v>2008</v>
      </c>
      <c r="G117" t="s">
        <v>146</v>
      </c>
      <c r="H117">
        <v>516</v>
      </c>
      <c r="I117">
        <v>26</v>
      </c>
      <c r="K117">
        <v>4.6100000000000003</v>
      </c>
      <c r="N117">
        <v>4</v>
      </c>
      <c r="O117" t="s">
        <v>147</v>
      </c>
      <c r="P117" t="s">
        <v>28</v>
      </c>
      <c r="Q117">
        <v>150</v>
      </c>
      <c r="R117">
        <v>150</v>
      </c>
      <c r="S117">
        <v>58.32</v>
      </c>
      <c r="U117">
        <v>61.57</v>
      </c>
      <c r="V117">
        <f t="shared" ref="V117:V122" si="32">IF(ISBLANK($T117),$U117-$S117,$U117-$T117)</f>
        <v>3.25</v>
      </c>
      <c r="W117" s="13">
        <f t="shared" si="21"/>
        <v>812.5</v>
      </c>
      <c r="X117" s="11">
        <f t="shared" si="31"/>
        <v>1.3931755829903978</v>
      </c>
    </row>
    <row r="118" spans="1:24" x14ac:dyDescent="0.35">
      <c r="A118">
        <v>2013</v>
      </c>
      <c r="B118" t="s">
        <v>145</v>
      </c>
      <c r="C118" t="s">
        <v>144</v>
      </c>
      <c r="D118" t="s">
        <v>271</v>
      </c>
      <c r="E118" t="s">
        <v>77</v>
      </c>
      <c r="F118">
        <v>2008</v>
      </c>
      <c r="G118" t="s">
        <v>146</v>
      </c>
      <c r="H118">
        <v>516</v>
      </c>
      <c r="I118">
        <v>26</v>
      </c>
      <c r="K118">
        <v>4.6100000000000003</v>
      </c>
      <c r="N118">
        <v>4</v>
      </c>
      <c r="O118" t="s">
        <v>147</v>
      </c>
      <c r="P118" t="s">
        <v>270</v>
      </c>
      <c r="Q118" s="15">
        <v>150150</v>
      </c>
      <c r="R118">
        <v>150</v>
      </c>
      <c r="T118">
        <v>58.75</v>
      </c>
      <c r="U118">
        <v>61.57</v>
      </c>
      <c r="V118">
        <f t="shared" si="32"/>
        <v>2.8200000000000003</v>
      </c>
      <c r="W118" s="13">
        <f t="shared" si="21"/>
        <v>705.00000000000011</v>
      </c>
      <c r="X118" s="11">
        <f t="shared" si="31"/>
        <v>1.2000000000000002</v>
      </c>
    </row>
    <row r="119" spans="1:24" x14ac:dyDescent="0.35">
      <c r="A119">
        <v>2013</v>
      </c>
      <c r="B119" t="s">
        <v>145</v>
      </c>
      <c r="C119" t="s">
        <v>144</v>
      </c>
      <c r="D119" t="s">
        <v>271</v>
      </c>
      <c r="E119" t="s">
        <v>77</v>
      </c>
      <c r="F119">
        <v>2005</v>
      </c>
      <c r="G119" t="s">
        <v>146</v>
      </c>
      <c r="H119">
        <v>513</v>
      </c>
      <c r="I119">
        <v>21</v>
      </c>
      <c r="K119">
        <v>5.2</v>
      </c>
      <c r="N119">
        <v>6</v>
      </c>
      <c r="O119" t="s">
        <v>147</v>
      </c>
      <c r="P119" t="s">
        <v>28</v>
      </c>
      <c r="Q119">
        <v>150</v>
      </c>
      <c r="R119">
        <v>150</v>
      </c>
      <c r="S119">
        <v>56.8</v>
      </c>
      <c r="U119">
        <v>62.22</v>
      </c>
      <c r="V119">
        <f t="shared" si="32"/>
        <v>5.4200000000000017</v>
      </c>
      <c r="W119" s="13">
        <f t="shared" si="21"/>
        <v>903.3333333333336</v>
      </c>
      <c r="X119" s="11">
        <f t="shared" si="31"/>
        <v>1.5903755868544607</v>
      </c>
    </row>
    <row r="120" spans="1:24" x14ac:dyDescent="0.35">
      <c r="A120">
        <v>2013</v>
      </c>
      <c r="B120" t="s">
        <v>145</v>
      </c>
      <c r="C120" t="s">
        <v>144</v>
      </c>
      <c r="D120" t="s">
        <v>271</v>
      </c>
      <c r="E120" t="s">
        <v>77</v>
      </c>
      <c r="F120">
        <v>2005</v>
      </c>
      <c r="G120" t="s">
        <v>146</v>
      </c>
      <c r="H120">
        <v>513</v>
      </c>
      <c r="I120">
        <v>21</v>
      </c>
      <c r="K120">
        <v>5.2</v>
      </c>
      <c r="N120">
        <v>6</v>
      </c>
      <c r="O120" t="s">
        <v>147</v>
      </c>
      <c r="P120" t="s">
        <v>270</v>
      </c>
      <c r="Q120" s="15">
        <v>150150</v>
      </c>
      <c r="R120">
        <v>150</v>
      </c>
      <c r="T120">
        <v>61.14</v>
      </c>
      <c r="U120">
        <v>62.22</v>
      </c>
      <c r="V120">
        <f t="shared" si="32"/>
        <v>1.0799999999999983</v>
      </c>
      <c r="W120" s="13">
        <f t="shared" si="21"/>
        <v>179.99999999999972</v>
      </c>
      <c r="X120" s="11">
        <f t="shared" si="31"/>
        <v>0.29440628066732044</v>
      </c>
    </row>
    <row r="121" spans="1:24" x14ac:dyDescent="0.35">
      <c r="A121">
        <v>2013</v>
      </c>
      <c r="B121" t="s">
        <v>145</v>
      </c>
      <c r="C121" t="s">
        <v>144</v>
      </c>
      <c r="D121" t="s">
        <v>271</v>
      </c>
      <c r="E121" t="s">
        <v>77</v>
      </c>
      <c r="F121">
        <v>2005</v>
      </c>
      <c r="G121" t="s">
        <v>146</v>
      </c>
      <c r="H121">
        <v>500</v>
      </c>
      <c r="I121">
        <v>23</v>
      </c>
      <c r="K121">
        <v>5.2</v>
      </c>
      <c r="N121">
        <v>6</v>
      </c>
      <c r="O121" t="s">
        <v>147</v>
      </c>
      <c r="P121" t="s">
        <v>28</v>
      </c>
      <c r="Q121" s="15">
        <v>150</v>
      </c>
      <c r="R121">
        <v>150</v>
      </c>
      <c r="S121">
        <v>53.98</v>
      </c>
      <c r="U121">
        <v>58.54</v>
      </c>
      <c r="V121">
        <f t="shared" si="32"/>
        <v>4.5600000000000023</v>
      </c>
      <c r="W121" s="13">
        <f t="shared" si="21"/>
        <v>760.00000000000034</v>
      </c>
      <c r="X121" s="11">
        <f t="shared" si="31"/>
        <v>1.407928862541683</v>
      </c>
    </row>
    <row r="122" spans="1:24" x14ac:dyDescent="0.35">
      <c r="A122">
        <v>2013</v>
      </c>
      <c r="B122" t="s">
        <v>145</v>
      </c>
      <c r="C122" t="s">
        <v>144</v>
      </c>
      <c r="D122" t="s">
        <v>271</v>
      </c>
      <c r="E122" t="s">
        <v>77</v>
      </c>
      <c r="F122">
        <v>2005</v>
      </c>
      <c r="G122" t="s">
        <v>146</v>
      </c>
      <c r="H122">
        <v>500</v>
      </c>
      <c r="I122">
        <v>23</v>
      </c>
      <c r="K122">
        <v>5.2</v>
      </c>
      <c r="N122">
        <v>6</v>
      </c>
      <c r="O122" t="s">
        <v>147</v>
      </c>
      <c r="P122" t="s">
        <v>270</v>
      </c>
      <c r="Q122" s="15">
        <v>150150</v>
      </c>
      <c r="R122">
        <v>150</v>
      </c>
      <c r="T122">
        <v>60.27</v>
      </c>
      <c r="U122">
        <v>58.54</v>
      </c>
      <c r="V122">
        <f t="shared" si="32"/>
        <v>-1.730000000000004</v>
      </c>
      <c r="W122" s="13">
        <f t="shared" si="21"/>
        <v>-288.333333333334</v>
      </c>
      <c r="X122" s="11">
        <f t="shared" si="31"/>
        <v>-0.47840274321110665</v>
      </c>
    </row>
    <row r="123" spans="1:24" x14ac:dyDescent="0.35">
      <c r="W123" s="13"/>
      <c r="X123" s="11"/>
    </row>
    <row r="124" spans="1:24" x14ac:dyDescent="0.35">
      <c r="A124">
        <v>2012</v>
      </c>
      <c r="B124" t="s">
        <v>149</v>
      </c>
      <c r="C124" t="s">
        <v>148</v>
      </c>
      <c r="D124" t="s">
        <v>67</v>
      </c>
      <c r="E124" t="s">
        <v>65</v>
      </c>
      <c r="F124">
        <v>1962</v>
      </c>
      <c r="G124" t="s">
        <v>69</v>
      </c>
      <c r="K124">
        <v>9.1</v>
      </c>
      <c r="L124">
        <v>905</v>
      </c>
      <c r="N124">
        <v>49</v>
      </c>
      <c r="O124" t="s">
        <v>151</v>
      </c>
      <c r="P124" t="s">
        <v>152</v>
      </c>
      <c r="Q124">
        <v>250</v>
      </c>
      <c r="R124">
        <v>400</v>
      </c>
      <c r="S124">
        <v>47.73</v>
      </c>
      <c r="U124">
        <v>51.34</v>
      </c>
      <c r="V124">
        <f t="shared" si="20"/>
        <v>3.6100000000000065</v>
      </c>
      <c r="W124" s="13">
        <f t="shared" si="21"/>
        <v>73.673469387755233</v>
      </c>
      <c r="X124" s="11">
        <f t="shared" si="31"/>
        <v>0.15435463940447358</v>
      </c>
    </row>
    <row r="125" spans="1:24" s="20" customFormat="1" x14ac:dyDescent="0.35">
      <c r="A125" s="20">
        <v>2012</v>
      </c>
      <c r="B125" s="20" t="s">
        <v>149</v>
      </c>
      <c r="C125" s="20" t="s">
        <v>148</v>
      </c>
      <c r="D125" s="20" t="s">
        <v>67</v>
      </c>
      <c r="E125" s="20" t="s">
        <v>65</v>
      </c>
      <c r="F125" s="20">
        <v>1962</v>
      </c>
      <c r="G125" s="20" t="s">
        <v>69</v>
      </c>
      <c r="J125" s="21"/>
      <c r="K125" s="20">
        <v>9.1</v>
      </c>
      <c r="L125" s="20">
        <v>905</v>
      </c>
      <c r="M125" s="21"/>
      <c r="N125" s="20">
        <v>49</v>
      </c>
      <c r="O125" s="20" t="s">
        <v>151</v>
      </c>
      <c r="P125" s="20" t="s">
        <v>269</v>
      </c>
      <c r="Q125" s="26">
        <v>250250</v>
      </c>
      <c r="R125" s="20">
        <v>400</v>
      </c>
      <c r="S125" s="20">
        <v>47.73</v>
      </c>
      <c r="T125" s="20">
        <v>52.45</v>
      </c>
      <c r="V125" s="20">
        <f t="shared" si="20"/>
        <v>4.720000000000006</v>
      </c>
      <c r="W125" s="22">
        <f t="shared" si="21"/>
        <v>96.326530612245023</v>
      </c>
      <c r="X125" s="23">
        <f t="shared" si="31"/>
        <v>0.20181548420751105</v>
      </c>
    </row>
    <row r="126" spans="1:24" x14ac:dyDescent="0.35">
      <c r="A126">
        <v>2012</v>
      </c>
      <c r="B126" t="s">
        <v>149</v>
      </c>
      <c r="C126" t="s">
        <v>148</v>
      </c>
      <c r="D126" t="s">
        <v>64</v>
      </c>
      <c r="E126" t="s">
        <v>65</v>
      </c>
      <c r="F126">
        <v>1964</v>
      </c>
      <c r="G126" t="s">
        <v>150</v>
      </c>
      <c r="K126">
        <v>9.9</v>
      </c>
      <c r="L126">
        <v>845</v>
      </c>
      <c r="N126">
        <v>47</v>
      </c>
      <c r="O126" t="s">
        <v>151</v>
      </c>
      <c r="P126" t="s">
        <v>152</v>
      </c>
      <c r="Q126">
        <v>250</v>
      </c>
      <c r="R126">
        <v>400</v>
      </c>
      <c r="S126">
        <v>57.15</v>
      </c>
      <c r="U126">
        <v>64.400000000000006</v>
      </c>
      <c r="V126">
        <f t="shared" si="20"/>
        <v>7.2500000000000071</v>
      </c>
      <c r="W126" s="13">
        <f t="shared" si="21"/>
        <v>154.25531914893631</v>
      </c>
      <c r="X126" s="11">
        <f t="shared" si="31"/>
        <v>0.26991306937696646</v>
      </c>
    </row>
    <row r="127" spans="1:24" s="20" customFormat="1" x14ac:dyDescent="0.35">
      <c r="A127" s="20">
        <v>2012</v>
      </c>
      <c r="B127" s="20" t="s">
        <v>149</v>
      </c>
      <c r="C127" s="20" t="s">
        <v>148</v>
      </c>
      <c r="D127" s="20" t="s">
        <v>64</v>
      </c>
      <c r="E127" s="20" t="s">
        <v>65</v>
      </c>
      <c r="F127" s="20">
        <v>1964</v>
      </c>
      <c r="G127" s="20" t="s">
        <v>150</v>
      </c>
      <c r="J127" s="21"/>
      <c r="K127" s="20">
        <v>9.9</v>
      </c>
      <c r="L127" s="20">
        <v>845</v>
      </c>
      <c r="M127" s="21"/>
      <c r="N127" s="20">
        <v>47</v>
      </c>
      <c r="O127" s="20" t="s">
        <v>151</v>
      </c>
      <c r="P127" s="20" t="s">
        <v>269</v>
      </c>
      <c r="Q127" s="26">
        <v>250250</v>
      </c>
      <c r="R127" s="20">
        <v>400</v>
      </c>
      <c r="S127" s="20">
        <v>57.15</v>
      </c>
      <c r="T127" s="20">
        <v>61.7</v>
      </c>
      <c r="V127" s="20">
        <f t="shared" si="20"/>
        <v>4.5500000000000043</v>
      </c>
      <c r="W127" s="22">
        <f t="shared" si="21"/>
        <v>96.80851063829796</v>
      </c>
      <c r="X127" s="23">
        <f t="shared" si="31"/>
        <v>0.16939371940209619</v>
      </c>
    </row>
    <row r="128" spans="1:24" x14ac:dyDescent="0.35">
      <c r="W128" s="13"/>
      <c r="X128" s="11"/>
    </row>
    <row r="129" spans="1:24" x14ac:dyDescent="0.35">
      <c r="A129">
        <v>2011</v>
      </c>
      <c r="B129" t="s">
        <v>159</v>
      </c>
      <c r="C129" t="s">
        <v>153</v>
      </c>
      <c r="D129" t="s">
        <v>79</v>
      </c>
      <c r="E129" t="s">
        <v>80</v>
      </c>
      <c r="F129">
        <v>2004</v>
      </c>
      <c r="G129" t="s">
        <v>154</v>
      </c>
      <c r="H129">
        <v>325</v>
      </c>
      <c r="I129">
        <v>350</v>
      </c>
      <c r="K129">
        <v>6.75</v>
      </c>
      <c r="L129">
        <v>306.75</v>
      </c>
      <c r="N129">
        <v>4</v>
      </c>
      <c r="O129" t="s">
        <v>155</v>
      </c>
      <c r="P129" t="s">
        <v>160</v>
      </c>
      <c r="Q129">
        <v>80</v>
      </c>
      <c r="R129">
        <v>200</v>
      </c>
      <c r="S129">
        <v>37.200000000000003</v>
      </c>
      <c r="U129">
        <v>34.5</v>
      </c>
      <c r="V129">
        <f t="shared" ref="V129:V194" si="33">IF(ISBLANK($T129),$U129-$S129,$T129-$S129)</f>
        <v>-2.7000000000000028</v>
      </c>
      <c r="W129" s="13">
        <f t="shared" si="21"/>
        <v>-675.00000000000068</v>
      </c>
      <c r="X129" s="11">
        <f t="shared" si="31"/>
        <v>-1.81451612903226</v>
      </c>
    </row>
    <row r="130" spans="1:24" x14ac:dyDescent="0.35">
      <c r="A130">
        <v>2011</v>
      </c>
      <c r="B130" t="s">
        <v>159</v>
      </c>
      <c r="C130" t="s">
        <v>153</v>
      </c>
      <c r="D130" t="s">
        <v>79</v>
      </c>
      <c r="E130" t="s">
        <v>80</v>
      </c>
      <c r="F130">
        <v>2004</v>
      </c>
      <c r="G130" t="s">
        <v>154</v>
      </c>
      <c r="H130">
        <v>325</v>
      </c>
      <c r="I130">
        <v>350</v>
      </c>
      <c r="K130">
        <v>6.75</v>
      </c>
      <c r="L130">
        <v>306.75</v>
      </c>
      <c r="N130">
        <v>4</v>
      </c>
      <c r="O130" t="s">
        <v>156</v>
      </c>
      <c r="P130" t="s">
        <v>160</v>
      </c>
      <c r="Q130">
        <v>80</v>
      </c>
      <c r="R130">
        <v>200</v>
      </c>
      <c r="S130">
        <v>36.799999999999997</v>
      </c>
      <c r="U130">
        <v>33.5</v>
      </c>
      <c r="V130">
        <f t="shared" si="33"/>
        <v>-3.2999999999999972</v>
      </c>
      <c r="W130" s="13">
        <f t="shared" si="21"/>
        <v>-824.99999999999932</v>
      </c>
      <c r="X130" s="11">
        <f t="shared" si="31"/>
        <v>-2.2418478260869548</v>
      </c>
    </row>
    <row r="131" spans="1:24" x14ac:dyDescent="0.35">
      <c r="A131">
        <v>2011</v>
      </c>
      <c r="B131" t="s">
        <v>159</v>
      </c>
      <c r="C131" t="s">
        <v>153</v>
      </c>
      <c r="D131" t="s">
        <v>79</v>
      </c>
      <c r="E131" t="s">
        <v>80</v>
      </c>
      <c r="F131">
        <v>2004</v>
      </c>
      <c r="G131" t="s">
        <v>154</v>
      </c>
      <c r="H131">
        <v>325</v>
      </c>
      <c r="I131">
        <v>350</v>
      </c>
      <c r="K131">
        <v>6.75</v>
      </c>
      <c r="L131">
        <v>306.75</v>
      </c>
      <c r="N131">
        <v>4</v>
      </c>
      <c r="O131" t="s">
        <v>157</v>
      </c>
      <c r="P131" t="s">
        <v>160</v>
      </c>
      <c r="Q131">
        <v>80</v>
      </c>
      <c r="R131">
        <v>200</v>
      </c>
      <c r="S131">
        <v>38.200000000000003</v>
      </c>
      <c r="U131">
        <v>33.799999999999997</v>
      </c>
      <c r="V131">
        <f t="shared" si="33"/>
        <v>-4.4000000000000057</v>
      </c>
      <c r="W131" s="13">
        <f t="shared" si="21"/>
        <v>-1100.0000000000014</v>
      </c>
      <c r="X131" s="11">
        <f t="shared" si="31"/>
        <v>-2.8795811518324643</v>
      </c>
    </row>
    <row r="132" spans="1:24" x14ac:dyDescent="0.35">
      <c r="A132">
        <v>2011</v>
      </c>
      <c r="B132" t="s">
        <v>159</v>
      </c>
      <c r="C132" t="s">
        <v>153</v>
      </c>
      <c r="D132" t="s">
        <v>79</v>
      </c>
      <c r="E132" t="s">
        <v>80</v>
      </c>
      <c r="F132">
        <v>2004</v>
      </c>
      <c r="G132" t="s">
        <v>154</v>
      </c>
      <c r="H132">
        <v>325</v>
      </c>
      <c r="I132">
        <v>350</v>
      </c>
      <c r="K132">
        <v>6.75</v>
      </c>
      <c r="L132">
        <v>306.75</v>
      </c>
      <c r="N132">
        <v>4</v>
      </c>
      <c r="O132" t="s">
        <v>158</v>
      </c>
      <c r="P132" t="s">
        <v>160</v>
      </c>
      <c r="Q132">
        <v>80</v>
      </c>
      <c r="R132">
        <v>200</v>
      </c>
      <c r="S132">
        <v>36.1</v>
      </c>
      <c r="U132">
        <v>34.700000000000003</v>
      </c>
      <c r="V132">
        <f t="shared" si="33"/>
        <v>-1.3999999999999986</v>
      </c>
      <c r="W132" s="13">
        <f t="shared" si="21"/>
        <v>-349.99999999999966</v>
      </c>
      <c r="X132" s="11">
        <f t="shared" si="31"/>
        <v>-0.96952908587257502</v>
      </c>
    </row>
    <row r="133" spans="1:24" x14ac:dyDescent="0.35">
      <c r="W133" s="13"/>
      <c r="X133" s="11"/>
    </row>
    <row r="134" spans="1:24" x14ac:dyDescent="0.35">
      <c r="A134">
        <v>2009</v>
      </c>
      <c r="B134" t="s">
        <v>162</v>
      </c>
      <c r="C134" t="s">
        <v>161</v>
      </c>
      <c r="D134" t="s">
        <v>90</v>
      </c>
      <c r="E134" t="s">
        <v>65</v>
      </c>
      <c r="F134">
        <v>1962</v>
      </c>
      <c r="G134" t="s">
        <v>68</v>
      </c>
      <c r="K134">
        <v>11.2</v>
      </c>
      <c r="L134">
        <v>921</v>
      </c>
      <c r="N134">
        <v>43</v>
      </c>
      <c r="O134" t="s">
        <v>116</v>
      </c>
      <c r="P134" t="s">
        <v>163</v>
      </c>
      <c r="Q134">
        <v>250</v>
      </c>
      <c r="R134">
        <v>300</v>
      </c>
      <c r="S134">
        <v>45.3</v>
      </c>
      <c r="U134">
        <v>80</v>
      </c>
      <c r="V134">
        <f t="shared" si="33"/>
        <v>34.700000000000003</v>
      </c>
      <c r="W134" s="13">
        <f t="shared" si="21"/>
        <v>806.97674418604663</v>
      </c>
      <c r="X134" s="11">
        <f t="shared" si="31"/>
        <v>1.7814056163047387</v>
      </c>
    </row>
    <row r="135" spans="1:24" x14ac:dyDescent="0.35">
      <c r="A135">
        <v>2009</v>
      </c>
      <c r="B135" t="s">
        <v>162</v>
      </c>
      <c r="C135" t="s">
        <v>161</v>
      </c>
      <c r="D135" t="s">
        <v>90</v>
      </c>
      <c r="E135" t="s">
        <v>65</v>
      </c>
      <c r="F135">
        <v>1962</v>
      </c>
      <c r="G135" t="s">
        <v>68</v>
      </c>
      <c r="K135">
        <v>11.2</v>
      </c>
      <c r="L135">
        <v>921</v>
      </c>
      <c r="N135">
        <v>43</v>
      </c>
      <c r="O135" t="s">
        <v>116</v>
      </c>
      <c r="P135" t="s">
        <v>152</v>
      </c>
      <c r="Q135">
        <v>400</v>
      </c>
      <c r="R135">
        <v>300</v>
      </c>
      <c r="S135">
        <v>44.8</v>
      </c>
      <c r="U135">
        <v>80</v>
      </c>
      <c r="V135">
        <f t="shared" si="33"/>
        <v>35.200000000000003</v>
      </c>
      <c r="W135" s="13">
        <f t="shared" si="21"/>
        <v>818.60465116279079</v>
      </c>
      <c r="X135" s="11">
        <f t="shared" si="31"/>
        <v>1.8272425249169437</v>
      </c>
    </row>
    <row r="136" spans="1:24" x14ac:dyDescent="0.35">
      <c r="W136" s="13"/>
      <c r="X136" s="11"/>
    </row>
    <row r="137" spans="1:24" x14ac:dyDescent="0.35">
      <c r="A137">
        <v>2009</v>
      </c>
      <c r="B137" t="s">
        <v>165</v>
      </c>
      <c r="C137" t="s">
        <v>164</v>
      </c>
      <c r="D137" t="s">
        <v>166</v>
      </c>
      <c r="E137" t="s">
        <v>167</v>
      </c>
      <c r="G137" t="s">
        <v>174</v>
      </c>
      <c r="H137">
        <v>275</v>
      </c>
      <c r="I137">
        <v>395</v>
      </c>
      <c r="K137">
        <v>9.94</v>
      </c>
      <c r="N137">
        <v>10</v>
      </c>
      <c r="O137" t="s">
        <v>117</v>
      </c>
      <c r="P137" t="s">
        <v>175</v>
      </c>
      <c r="R137">
        <v>600</v>
      </c>
      <c r="S137">
        <v>97.6</v>
      </c>
      <c r="U137">
        <v>104</v>
      </c>
      <c r="V137">
        <f t="shared" si="33"/>
        <v>6.4000000000000057</v>
      </c>
      <c r="W137" s="13">
        <f t="shared" si="21"/>
        <v>640.00000000000057</v>
      </c>
      <c r="X137" s="11">
        <f t="shared" si="31"/>
        <v>0.6557377049180334</v>
      </c>
    </row>
    <row r="138" spans="1:24" x14ac:dyDescent="0.35">
      <c r="A138">
        <v>2009</v>
      </c>
      <c r="B138" t="s">
        <v>165</v>
      </c>
      <c r="C138" t="s">
        <v>164</v>
      </c>
      <c r="D138" t="s">
        <v>168</v>
      </c>
      <c r="E138" t="s">
        <v>167</v>
      </c>
      <c r="G138" t="s">
        <v>174</v>
      </c>
      <c r="H138">
        <v>308</v>
      </c>
      <c r="I138">
        <v>355</v>
      </c>
      <c r="K138">
        <v>9.5</v>
      </c>
      <c r="N138">
        <v>10</v>
      </c>
      <c r="O138" t="s">
        <v>117</v>
      </c>
      <c r="P138" t="s">
        <v>175</v>
      </c>
      <c r="R138">
        <v>600</v>
      </c>
      <c r="S138">
        <v>82.3</v>
      </c>
      <c r="U138">
        <v>79</v>
      </c>
      <c r="V138">
        <f t="shared" si="33"/>
        <v>-3.2999999999999972</v>
      </c>
      <c r="W138" s="13">
        <f t="shared" si="21"/>
        <v>-329.99999999999972</v>
      </c>
      <c r="X138" s="11">
        <f t="shared" si="31"/>
        <v>-0.40097205346294013</v>
      </c>
    </row>
    <row r="139" spans="1:24" x14ac:dyDescent="0.35">
      <c r="A139">
        <v>2009</v>
      </c>
      <c r="B139" t="s">
        <v>165</v>
      </c>
      <c r="C139" t="s">
        <v>164</v>
      </c>
      <c r="D139" t="s">
        <v>169</v>
      </c>
      <c r="E139" t="s">
        <v>65</v>
      </c>
      <c r="G139" t="s">
        <v>154</v>
      </c>
      <c r="H139">
        <v>183</v>
      </c>
      <c r="I139">
        <v>348</v>
      </c>
      <c r="K139">
        <v>11.86</v>
      </c>
      <c r="N139">
        <v>15</v>
      </c>
      <c r="O139" t="s">
        <v>73</v>
      </c>
      <c r="P139" t="s">
        <v>175</v>
      </c>
      <c r="R139">
        <v>600</v>
      </c>
      <c r="S139">
        <v>117</v>
      </c>
      <c r="U139">
        <v>143</v>
      </c>
      <c r="V139">
        <f t="shared" si="33"/>
        <v>26</v>
      </c>
      <c r="W139" s="13">
        <f t="shared" si="21"/>
        <v>1733.3333333333335</v>
      </c>
      <c r="X139" s="11">
        <f t="shared" si="31"/>
        <v>1.4814814814814814</v>
      </c>
    </row>
    <row r="140" spans="1:24" x14ac:dyDescent="0.35">
      <c r="A140">
        <v>2009</v>
      </c>
      <c r="B140" t="s">
        <v>165</v>
      </c>
      <c r="C140" t="s">
        <v>164</v>
      </c>
      <c r="D140" t="s">
        <v>170</v>
      </c>
      <c r="E140" t="s">
        <v>65</v>
      </c>
      <c r="G140" t="s">
        <v>68</v>
      </c>
      <c r="H140">
        <v>183</v>
      </c>
      <c r="I140">
        <v>315</v>
      </c>
      <c r="K140">
        <v>10.210000000000001</v>
      </c>
      <c r="N140">
        <v>6</v>
      </c>
      <c r="O140" t="s">
        <v>73</v>
      </c>
      <c r="P140" t="s">
        <v>175</v>
      </c>
      <c r="R140">
        <v>600</v>
      </c>
      <c r="S140">
        <v>46.3</v>
      </c>
      <c r="U140">
        <v>66.7</v>
      </c>
      <c r="V140">
        <f t="shared" si="33"/>
        <v>20.400000000000006</v>
      </c>
      <c r="W140" s="13">
        <f t="shared" si="21"/>
        <v>3400.0000000000009</v>
      </c>
      <c r="X140" s="11">
        <f t="shared" si="31"/>
        <v>7.3434125269978434</v>
      </c>
    </row>
    <row r="141" spans="1:24" x14ac:dyDescent="0.35">
      <c r="A141">
        <v>2009</v>
      </c>
      <c r="B141" t="s">
        <v>165</v>
      </c>
      <c r="C141" t="s">
        <v>164</v>
      </c>
      <c r="D141" t="s">
        <v>171</v>
      </c>
      <c r="E141" t="s">
        <v>172</v>
      </c>
      <c r="G141" t="s">
        <v>154</v>
      </c>
      <c r="H141">
        <v>200</v>
      </c>
      <c r="I141">
        <v>476</v>
      </c>
      <c r="K141">
        <v>8.35</v>
      </c>
      <c r="N141">
        <v>30</v>
      </c>
      <c r="O141" t="s">
        <v>173</v>
      </c>
      <c r="P141" t="s">
        <v>175</v>
      </c>
      <c r="R141">
        <v>600</v>
      </c>
      <c r="S141">
        <v>96.4</v>
      </c>
      <c r="U141">
        <v>83.4</v>
      </c>
      <c r="V141">
        <f t="shared" si="33"/>
        <v>-13</v>
      </c>
      <c r="W141" s="13">
        <f t="shared" si="21"/>
        <v>-433.33333333333337</v>
      </c>
      <c r="X141" s="11">
        <f t="shared" si="31"/>
        <v>-0.44951590594744117</v>
      </c>
    </row>
    <row r="142" spans="1:24" x14ac:dyDescent="0.35">
      <c r="W142" s="13"/>
      <c r="X142" s="11"/>
    </row>
    <row r="143" spans="1:24" x14ac:dyDescent="0.35">
      <c r="A143">
        <v>2008</v>
      </c>
      <c r="B143" t="s">
        <v>177</v>
      </c>
      <c r="C143" t="s">
        <v>176</v>
      </c>
      <c r="D143" t="s">
        <v>178</v>
      </c>
      <c r="E143" t="s">
        <v>179</v>
      </c>
      <c r="G143" t="s">
        <v>68</v>
      </c>
      <c r="K143">
        <v>13.13</v>
      </c>
      <c r="M143"/>
      <c r="N143">
        <v>8</v>
      </c>
      <c r="O143" t="s">
        <v>192</v>
      </c>
      <c r="P143" t="s">
        <v>175</v>
      </c>
      <c r="R143">
        <v>600</v>
      </c>
      <c r="S143">
        <v>322</v>
      </c>
      <c r="U143">
        <v>349</v>
      </c>
      <c r="V143">
        <f t="shared" si="33"/>
        <v>27</v>
      </c>
      <c r="W143" s="13">
        <f t="shared" si="21"/>
        <v>3375</v>
      </c>
      <c r="X143" s="11">
        <f t="shared" si="31"/>
        <v>1.048136645962733</v>
      </c>
    </row>
    <row r="144" spans="1:24" x14ac:dyDescent="0.35">
      <c r="A144">
        <v>2008</v>
      </c>
      <c r="B144" t="s">
        <v>177</v>
      </c>
      <c r="C144" t="s">
        <v>176</v>
      </c>
      <c r="D144" t="s">
        <v>180</v>
      </c>
      <c r="E144" t="s">
        <v>179</v>
      </c>
      <c r="G144" t="s">
        <v>69</v>
      </c>
      <c r="K144">
        <v>14.75</v>
      </c>
      <c r="M144"/>
      <c r="N144">
        <v>10</v>
      </c>
      <c r="O144" t="s">
        <v>191</v>
      </c>
      <c r="P144" t="s">
        <v>175</v>
      </c>
      <c r="R144">
        <v>600</v>
      </c>
      <c r="S144">
        <v>233</v>
      </c>
      <c r="U144">
        <v>260</v>
      </c>
      <c r="V144">
        <f t="shared" si="33"/>
        <v>27</v>
      </c>
      <c r="W144" s="13">
        <f t="shared" si="21"/>
        <v>2700</v>
      </c>
      <c r="X144" s="11">
        <f t="shared" si="31"/>
        <v>1.1587982832618025</v>
      </c>
    </row>
    <row r="145" spans="1:24" x14ac:dyDescent="0.35">
      <c r="A145">
        <v>2008</v>
      </c>
      <c r="B145" t="s">
        <v>177</v>
      </c>
      <c r="C145" t="s">
        <v>176</v>
      </c>
      <c r="D145" t="s">
        <v>181</v>
      </c>
      <c r="E145" t="s">
        <v>179</v>
      </c>
      <c r="G145" t="s">
        <v>68</v>
      </c>
      <c r="K145">
        <v>12.39</v>
      </c>
      <c r="M145"/>
      <c r="N145">
        <v>15</v>
      </c>
      <c r="O145" t="s">
        <v>193</v>
      </c>
      <c r="P145" t="s">
        <v>175</v>
      </c>
      <c r="R145">
        <v>600</v>
      </c>
      <c r="S145">
        <v>401</v>
      </c>
      <c r="U145">
        <v>270</v>
      </c>
      <c r="V145">
        <f t="shared" si="33"/>
        <v>-131</v>
      </c>
      <c r="W145" s="13">
        <f t="shared" si="21"/>
        <v>-8733.3333333333321</v>
      </c>
      <c r="X145" s="11">
        <f t="shared" si="31"/>
        <v>-2.1778886118038239</v>
      </c>
    </row>
    <row r="146" spans="1:24" x14ac:dyDescent="0.35">
      <c r="A146">
        <v>2008</v>
      </c>
      <c r="B146" t="s">
        <v>177</v>
      </c>
      <c r="C146" t="s">
        <v>176</v>
      </c>
      <c r="D146" t="s">
        <v>182</v>
      </c>
      <c r="E146" t="s">
        <v>65</v>
      </c>
      <c r="G146" t="s">
        <v>66</v>
      </c>
      <c r="K146">
        <v>10.1</v>
      </c>
      <c r="M146"/>
      <c r="N146">
        <v>15</v>
      </c>
      <c r="O146" t="s">
        <v>73</v>
      </c>
      <c r="P146" t="s">
        <v>175</v>
      </c>
      <c r="R146">
        <v>600</v>
      </c>
      <c r="S146">
        <v>412</v>
      </c>
      <c r="U146">
        <v>338</v>
      </c>
      <c r="V146">
        <f t="shared" si="33"/>
        <v>-74</v>
      </c>
      <c r="W146" s="13">
        <f t="shared" si="21"/>
        <v>-4933.3333333333339</v>
      </c>
      <c r="X146" s="11">
        <f t="shared" si="31"/>
        <v>-1.1974110032362459</v>
      </c>
    </row>
    <row r="147" spans="1:24" x14ac:dyDescent="0.35">
      <c r="A147">
        <v>2008</v>
      </c>
      <c r="B147" t="s">
        <v>177</v>
      </c>
      <c r="C147" t="s">
        <v>176</v>
      </c>
      <c r="D147" t="s">
        <v>183</v>
      </c>
      <c r="E147" t="s">
        <v>65</v>
      </c>
      <c r="G147" t="s">
        <v>69</v>
      </c>
      <c r="K147">
        <v>11.67</v>
      </c>
      <c r="M147"/>
      <c r="N147">
        <v>12</v>
      </c>
      <c r="O147" t="s">
        <v>190</v>
      </c>
      <c r="P147" t="s">
        <v>175</v>
      </c>
      <c r="R147">
        <v>600</v>
      </c>
      <c r="S147">
        <v>274</v>
      </c>
      <c r="U147">
        <v>197</v>
      </c>
      <c r="V147">
        <f t="shared" si="33"/>
        <v>-77</v>
      </c>
      <c r="W147" s="13">
        <f t="shared" si="21"/>
        <v>-6416.666666666667</v>
      </c>
      <c r="X147" s="11">
        <f t="shared" si="31"/>
        <v>-2.3418491484184916</v>
      </c>
    </row>
    <row r="148" spans="1:24" x14ac:dyDescent="0.35">
      <c r="A148">
        <v>2008</v>
      </c>
      <c r="B148" t="s">
        <v>177</v>
      </c>
      <c r="C148" t="s">
        <v>176</v>
      </c>
      <c r="D148" t="s">
        <v>170</v>
      </c>
      <c r="E148" t="s">
        <v>65</v>
      </c>
      <c r="G148" t="s">
        <v>154</v>
      </c>
      <c r="K148">
        <v>10.31</v>
      </c>
      <c r="M148"/>
      <c r="N148">
        <v>30</v>
      </c>
      <c r="O148" t="s">
        <v>73</v>
      </c>
      <c r="P148" t="s">
        <v>175</v>
      </c>
      <c r="R148">
        <v>600</v>
      </c>
      <c r="S148">
        <v>258</v>
      </c>
      <c r="U148">
        <v>356</v>
      </c>
      <c r="V148">
        <f t="shared" si="33"/>
        <v>98</v>
      </c>
      <c r="W148" s="13">
        <f t="shared" si="21"/>
        <v>3266.6666666666665</v>
      </c>
      <c r="X148" s="11">
        <f t="shared" si="31"/>
        <v>1.2661498708010337</v>
      </c>
    </row>
    <row r="149" spans="1:24" x14ac:dyDescent="0.35">
      <c r="A149">
        <v>2008</v>
      </c>
      <c r="B149" t="s">
        <v>177</v>
      </c>
      <c r="C149" t="s">
        <v>176</v>
      </c>
      <c r="D149" t="s">
        <v>184</v>
      </c>
      <c r="E149" t="s">
        <v>185</v>
      </c>
      <c r="G149" t="s">
        <v>68</v>
      </c>
      <c r="K149">
        <v>9.5</v>
      </c>
      <c r="M149"/>
      <c r="N149">
        <v>10</v>
      </c>
      <c r="O149" t="s">
        <v>73</v>
      </c>
      <c r="P149" t="s">
        <v>175</v>
      </c>
      <c r="R149">
        <v>600</v>
      </c>
      <c r="S149">
        <v>269</v>
      </c>
      <c r="U149">
        <v>321</v>
      </c>
      <c r="V149">
        <f t="shared" si="33"/>
        <v>52</v>
      </c>
      <c r="W149" s="13">
        <f t="shared" ref="W149:W153" si="34">V149/N149*1000</f>
        <v>5200</v>
      </c>
      <c r="X149" s="11">
        <f t="shared" si="31"/>
        <v>1.9330855018587361</v>
      </c>
    </row>
    <row r="150" spans="1:24" x14ac:dyDescent="0.35">
      <c r="A150">
        <v>2008</v>
      </c>
      <c r="B150" t="s">
        <v>177</v>
      </c>
      <c r="C150" t="s">
        <v>176</v>
      </c>
      <c r="D150" t="s">
        <v>186</v>
      </c>
      <c r="E150" t="s">
        <v>185</v>
      </c>
      <c r="G150" t="s">
        <v>68</v>
      </c>
      <c r="K150">
        <v>9.34</v>
      </c>
      <c r="M150"/>
      <c r="N150">
        <v>8</v>
      </c>
      <c r="O150" t="s">
        <v>73</v>
      </c>
      <c r="P150" t="s">
        <v>175</v>
      </c>
      <c r="R150">
        <v>600</v>
      </c>
      <c r="S150">
        <v>306</v>
      </c>
      <c r="U150">
        <v>282</v>
      </c>
      <c r="V150">
        <f t="shared" si="33"/>
        <v>-24</v>
      </c>
      <c r="W150" s="13">
        <f t="shared" si="34"/>
        <v>-3000</v>
      </c>
      <c r="X150" s="11">
        <f t="shared" si="31"/>
        <v>-0.98039215686274506</v>
      </c>
    </row>
    <row r="151" spans="1:24" x14ac:dyDescent="0.35">
      <c r="A151">
        <v>2008</v>
      </c>
      <c r="B151" t="s">
        <v>177</v>
      </c>
      <c r="C151" t="s">
        <v>176</v>
      </c>
      <c r="D151" t="s">
        <v>187</v>
      </c>
      <c r="E151" t="s">
        <v>185</v>
      </c>
      <c r="G151" t="s">
        <v>68</v>
      </c>
      <c r="K151">
        <v>8.1300000000000008</v>
      </c>
      <c r="M151"/>
      <c r="N151">
        <v>20</v>
      </c>
      <c r="O151" t="s">
        <v>116</v>
      </c>
      <c r="P151" t="s">
        <v>175</v>
      </c>
      <c r="R151">
        <v>600</v>
      </c>
      <c r="S151">
        <v>373</v>
      </c>
      <c r="U151">
        <v>411</v>
      </c>
      <c r="V151">
        <f t="shared" si="33"/>
        <v>38</v>
      </c>
      <c r="W151" s="13">
        <f t="shared" si="34"/>
        <v>1900</v>
      </c>
      <c r="X151" s="11">
        <f t="shared" si="31"/>
        <v>0.5093833780160858</v>
      </c>
    </row>
    <row r="152" spans="1:24" x14ac:dyDescent="0.35">
      <c r="A152">
        <v>2008</v>
      </c>
      <c r="B152" t="s">
        <v>177</v>
      </c>
      <c r="C152" t="s">
        <v>176</v>
      </c>
      <c r="D152" t="s">
        <v>188</v>
      </c>
      <c r="E152" t="s">
        <v>185</v>
      </c>
      <c r="G152" t="s">
        <v>68</v>
      </c>
      <c r="K152">
        <v>9.86</v>
      </c>
      <c r="M152"/>
      <c r="N152">
        <v>5</v>
      </c>
      <c r="O152" t="s">
        <v>73</v>
      </c>
      <c r="P152" t="s">
        <v>175</v>
      </c>
      <c r="R152">
        <v>600</v>
      </c>
      <c r="S152">
        <v>197</v>
      </c>
      <c r="U152">
        <v>202</v>
      </c>
      <c r="V152">
        <f t="shared" si="33"/>
        <v>5</v>
      </c>
      <c r="W152" s="13">
        <f t="shared" si="34"/>
        <v>1000</v>
      </c>
      <c r="X152" s="11">
        <f t="shared" si="31"/>
        <v>0.50761421319796951</v>
      </c>
    </row>
    <row r="153" spans="1:24" x14ac:dyDescent="0.35">
      <c r="A153">
        <v>2008</v>
      </c>
      <c r="B153" t="s">
        <v>177</v>
      </c>
      <c r="C153" t="s">
        <v>176</v>
      </c>
      <c r="D153" t="s">
        <v>189</v>
      </c>
      <c r="E153" t="s">
        <v>185</v>
      </c>
      <c r="G153" t="s">
        <v>174</v>
      </c>
      <c r="K153">
        <v>11.86</v>
      </c>
      <c r="M153"/>
      <c r="N153">
        <v>4</v>
      </c>
      <c r="O153" t="s">
        <v>73</v>
      </c>
      <c r="P153" t="s">
        <v>175</v>
      </c>
      <c r="R153">
        <v>600</v>
      </c>
      <c r="S153">
        <v>321</v>
      </c>
      <c r="U153">
        <v>325</v>
      </c>
      <c r="V153">
        <f t="shared" si="33"/>
        <v>4</v>
      </c>
      <c r="W153" s="13">
        <f t="shared" si="34"/>
        <v>1000</v>
      </c>
      <c r="X153" s="11">
        <f t="shared" si="31"/>
        <v>0.3115264797507788</v>
      </c>
    </row>
    <row r="154" spans="1:24" x14ac:dyDescent="0.35">
      <c r="W154" s="13"/>
      <c r="X154" s="11"/>
    </row>
    <row r="155" spans="1:24" s="16" customFormat="1" x14ac:dyDescent="0.35">
      <c r="A155" s="16">
        <v>2007</v>
      </c>
      <c r="B155" s="16" t="s">
        <v>195</v>
      </c>
      <c r="C155" s="16" t="s">
        <v>194</v>
      </c>
      <c r="D155" s="16" t="s">
        <v>196</v>
      </c>
      <c r="E155" s="16" t="s">
        <v>80</v>
      </c>
      <c r="F155" s="16">
        <v>1983</v>
      </c>
      <c r="G155" s="16" t="s">
        <v>78</v>
      </c>
      <c r="H155" s="16">
        <v>170</v>
      </c>
      <c r="I155" s="16">
        <v>645</v>
      </c>
      <c r="J155" s="17"/>
      <c r="K155" s="16">
        <v>5.84</v>
      </c>
      <c r="L155" s="16">
        <v>340</v>
      </c>
      <c r="M155" s="17"/>
      <c r="N155" s="16">
        <v>21</v>
      </c>
      <c r="O155" s="16" t="s">
        <v>197</v>
      </c>
      <c r="P155" s="16" t="s">
        <v>198</v>
      </c>
      <c r="Q155" s="16">
        <v>100</v>
      </c>
      <c r="R155" s="16">
        <v>200</v>
      </c>
      <c r="S155" s="16">
        <v>30</v>
      </c>
      <c r="U155" s="16">
        <v>30</v>
      </c>
      <c r="V155" s="16">
        <f t="shared" si="33"/>
        <v>0</v>
      </c>
      <c r="W155" s="18">
        <f>V155/N155*1000</f>
        <v>0</v>
      </c>
      <c r="X155" s="11">
        <f t="shared" si="31"/>
        <v>0</v>
      </c>
    </row>
    <row r="156" spans="1:24" x14ac:dyDescent="0.35">
      <c r="V156">
        <f t="shared" si="33"/>
        <v>0</v>
      </c>
      <c r="W156" s="13"/>
      <c r="X156" s="11"/>
    </row>
    <row r="157" spans="1:24" x14ac:dyDescent="0.35">
      <c r="A157">
        <v>2006</v>
      </c>
      <c r="B157" t="s">
        <v>200</v>
      </c>
      <c r="C157" t="s">
        <v>199</v>
      </c>
      <c r="D157" t="s">
        <v>201</v>
      </c>
      <c r="E157" t="s">
        <v>202</v>
      </c>
      <c r="F157">
        <v>1980</v>
      </c>
      <c r="G157" t="s">
        <v>69</v>
      </c>
      <c r="K157">
        <v>7.38</v>
      </c>
      <c r="N157">
        <v>23</v>
      </c>
      <c r="O157" t="s">
        <v>267</v>
      </c>
      <c r="P157" t="s">
        <v>109</v>
      </c>
      <c r="R157">
        <v>450</v>
      </c>
      <c r="S157">
        <v>97</v>
      </c>
      <c r="U157">
        <v>108</v>
      </c>
      <c r="V157">
        <f t="shared" si="33"/>
        <v>11</v>
      </c>
      <c r="W157" s="13">
        <f t="shared" ref="W157:W183" si="35">V157/N157*1000</f>
        <v>478.26086956521743</v>
      </c>
      <c r="X157" s="11">
        <f t="shared" si="31"/>
        <v>0.49305244285073957</v>
      </c>
    </row>
    <row r="158" spans="1:24" x14ac:dyDescent="0.35">
      <c r="A158">
        <v>2006</v>
      </c>
      <c r="B158" t="s">
        <v>200</v>
      </c>
      <c r="C158" t="s">
        <v>199</v>
      </c>
      <c r="D158" t="s">
        <v>201</v>
      </c>
      <c r="E158" t="s">
        <v>202</v>
      </c>
      <c r="F158">
        <v>1980</v>
      </c>
      <c r="G158" t="s">
        <v>69</v>
      </c>
      <c r="K158">
        <v>7.38</v>
      </c>
      <c r="N158">
        <v>23</v>
      </c>
      <c r="O158" t="s">
        <v>267</v>
      </c>
      <c r="P158" t="s">
        <v>203</v>
      </c>
      <c r="R158">
        <v>450</v>
      </c>
      <c r="S158">
        <v>108</v>
      </c>
      <c r="U158">
        <v>108</v>
      </c>
      <c r="V158">
        <f t="shared" si="33"/>
        <v>0</v>
      </c>
      <c r="W158" s="13">
        <f t="shared" si="35"/>
        <v>0</v>
      </c>
      <c r="X158" s="11">
        <f t="shared" si="31"/>
        <v>0</v>
      </c>
    </row>
    <row r="159" spans="1:24" x14ac:dyDescent="0.35">
      <c r="A159">
        <v>2006</v>
      </c>
      <c r="B159" t="s">
        <v>200</v>
      </c>
      <c r="C159" t="s">
        <v>199</v>
      </c>
      <c r="D159" t="s">
        <v>201</v>
      </c>
      <c r="E159" t="s">
        <v>202</v>
      </c>
      <c r="F159">
        <v>1980</v>
      </c>
      <c r="G159" t="s">
        <v>69</v>
      </c>
      <c r="K159">
        <v>7.38</v>
      </c>
      <c r="N159">
        <v>23</v>
      </c>
      <c r="O159" t="s">
        <v>268</v>
      </c>
      <c r="P159" t="s">
        <v>109</v>
      </c>
      <c r="R159">
        <v>450</v>
      </c>
      <c r="S159">
        <v>117</v>
      </c>
      <c r="U159">
        <v>106</v>
      </c>
      <c r="V159">
        <f t="shared" si="33"/>
        <v>-11</v>
      </c>
      <c r="W159" s="13">
        <f t="shared" si="35"/>
        <v>-478.26086956521743</v>
      </c>
      <c r="X159" s="11">
        <f t="shared" si="31"/>
        <v>-0.40876997398736531</v>
      </c>
    </row>
    <row r="160" spans="1:24" x14ac:dyDescent="0.35">
      <c r="A160">
        <v>2006</v>
      </c>
      <c r="B160" t="s">
        <v>200</v>
      </c>
      <c r="C160" t="s">
        <v>199</v>
      </c>
      <c r="D160" t="s">
        <v>201</v>
      </c>
      <c r="E160" t="s">
        <v>202</v>
      </c>
      <c r="F160">
        <v>1980</v>
      </c>
      <c r="G160" t="s">
        <v>69</v>
      </c>
      <c r="K160">
        <v>7.38</v>
      </c>
      <c r="N160">
        <v>23</v>
      </c>
      <c r="O160" t="s">
        <v>268</v>
      </c>
      <c r="P160" t="s">
        <v>203</v>
      </c>
      <c r="R160">
        <v>450</v>
      </c>
      <c r="S160">
        <v>117</v>
      </c>
      <c r="U160">
        <v>106</v>
      </c>
      <c r="V160">
        <f t="shared" si="33"/>
        <v>-11</v>
      </c>
      <c r="W160" s="13">
        <f t="shared" si="35"/>
        <v>-478.26086956521743</v>
      </c>
      <c r="X160" s="11">
        <f t="shared" si="31"/>
        <v>-0.40876997398736531</v>
      </c>
    </row>
    <row r="161" spans="1:24" x14ac:dyDescent="0.35">
      <c r="W161" s="13"/>
      <c r="X161" s="11"/>
    </row>
    <row r="162" spans="1:24" x14ac:dyDescent="0.35">
      <c r="A162">
        <v>2005</v>
      </c>
      <c r="B162" t="s">
        <v>205</v>
      </c>
      <c r="C162" t="s">
        <v>204</v>
      </c>
      <c r="D162" t="s">
        <v>206</v>
      </c>
      <c r="E162" t="s">
        <v>92</v>
      </c>
      <c r="F162">
        <v>1962</v>
      </c>
      <c r="G162" t="s">
        <v>68</v>
      </c>
      <c r="K162">
        <v>7.52</v>
      </c>
      <c r="N162">
        <v>41</v>
      </c>
      <c r="O162" t="s">
        <v>207</v>
      </c>
      <c r="P162" t="s">
        <v>109</v>
      </c>
      <c r="R162">
        <v>800</v>
      </c>
      <c r="S162">
        <v>80</v>
      </c>
      <c r="U162">
        <v>86</v>
      </c>
      <c r="V162">
        <f t="shared" si="33"/>
        <v>6</v>
      </c>
      <c r="W162" s="13">
        <f t="shared" si="35"/>
        <v>146.34146341463415</v>
      </c>
      <c r="X162" s="11">
        <f t="shared" si="31"/>
        <v>0.18292682926829268</v>
      </c>
    </row>
    <row r="163" spans="1:24" x14ac:dyDescent="0.35">
      <c r="A163">
        <v>2005</v>
      </c>
      <c r="B163" t="s">
        <v>205</v>
      </c>
      <c r="C163" t="s">
        <v>204</v>
      </c>
      <c r="D163" t="s">
        <v>206</v>
      </c>
      <c r="E163" t="s">
        <v>92</v>
      </c>
      <c r="F163">
        <v>1962</v>
      </c>
      <c r="G163" t="s">
        <v>68</v>
      </c>
      <c r="K163">
        <v>7.52</v>
      </c>
      <c r="N163">
        <v>41</v>
      </c>
      <c r="O163" t="s">
        <v>207</v>
      </c>
      <c r="P163" t="s">
        <v>30</v>
      </c>
      <c r="R163">
        <v>800</v>
      </c>
      <c r="S163">
        <v>79</v>
      </c>
      <c r="U163">
        <v>86</v>
      </c>
      <c r="V163">
        <f t="shared" si="33"/>
        <v>7</v>
      </c>
      <c r="W163" s="13">
        <f t="shared" si="35"/>
        <v>170.73170731707319</v>
      </c>
      <c r="X163" s="11">
        <f t="shared" si="31"/>
        <v>0.21611608521148501</v>
      </c>
    </row>
    <row r="164" spans="1:24" x14ac:dyDescent="0.35">
      <c r="A164">
        <v>2005</v>
      </c>
      <c r="B164" t="s">
        <v>205</v>
      </c>
      <c r="C164" t="s">
        <v>204</v>
      </c>
      <c r="D164" t="s">
        <v>64</v>
      </c>
      <c r="E164" t="s">
        <v>92</v>
      </c>
      <c r="F164">
        <v>1987</v>
      </c>
      <c r="G164" t="s">
        <v>150</v>
      </c>
      <c r="K164">
        <v>10.02</v>
      </c>
      <c r="N164">
        <v>16</v>
      </c>
      <c r="O164" t="s">
        <v>73</v>
      </c>
      <c r="P164" t="s">
        <v>210</v>
      </c>
      <c r="R164">
        <v>800</v>
      </c>
      <c r="S164">
        <v>125</v>
      </c>
      <c r="U164">
        <v>123</v>
      </c>
      <c r="V164">
        <f t="shared" si="33"/>
        <v>-2</v>
      </c>
      <c r="W164" s="13">
        <f t="shared" si="35"/>
        <v>-125</v>
      </c>
      <c r="X164" s="11">
        <f t="shared" si="31"/>
        <v>-0.1</v>
      </c>
    </row>
    <row r="165" spans="1:24" x14ac:dyDescent="0.35">
      <c r="A165">
        <v>2005</v>
      </c>
      <c r="B165" t="s">
        <v>205</v>
      </c>
      <c r="C165" t="s">
        <v>204</v>
      </c>
      <c r="D165" t="s">
        <v>64</v>
      </c>
      <c r="E165" t="s">
        <v>92</v>
      </c>
      <c r="F165">
        <v>1987</v>
      </c>
      <c r="G165" t="s">
        <v>150</v>
      </c>
      <c r="K165">
        <v>10.02</v>
      </c>
      <c r="N165">
        <v>16</v>
      </c>
      <c r="O165" t="s">
        <v>208</v>
      </c>
      <c r="P165" t="s">
        <v>109</v>
      </c>
      <c r="R165">
        <v>800</v>
      </c>
      <c r="S165">
        <v>125</v>
      </c>
      <c r="U165">
        <v>122</v>
      </c>
      <c r="V165">
        <f t="shared" si="33"/>
        <v>-3</v>
      </c>
      <c r="W165" s="13">
        <f t="shared" si="35"/>
        <v>-187.5</v>
      </c>
      <c r="X165" s="11">
        <f t="shared" si="31"/>
        <v>-0.15</v>
      </c>
    </row>
    <row r="166" spans="1:24" x14ac:dyDescent="0.35">
      <c r="A166">
        <v>2005</v>
      </c>
      <c r="B166" t="s">
        <v>205</v>
      </c>
      <c r="C166" t="s">
        <v>204</v>
      </c>
      <c r="D166" t="s">
        <v>64</v>
      </c>
      <c r="E166" t="s">
        <v>92</v>
      </c>
      <c r="F166">
        <v>1987</v>
      </c>
      <c r="G166" t="s">
        <v>150</v>
      </c>
      <c r="K166">
        <v>10.02</v>
      </c>
      <c r="N166">
        <v>16</v>
      </c>
      <c r="O166" t="s">
        <v>208</v>
      </c>
      <c r="P166" t="s">
        <v>209</v>
      </c>
      <c r="R166">
        <v>800</v>
      </c>
      <c r="S166">
        <v>132</v>
      </c>
      <c r="U166">
        <v>122</v>
      </c>
      <c r="V166">
        <f t="shared" si="33"/>
        <v>-10</v>
      </c>
      <c r="W166" s="13">
        <f t="shared" si="35"/>
        <v>-625</v>
      </c>
      <c r="X166" s="11">
        <f t="shared" si="31"/>
        <v>-0.47348484848484851</v>
      </c>
    </row>
    <row r="167" spans="1:24" x14ac:dyDescent="0.35">
      <c r="W167" s="13"/>
      <c r="X167" s="11"/>
    </row>
    <row r="168" spans="1:24" x14ac:dyDescent="0.35">
      <c r="A168">
        <v>2005</v>
      </c>
      <c r="B168" t="s">
        <v>212</v>
      </c>
      <c r="C168" t="s">
        <v>211</v>
      </c>
      <c r="D168" t="s">
        <v>139</v>
      </c>
      <c r="E168" t="s">
        <v>92</v>
      </c>
      <c r="F168">
        <v>1993</v>
      </c>
      <c r="G168" t="s">
        <v>66</v>
      </c>
      <c r="K168">
        <v>11.35</v>
      </c>
      <c r="N168">
        <v>8</v>
      </c>
      <c r="O168" t="s">
        <v>131</v>
      </c>
      <c r="P168" t="s">
        <v>266</v>
      </c>
      <c r="R168">
        <v>800</v>
      </c>
      <c r="T168">
        <v>134</v>
      </c>
      <c r="U168">
        <v>143</v>
      </c>
      <c r="V168">
        <f t="shared" ref="V168:V199" si="36">IF(ISBLANK($T168),$U168-$S168,$U168-$T168)</f>
        <v>9</v>
      </c>
      <c r="W168" s="13">
        <f t="shared" si="35"/>
        <v>1125</v>
      </c>
      <c r="X168" s="11">
        <f t="shared" si="31"/>
        <v>0.83955223880597019</v>
      </c>
    </row>
    <row r="169" spans="1:24" x14ac:dyDescent="0.35">
      <c r="A169">
        <v>2005</v>
      </c>
      <c r="B169" t="s">
        <v>212</v>
      </c>
      <c r="C169" t="s">
        <v>211</v>
      </c>
      <c r="D169" t="s">
        <v>139</v>
      </c>
      <c r="E169" t="s">
        <v>92</v>
      </c>
      <c r="F169">
        <v>1993</v>
      </c>
      <c r="G169" t="s">
        <v>66</v>
      </c>
      <c r="K169">
        <v>11.35</v>
      </c>
      <c r="N169">
        <v>8</v>
      </c>
      <c r="O169" t="s">
        <v>131</v>
      </c>
      <c r="P169" t="s">
        <v>203</v>
      </c>
      <c r="R169">
        <v>800</v>
      </c>
      <c r="S169">
        <v>139</v>
      </c>
      <c r="U169">
        <v>143</v>
      </c>
      <c r="V169">
        <f t="shared" si="36"/>
        <v>4</v>
      </c>
      <c r="W169" s="13">
        <f t="shared" si="35"/>
        <v>500</v>
      </c>
      <c r="X169" s="11">
        <f t="shared" si="31"/>
        <v>0.35971223021582738</v>
      </c>
    </row>
    <row r="170" spans="1:24" x14ac:dyDescent="0.35">
      <c r="W170" s="13"/>
      <c r="X170" s="11"/>
    </row>
    <row r="171" spans="1:24" x14ac:dyDescent="0.35">
      <c r="A171">
        <v>2005</v>
      </c>
      <c r="B171" t="s">
        <v>214</v>
      </c>
      <c r="C171" t="s">
        <v>213</v>
      </c>
      <c r="D171" t="s">
        <v>215</v>
      </c>
      <c r="E171" t="s">
        <v>106</v>
      </c>
      <c r="F171">
        <v>1998</v>
      </c>
      <c r="G171" t="s">
        <v>216</v>
      </c>
      <c r="K171">
        <v>9.67</v>
      </c>
      <c r="N171">
        <v>3</v>
      </c>
      <c r="O171" t="s">
        <v>151</v>
      </c>
      <c r="P171" t="s">
        <v>265</v>
      </c>
      <c r="Q171" s="15">
        <v>200250</v>
      </c>
      <c r="R171">
        <v>150</v>
      </c>
      <c r="T171">
        <v>52.98</v>
      </c>
      <c r="U171">
        <v>52.57</v>
      </c>
      <c r="V171">
        <f t="shared" si="36"/>
        <v>-0.40999999999999659</v>
      </c>
      <c r="W171" s="13">
        <f t="shared" si="35"/>
        <v>-136.66666666666552</v>
      </c>
      <c r="X171" s="11">
        <f t="shared" si="31"/>
        <v>-0.25795897823077679</v>
      </c>
    </row>
    <row r="172" spans="1:24" x14ac:dyDescent="0.35">
      <c r="A172">
        <v>2005</v>
      </c>
      <c r="B172" t="s">
        <v>214</v>
      </c>
      <c r="C172" t="s">
        <v>213</v>
      </c>
      <c r="D172" t="s">
        <v>215</v>
      </c>
      <c r="E172" t="s">
        <v>106</v>
      </c>
      <c r="F172">
        <v>1998</v>
      </c>
      <c r="G172" t="s">
        <v>216</v>
      </c>
      <c r="K172">
        <v>9.67</v>
      </c>
      <c r="N172">
        <v>3</v>
      </c>
      <c r="O172" t="s">
        <v>151</v>
      </c>
      <c r="P172" t="s">
        <v>110</v>
      </c>
      <c r="Q172">
        <v>460</v>
      </c>
      <c r="R172">
        <v>150</v>
      </c>
      <c r="S172">
        <v>44.67</v>
      </c>
      <c r="U172">
        <v>52.57</v>
      </c>
      <c r="V172">
        <f t="shared" si="36"/>
        <v>7.8999999999999986</v>
      </c>
      <c r="W172" s="13">
        <f t="shared" si="35"/>
        <v>2633.333333333333</v>
      </c>
      <c r="X172" s="11">
        <f t="shared" si="31"/>
        <v>5.8950824565330935</v>
      </c>
    </row>
    <row r="173" spans="1:24" x14ac:dyDescent="0.35">
      <c r="A173">
        <v>2005</v>
      </c>
      <c r="B173" t="s">
        <v>214</v>
      </c>
      <c r="C173" t="s">
        <v>213</v>
      </c>
      <c r="D173" t="s">
        <v>215</v>
      </c>
      <c r="E173" t="s">
        <v>106</v>
      </c>
      <c r="F173">
        <v>1998</v>
      </c>
      <c r="G173" t="s">
        <v>216</v>
      </c>
      <c r="K173">
        <v>9.67</v>
      </c>
      <c r="N173">
        <v>3</v>
      </c>
      <c r="O173" t="s">
        <v>151</v>
      </c>
      <c r="P173" t="s">
        <v>28</v>
      </c>
      <c r="Q173">
        <v>250</v>
      </c>
      <c r="R173">
        <v>150</v>
      </c>
      <c r="S173">
        <v>43.64</v>
      </c>
      <c r="U173">
        <v>52.57</v>
      </c>
      <c r="V173">
        <f t="shared" si="36"/>
        <v>8.93</v>
      </c>
      <c r="W173" s="13">
        <f t="shared" si="35"/>
        <v>2976.6666666666665</v>
      </c>
      <c r="X173" s="11">
        <f t="shared" si="31"/>
        <v>6.8209593644974031</v>
      </c>
    </row>
    <row r="174" spans="1:24" x14ac:dyDescent="0.35">
      <c r="A174">
        <v>2005</v>
      </c>
      <c r="B174" t="s">
        <v>214</v>
      </c>
      <c r="C174" t="s">
        <v>213</v>
      </c>
      <c r="D174" t="s">
        <v>215</v>
      </c>
      <c r="E174" t="s">
        <v>106</v>
      </c>
      <c r="F174">
        <v>1998</v>
      </c>
      <c r="G174" t="s">
        <v>216</v>
      </c>
      <c r="K174">
        <v>9.67</v>
      </c>
      <c r="N174">
        <v>3</v>
      </c>
      <c r="O174" t="s">
        <v>151</v>
      </c>
      <c r="P174" t="s">
        <v>30</v>
      </c>
      <c r="Q174">
        <v>250</v>
      </c>
      <c r="R174">
        <v>150</v>
      </c>
      <c r="S174">
        <v>39.9</v>
      </c>
      <c r="U174">
        <v>52.57</v>
      </c>
      <c r="V174">
        <f t="shared" si="36"/>
        <v>12.670000000000002</v>
      </c>
      <c r="W174" s="13">
        <f t="shared" si="35"/>
        <v>4223.3333333333339</v>
      </c>
      <c r="X174" s="11">
        <f t="shared" si="31"/>
        <v>10.584795321637429</v>
      </c>
    </row>
    <row r="175" spans="1:24" x14ac:dyDescent="0.35">
      <c r="W175" s="13"/>
      <c r="X175" s="11"/>
    </row>
    <row r="176" spans="1:24" x14ac:dyDescent="0.35">
      <c r="A176">
        <v>2005</v>
      </c>
      <c r="B176" t="s">
        <v>218</v>
      </c>
      <c r="C176" t="s">
        <v>217</v>
      </c>
      <c r="D176" t="s">
        <v>215</v>
      </c>
      <c r="E176" t="s">
        <v>24</v>
      </c>
      <c r="F176">
        <v>1994</v>
      </c>
      <c r="G176" t="s">
        <v>219</v>
      </c>
      <c r="H176">
        <v>330</v>
      </c>
      <c r="I176">
        <v>217</v>
      </c>
      <c r="K176">
        <v>8.7899999999999991</v>
      </c>
      <c r="N176">
        <v>7</v>
      </c>
      <c r="O176" t="s">
        <v>73</v>
      </c>
      <c r="P176" t="s">
        <v>109</v>
      </c>
      <c r="Q176">
        <v>250</v>
      </c>
      <c r="R176">
        <v>600</v>
      </c>
      <c r="S176">
        <v>195.93</v>
      </c>
      <c r="U176">
        <v>228</v>
      </c>
      <c r="V176">
        <f t="shared" si="36"/>
        <v>32.069999999999993</v>
      </c>
      <c r="W176" s="13">
        <f t="shared" si="35"/>
        <v>4581.4285714285697</v>
      </c>
      <c r="X176" s="11">
        <f t="shared" si="31"/>
        <v>2.338298663516853</v>
      </c>
    </row>
    <row r="177" spans="1:24" x14ac:dyDescent="0.35">
      <c r="A177">
        <v>2005</v>
      </c>
      <c r="B177" t="s">
        <v>218</v>
      </c>
      <c r="C177" t="s">
        <v>217</v>
      </c>
      <c r="D177" t="s">
        <v>215</v>
      </c>
      <c r="E177" t="s">
        <v>24</v>
      </c>
      <c r="F177">
        <v>1994</v>
      </c>
      <c r="G177" t="s">
        <v>220</v>
      </c>
      <c r="H177">
        <v>348</v>
      </c>
      <c r="I177">
        <v>26</v>
      </c>
      <c r="K177">
        <v>8.7899999999999991</v>
      </c>
      <c r="N177">
        <v>7</v>
      </c>
      <c r="O177" t="s">
        <v>73</v>
      </c>
      <c r="P177" t="s">
        <v>109</v>
      </c>
      <c r="Q177">
        <v>250</v>
      </c>
      <c r="R177">
        <v>600</v>
      </c>
      <c r="S177">
        <v>177.8</v>
      </c>
      <c r="U177">
        <v>180.7</v>
      </c>
      <c r="V177">
        <f t="shared" si="36"/>
        <v>2.8999999999999773</v>
      </c>
      <c r="W177" s="13">
        <f t="shared" si="35"/>
        <v>414.28571428571104</v>
      </c>
      <c r="X177" s="11">
        <f t="shared" si="31"/>
        <v>0.23300658846215466</v>
      </c>
    </row>
    <row r="178" spans="1:24" x14ac:dyDescent="0.35">
      <c r="A178">
        <v>2005</v>
      </c>
      <c r="B178" t="s">
        <v>218</v>
      </c>
      <c r="C178" t="s">
        <v>217</v>
      </c>
      <c r="D178" t="s">
        <v>215</v>
      </c>
      <c r="E178" t="s">
        <v>24</v>
      </c>
      <c r="F178">
        <v>1994</v>
      </c>
      <c r="G178" t="s">
        <v>221</v>
      </c>
      <c r="H178">
        <v>243</v>
      </c>
      <c r="I178">
        <v>342</v>
      </c>
      <c r="K178">
        <v>8.7899999999999991</v>
      </c>
      <c r="N178">
        <v>7</v>
      </c>
      <c r="O178" t="s">
        <v>73</v>
      </c>
      <c r="P178" t="s">
        <v>109</v>
      </c>
      <c r="Q178">
        <v>250</v>
      </c>
      <c r="R178">
        <v>600</v>
      </c>
      <c r="S178">
        <v>156.9</v>
      </c>
      <c r="U178">
        <v>169.2</v>
      </c>
      <c r="V178">
        <f t="shared" si="36"/>
        <v>12.299999999999983</v>
      </c>
      <c r="W178" s="13">
        <f t="shared" si="35"/>
        <v>1757.1428571428546</v>
      </c>
      <c r="X178" s="11">
        <f t="shared" si="31"/>
        <v>1.1199125921879252</v>
      </c>
    </row>
    <row r="179" spans="1:24" x14ac:dyDescent="0.35">
      <c r="A179">
        <v>2005</v>
      </c>
      <c r="B179" t="s">
        <v>218</v>
      </c>
      <c r="C179" t="s">
        <v>217</v>
      </c>
      <c r="D179" t="s">
        <v>215</v>
      </c>
      <c r="E179" t="s">
        <v>24</v>
      </c>
      <c r="F179">
        <v>1994</v>
      </c>
      <c r="G179" t="s">
        <v>222</v>
      </c>
      <c r="H179">
        <v>291</v>
      </c>
      <c r="I179">
        <v>18</v>
      </c>
      <c r="K179">
        <v>8.7899999999999991</v>
      </c>
      <c r="N179">
        <v>7</v>
      </c>
      <c r="O179" t="s">
        <v>73</v>
      </c>
      <c r="P179" t="s">
        <v>109</v>
      </c>
      <c r="Q179">
        <v>250</v>
      </c>
      <c r="R179">
        <v>600</v>
      </c>
      <c r="S179">
        <v>147.1</v>
      </c>
      <c r="U179">
        <v>157.5</v>
      </c>
      <c r="V179">
        <f t="shared" si="36"/>
        <v>10.400000000000006</v>
      </c>
      <c r="W179" s="13">
        <f t="shared" si="35"/>
        <v>1485.7142857142865</v>
      </c>
      <c r="X179" s="11">
        <f t="shared" ref="X179:X222" si="37">IF(S179&gt;0,V179/S179/N179*100,V179/T179/N179*100)</f>
        <v>1.0100029134699433</v>
      </c>
    </row>
    <row r="180" spans="1:24" x14ac:dyDescent="0.35">
      <c r="A180">
        <v>2005</v>
      </c>
      <c r="B180" t="s">
        <v>218</v>
      </c>
      <c r="C180" t="s">
        <v>217</v>
      </c>
      <c r="D180" t="s">
        <v>215</v>
      </c>
      <c r="E180" t="s">
        <v>24</v>
      </c>
      <c r="F180">
        <v>1994</v>
      </c>
      <c r="G180" t="s">
        <v>223</v>
      </c>
      <c r="H180">
        <v>347</v>
      </c>
      <c r="I180">
        <v>15</v>
      </c>
      <c r="K180">
        <v>8.7899999999999991</v>
      </c>
      <c r="N180">
        <v>7</v>
      </c>
      <c r="O180" t="s">
        <v>73</v>
      </c>
      <c r="P180" t="s">
        <v>109</v>
      </c>
      <c r="Q180">
        <v>250</v>
      </c>
      <c r="R180">
        <v>600</v>
      </c>
      <c r="S180">
        <v>180.2</v>
      </c>
      <c r="U180">
        <v>200.6</v>
      </c>
      <c r="V180">
        <f t="shared" si="36"/>
        <v>20.400000000000006</v>
      </c>
      <c r="W180" s="13">
        <f t="shared" si="35"/>
        <v>2914.2857142857151</v>
      </c>
      <c r="X180" s="11">
        <f t="shared" si="37"/>
        <v>1.6172506738544483</v>
      </c>
    </row>
    <row r="181" spans="1:24" x14ac:dyDescent="0.35">
      <c r="A181">
        <v>2005</v>
      </c>
      <c r="B181" t="s">
        <v>218</v>
      </c>
      <c r="C181" t="s">
        <v>217</v>
      </c>
      <c r="D181" t="s">
        <v>215</v>
      </c>
      <c r="E181" t="s">
        <v>106</v>
      </c>
      <c r="F181">
        <v>1998</v>
      </c>
      <c r="G181" t="s">
        <v>219</v>
      </c>
      <c r="H181">
        <v>285</v>
      </c>
      <c r="I181">
        <v>193</v>
      </c>
      <c r="K181">
        <v>9.7799999999999994</v>
      </c>
      <c r="N181">
        <v>3</v>
      </c>
      <c r="O181" t="s">
        <v>73</v>
      </c>
      <c r="P181" t="s">
        <v>264</v>
      </c>
      <c r="Q181" s="15">
        <v>200250</v>
      </c>
      <c r="R181">
        <v>600</v>
      </c>
      <c r="T181">
        <v>218.1</v>
      </c>
      <c r="U181">
        <v>224.1</v>
      </c>
      <c r="V181">
        <f t="shared" si="36"/>
        <v>6</v>
      </c>
      <c r="W181" s="13">
        <f t="shared" si="35"/>
        <v>2000</v>
      </c>
      <c r="X181" s="11">
        <f t="shared" si="37"/>
        <v>0.91701054562127482</v>
      </c>
    </row>
    <row r="182" spans="1:24" x14ac:dyDescent="0.35">
      <c r="A182">
        <v>2005</v>
      </c>
      <c r="B182" t="s">
        <v>218</v>
      </c>
      <c r="C182" t="s">
        <v>217</v>
      </c>
      <c r="D182" t="s">
        <v>215</v>
      </c>
      <c r="E182" t="s">
        <v>106</v>
      </c>
      <c r="F182">
        <v>1998</v>
      </c>
      <c r="G182" t="s">
        <v>219</v>
      </c>
      <c r="H182">
        <v>285</v>
      </c>
      <c r="I182">
        <v>193</v>
      </c>
      <c r="K182">
        <v>9.7799999999999994</v>
      </c>
      <c r="N182">
        <v>3</v>
      </c>
      <c r="O182" t="s">
        <v>73</v>
      </c>
      <c r="P182" t="s">
        <v>224</v>
      </c>
      <c r="Q182">
        <v>250</v>
      </c>
      <c r="R182">
        <v>600</v>
      </c>
      <c r="S182">
        <v>186.7</v>
      </c>
      <c r="U182">
        <v>224.1</v>
      </c>
      <c r="V182">
        <f t="shared" si="36"/>
        <v>37.400000000000006</v>
      </c>
      <c r="W182" s="13">
        <f t="shared" si="35"/>
        <v>12466.666666666668</v>
      </c>
      <c r="X182" s="11">
        <f t="shared" si="37"/>
        <v>6.6773790394572412</v>
      </c>
    </row>
    <row r="183" spans="1:24" x14ac:dyDescent="0.35">
      <c r="A183">
        <v>2005</v>
      </c>
      <c r="B183" t="s">
        <v>218</v>
      </c>
      <c r="C183" t="s">
        <v>217</v>
      </c>
      <c r="D183" t="s">
        <v>215</v>
      </c>
      <c r="E183" t="s">
        <v>106</v>
      </c>
      <c r="F183">
        <v>1998</v>
      </c>
      <c r="G183" t="s">
        <v>219</v>
      </c>
      <c r="H183">
        <v>285</v>
      </c>
      <c r="I183">
        <v>193</v>
      </c>
      <c r="K183">
        <v>9.7799999999999994</v>
      </c>
      <c r="N183">
        <v>3</v>
      </c>
      <c r="O183" t="s">
        <v>73</v>
      </c>
      <c r="P183" t="s">
        <v>110</v>
      </c>
      <c r="Q183">
        <v>460</v>
      </c>
      <c r="R183">
        <v>600</v>
      </c>
      <c r="S183">
        <v>173.3</v>
      </c>
      <c r="U183">
        <v>224.1</v>
      </c>
      <c r="V183">
        <f t="shared" si="36"/>
        <v>50.799999999999983</v>
      </c>
      <c r="W183" s="13">
        <f t="shared" si="35"/>
        <v>16933.333333333325</v>
      </c>
      <c r="X183" s="11">
        <f t="shared" si="37"/>
        <v>9.7711098288132288</v>
      </c>
    </row>
    <row r="184" spans="1:24" x14ac:dyDescent="0.35">
      <c r="A184">
        <v>2005</v>
      </c>
      <c r="B184" t="s">
        <v>218</v>
      </c>
      <c r="C184" t="s">
        <v>217</v>
      </c>
      <c r="D184" t="s">
        <v>215</v>
      </c>
      <c r="E184" t="s">
        <v>106</v>
      </c>
      <c r="F184">
        <v>1998</v>
      </c>
      <c r="G184" t="s">
        <v>219</v>
      </c>
      <c r="H184">
        <v>285</v>
      </c>
      <c r="I184">
        <v>193</v>
      </c>
      <c r="K184">
        <v>9.7799999999999994</v>
      </c>
      <c r="N184">
        <v>3</v>
      </c>
      <c r="O184" t="s">
        <v>73</v>
      </c>
      <c r="P184" t="s">
        <v>30</v>
      </c>
      <c r="Q184">
        <v>250</v>
      </c>
      <c r="R184">
        <v>600</v>
      </c>
      <c r="S184">
        <v>203.9</v>
      </c>
      <c r="U184">
        <v>224.1</v>
      </c>
      <c r="V184">
        <f t="shared" si="36"/>
        <v>20.199999999999989</v>
      </c>
      <c r="W184" s="13">
        <f>V184/N184*1000</f>
        <v>6733.3333333333294</v>
      </c>
      <c r="X184" s="11">
        <f t="shared" si="37"/>
        <v>3.3022723557299316</v>
      </c>
    </row>
    <row r="185" spans="1:24" x14ac:dyDescent="0.35">
      <c r="W185" s="13"/>
      <c r="X185" s="11"/>
    </row>
    <row r="186" spans="1:24" x14ac:dyDescent="0.35">
      <c r="A186">
        <v>2005</v>
      </c>
      <c r="B186" t="s">
        <v>218</v>
      </c>
      <c r="C186" t="s">
        <v>225</v>
      </c>
      <c r="D186" t="s">
        <v>226</v>
      </c>
      <c r="E186" t="s">
        <v>24</v>
      </c>
      <c r="F186">
        <v>1994</v>
      </c>
      <c r="G186" t="s">
        <v>253</v>
      </c>
      <c r="K186">
        <v>7.53</v>
      </c>
      <c r="N186">
        <v>7</v>
      </c>
      <c r="O186" t="s">
        <v>151</v>
      </c>
      <c r="P186" t="s">
        <v>109</v>
      </c>
      <c r="Q186">
        <v>250</v>
      </c>
      <c r="R186">
        <v>300</v>
      </c>
      <c r="S186">
        <f>46.4+33.3</f>
        <v>79.699999999999989</v>
      </c>
      <c r="U186">
        <f>54.3+39</f>
        <v>93.3</v>
      </c>
      <c r="V186">
        <f t="shared" si="36"/>
        <v>13.600000000000009</v>
      </c>
      <c r="W186" s="13">
        <f t="shared" ref="W186:W222" si="38">V186/N186*1000</f>
        <v>1942.8571428571443</v>
      </c>
      <c r="X186" s="11">
        <f t="shared" si="37"/>
        <v>2.4377128517655509</v>
      </c>
    </row>
    <row r="187" spans="1:24" x14ac:dyDescent="0.35">
      <c r="A187">
        <v>2005</v>
      </c>
      <c r="B187" t="s">
        <v>218</v>
      </c>
      <c r="C187" t="s">
        <v>225</v>
      </c>
      <c r="D187" t="s">
        <v>23</v>
      </c>
      <c r="E187" t="s">
        <v>24</v>
      </c>
      <c r="F187">
        <v>1994</v>
      </c>
      <c r="G187" t="s">
        <v>254</v>
      </c>
      <c r="K187">
        <v>7.65</v>
      </c>
      <c r="N187">
        <v>7</v>
      </c>
      <c r="O187" t="s">
        <v>151</v>
      </c>
      <c r="P187" t="s">
        <v>109</v>
      </c>
      <c r="Q187">
        <v>250</v>
      </c>
      <c r="R187">
        <v>300</v>
      </c>
      <c r="S187">
        <f>38.7+41.4</f>
        <v>80.099999999999994</v>
      </c>
      <c r="U187">
        <f>40.5+39.6</f>
        <v>80.099999999999994</v>
      </c>
      <c r="V187">
        <f t="shared" si="36"/>
        <v>0</v>
      </c>
      <c r="W187" s="13">
        <f t="shared" si="38"/>
        <v>0</v>
      </c>
      <c r="X187" s="11">
        <f t="shared" si="37"/>
        <v>0</v>
      </c>
    </row>
    <row r="188" spans="1:24" x14ac:dyDescent="0.35">
      <c r="A188">
        <v>2005</v>
      </c>
      <c r="B188" t="s">
        <v>218</v>
      </c>
      <c r="C188" t="s">
        <v>225</v>
      </c>
      <c r="D188" t="s">
        <v>33</v>
      </c>
      <c r="E188" t="s">
        <v>24</v>
      </c>
      <c r="F188">
        <v>1994</v>
      </c>
      <c r="G188" t="s">
        <v>255</v>
      </c>
      <c r="K188">
        <v>7.77</v>
      </c>
      <c r="N188">
        <v>7</v>
      </c>
      <c r="O188" t="s">
        <v>151</v>
      </c>
      <c r="P188" t="s">
        <v>109</v>
      </c>
      <c r="Q188">
        <v>250</v>
      </c>
      <c r="R188">
        <v>300</v>
      </c>
      <c r="S188">
        <f>35.4+31.2</f>
        <v>66.599999999999994</v>
      </c>
      <c r="U188">
        <f>42.3+27</f>
        <v>69.3</v>
      </c>
      <c r="V188">
        <f t="shared" si="36"/>
        <v>2.7000000000000028</v>
      </c>
      <c r="W188" s="13">
        <f t="shared" si="38"/>
        <v>385.71428571428612</v>
      </c>
      <c r="X188" s="11">
        <f t="shared" si="37"/>
        <v>0.57915057915057977</v>
      </c>
    </row>
    <row r="189" spans="1:24" x14ac:dyDescent="0.35">
      <c r="A189">
        <v>2005</v>
      </c>
      <c r="B189" t="s">
        <v>218</v>
      </c>
      <c r="C189" t="s">
        <v>225</v>
      </c>
      <c r="D189" t="s">
        <v>37</v>
      </c>
      <c r="E189" t="s">
        <v>24</v>
      </c>
      <c r="F189">
        <v>1994</v>
      </c>
      <c r="G189" t="s">
        <v>256</v>
      </c>
      <c r="K189">
        <v>7.52</v>
      </c>
      <c r="N189">
        <v>7</v>
      </c>
      <c r="O189" t="s">
        <v>151</v>
      </c>
      <c r="P189" t="s">
        <v>109</v>
      </c>
      <c r="Q189">
        <v>250</v>
      </c>
      <c r="R189">
        <v>300</v>
      </c>
      <c r="S189">
        <f>30.9+36.3</f>
        <v>67.199999999999989</v>
      </c>
      <c r="U189">
        <f>32.9+35.9</f>
        <v>68.8</v>
      </c>
      <c r="V189">
        <f t="shared" si="36"/>
        <v>1.6000000000000085</v>
      </c>
      <c r="W189" s="13">
        <f t="shared" si="38"/>
        <v>228.57142857142978</v>
      </c>
      <c r="X189" s="11">
        <f t="shared" si="37"/>
        <v>0.34013605442177058</v>
      </c>
    </row>
    <row r="190" spans="1:24" x14ac:dyDescent="0.35">
      <c r="A190">
        <v>2005</v>
      </c>
      <c r="B190" t="s">
        <v>218</v>
      </c>
      <c r="C190" t="s">
        <v>225</v>
      </c>
      <c r="D190" t="s">
        <v>227</v>
      </c>
      <c r="E190" t="s">
        <v>24</v>
      </c>
      <c r="F190">
        <v>1994</v>
      </c>
      <c r="G190" t="s">
        <v>257</v>
      </c>
      <c r="K190">
        <v>10.210000000000001</v>
      </c>
      <c r="N190">
        <v>7</v>
      </c>
      <c r="O190" t="s">
        <v>151</v>
      </c>
      <c r="P190" t="s">
        <v>109</v>
      </c>
      <c r="Q190">
        <v>250</v>
      </c>
      <c r="R190">
        <v>300</v>
      </c>
      <c r="S190">
        <f>39.9+35.1</f>
        <v>75</v>
      </c>
      <c r="U190">
        <f>47.6+35</f>
        <v>82.6</v>
      </c>
      <c r="V190">
        <f t="shared" si="36"/>
        <v>7.5999999999999943</v>
      </c>
      <c r="W190" s="13">
        <f t="shared" si="38"/>
        <v>1085.7142857142849</v>
      </c>
      <c r="X190" s="11">
        <f t="shared" si="37"/>
        <v>1.4476190476190465</v>
      </c>
    </row>
    <row r="191" spans="1:24" x14ac:dyDescent="0.35">
      <c r="A191">
        <v>2005</v>
      </c>
      <c r="B191" t="s">
        <v>218</v>
      </c>
      <c r="C191" t="s">
        <v>225</v>
      </c>
      <c r="D191" t="s">
        <v>35</v>
      </c>
      <c r="E191" t="s">
        <v>24</v>
      </c>
      <c r="F191">
        <v>1998</v>
      </c>
      <c r="G191" t="s">
        <v>253</v>
      </c>
      <c r="K191">
        <v>9.67</v>
      </c>
      <c r="N191">
        <v>3</v>
      </c>
      <c r="O191" t="s">
        <v>151</v>
      </c>
      <c r="P191" t="s">
        <v>259</v>
      </c>
      <c r="Q191" s="15">
        <v>200250</v>
      </c>
      <c r="R191">
        <v>300</v>
      </c>
      <c r="T191">
        <f>49.2+48.5</f>
        <v>97.7</v>
      </c>
      <c r="U191">
        <f t="shared" ref="U191:U194" si="39">39.6+44.7</f>
        <v>84.300000000000011</v>
      </c>
      <c r="V191">
        <f t="shared" si="36"/>
        <v>-13.399999999999991</v>
      </c>
      <c r="W191" s="13">
        <f t="shared" si="38"/>
        <v>-4466.6666666666642</v>
      </c>
      <c r="X191" s="11">
        <f t="shared" si="37"/>
        <v>-4.5718184919822553</v>
      </c>
    </row>
    <row r="192" spans="1:24" x14ac:dyDescent="0.35">
      <c r="A192">
        <v>2005</v>
      </c>
      <c r="B192" t="s">
        <v>218</v>
      </c>
      <c r="C192" t="s">
        <v>225</v>
      </c>
      <c r="D192" t="s">
        <v>35</v>
      </c>
      <c r="E192" t="s">
        <v>24</v>
      </c>
      <c r="F192">
        <v>1998</v>
      </c>
      <c r="G192" t="s">
        <v>253</v>
      </c>
      <c r="K192">
        <v>9.67</v>
      </c>
      <c r="N192">
        <v>3</v>
      </c>
      <c r="O192" t="s">
        <v>151</v>
      </c>
      <c r="P192" t="s">
        <v>109</v>
      </c>
      <c r="Q192">
        <v>250</v>
      </c>
      <c r="R192">
        <v>300</v>
      </c>
      <c r="S192">
        <f>47.7+41.7</f>
        <v>89.4</v>
      </c>
      <c r="U192">
        <f t="shared" si="39"/>
        <v>84.300000000000011</v>
      </c>
      <c r="V192">
        <f t="shared" si="36"/>
        <v>-5.0999999999999943</v>
      </c>
      <c r="W192" s="13">
        <f t="shared" si="38"/>
        <v>-1699.9999999999982</v>
      </c>
      <c r="X192" s="11">
        <f t="shared" si="37"/>
        <v>-1.9015659955257249</v>
      </c>
    </row>
    <row r="193" spans="1:24" x14ac:dyDescent="0.35">
      <c r="A193">
        <v>2005</v>
      </c>
      <c r="B193" t="s">
        <v>218</v>
      </c>
      <c r="C193" t="s">
        <v>225</v>
      </c>
      <c r="D193" t="s">
        <v>35</v>
      </c>
      <c r="E193" t="s">
        <v>24</v>
      </c>
      <c r="F193">
        <v>1998</v>
      </c>
      <c r="G193" t="s">
        <v>253</v>
      </c>
      <c r="K193">
        <v>9.67</v>
      </c>
      <c r="N193">
        <v>3</v>
      </c>
      <c r="O193" t="s">
        <v>151</v>
      </c>
      <c r="P193" t="s">
        <v>29</v>
      </c>
      <c r="Q193">
        <v>460</v>
      </c>
      <c r="R193">
        <v>300</v>
      </c>
      <c r="S193">
        <f>38.4+37.7</f>
        <v>76.099999999999994</v>
      </c>
      <c r="U193">
        <f t="shared" si="39"/>
        <v>84.300000000000011</v>
      </c>
      <c r="V193">
        <f t="shared" si="36"/>
        <v>8.2000000000000171</v>
      </c>
      <c r="W193" s="13">
        <f t="shared" si="38"/>
        <v>2733.3333333333389</v>
      </c>
      <c r="X193" s="11">
        <f t="shared" si="37"/>
        <v>3.5917652212001836</v>
      </c>
    </row>
    <row r="194" spans="1:24" x14ac:dyDescent="0.35">
      <c r="A194">
        <v>2005</v>
      </c>
      <c r="B194" t="s">
        <v>218</v>
      </c>
      <c r="C194" t="s">
        <v>225</v>
      </c>
      <c r="D194" t="s">
        <v>35</v>
      </c>
      <c r="E194" t="s">
        <v>24</v>
      </c>
      <c r="F194">
        <v>1998</v>
      </c>
      <c r="G194" t="s">
        <v>253</v>
      </c>
      <c r="K194">
        <v>9.67</v>
      </c>
      <c r="N194">
        <v>3</v>
      </c>
      <c r="O194" t="s">
        <v>151</v>
      </c>
      <c r="P194" t="s">
        <v>203</v>
      </c>
      <c r="Q194">
        <v>250</v>
      </c>
      <c r="R194">
        <v>300</v>
      </c>
      <c r="S194">
        <f>42.9+46.4</f>
        <v>89.3</v>
      </c>
      <c r="U194">
        <f t="shared" si="39"/>
        <v>84.300000000000011</v>
      </c>
      <c r="V194">
        <f t="shared" si="36"/>
        <v>-4.9999999999999858</v>
      </c>
      <c r="W194" s="13">
        <f t="shared" si="38"/>
        <v>-1666.666666666662</v>
      </c>
      <c r="X194" s="11">
        <f t="shared" si="37"/>
        <v>-1.8663680477790168</v>
      </c>
    </row>
    <row r="195" spans="1:24" x14ac:dyDescent="0.35">
      <c r="W195" s="13"/>
      <c r="X195" s="11"/>
    </row>
    <row r="196" spans="1:24" x14ac:dyDescent="0.35">
      <c r="A196">
        <v>2002</v>
      </c>
      <c r="B196" t="s">
        <v>229</v>
      </c>
      <c r="C196" t="s">
        <v>228</v>
      </c>
      <c r="D196" t="s">
        <v>126</v>
      </c>
      <c r="E196" t="s">
        <v>77</v>
      </c>
      <c r="F196">
        <v>1983</v>
      </c>
      <c r="G196" t="s">
        <v>81</v>
      </c>
      <c r="K196">
        <v>5.91</v>
      </c>
      <c r="L196">
        <v>418</v>
      </c>
      <c r="N196">
        <v>12</v>
      </c>
      <c r="O196" t="s">
        <v>230</v>
      </c>
      <c r="P196" t="s">
        <v>232</v>
      </c>
      <c r="Q196">
        <v>120</v>
      </c>
      <c r="R196">
        <v>304</v>
      </c>
      <c r="S196">
        <v>65.599999999999994</v>
      </c>
      <c r="U196">
        <v>62.9</v>
      </c>
      <c r="V196">
        <f t="shared" si="36"/>
        <v>-2.6999999999999957</v>
      </c>
      <c r="W196" s="13">
        <f t="shared" si="38"/>
        <v>-224.99999999999966</v>
      </c>
      <c r="X196" s="11">
        <f t="shared" si="37"/>
        <v>-0.34298780487804825</v>
      </c>
    </row>
    <row r="197" spans="1:24" x14ac:dyDescent="0.35">
      <c r="A197">
        <v>2002</v>
      </c>
      <c r="B197" t="s">
        <v>229</v>
      </c>
      <c r="C197" t="s">
        <v>228</v>
      </c>
      <c r="D197" t="s">
        <v>126</v>
      </c>
      <c r="E197" t="s">
        <v>77</v>
      </c>
      <c r="F197">
        <v>1983</v>
      </c>
      <c r="G197" t="s">
        <v>81</v>
      </c>
      <c r="K197">
        <v>5.91</v>
      </c>
      <c r="L197">
        <v>418</v>
      </c>
      <c r="N197">
        <v>12</v>
      </c>
      <c r="O197" t="s">
        <v>230</v>
      </c>
      <c r="P197" t="s">
        <v>260</v>
      </c>
      <c r="Q197" s="14" t="s">
        <v>262</v>
      </c>
      <c r="R197">
        <v>304</v>
      </c>
      <c r="T197">
        <v>65.5</v>
      </c>
      <c r="U197">
        <v>62.9</v>
      </c>
      <c r="V197">
        <f t="shared" si="36"/>
        <v>-2.6000000000000014</v>
      </c>
      <c r="W197" s="13">
        <f t="shared" si="38"/>
        <v>-216.6666666666668</v>
      </c>
      <c r="X197" s="11">
        <f t="shared" si="37"/>
        <v>-0.330788804071247</v>
      </c>
    </row>
    <row r="198" spans="1:24" x14ac:dyDescent="0.35">
      <c r="A198">
        <v>2002</v>
      </c>
      <c r="B198" t="s">
        <v>229</v>
      </c>
      <c r="C198" t="s">
        <v>228</v>
      </c>
      <c r="D198" t="s">
        <v>126</v>
      </c>
      <c r="E198" t="s">
        <v>77</v>
      </c>
      <c r="F198">
        <v>1983</v>
      </c>
      <c r="G198" t="s">
        <v>81</v>
      </c>
      <c r="K198">
        <v>5.91</v>
      </c>
      <c r="L198">
        <v>418</v>
      </c>
      <c r="N198">
        <v>12</v>
      </c>
      <c r="O198" t="s">
        <v>231</v>
      </c>
      <c r="P198" t="s">
        <v>252</v>
      </c>
      <c r="Q198">
        <v>150</v>
      </c>
      <c r="R198">
        <v>304</v>
      </c>
      <c r="S198">
        <v>64.099999999999994</v>
      </c>
      <c r="U198">
        <v>70.599999999999994</v>
      </c>
      <c r="V198">
        <f t="shared" si="36"/>
        <v>6.5</v>
      </c>
      <c r="W198" s="13">
        <f t="shared" si="38"/>
        <v>541.66666666666663</v>
      </c>
      <c r="X198" s="11">
        <f t="shared" si="37"/>
        <v>0.84503380135205419</v>
      </c>
    </row>
    <row r="199" spans="1:24" x14ac:dyDescent="0.35">
      <c r="A199">
        <v>2002</v>
      </c>
      <c r="B199" t="s">
        <v>229</v>
      </c>
      <c r="C199" t="s">
        <v>228</v>
      </c>
      <c r="D199" t="s">
        <v>126</v>
      </c>
      <c r="E199" t="s">
        <v>77</v>
      </c>
      <c r="F199">
        <v>1983</v>
      </c>
      <c r="G199" t="s">
        <v>81</v>
      </c>
      <c r="K199">
        <v>5.91</v>
      </c>
      <c r="L199">
        <v>418</v>
      </c>
      <c r="N199">
        <v>12</v>
      </c>
      <c r="O199" t="s">
        <v>231</v>
      </c>
      <c r="P199" t="s">
        <v>261</v>
      </c>
      <c r="Q199" s="14" t="s">
        <v>263</v>
      </c>
      <c r="R199">
        <v>304</v>
      </c>
      <c r="T199">
        <v>68.900000000000006</v>
      </c>
      <c r="U199">
        <v>70.599999999999994</v>
      </c>
      <c r="V199">
        <f t="shared" si="36"/>
        <v>1.6999999999999886</v>
      </c>
      <c r="W199" s="13">
        <f t="shared" si="38"/>
        <v>141.66666666666572</v>
      </c>
      <c r="X199" s="11">
        <f t="shared" si="37"/>
        <v>0.20561199806482686</v>
      </c>
    </row>
    <row r="200" spans="1:24" x14ac:dyDescent="0.35">
      <c r="W200" s="13"/>
      <c r="X200" s="11"/>
    </row>
    <row r="201" spans="1:24" s="20" customFormat="1" x14ac:dyDescent="0.35">
      <c r="A201" s="20">
        <v>2001</v>
      </c>
      <c r="B201" s="20" t="s">
        <v>234</v>
      </c>
      <c r="C201" s="20" t="s">
        <v>233</v>
      </c>
      <c r="D201" s="20" t="s">
        <v>235</v>
      </c>
      <c r="E201" s="20" t="s">
        <v>236</v>
      </c>
      <c r="F201" s="20">
        <v>1989</v>
      </c>
      <c r="G201" s="20" t="s">
        <v>150</v>
      </c>
      <c r="J201" s="21"/>
      <c r="L201" s="20">
        <v>475</v>
      </c>
      <c r="M201" s="21"/>
      <c r="N201" s="20">
        <v>8</v>
      </c>
      <c r="O201" s="20" t="s">
        <v>73</v>
      </c>
      <c r="P201" s="20" t="s">
        <v>258</v>
      </c>
      <c r="R201" s="20">
        <v>200</v>
      </c>
      <c r="S201" s="20">
        <v>39.68</v>
      </c>
      <c r="T201" s="20">
        <v>53.24</v>
      </c>
      <c r="V201" s="20">
        <f t="shared" ref="V196:V222" si="40">IF(ISBLANK($T201),$U201-$S201,$T201-$S201)</f>
        <v>13.560000000000002</v>
      </c>
      <c r="W201" s="22">
        <f t="shared" si="38"/>
        <v>1695.0000000000002</v>
      </c>
      <c r="X201" s="23">
        <f t="shared" si="37"/>
        <v>4.2716733870967749</v>
      </c>
    </row>
    <row r="202" spans="1:24" s="20" customFormat="1" x14ac:dyDescent="0.35">
      <c r="A202" s="20">
        <v>2001</v>
      </c>
      <c r="B202" s="20" t="s">
        <v>234</v>
      </c>
      <c r="C202" s="20" t="s">
        <v>233</v>
      </c>
      <c r="D202" s="20" t="s">
        <v>235</v>
      </c>
      <c r="E202" s="20" t="s">
        <v>236</v>
      </c>
      <c r="F202" s="20">
        <v>1989</v>
      </c>
      <c r="G202" s="20" t="s">
        <v>150</v>
      </c>
      <c r="J202" s="21"/>
      <c r="L202" s="20">
        <v>520</v>
      </c>
      <c r="M202" s="21"/>
      <c r="N202" s="20">
        <v>9</v>
      </c>
      <c r="O202" s="20" t="s">
        <v>73</v>
      </c>
      <c r="P202" s="20" t="s">
        <v>258</v>
      </c>
      <c r="R202" s="20">
        <v>200</v>
      </c>
      <c r="S202" s="20">
        <v>55.95</v>
      </c>
      <c r="T202" s="20">
        <v>51.89</v>
      </c>
      <c r="V202" s="20">
        <f t="shared" si="40"/>
        <v>-4.0600000000000023</v>
      </c>
      <c r="W202" s="22">
        <f t="shared" si="38"/>
        <v>-451.11111111111137</v>
      </c>
      <c r="X202" s="23">
        <f t="shared" si="37"/>
        <v>-0.80627544434514975</v>
      </c>
    </row>
    <row r="203" spans="1:24" x14ac:dyDescent="0.35">
      <c r="W203" s="13"/>
      <c r="X203" s="11"/>
    </row>
    <row r="204" spans="1:24" x14ac:dyDescent="0.35">
      <c r="A204">
        <v>2000</v>
      </c>
      <c r="B204" t="s">
        <v>238</v>
      </c>
      <c r="C204" t="s">
        <v>237</v>
      </c>
      <c r="D204" t="s">
        <v>201</v>
      </c>
      <c r="E204" t="s">
        <v>239</v>
      </c>
      <c r="F204">
        <v>1980</v>
      </c>
      <c r="G204" t="s">
        <v>68</v>
      </c>
      <c r="K204">
        <v>7</v>
      </c>
      <c r="L204">
        <v>820</v>
      </c>
      <c r="N204">
        <v>2</v>
      </c>
      <c r="O204" t="s">
        <v>248</v>
      </c>
      <c r="P204" t="s">
        <v>28</v>
      </c>
      <c r="Q204">
        <v>170</v>
      </c>
      <c r="R204">
        <v>300</v>
      </c>
      <c r="S204">
        <v>87</v>
      </c>
      <c r="U204">
        <v>107</v>
      </c>
      <c r="V204">
        <f>IF(ISBLANK($T204),$U204-$S204,$U204-$T204)</f>
        <v>20</v>
      </c>
      <c r="W204" s="13">
        <f t="shared" si="38"/>
        <v>10000</v>
      </c>
      <c r="X204" s="11">
        <f t="shared" si="37"/>
        <v>11.494252873563218</v>
      </c>
    </row>
    <row r="205" spans="1:24" x14ac:dyDescent="0.35">
      <c r="A205">
        <v>2000</v>
      </c>
      <c r="B205" t="s">
        <v>238</v>
      </c>
      <c r="C205" t="s">
        <v>237</v>
      </c>
      <c r="D205" t="s">
        <v>201</v>
      </c>
      <c r="E205" t="s">
        <v>239</v>
      </c>
      <c r="F205">
        <v>1980</v>
      </c>
      <c r="G205" t="s">
        <v>68</v>
      </c>
      <c r="K205">
        <v>7</v>
      </c>
      <c r="L205">
        <v>820</v>
      </c>
      <c r="N205">
        <v>2</v>
      </c>
      <c r="O205" t="s">
        <v>250</v>
      </c>
      <c r="P205" t="s">
        <v>28</v>
      </c>
      <c r="Q205">
        <v>170</v>
      </c>
      <c r="R205">
        <v>300</v>
      </c>
      <c r="S205">
        <v>95.5</v>
      </c>
      <c r="U205">
        <v>89.1</v>
      </c>
      <c r="V205">
        <f t="shared" ref="V205:V219" si="41">IF(ISBLANK($T205),$U205-$S205,$U205-$T205)</f>
        <v>-6.4000000000000057</v>
      </c>
      <c r="W205" s="13">
        <f t="shared" si="38"/>
        <v>-3200.0000000000027</v>
      </c>
      <c r="X205" s="11">
        <f t="shared" si="37"/>
        <v>-3.3507853403141392</v>
      </c>
    </row>
    <row r="206" spans="1:24" x14ac:dyDescent="0.35">
      <c r="A206">
        <v>2000</v>
      </c>
      <c r="B206" t="s">
        <v>238</v>
      </c>
      <c r="C206" t="s">
        <v>237</v>
      </c>
      <c r="D206" t="s">
        <v>201</v>
      </c>
      <c r="E206" t="s">
        <v>239</v>
      </c>
      <c r="F206">
        <v>1980</v>
      </c>
      <c r="G206" t="s">
        <v>68</v>
      </c>
      <c r="K206">
        <v>7</v>
      </c>
      <c r="L206">
        <v>820</v>
      </c>
      <c r="N206">
        <v>2</v>
      </c>
      <c r="O206" t="s">
        <v>248</v>
      </c>
      <c r="P206" t="s">
        <v>203</v>
      </c>
      <c r="Q206">
        <v>230</v>
      </c>
      <c r="R206">
        <v>300</v>
      </c>
      <c r="S206">
        <v>101.2</v>
      </c>
      <c r="U206">
        <v>107</v>
      </c>
      <c r="V206">
        <f t="shared" si="41"/>
        <v>5.7999999999999972</v>
      </c>
      <c r="W206" s="13">
        <f t="shared" si="38"/>
        <v>2899.9999999999986</v>
      </c>
      <c r="X206" s="11">
        <f t="shared" si="37"/>
        <v>2.8656126482213424</v>
      </c>
    </row>
    <row r="207" spans="1:24" x14ac:dyDescent="0.35">
      <c r="A207">
        <v>2000</v>
      </c>
      <c r="B207" t="s">
        <v>238</v>
      </c>
      <c r="C207" t="s">
        <v>237</v>
      </c>
      <c r="D207" t="s">
        <v>201</v>
      </c>
      <c r="E207" t="s">
        <v>239</v>
      </c>
      <c r="F207">
        <v>1980</v>
      </c>
      <c r="G207" t="s">
        <v>68</v>
      </c>
      <c r="K207">
        <v>7</v>
      </c>
      <c r="L207">
        <v>820</v>
      </c>
      <c r="N207">
        <v>2</v>
      </c>
      <c r="O207" t="s">
        <v>246</v>
      </c>
      <c r="P207" t="s">
        <v>203</v>
      </c>
      <c r="Q207">
        <v>230</v>
      </c>
      <c r="R207">
        <v>300</v>
      </c>
      <c r="S207">
        <v>99.1</v>
      </c>
      <c r="U207">
        <v>89.1</v>
      </c>
      <c r="V207">
        <f t="shared" si="41"/>
        <v>-10</v>
      </c>
      <c r="W207" s="13">
        <f t="shared" si="38"/>
        <v>-5000</v>
      </c>
      <c r="X207" s="11">
        <f t="shared" si="37"/>
        <v>-5.0454086781029268</v>
      </c>
    </row>
    <row r="208" spans="1:24" x14ac:dyDescent="0.35">
      <c r="A208">
        <v>2000</v>
      </c>
      <c r="B208" t="s">
        <v>238</v>
      </c>
      <c r="C208" t="s">
        <v>237</v>
      </c>
      <c r="D208" t="s">
        <v>201</v>
      </c>
      <c r="E208" t="s">
        <v>239</v>
      </c>
      <c r="F208">
        <v>1980</v>
      </c>
      <c r="G208" t="s">
        <v>68</v>
      </c>
      <c r="K208">
        <v>7</v>
      </c>
      <c r="L208">
        <v>820</v>
      </c>
      <c r="N208">
        <v>2</v>
      </c>
      <c r="O208" t="s">
        <v>249</v>
      </c>
      <c r="P208" t="s">
        <v>28</v>
      </c>
      <c r="Q208">
        <v>170</v>
      </c>
      <c r="R208">
        <v>300</v>
      </c>
      <c r="S208">
        <v>93.5</v>
      </c>
      <c r="U208">
        <v>101.6</v>
      </c>
      <c r="V208">
        <f t="shared" si="41"/>
        <v>8.0999999999999943</v>
      </c>
      <c r="W208" s="13">
        <f t="shared" si="38"/>
        <v>4049.9999999999973</v>
      </c>
      <c r="X208" s="11">
        <f t="shared" si="37"/>
        <v>4.3315508021390343</v>
      </c>
    </row>
    <row r="209" spans="1:24" x14ac:dyDescent="0.35">
      <c r="A209">
        <v>2000</v>
      </c>
      <c r="B209" t="s">
        <v>238</v>
      </c>
      <c r="C209" t="s">
        <v>237</v>
      </c>
      <c r="D209" t="s">
        <v>201</v>
      </c>
      <c r="E209" t="s">
        <v>239</v>
      </c>
      <c r="F209">
        <v>1980</v>
      </c>
      <c r="G209" t="s">
        <v>68</v>
      </c>
      <c r="K209">
        <v>7</v>
      </c>
      <c r="L209">
        <v>820</v>
      </c>
      <c r="N209">
        <v>2</v>
      </c>
      <c r="O209" t="s">
        <v>251</v>
      </c>
      <c r="P209" t="s">
        <v>28</v>
      </c>
      <c r="Q209">
        <v>170</v>
      </c>
      <c r="R209">
        <v>300</v>
      </c>
      <c r="S209">
        <v>97.5</v>
      </c>
      <c r="U209">
        <v>100</v>
      </c>
      <c r="V209">
        <f t="shared" si="41"/>
        <v>2.5</v>
      </c>
      <c r="W209" s="13">
        <f t="shared" si="38"/>
        <v>1250</v>
      </c>
      <c r="X209" s="11">
        <f t="shared" si="37"/>
        <v>1.2820512820512819</v>
      </c>
    </row>
    <row r="210" spans="1:24" x14ac:dyDescent="0.35">
      <c r="A210">
        <v>2000</v>
      </c>
      <c r="B210" t="s">
        <v>238</v>
      </c>
      <c r="C210" t="s">
        <v>237</v>
      </c>
      <c r="D210" t="s">
        <v>201</v>
      </c>
      <c r="E210" t="s">
        <v>239</v>
      </c>
      <c r="F210">
        <v>1980</v>
      </c>
      <c r="G210" t="s">
        <v>68</v>
      </c>
      <c r="K210">
        <v>7</v>
      </c>
      <c r="L210">
        <v>820</v>
      </c>
      <c r="N210">
        <v>2</v>
      </c>
      <c r="O210" t="s">
        <v>249</v>
      </c>
      <c r="P210" t="s">
        <v>203</v>
      </c>
      <c r="Q210">
        <v>230</v>
      </c>
      <c r="R210">
        <v>300</v>
      </c>
      <c r="S210">
        <v>109.8</v>
      </c>
      <c r="U210">
        <v>101.6</v>
      </c>
      <c r="V210">
        <f t="shared" si="41"/>
        <v>-8.2000000000000028</v>
      </c>
      <c r="W210" s="13">
        <f t="shared" si="38"/>
        <v>-4100.0000000000018</v>
      </c>
      <c r="X210" s="11">
        <f t="shared" si="37"/>
        <v>-3.7340619307832439</v>
      </c>
    </row>
    <row r="211" spans="1:24" x14ac:dyDescent="0.35">
      <c r="A211">
        <v>2000</v>
      </c>
      <c r="B211" t="s">
        <v>238</v>
      </c>
      <c r="C211" t="s">
        <v>237</v>
      </c>
      <c r="D211" t="s">
        <v>201</v>
      </c>
      <c r="E211" t="s">
        <v>239</v>
      </c>
      <c r="F211">
        <v>1980</v>
      </c>
      <c r="G211" t="s">
        <v>68</v>
      </c>
      <c r="K211">
        <v>7</v>
      </c>
      <c r="L211">
        <v>820</v>
      </c>
      <c r="N211">
        <v>2</v>
      </c>
      <c r="O211" t="s">
        <v>247</v>
      </c>
      <c r="P211" t="s">
        <v>203</v>
      </c>
      <c r="Q211">
        <v>230</v>
      </c>
      <c r="R211">
        <v>300</v>
      </c>
      <c r="S211">
        <v>96.8</v>
      </c>
      <c r="U211">
        <v>100</v>
      </c>
      <c r="V211">
        <f t="shared" si="41"/>
        <v>3.2000000000000028</v>
      </c>
      <c r="W211" s="13">
        <f t="shared" si="38"/>
        <v>1600.0000000000014</v>
      </c>
      <c r="X211" s="11">
        <f t="shared" si="37"/>
        <v>1.6528925619834725</v>
      </c>
    </row>
    <row r="212" spans="1:24" x14ac:dyDescent="0.35">
      <c r="A212">
        <v>2000</v>
      </c>
      <c r="B212" t="s">
        <v>238</v>
      </c>
      <c r="C212" t="s">
        <v>237</v>
      </c>
      <c r="D212" t="s">
        <v>201</v>
      </c>
      <c r="E212" t="s">
        <v>239</v>
      </c>
      <c r="F212">
        <v>1980</v>
      </c>
      <c r="G212" t="s">
        <v>68</v>
      </c>
      <c r="K212">
        <v>7</v>
      </c>
      <c r="L212">
        <v>820</v>
      </c>
      <c r="N212">
        <v>13</v>
      </c>
      <c r="O212" t="s">
        <v>248</v>
      </c>
      <c r="P212" t="s">
        <v>28</v>
      </c>
      <c r="Q212">
        <v>170</v>
      </c>
      <c r="R212">
        <v>300</v>
      </c>
      <c r="S212">
        <v>86.8</v>
      </c>
      <c r="U212">
        <v>91.4</v>
      </c>
      <c r="V212">
        <f t="shared" si="41"/>
        <v>4.6000000000000085</v>
      </c>
      <c r="W212" s="13">
        <f t="shared" si="38"/>
        <v>353.84615384615449</v>
      </c>
      <c r="X212" s="11">
        <f t="shared" si="37"/>
        <v>0.40765685926976325</v>
      </c>
    </row>
    <row r="213" spans="1:24" x14ac:dyDescent="0.35">
      <c r="A213">
        <v>2000</v>
      </c>
      <c r="B213" t="s">
        <v>238</v>
      </c>
      <c r="C213" t="s">
        <v>237</v>
      </c>
      <c r="D213" t="s">
        <v>201</v>
      </c>
      <c r="E213" t="s">
        <v>239</v>
      </c>
      <c r="F213">
        <v>1980</v>
      </c>
      <c r="G213" t="s">
        <v>68</v>
      </c>
      <c r="K213">
        <v>7</v>
      </c>
      <c r="L213">
        <v>820</v>
      </c>
      <c r="N213">
        <v>13</v>
      </c>
      <c r="O213" t="s">
        <v>250</v>
      </c>
      <c r="P213" t="s">
        <v>28</v>
      </c>
      <c r="Q213">
        <v>170</v>
      </c>
      <c r="R213">
        <v>300</v>
      </c>
      <c r="S213">
        <v>94.7</v>
      </c>
      <c r="U213">
        <v>85.4</v>
      </c>
      <c r="V213">
        <f t="shared" si="41"/>
        <v>-9.2999999999999972</v>
      </c>
      <c r="W213" s="13">
        <f t="shared" si="38"/>
        <v>-715.38461538461513</v>
      </c>
      <c r="X213" s="11">
        <f t="shared" si="37"/>
        <v>-0.75542198034278263</v>
      </c>
    </row>
    <row r="214" spans="1:24" x14ac:dyDescent="0.35">
      <c r="A214">
        <v>2000</v>
      </c>
      <c r="B214" t="s">
        <v>238</v>
      </c>
      <c r="C214" t="s">
        <v>237</v>
      </c>
      <c r="D214" t="s">
        <v>201</v>
      </c>
      <c r="E214" t="s">
        <v>239</v>
      </c>
      <c r="F214">
        <v>1980</v>
      </c>
      <c r="G214" t="s">
        <v>68</v>
      </c>
      <c r="K214">
        <v>7</v>
      </c>
      <c r="L214">
        <v>820</v>
      </c>
      <c r="N214">
        <v>13</v>
      </c>
      <c r="O214" t="s">
        <v>248</v>
      </c>
      <c r="P214" t="s">
        <v>203</v>
      </c>
      <c r="Q214">
        <v>230</v>
      </c>
      <c r="R214">
        <v>300</v>
      </c>
      <c r="S214">
        <v>93.5</v>
      </c>
      <c r="U214">
        <v>91.4</v>
      </c>
      <c r="V214">
        <f t="shared" si="41"/>
        <v>-2.0999999999999943</v>
      </c>
      <c r="W214" s="13">
        <f t="shared" si="38"/>
        <v>-161.53846153846109</v>
      </c>
      <c r="X214" s="11">
        <f t="shared" si="37"/>
        <v>-0.17276840806252522</v>
      </c>
    </row>
    <row r="215" spans="1:24" x14ac:dyDescent="0.35">
      <c r="A215">
        <v>2000</v>
      </c>
      <c r="B215" t="s">
        <v>238</v>
      </c>
      <c r="C215" t="s">
        <v>237</v>
      </c>
      <c r="D215" t="s">
        <v>201</v>
      </c>
      <c r="E215" t="s">
        <v>239</v>
      </c>
      <c r="F215">
        <v>1980</v>
      </c>
      <c r="G215" t="s">
        <v>68</v>
      </c>
      <c r="K215">
        <v>7</v>
      </c>
      <c r="L215">
        <v>820</v>
      </c>
      <c r="N215">
        <v>13</v>
      </c>
      <c r="O215" t="s">
        <v>246</v>
      </c>
      <c r="P215" t="s">
        <v>203</v>
      </c>
      <c r="Q215">
        <v>230</v>
      </c>
      <c r="R215">
        <v>300</v>
      </c>
      <c r="S215">
        <v>94.7</v>
      </c>
      <c r="U215">
        <v>85.4</v>
      </c>
      <c r="V215">
        <f t="shared" si="41"/>
        <v>-9.2999999999999972</v>
      </c>
      <c r="W215" s="13">
        <f t="shared" si="38"/>
        <v>-715.38461538461513</v>
      </c>
      <c r="X215" s="11">
        <f t="shared" si="37"/>
        <v>-0.75542198034278263</v>
      </c>
    </row>
    <row r="216" spans="1:24" x14ac:dyDescent="0.35">
      <c r="A216">
        <v>2000</v>
      </c>
      <c r="B216" t="s">
        <v>238</v>
      </c>
      <c r="C216" t="s">
        <v>237</v>
      </c>
      <c r="D216" t="s">
        <v>201</v>
      </c>
      <c r="E216" t="s">
        <v>239</v>
      </c>
      <c r="F216">
        <v>1980</v>
      </c>
      <c r="G216" t="s">
        <v>68</v>
      </c>
      <c r="K216">
        <v>7</v>
      </c>
      <c r="L216">
        <v>820</v>
      </c>
      <c r="N216">
        <v>13</v>
      </c>
      <c r="O216" t="s">
        <v>249</v>
      </c>
      <c r="P216" t="s">
        <v>28</v>
      </c>
      <c r="Q216">
        <v>170</v>
      </c>
      <c r="R216">
        <v>300</v>
      </c>
      <c r="S216">
        <v>81.7</v>
      </c>
      <c r="U216">
        <v>87.8</v>
      </c>
      <c r="V216">
        <f t="shared" si="41"/>
        <v>6.0999999999999943</v>
      </c>
      <c r="W216" s="13">
        <f t="shared" si="38"/>
        <v>469.23076923076877</v>
      </c>
      <c r="X216" s="11">
        <f t="shared" si="37"/>
        <v>0.57433386686752597</v>
      </c>
    </row>
    <row r="217" spans="1:24" x14ac:dyDescent="0.35">
      <c r="A217">
        <v>2000</v>
      </c>
      <c r="B217" t="s">
        <v>238</v>
      </c>
      <c r="C217" t="s">
        <v>237</v>
      </c>
      <c r="D217" t="s">
        <v>201</v>
      </c>
      <c r="E217" t="s">
        <v>239</v>
      </c>
      <c r="F217">
        <v>1980</v>
      </c>
      <c r="G217" t="s">
        <v>68</v>
      </c>
      <c r="K217">
        <v>7</v>
      </c>
      <c r="L217">
        <v>820</v>
      </c>
      <c r="N217">
        <v>13</v>
      </c>
      <c r="O217" t="s">
        <v>251</v>
      </c>
      <c r="P217" t="s">
        <v>28</v>
      </c>
      <c r="Q217">
        <v>170</v>
      </c>
      <c r="R217">
        <v>300</v>
      </c>
      <c r="S217">
        <v>101.1</v>
      </c>
      <c r="U217">
        <v>107.1</v>
      </c>
      <c r="V217">
        <f t="shared" si="41"/>
        <v>6</v>
      </c>
      <c r="W217" s="13">
        <f t="shared" si="38"/>
        <v>461.53846153846155</v>
      </c>
      <c r="X217" s="11">
        <f t="shared" si="37"/>
        <v>0.45651677699155446</v>
      </c>
    </row>
    <row r="218" spans="1:24" x14ac:dyDescent="0.35">
      <c r="A218">
        <v>2000</v>
      </c>
      <c r="B218" t="s">
        <v>238</v>
      </c>
      <c r="C218" t="s">
        <v>237</v>
      </c>
      <c r="D218" t="s">
        <v>201</v>
      </c>
      <c r="E218" t="s">
        <v>239</v>
      </c>
      <c r="F218">
        <v>1980</v>
      </c>
      <c r="G218" t="s">
        <v>68</v>
      </c>
      <c r="K218">
        <v>7</v>
      </c>
      <c r="L218">
        <v>820</v>
      </c>
      <c r="N218">
        <v>13</v>
      </c>
      <c r="O218" t="s">
        <v>249</v>
      </c>
      <c r="P218" t="s">
        <v>203</v>
      </c>
      <c r="Q218">
        <v>230</v>
      </c>
      <c r="R218">
        <v>300</v>
      </c>
      <c r="S218">
        <v>95.5</v>
      </c>
      <c r="U218">
        <v>87.8</v>
      </c>
      <c r="V218">
        <f t="shared" si="41"/>
        <v>-7.7000000000000028</v>
      </c>
      <c r="W218" s="13">
        <f t="shared" si="38"/>
        <v>-592.30769230769249</v>
      </c>
      <c r="X218" s="11">
        <f t="shared" si="37"/>
        <v>-0.62021747885622258</v>
      </c>
    </row>
    <row r="219" spans="1:24" x14ac:dyDescent="0.35">
      <c r="A219">
        <v>2000</v>
      </c>
      <c r="B219" t="s">
        <v>238</v>
      </c>
      <c r="C219" t="s">
        <v>237</v>
      </c>
      <c r="D219" t="s">
        <v>201</v>
      </c>
      <c r="E219" t="s">
        <v>239</v>
      </c>
      <c r="F219">
        <v>1980</v>
      </c>
      <c r="G219" t="s">
        <v>68</v>
      </c>
      <c r="K219">
        <v>7</v>
      </c>
      <c r="L219">
        <v>820</v>
      </c>
      <c r="N219">
        <v>13</v>
      </c>
      <c r="O219" t="s">
        <v>247</v>
      </c>
      <c r="P219" t="s">
        <v>203</v>
      </c>
      <c r="Q219">
        <v>230</v>
      </c>
      <c r="R219">
        <v>300</v>
      </c>
      <c r="S219">
        <v>100.4</v>
      </c>
      <c r="U219">
        <v>107.1</v>
      </c>
      <c r="V219">
        <f t="shared" si="41"/>
        <v>6.6999999999999886</v>
      </c>
      <c r="W219" s="13">
        <f t="shared" si="38"/>
        <v>515.38461538461456</v>
      </c>
      <c r="X219" s="11">
        <f t="shared" si="37"/>
        <v>0.51333129022371971</v>
      </c>
    </row>
    <row r="220" spans="1:24" x14ac:dyDescent="0.35">
      <c r="W220" s="13"/>
      <c r="X220" s="11"/>
    </row>
    <row r="221" spans="1:24" x14ac:dyDescent="0.35">
      <c r="A221">
        <v>1999</v>
      </c>
      <c r="B221" t="s">
        <v>241</v>
      </c>
      <c r="C221" t="s">
        <v>240</v>
      </c>
      <c r="D221" t="s">
        <v>242</v>
      </c>
      <c r="E221" t="s">
        <v>243</v>
      </c>
      <c r="F221">
        <v>1994</v>
      </c>
      <c r="G221" t="s">
        <v>244</v>
      </c>
      <c r="K221">
        <v>10.42</v>
      </c>
      <c r="N221">
        <v>2</v>
      </c>
      <c r="O221" t="s">
        <v>73</v>
      </c>
      <c r="P221" t="s">
        <v>245</v>
      </c>
      <c r="Q221">
        <v>100</v>
      </c>
      <c r="R221">
        <v>900</v>
      </c>
      <c r="S221">
        <v>93.5</v>
      </c>
      <c r="U221">
        <v>89.3</v>
      </c>
      <c r="V221">
        <f t="shared" si="40"/>
        <v>-4.2000000000000028</v>
      </c>
      <c r="W221" s="13">
        <f t="shared" si="38"/>
        <v>-2100.0000000000014</v>
      </c>
      <c r="X221" s="11">
        <f t="shared" si="37"/>
        <v>-2.2459893048128357</v>
      </c>
    </row>
    <row r="222" spans="1:24" x14ac:dyDescent="0.35">
      <c r="A222">
        <v>1999</v>
      </c>
      <c r="B222" t="s">
        <v>241</v>
      </c>
      <c r="C222" t="s">
        <v>240</v>
      </c>
      <c r="D222" t="s">
        <v>242</v>
      </c>
      <c r="E222" t="s">
        <v>243</v>
      </c>
      <c r="F222">
        <v>1994</v>
      </c>
      <c r="G222" t="s">
        <v>244</v>
      </c>
      <c r="K222">
        <v>10.42</v>
      </c>
      <c r="N222">
        <v>2</v>
      </c>
      <c r="O222" t="s">
        <v>73</v>
      </c>
      <c r="P222" t="s">
        <v>203</v>
      </c>
      <c r="Q222">
        <v>700</v>
      </c>
      <c r="R222">
        <v>900</v>
      </c>
      <c r="S222">
        <v>89.8</v>
      </c>
      <c r="U222">
        <v>89.3</v>
      </c>
      <c r="V222">
        <f t="shared" si="40"/>
        <v>-0.5</v>
      </c>
      <c r="W222" s="13">
        <f t="shared" si="38"/>
        <v>-250</v>
      </c>
      <c r="X222" s="11">
        <f t="shared" si="37"/>
        <v>-0.27839643652561247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95777-35F6-4DD4-A581-7705946D5449}">
  <dimension ref="A1:F22"/>
  <sheetViews>
    <sheetView workbookViewId="0">
      <selection activeCell="C15" sqref="C15"/>
    </sheetView>
  </sheetViews>
  <sheetFormatPr defaultRowHeight="15.5" x14ac:dyDescent="0.35"/>
  <cols>
    <col min="3" max="3" width="26.15234375" customWidth="1"/>
  </cols>
  <sheetData>
    <row r="1" spans="1:6" x14ac:dyDescent="0.35">
      <c r="A1" s="8" t="s">
        <v>41</v>
      </c>
      <c r="B1" t="s">
        <v>42</v>
      </c>
      <c r="C1" t="s">
        <v>43</v>
      </c>
      <c r="D1" t="s">
        <v>44</v>
      </c>
    </row>
    <row r="2" spans="1:6" x14ac:dyDescent="0.35">
      <c r="A2" s="6" t="s">
        <v>0</v>
      </c>
    </row>
    <row r="3" spans="1:6" x14ac:dyDescent="0.35">
      <c r="A3" s="6" t="s">
        <v>1</v>
      </c>
    </row>
    <row r="4" spans="1:6" x14ac:dyDescent="0.35">
      <c r="A4" s="6" t="s">
        <v>3</v>
      </c>
    </row>
    <row r="5" spans="1:6" x14ac:dyDescent="0.35">
      <c r="A5" s="6" t="s">
        <v>4</v>
      </c>
    </row>
    <row r="6" spans="1:6" x14ac:dyDescent="0.35">
      <c r="A6" s="6" t="s">
        <v>45</v>
      </c>
    </row>
    <row r="7" spans="1:6" x14ac:dyDescent="0.35">
      <c r="A7" s="6" t="s">
        <v>6</v>
      </c>
    </row>
    <row r="8" spans="1:6" x14ac:dyDescent="0.35">
      <c r="A8" s="6" t="s">
        <v>7</v>
      </c>
      <c r="D8" t="s">
        <v>46</v>
      </c>
    </row>
    <row r="9" spans="1:6" x14ac:dyDescent="0.35">
      <c r="A9" s="6" t="s">
        <v>8</v>
      </c>
      <c r="D9" t="s">
        <v>46</v>
      </c>
    </row>
    <row r="10" spans="1:6" x14ac:dyDescent="0.35">
      <c r="A10" s="9">
        <v>2</v>
      </c>
      <c r="B10" s="10"/>
      <c r="C10" s="10"/>
      <c r="D10" s="10"/>
    </row>
    <row r="11" spans="1:6" x14ac:dyDescent="0.35">
      <c r="A11" s="6" t="s">
        <v>9</v>
      </c>
      <c r="C11" t="s">
        <v>47</v>
      </c>
      <c r="D11" t="s">
        <v>48</v>
      </c>
    </row>
    <row r="12" spans="1:6" x14ac:dyDescent="0.35">
      <c r="A12" s="6" t="s">
        <v>49</v>
      </c>
      <c r="C12" t="s">
        <v>50</v>
      </c>
      <c r="D12" t="s">
        <v>51</v>
      </c>
    </row>
    <row r="13" spans="1:6" x14ac:dyDescent="0.35">
      <c r="A13" s="9">
        <v>3</v>
      </c>
      <c r="B13" s="10"/>
      <c r="C13" s="10"/>
      <c r="D13" s="10"/>
    </row>
    <row r="14" spans="1:6" x14ac:dyDescent="0.35">
      <c r="A14" s="4" t="s">
        <v>11</v>
      </c>
      <c r="D14" t="s">
        <v>52</v>
      </c>
    </row>
    <row r="15" spans="1:6" x14ac:dyDescent="0.35">
      <c r="A15" s="4" t="s">
        <v>14</v>
      </c>
      <c r="C15" t="s">
        <v>53</v>
      </c>
      <c r="D15" t="s">
        <v>51</v>
      </c>
    </row>
    <row r="16" spans="1:6" ht="18.5" x14ac:dyDescent="0.35">
      <c r="A16" s="4" t="s">
        <v>15</v>
      </c>
      <c r="C16" t="s">
        <v>54</v>
      </c>
      <c r="D16" t="s">
        <v>55</v>
      </c>
      <c r="E16" s="1"/>
      <c r="F16" s="1"/>
    </row>
    <row r="17" spans="1:6" ht="18.5" x14ac:dyDescent="0.35">
      <c r="A17" s="4" t="s">
        <v>56</v>
      </c>
      <c r="C17" t="s">
        <v>57</v>
      </c>
      <c r="D17" t="s">
        <v>55</v>
      </c>
      <c r="E17" s="1"/>
      <c r="F17" s="1"/>
    </row>
    <row r="18" spans="1:6" ht="18.5" x14ac:dyDescent="0.35">
      <c r="A18" s="4" t="s">
        <v>17</v>
      </c>
      <c r="C18" t="s">
        <v>58</v>
      </c>
      <c r="D18" t="s">
        <v>55</v>
      </c>
      <c r="E18" s="1"/>
      <c r="F18" s="1"/>
    </row>
    <row r="19" spans="1:6" ht="18.5" x14ac:dyDescent="0.35">
      <c r="A19" s="4" t="s">
        <v>18</v>
      </c>
      <c r="B19" s="4"/>
      <c r="D19" t="s">
        <v>55</v>
      </c>
      <c r="E19" s="1"/>
      <c r="F19" s="1"/>
    </row>
    <row r="20" spans="1:6" ht="26" x14ac:dyDescent="0.35">
      <c r="A20" s="4" t="s">
        <v>19</v>
      </c>
      <c r="D20" s="2" t="s">
        <v>59</v>
      </c>
    </row>
    <row r="21" spans="1:6" ht="26" x14ac:dyDescent="0.35">
      <c r="A21" s="4" t="s">
        <v>60</v>
      </c>
      <c r="D21" t="s">
        <v>61</v>
      </c>
    </row>
    <row r="22" spans="1:6" x14ac:dyDescent="0.35">
      <c r="A2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Abbreviation</vt:lpstr>
    </vt:vector>
  </TitlesOfParts>
  <Manager/>
  <Company>Environment Canada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Liang,Chang [NCR]</dc:creator>
  <cp:keywords/>
  <dc:description/>
  <cp:lastModifiedBy>Hung,Chih-Yu (il | he, him) (ECCC)</cp:lastModifiedBy>
  <cp:revision/>
  <dcterms:created xsi:type="dcterms:W3CDTF">2017-12-18T12:36:21Z</dcterms:created>
  <dcterms:modified xsi:type="dcterms:W3CDTF">2024-08-01T01:59:54Z</dcterms:modified>
  <cp:category/>
  <cp:contentStatus/>
</cp:coreProperties>
</file>