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rk\Documents\PlatformIO\Projects\Plant_Watering_Public\Calculations\"/>
    </mc:Choice>
  </mc:AlternateContent>
  <xr:revisionPtr revIDLastSave="0" documentId="13_ncr:1_{D921E842-C8A0-4C11-A297-1A0D74C4D1E5}" xr6:coauthVersionLast="47" xr6:coauthVersionMax="47" xr10:uidLastSave="{00000000-0000-0000-0000-000000000000}"/>
  <bookViews>
    <workbookView xWindow="-28920" yWindow="-120" windowWidth="29040" windowHeight="17640" activeTab="3" xr2:uid="{B5855899-58C7-494D-A2B8-16C41D1F13A9}"/>
  </bookViews>
  <sheets>
    <sheet name="MOSFET" sheetId="1" r:id="rId1"/>
    <sheet name="Shunt_OpAmp" sheetId="2" r:id="rId2"/>
    <sheet name="Buck Converter" sheetId="3" r:id="rId3"/>
    <sheet name="Reverse Polarity Prote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4" l="1"/>
  <c r="O27" i="4"/>
  <c r="M22" i="4"/>
  <c r="M20" i="4"/>
  <c r="M21" i="4"/>
  <c r="M19" i="4"/>
  <c r="O10" i="4"/>
  <c r="O9" i="4"/>
  <c r="D20" i="4"/>
  <c r="D19" i="4"/>
  <c r="D27" i="3"/>
  <c r="D23" i="3"/>
  <c r="F13" i="3"/>
  <c r="F20" i="3"/>
  <c r="D20" i="3"/>
  <c r="F12" i="3"/>
  <c r="F11" i="3"/>
  <c r="D19" i="3"/>
  <c r="D25" i="3" s="1"/>
  <c r="D26" i="3" s="1"/>
  <c r="C5" i="2"/>
  <c r="C7" i="2" s="1"/>
  <c r="K17" i="1"/>
  <c r="K12" i="1"/>
  <c r="K15" i="1"/>
  <c r="K16" i="1" s="1"/>
  <c r="K11" i="1"/>
  <c r="E11" i="1"/>
  <c r="D11" i="1"/>
  <c r="C11" i="1"/>
  <c r="E10" i="1"/>
  <c r="D10" i="1"/>
  <c r="C10" i="1"/>
  <c r="E9" i="1"/>
  <c r="D9" i="1"/>
  <c r="C9" i="1"/>
  <c r="F8" i="1"/>
  <c r="F11" i="1" s="1"/>
  <c r="D21" i="3" l="1"/>
  <c r="D24" i="3" s="1"/>
  <c r="F24" i="3" s="1"/>
  <c r="C13" i="2"/>
  <c r="C9" i="2"/>
  <c r="C11" i="2" s="1"/>
  <c r="K13" i="1"/>
  <c r="K18" i="1"/>
  <c r="F10" i="1"/>
  <c r="F9" i="1"/>
  <c r="D22" i="3" l="1"/>
  <c r="K19" i="1"/>
  <c r="K20" i="1" s="1"/>
</calcChain>
</file>

<file path=xl/sharedStrings.xml><?xml version="1.0" encoding="utf-8"?>
<sst xmlns="http://schemas.openxmlformats.org/spreadsheetml/2006/main" count="141" uniqueCount="83">
  <si>
    <t>MOSFET</t>
  </si>
  <si>
    <t xml:space="preserve">AO3400A </t>
  </si>
  <si>
    <t xml:space="preserve">TSM320N03CX </t>
  </si>
  <si>
    <t>IRLZ14VIS</t>
  </si>
  <si>
    <t>TPN2R805PL,L1Q</t>
  </si>
  <si>
    <t>Current</t>
  </si>
  <si>
    <t>RDS(ON)</t>
  </si>
  <si>
    <t>Power (4A)</t>
  </si>
  <si>
    <t>Power (2,5A)</t>
  </si>
  <si>
    <t>Power (0,6A)</t>
  </si>
  <si>
    <t>Power Calculation</t>
  </si>
  <si>
    <t>Unit</t>
  </si>
  <si>
    <t>Maximum Output Current ESP32</t>
  </si>
  <si>
    <t>mA</t>
  </si>
  <si>
    <t>Maximum Output Voltage ESP32</t>
  </si>
  <si>
    <t>V</t>
  </si>
  <si>
    <t>Total Gate Charge</t>
  </si>
  <si>
    <t>nC</t>
  </si>
  <si>
    <t>Gate Resistor (R=U/I)</t>
  </si>
  <si>
    <t>Ohm</t>
  </si>
  <si>
    <t>Switching Time ON (t=Q/I)</t>
  </si>
  <si>
    <t>s</t>
  </si>
  <si>
    <t>us</t>
  </si>
  <si>
    <t>Gate Resistor Pulldown</t>
  </si>
  <si>
    <t>Switching Current OFF (I=U/R)</t>
  </si>
  <si>
    <t>A</t>
  </si>
  <si>
    <t>Switching Time OFF</t>
  </si>
  <si>
    <t>Switching Frequency</t>
  </si>
  <si>
    <t>Hz</t>
  </si>
  <si>
    <t>kHz</t>
  </si>
  <si>
    <t>Switching Behaviour</t>
  </si>
  <si>
    <t>Shunt</t>
  </si>
  <si>
    <t>mOhm</t>
  </si>
  <si>
    <t>R1</t>
  </si>
  <si>
    <t>kOhm</t>
  </si>
  <si>
    <t>R2</t>
  </si>
  <si>
    <t>W</t>
  </si>
  <si>
    <t>Amplifying Factor</t>
  </si>
  <si>
    <t>Power Shunt</t>
  </si>
  <si>
    <t>Input Voltage ESP32</t>
  </si>
  <si>
    <t>Signal Voltage at Shunt</t>
  </si>
  <si>
    <t>Maximum Current</t>
  </si>
  <si>
    <t>Shunt Power and OpAmp Resistors</t>
  </si>
  <si>
    <t>Vin(min)</t>
  </si>
  <si>
    <t>Vin(max)</t>
  </si>
  <si>
    <t>Vout</t>
  </si>
  <si>
    <t>Iout(max)</t>
  </si>
  <si>
    <t>η</t>
  </si>
  <si>
    <t>Inputs</t>
  </si>
  <si>
    <t>Outputs</t>
  </si>
  <si>
    <t>D</t>
  </si>
  <si>
    <t>ΔIL</t>
  </si>
  <si>
    <t>ton(470pF)</t>
  </si>
  <si>
    <t>toff(470pF)</t>
  </si>
  <si>
    <t>µs</t>
  </si>
  <si>
    <t>fs</t>
  </si>
  <si>
    <t>L</t>
  </si>
  <si>
    <t>µH</t>
  </si>
  <si>
    <t>H</t>
  </si>
  <si>
    <t>Ilim(max)</t>
  </si>
  <si>
    <t>Imaxout</t>
  </si>
  <si>
    <t>Isw(max)</t>
  </si>
  <si>
    <t>Vin</t>
  </si>
  <si>
    <t>If</t>
  </si>
  <si>
    <t>Pd</t>
  </si>
  <si>
    <t>Vf</t>
  </si>
  <si>
    <t>ΔTj</t>
  </si>
  <si>
    <t>RθJA</t>
  </si>
  <si>
    <t>°C/W</t>
  </si>
  <si>
    <t>Diode</t>
  </si>
  <si>
    <t>°C</t>
  </si>
  <si>
    <t>Rdson(5V)</t>
  </si>
  <si>
    <t>Rdson(3V3)</t>
  </si>
  <si>
    <t>Ω</t>
  </si>
  <si>
    <t>mΩ</t>
  </si>
  <si>
    <t>V(5V)</t>
  </si>
  <si>
    <t>V(3V3)</t>
  </si>
  <si>
    <t>Pl(5V)</t>
  </si>
  <si>
    <t>Pl(3V3)</t>
  </si>
  <si>
    <t>ΔTj(5V)</t>
  </si>
  <si>
    <t>ΔTj(3V3)</t>
  </si>
  <si>
    <t>Advantage MOSFET vs. Diode</t>
  </si>
  <si>
    <t>Temp. Advantage MOSFET vs. Diode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</si>
</sst>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1" fillId="3" borderId="0" applyNumberFormat="0" applyBorder="0" applyAlignment="0" applyProtection="0"/>
  </cellStyleXfs>
  <cellXfs count="3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3" xfId="1" applyBorder="1"/>
    <xf numFmtId="0" fontId="2" fillId="0" borderId="4" xfId="1" applyBorder="1"/>
    <xf numFmtId="0" fontId="2" fillId="0" borderId="5" xfId="1" applyBorder="1"/>
    <xf numFmtId="0" fontId="0" fillId="0" borderId="11" xfId="0" applyBorder="1"/>
    <xf numFmtId="0" fontId="0" fillId="0" borderId="12" xfId="0" applyBorder="1"/>
    <xf numFmtId="0" fontId="1" fillId="3" borderId="13" xfId="4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0" fillId="0" borderId="15" xfId="0" applyNumberFormat="1" applyBorder="1"/>
    <xf numFmtId="165" fontId="0" fillId="0" borderId="15" xfId="0" applyNumberFormat="1" applyBorder="1"/>
    <xf numFmtId="164" fontId="0" fillId="0" borderId="18" xfId="0" applyNumberFormat="1" applyBorder="1"/>
    <xf numFmtId="1" fontId="0" fillId="0" borderId="13" xfId="0" applyNumberFormat="1" applyBorder="1"/>
    <xf numFmtId="1" fontId="1" fillId="3" borderId="18" xfId="4" applyNumberFormat="1" applyBorder="1"/>
    <xf numFmtId="0" fontId="1" fillId="3" borderId="7" xfId="4" applyBorder="1"/>
    <xf numFmtId="0" fontId="1" fillId="3" borderId="10" xfId="4" applyBorder="1"/>
    <xf numFmtId="0" fontId="4" fillId="2" borderId="19" xfId="3" applyBorder="1"/>
    <xf numFmtId="0" fontId="4" fillId="2" borderId="2" xfId="3"/>
    <xf numFmtId="0" fontId="4" fillId="2" borderId="20" xfId="3" applyBorder="1"/>
    <xf numFmtId="166" fontId="0" fillId="0" borderId="0" xfId="0" applyNumberFormat="1"/>
    <xf numFmtId="2" fontId="0" fillId="0" borderId="0" xfId="0" applyNumberFormat="1"/>
    <xf numFmtId="0" fontId="5" fillId="0" borderId="0" xfId="0" applyFont="1"/>
    <xf numFmtId="1" fontId="0" fillId="0" borderId="0" xfId="0" applyNumberFormat="1"/>
    <xf numFmtId="0" fontId="3" fillId="0" borderId="1" xfId="2" applyAlignment="1">
      <alignment horizontal="left"/>
    </xf>
    <xf numFmtId="0" fontId="0" fillId="0" borderId="0" xfId="0" applyAlignment="1">
      <alignment horizontal="left"/>
    </xf>
  </cellXfs>
  <cellStyles count="5">
    <cellStyle name="60 % - Akzent6" xfId="4" builtinId="52"/>
    <cellStyle name="Berechnung" xfId="3" builtinId="22"/>
    <cellStyle name="Standard" xfId="0" builtinId="0"/>
    <cellStyle name="Überschrift" xfId="1" builtinId="15"/>
    <cellStyle name="Überschrift 3" xfId="2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0</xdr:row>
      <xdr:rowOff>0</xdr:rowOff>
    </xdr:from>
    <xdr:to>
      <xdr:col>23</xdr:col>
      <xdr:colOff>695325</xdr:colOff>
      <xdr:row>35</xdr:row>
      <xdr:rowOff>17293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57480D37-9963-2946-2964-54E465EE0A6F}"/>
            </a:ext>
          </a:extLst>
        </xdr:cNvPr>
        <xdr:cNvGrpSpPr/>
      </xdr:nvGrpSpPr>
      <xdr:grpSpPr>
        <a:xfrm>
          <a:off x="8953500" y="0"/>
          <a:ext cx="9267825" cy="6703843"/>
          <a:chOff x="5734050" y="841141"/>
          <a:chExt cx="9267825" cy="6322843"/>
        </a:xfrm>
      </xdr:grpSpPr>
      <xdr:pic>
        <xdr:nvPicPr>
          <xdr:cNvPr id="2" name="Grafik 1">
            <a:extLst>
              <a:ext uri="{FF2B5EF4-FFF2-40B4-BE49-F238E27FC236}">
                <a16:creationId xmlns:a16="http://schemas.microsoft.com/office/drawing/2014/main" id="{79F4AE7B-5511-E81C-76CD-2B559F7DDF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34050" y="841141"/>
            <a:ext cx="9267825" cy="6322843"/>
          </a:xfrm>
          <a:prstGeom prst="rect">
            <a:avLst/>
          </a:prstGeom>
        </xdr:spPr>
      </xdr:pic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BACCC469-A6C9-C24C-9166-C743AAFFB986}"/>
              </a:ext>
            </a:extLst>
          </xdr:cNvPr>
          <xdr:cNvCxnSpPr/>
        </xdr:nvCxnSpPr>
        <xdr:spPr>
          <a:xfrm flipV="1">
            <a:off x="11591925" y="3228975"/>
            <a:ext cx="0" cy="2790825"/>
          </a:xfrm>
          <a:prstGeom prst="line">
            <a:avLst/>
          </a:prstGeom>
          <a:ln w="38100"/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" name="Gerader Verbinder 7">
            <a:extLst>
              <a:ext uri="{FF2B5EF4-FFF2-40B4-BE49-F238E27FC236}">
                <a16:creationId xmlns:a16="http://schemas.microsoft.com/office/drawing/2014/main" id="{1B36E408-E5F5-4071-8379-7A6F22ED43C0}"/>
              </a:ext>
            </a:extLst>
          </xdr:cNvPr>
          <xdr:cNvCxnSpPr/>
        </xdr:nvCxnSpPr>
        <xdr:spPr>
          <a:xfrm flipH="1">
            <a:off x="7572375" y="4143375"/>
            <a:ext cx="4010025" cy="0"/>
          </a:xfrm>
          <a:prstGeom prst="line">
            <a:avLst/>
          </a:prstGeom>
          <a:ln w="38100"/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" name="Gerader Verbinder 10">
            <a:extLst>
              <a:ext uri="{FF2B5EF4-FFF2-40B4-BE49-F238E27FC236}">
                <a16:creationId xmlns:a16="http://schemas.microsoft.com/office/drawing/2014/main" id="{D6CFD469-D6F0-4DEA-B2A5-8131D5B439A3}"/>
              </a:ext>
            </a:extLst>
          </xdr:cNvPr>
          <xdr:cNvCxnSpPr/>
        </xdr:nvCxnSpPr>
        <xdr:spPr>
          <a:xfrm flipH="1">
            <a:off x="7572375" y="5229225"/>
            <a:ext cx="4010025" cy="0"/>
          </a:xfrm>
          <a:prstGeom prst="line">
            <a:avLst/>
          </a:prstGeom>
          <a:ln w="38100"/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F881-1DFF-4D09-8650-EAF1ACC3B0BD}">
  <dimension ref="B1:L21"/>
  <sheetViews>
    <sheetView workbookViewId="0">
      <selection activeCell="B2" sqref="B2"/>
    </sheetView>
  </sheetViews>
  <sheetFormatPr baseColWidth="10" defaultRowHeight="15" x14ac:dyDescent="0.25"/>
  <cols>
    <col min="2" max="2" width="12.42578125" bestFit="1" customWidth="1"/>
    <col min="3" max="3" width="9.42578125" bestFit="1" customWidth="1"/>
    <col min="4" max="4" width="13.85546875" bestFit="1" customWidth="1"/>
    <col min="5" max="5" width="9.42578125" bestFit="1" customWidth="1"/>
    <col min="6" max="6" width="15.5703125" bestFit="1" customWidth="1"/>
    <col min="9" max="9" width="29.85546875" bestFit="1" customWidth="1"/>
    <col min="11" max="11" width="15.5703125" bestFit="1" customWidth="1"/>
  </cols>
  <sheetData>
    <row r="1" spans="2:12" ht="15.75" thickBot="1" x14ac:dyDescent="0.3"/>
    <row r="2" spans="2:12" ht="23.25" x14ac:dyDescent="0.35">
      <c r="B2" s="8" t="s">
        <v>10</v>
      </c>
      <c r="C2" s="9"/>
      <c r="D2" s="9"/>
      <c r="E2" s="9"/>
      <c r="F2" s="10"/>
      <c r="H2" s="8" t="s">
        <v>30</v>
      </c>
      <c r="I2" s="1"/>
      <c r="J2" s="1"/>
      <c r="K2" s="1"/>
      <c r="L2" s="2"/>
    </row>
    <row r="3" spans="2:12" x14ac:dyDescent="0.25">
      <c r="B3" s="3"/>
      <c r="F3" s="4"/>
      <c r="H3" s="3"/>
      <c r="L3" s="4"/>
    </row>
    <row r="4" spans="2:12" x14ac:dyDescent="0.25">
      <c r="B4" s="3" t="s">
        <v>0</v>
      </c>
      <c r="C4" t="s">
        <v>1</v>
      </c>
      <c r="D4" t="s">
        <v>2</v>
      </c>
      <c r="E4" t="s">
        <v>3</v>
      </c>
      <c r="F4" s="24" t="s">
        <v>4</v>
      </c>
      <c r="H4" s="3"/>
      <c r="J4" t="s">
        <v>11</v>
      </c>
      <c r="K4" t="s">
        <v>4</v>
      </c>
      <c r="L4" s="4"/>
    </row>
    <row r="5" spans="2:12" x14ac:dyDescent="0.25">
      <c r="B5" s="3" t="s">
        <v>5</v>
      </c>
      <c r="C5">
        <v>5</v>
      </c>
      <c r="F5" s="24"/>
      <c r="H5" s="3"/>
      <c r="L5" s="4"/>
    </row>
    <row r="6" spans="2:12" x14ac:dyDescent="0.25">
      <c r="B6" s="3" t="s">
        <v>5</v>
      </c>
      <c r="C6">
        <v>2.5</v>
      </c>
      <c r="F6" s="24"/>
      <c r="H6" s="3"/>
      <c r="I6" t="s">
        <v>12</v>
      </c>
      <c r="J6" t="s">
        <v>13</v>
      </c>
      <c r="K6">
        <v>10</v>
      </c>
      <c r="L6" s="4"/>
    </row>
    <row r="7" spans="2:12" x14ac:dyDescent="0.25">
      <c r="B7" s="3" t="s">
        <v>5</v>
      </c>
      <c r="C7">
        <v>0.6</v>
      </c>
      <c r="F7" s="24"/>
      <c r="H7" s="3"/>
      <c r="I7" t="s">
        <v>14</v>
      </c>
      <c r="J7" t="s">
        <v>15</v>
      </c>
      <c r="K7">
        <v>3.3</v>
      </c>
      <c r="L7" s="4"/>
    </row>
    <row r="8" spans="2:12" x14ac:dyDescent="0.25">
      <c r="B8" s="3" t="s">
        <v>6</v>
      </c>
      <c r="C8">
        <v>4.8000000000000001E-2</v>
      </c>
      <c r="D8">
        <v>0.04</v>
      </c>
      <c r="E8">
        <v>0.2</v>
      </c>
      <c r="F8" s="24">
        <f>3.2/1000</f>
        <v>3.2000000000000002E-3</v>
      </c>
      <c r="H8" s="3"/>
      <c r="I8" t="s">
        <v>16</v>
      </c>
      <c r="J8" t="s">
        <v>17</v>
      </c>
      <c r="K8">
        <v>39</v>
      </c>
      <c r="L8" s="4"/>
    </row>
    <row r="9" spans="2:12" x14ac:dyDescent="0.25">
      <c r="B9" s="3" t="s">
        <v>7</v>
      </c>
      <c r="C9">
        <f>$C5*$C5*C$8</f>
        <v>1.2</v>
      </c>
      <c r="D9">
        <f>$C$5*$C$5*D8</f>
        <v>1</v>
      </c>
      <c r="E9">
        <f>$C$5*$C$5*E8</f>
        <v>5</v>
      </c>
      <c r="F9" s="24">
        <f>$C$5*$C$5*F8</f>
        <v>0.08</v>
      </c>
      <c r="H9" s="3"/>
      <c r="L9" s="4"/>
    </row>
    <row r="10" spans="2:12" x14ac:dyDescent="0.25">
      <c r="B10" s="3" t="s">
        <v>8</v>
      </c>
      <c r="C10">
        <f>$C6*$C6*C$8</f>
        <v>0.3</v>
      </c>
      <c r="D10">
        <f t="shared" ref="D10:F11" si="0">$C6*$C6*D$8</f>
        <v>0.25</v>
      </c>
      <c r="E10">
        <f t="shared" si="0"/>
        <v>1.25</v>
      </c>
      <c r="F10" s="24">
        <f t="shared" si="0"/>
        <v>0.02</v>
      </c>
      <c r="H10" s="3"/>
      <c r="L10" s="4"/>
    </row>
    <row r="11" spans="2:12" ht="15.75" thickBot="1" x14ac:dyDescent="0.3">
      <c r="B11" s="5" t="s">
        <v>9</v>
      </c>
      <c r="C11" s="6">
        <f>$C7*$C7*C$8</f>
        <v>1.728E-2</v>
      </c>
      <c r="D11" s="6">
        <f t="shared" si="0"/>
        <v>1.44E-2</v>
      </c>
      <c r="E11" s="6">
        <f t="shared" si="0"/>
        <v>7.1999999999999995E-2</v>
      </c>
      <c r="F11" s="25">
        <f t="shared" si="0"/>
        <v>1.152E-3</v>
      </c>
      <c r="H11" s="3"/>
      <c r="I11" s="11" t="s">
        <v>18</v>
      </c>
      <c r="J11" s="12" t="s">
        <v>19</v>
      </c>
      <c r="K11" s="13">
        <f>K7/(K6/1000)</f>
        <v>330</v>
      </c>
      <c r="L11" s="4"/>
    </row>
    <row r="12" spans="2:12" x14ac:dyDescent="0.25">
      <c r="H12" s="3"/>
      <c r="I12" s="14" t="s">
        <v>20</v>
      </c>
      <c r="J12" t="s">
        <v>21</v>
      </c>
      <c r="K12" s="15">
        <f>(K$8/1000000000)/(K6/1000)</f>
        <v>3.8999999999999999E-6</v>
      </c>
      <c r="L12" s="4"/>
    </row>
    <row r="13" spans="2:12" x14ac:dyDescent="0.25">
      <c r="H13" s="3"/>
      <c r="I13" s="16"/>
      <c r="J13" s="17" t="s">
        <v>22</v>
      </c>
      <c r="K13" s="18">
        <f>K12*1000000</f>
        <v>3.9</v>
      </c>
      <c r="L13" s="4"/>
    </row>
    <row r="14" spans="2:12" x14ac:dyDescent="0.25">
      <c r="H14" s="3"/>
      <c r="I14" s="11" t="s">
        <v>23</v>
      </c>
      <c r="J14" s="12" t="s">
        <v>19</v>
      </c>
      <c r="K14" s="13">
        <v>3600</v>
      </c>
      <c r="L14" s="4"/>
    </row>
    <row r="15" spans="2:12" x14ac:dyDescent="0.25">
      <c r="H15" s="3"/>
      <c r="I15" s="14" t="s">
        <v>24</v>
      </c>
      <c r="J15" t="s">
        <v>25</v>
      </c>
      <c r="K15" s="15">
        <f>K7/K14</f>
        <v>9.1666666666666665E-4</v>
      </c>
      <c r="L15" s="4"/>
    </row>
    <row r="16" spans="2:12" x14ac:dyDescent="0.25">
      <c r="H16" s="3"/>
      <c r="I16" s="14"/>
      <c r="J16" t="s">
        <v>13</v>
      </c>
      <c r="K16" s="19">
        <f>K15*1000</f>
        <v>0.91666666666666663</v>
      </c>
      <c r="L16" s="4"/>
    </row>
    <row r="17" spans="8:12" x14ac:dyDescent="0.25">
      <c r="H17" s="3"/>
      <c r="I17" s="14" t="s">
        <v>26</v>
      </c>
      <c r="J17" t="s">
        <v>21</v>
      </c>
      <c r="K17" s="20">
        <f>($K$8/1000000000)/(K15)</f>
        <v>4.2545454545454546E-5</v>
      </c>
      <c r="L17" s="4"/>
    </row>
    <row r="18" spans="8:12" x14ac:dyDescent="0.25">
      <c r="H18" s="3"/>
      <c r="I18" s="16"/>
      <c r="J18" s="17" t="s">
        <v>22</v>
      </c>
      <c r="K18" s="21">
        <f>K17*1000000</f>
        <v>42.545454545454547</v>
      </c>
      <c r="L18" s="4"/>
    </row>
    <row r="19" spans="8:12" x14ac:dyDescent="0.25">
      <c r="H19" s="3"/>
      <c r="I19" s="11" t="s">
        <v>27</v>
      </c>
      <c r="J19" s="12" t="s">
        <v>28</v>
      </c>
      <c r="K19" s="22">
        <f>1/(K12+K17)</f>
        <v>21530.632217655118</v>
      </c>
      <c r="L19" s="4"/>
    </row>
    <row r="20" spans="8:12" x14ac:dyDescent="0.25">
      <c r="H20" s="3"/>
      <c r="I20" s="16"/>
      <c r="J20" s="17" t="s">
        <v>29</v>
      </c>
      <c r="K20" s="23">
        <f>K19/1000</f>
        <v>21.530632217655118</v>
      </c>
      <c r="L20" s="4"/>
    </row>
    <row r="21" spans="8:12" ht="15.75" thickBot="1" x14ac:dyDescent="0.3">
      <c r="H21" s="5"/>
      <c r="I21" s="6"/>
      <c r="J21" s="6"/>
      <c r="K21" s="6"/>
      <c r="L21" s="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E56F-3C8E-4667-9B7D-B8FCF23BAF04}">
  <dimension ref="B1:D13"/>
  <sheetViews>
    <sheetView workbookViewId="0">
      <selection activeCell="H10" sqref="H10"/>
    </sheetView>
  </sheetViews>
  <sheetFormatPr baseColWidth="10" defaultRowHeight="15" x14ac:dyDescent="0.25"/>
  <cols>
    <col min="2" max="2" width="21.5703125" bestFit="1" customWidth="1"/>
    <col min="4" max="4" width="15.85546875" customWidth="1"/>
  </cols>
  <sheetData>
    <row r="1" spans="2:4" ht="15.75" thickBot="1" x14ac:dyDescent="0.3"/>
    <row r="2" spans="2:4" ht="23.25" x14ac:dyDescent="0.35">
      <c r="B2" s="8" t="s">
        <v>42</v>
      </c>
      <c r="C2" s="1"/>
      <c r="D2" s="2"/>
    </row>
    <row r="3" spans="2:4" x14ac:dyDescent="0.25">
      <c r="B3" s="3"/>
      <c r="D3" s="4"/>
    </row>
    <row r="4" spans="2:4" x14ac:dyDescent="0.25">
      <c r="B4" s="3" t="s">
        <v>31</v>
      </c>
      <c r="C4">
        <v>20</v>
      </c>
      <c r="D4" s="4" t="s">
        <v>32</v>
      </c>
    </row>
    <row r="5" spans="2:4" x14ac:dyDescent="0.25">
      <c r="B5" s="3"/>
      <c r="C5">
        <f>C4/1000</f>
        <v>0.02</v>
      </c>
      <c r="D5" s="4" t="s">
        <v>19</v>
      </c>
    </row>
    <row r="6" spans="2:4" x14ac:dyDescent="0.25">
      <c r="B6" s="3" t="s">
        <v>41</v>
      </c>
      <c r="C6">
        <v>5</v>
      </c>
      <c r="D6" s="4" t="s">
        <v>25</v>
      </c>
    </row>
    <row r="7" spans="2:4" x14ac:dyDescent="0.25">
      <c r="B7" s="3" t="s">
        <v>40</v>
      </c>
      <c r="C7">
        <f>C6*C5</f>
        <v>0.1</v>
      </c>
      <c r="D7" s="4" t="s">
        <v>15</v>
      </c>
    </row>
    <row r="8" spans="2:4" x14ac:dyDescent="0.25">
      <c r="B8" s="3" t="s">
        <v>39</v>
      </c>
      <c r="C8">
        <v>3</v>
      </c>
      <c r="D8" s="4" t="s">
        <v>15</v>
      </c>
    </row>
    <row r="9" spans="2:4" x14ac:dyDescent="0.25">
      <c r="B9" s="3" t="s">
        <v>37</v>
      </c>
      <c r="C9">
        <f>C8/C7</f>
        <v>30</v>
      </c>
      <c r="D9" s="4"/>
    </row>
    <row r="10" spans="2:4" x14ac:dyDescent="0.25">
      <c r="B10" s="26" t="s">
        <v>33</v>
      </c>
      <c r="C10" s="27">
        <v>10</v>
      </c>
      <c r="D10" s="28" t="s">
        <v>34</v>
      </c>
    </row>
    <row r="11" spans="2:4" x14ac:dyDescent="0.25">
      <c r="B11" s="26" t="s">
        <v>35</v>
      </c>
      <c r="C11" s="27">
        <f>C10*C9</f>
        <v>300</v>
      </c>
      <c r="D11" s="28" t="s">
        <v>34</v>
      </c>
    </row>
    <row r="12" spans="2:4" x14ac:dyDescent="0.25">
      <c r="B12" s="3"/>
      <c r="D12" s="4"/>
    </row>
    <row r="13" spans="2:4" ht="15.75" thickBot="1" x14ac:dyDescent="0.3">
      <c r="B13" s="5" t="s">
        <v>38</v>
      </c>
      <c r="C13" s="6">
        <f>C7*C6</f>
        <v>0.5</v>
      </c>
      <c r="D13" s="7" t="s">
        <v>36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09E6-D33B-4D44-804A-5A5296B49EFD}">
  <dimension ref="C4:G27"/>
  <sheetViews>
    <sheetView workbookViewId="0">
      <selection activeCell="G17" sqref="G17"/>
    </sheetView>
  </sheetViews>
  <sheetFormatPr baseColWidth="10" defaultRowHeight="15" x14ac:dyDescent="0.25"/>
  <sheetData>
    <row r="4" spans="3:7" ht="15.75" thickBot="1" x14ac:dyDescent="0.3">
      <c r="C4" s="33" t="s">
        <v>48</v>
      </c>
      <c r="D4" s="33"/>
      <c r="E4" s="33"/>
    </row>
    <row r="5" spans="3:7" x14ac:dyDescent="0.25">
      <c r="C5" t="s">
        <v>43</v>
      </c>
      <c r="D5">
        <v>22</v>
      </c>
      <c r="E5" t="s">
        <v>15</v>
      </c>
    </row>
    <row r="6" spans="3:7" x14ac:dyDescent="0.25">
      <c r="C6" t="s">
        <v>62</v>
      </c>
      <c r="D6">
        <v>24</v>
      </c>
      <c r="E6" t="s">
        <v>15</v>
      </c>
    </row>
    <row r="7" spans="3:7" x14ac:dyDescent="0.25">
      <c r="C7" t="s">
        <v>44</v>
      </c>
      <c r="D7">
        <v>26</v>
      </c>
      <c r="E7" t="s">
        <v>15</v>
      </c>
    </row>
    <row r="8" spans="3:7" x14ac:dyDescent="0.25">
      <c r="C8" t="s">
        <v>45</v>
      </c>
      <c r="D8">
        <v>5</v>
      </c>
      <c r="E8" t="s">
        <v>15</v>
      </c>
    </row>
    <row r="9" spans="3:7" x14ac:dyDescent="0.25">
      <c r="C9" t="s">
        <v>46</v>
      </c>
      <c r="D9">
        <v>1</v>
      </c>
      <c r="E9" t="s">
        <v>25</v>
      </c>
    </row>
    <row r="10" spans="3:7" x14ac:dyDescent="0.25">
      <c r="C10" t="s">
        <v>47</v>
      </c>
      <c r="D10">
        <v>0.9</v>
      </c>
    </row>
    <row r="11" spans="3:7" x14ac:dyDescent="0.25">
      <c r="C11" t="s">
        <v>52</v>
      </c>
      <c r="D11">
        <v>15</v>
      </c>
      <c r="E11" s="31" t="s">
        <v>54</v>
      </c>
      <c r="F11">
        <f>D11/1000000</f>
        <v>1.5E-5</v>
      </c>
      <c r="G11" t="s">
        <v>21</v>
      </c>
    </row>
    <row r="12" spans="3:7" x14ac:dyDescent="0.25">
      <c r="C12" t="s">
        <v>53</v>
      </c>
      <c r="D12">
        <v>3.6</v>
      </c>
      <c r="E12" s="31" t="s">
        <v>54</v>
      </c>
      <c r="F12">
        <f>D12/1000000</f>
        <v>3.6000000000000003E-6</v>
      </c>
      <c r="G12" t="s">
        <v>21</v>
      </c>
    </row>
    <row r="13" spans="3:7" x14ac:dyDescent="0.25">
      <c r="C13" t="s">
        <v>56</v>
      </c>
      <c r="D13">
        <v>220</v>
      </c>
      <c r="E13" s="31" t="s">
        <v>57</v>
      </c>
      <c r="F13">
        <f>D13/1000000</f>
        <v>2.2000000000000001E-4</v>
      </c>
      <c r="G13" t="s">
        <v>58</v>
      </c>
    </row>
    <row r="14" spans="3:7" x14ac:dyDescent="0.25">
      <c r="C14" t="s">
        <v>59</v>
      </c>
      <c r="D14">
        <v>1.5</v>
      </c>
      <c r="E14" s="31" t="s">
        <v>25</v>
      </c>
    </row>
    <row r="15" spans="3:7" x14ac:dyDescent="0.25">
      <c r="C15" t="s">
        <v>65</v>
      </c>
      <c r="D15">
        <v>0.5</v>
      </c>
      <c r="E15" s="31" t="s">
        <v>15</v>
      </c>
    </row>
    <row r="16" spans="3:7" x14ac:dyDescent="0.25">
      <c r="C16" t="s">
        <v>67</v>
      </c>
      <c r="D16">
        <v>88</v>
      </c>
      <c r="E16" s="31" t="s">
        <v>68</v>
      </c>
    </row>
    <row r="18" spans="3:7" ht="15.75" thickBot="1" x14ac:dyDescent="0.3">
      <c r="C18" s="33" t="s">
        <v>49</v>
      </c>
      <c r="D18" s="33"/>
      <c r="E18" s="33"/>
    </row>
    <row r="19" spans="3:7" x14ac:dyDescent="0.25">
      <c r="C19" t="s">
        <v>50</v>
      </c>
      <c r="D19" s="30">
        <f>D8/(D7*D10)</f>
        <v>0.21367521367521367</v>
      </c>
    </row>
    <row r="20" spans="3:7" x14ac:dyDescent="0.25">
      <c r="C20" t="s">
        <v>55</v>
      </c>
      <c r="D20" s="32">
        <f>1/(F11+F12)</f>
        <v>53763.440860215051</v>
      </c>
      <c r="E20" t="s">
        <v>28</v>
      </c>
      <c r="F20" s="32">
        <f>D20/1000</f>
        <v>53.763440860215049</v>
      </c>
      <c r="G20" t="s">
        <v>29</v>
      </c>
    </row>
    <row r="21" spans="3:7" x14ac:dyDescent="0.25">
      <c r="C21" t="s">
        <v>51</v>
      </c>
      <c r="D21" s="30">
        <f>((D7-D8)*D19)/(D20*F13)</f>
        <v>0.37937062937062938</v>
      </c>
      <c r="E21" t="s">
        <v>25</v>
      </c>
    </row>
    <row r="22" spans="3:7" x14ac:dyDescent="0.25">
      <c r="C22" t="s">
        <v>60</v>
      </c>
      <c r="D22" s="30">
        <f>D14-(D21/2)</f>
        <v>1.3103146853146854</v>
      </c>
      <c r="E22" t="s">
        <v>25</v>
      </c>
    </row>
    <row r="23" spans="3:7" x14ac:dyDescent="0.25">
      <c r="C23" t="s">
        <v>61</v>
      </c>
      <c r="D23" s="30">
        <f>(D21/2)+D9</f>
        <v>1.1896853146853146</v>
      </c>
      <c r="E23" t="s">
        <v>25</v>
      </c>
    </row>
    <row r="24" spans="3:7" x14ac:dyDescent="0.25">
      <c r="C24" t="s">
        <v>56</v>
      </c>
      <c r="D24" s="29">
        <f>(D8*(D6-D8))/(D21*D20*D6)</f>
        <v>1.9407142857142857E-4</v>
      </c>
      <c r="E24" t="s">
        <v>58</v>
      </c>
      <c r="F24" s="32">
        <f>D24*1000000</f>
        <v>194.07142857142856</v>
      </c>
      <c r="G24" s="31" t="s">
        <v>57</v>
      </c>
    </row>
    <row r="25" spans="3:7" x14ac:dyDescent="0.25">
      <c r="C25" t="s">
        <v>63</v>
      </c>
      <c r="D25" s="30">
        <f>D9*(1-D19)</f>
        <v>0.78632478632478631</v>
      </c>
      <c r="E25" t="s">
        <v>25</v>
      </c>
    </row>
    <row r="26" spans="3:7" x14ac:dyDescent="0.25">
      <c r="C26" t="s">
        <v>64</v>
      </c>
      <c r="D26" s="30">
        <f>D25*D15</f>
        <v>0.39316239316239315</v>
      </c>
      <c r="E26" t="s">
        <v>36</v>
      </c>
    </row>
    <row r="27" spans="3:7" x14ac:dyDescent="0.25">
      <c r="C27" t="s">
        <v>66</v>
      </c>
      <c r="D27" s="30">
        <f>D16*D26</f>
        <v>34.598290598290596</v>
      </c>
    </row>
  </sheetData>
  <mergeCells count="2">
    <mergeCell ref="C4:E4"/>
    <mergeCell ref="C18:E1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FB5D6-8154-497D-B883-036E53CAABED}">
  <dimension ref="C7:P28"/>
  <sheetViews>
    <sheetView tabSelected="1" workbookViewId="0">
      <selection activeCell="O28" sqref="O28"/>
    </sheetView>
  </sheetViews>
  <sheetFormatPr baseColWidth="10" defaultRowHeight="15" x14ac:dyDescent="0.25"/>
  <sheetData>
    <row r="7" spans="3:16" x14ac:dyDescent="0.25">
      <c r="C7" t="s">
        <v>69</v>
      </c>
      <c r="L7" t="s">
        <v>0</v>
      </c>
    </row>
    <row r="8" spans="3:16" ht="15.75" thickBot="1" x14ac:dyDescent="0.3">
      <c r="C8" s="33" t="s">
        <v>48</v>
      </c>
      <c r="D8" s="33"/>
      <c r="E8" s="33"/>
      <c r="L8" s="33" t="s">
        <v>48</v>
      </c>
      <c r="M8" s="33"/>
      <c r="N8" s="33"/>
    </row>
    <row r="9" spans="3:16" x14ac:dyDescent="0.25">
      <c r="C9" t="s">
        <v>46</v>
      </c>
      <c r="D9">
        <v>1</v>
      </c>
      <c r="E9" t="s">
        <v>25</v>
      </c>
      <c r="L9" t="s">
        <v>71</v>
      </c>
      <c r="M9">
        <v>36</v>
      </c>
      <c r="N9" s="31" t="s">
        <v>74</v>
      </c>
      <c r="O9">
        <f>M9/1000</f>
        <v>3.5999999999999997E-2</v>
      </c>
      <c r="P9" s="31" t="s">
        <v>73</v>
      </c>
    </row>
    <row r="10" spans="3:16" x14ac:dyDescent="0.25">
      <c r="C10" t="s">
        <v>65</v>
      </c>
      <c r="D10">
        <v>0.5</v>
      </c>
      <c r="E10" s="31" t="s">
        <v>15</v>
      </c>
      <c r="L10" t="s">
        <v>72</v>
      </c>
      <c r="M10">
        <v>39</v>
      </c>
      <c r="N10" s="31" t="s">
        <v>74</v>
      </c>
      <c r="O10">
        <f>M10/1000</f>
        <v>3.9E-2</v>
      </c>
      <c r="P10" s="31" t="s">
        <v>73</v>
      </c>
    </row>
    <row r="11" spans="3:16" x14ac:dyDescent="0.25">
      <c r="C11" t="s">
        <v>67</v>
      </c>
      <c r="D11">
        <v>88</v>
      </c>
      <c r="E11" s="31" t="s">
        <v>68</v>
      </c>
      <c r="L11" t="s">
        <v>46</v>
      </c>
      <c r="M11">
        <v>1</v>
      </c>
      <c r="N11" t="s">
        <v>25</v>
      </c>
    </row>
    <row r="12" spans="3:16" x14ac:dyDescent="0.25">
      <c r="L12" t="s">
        <v>75</v>
      </c>
      <c r="M12">
        <v>5</v>
      </c>
      <c r="N12" t="s">
        <v>15</v>
      </c>
    </row>
    <row r="13" spans="3:16" x14ac:dyDescent="0.25">
      <c r="L13" t="s">
        <v>76</v>
      </c>
      <c r="M13">
        <v>3.3</v>
      </c>
      <c r="N13" t="s">
        <v>15</v>
      </c>
    </row>
    <row r="14" spans="3:16" x14ac:dyDescent="0.25">
      <c r="L14" t="s">
        <v>67</v>
      </c>
      <c r="M14">
        <v>65</v>
      </c>
      <c r="N14" s="31" t="s">
        <v>68</v>
      </c>
    </row>
    <row r="18" spans="3:15" ht="15.75" thickBot="1" x14ac:dyDescent="0.3">
      <c r="C18" s="33" t="s">
        <v>49</v>
      </c>
      <c r="D18" s="33"/>
      <c r="E18" s="33"/>
      <c r="L18" s="33" t="s">
        <v>49</v>
      </c>
      <c r="M18" s="33"/>
      <c r="N18" s="33"/>
    </row>
    <row r="19" spans="3:15" x14ac:dyDescent="0.25">
      <c r="C19" t="s">
        <v>64</v>
      </c>
      <c r="D19">
        <f>D9*D10</f>
        <v>0.5</v>
      </c>
      <c r="E19" t="s">
        <v>36</v>
      </c>
      <c r="L19" t="s">
        <v>77</v>
      </c>
      <c r="M19">
        <f>(M11^2)*O9</f>
        <v>3.5999999999999997E-2</v>
      </c>
      <c r="N19" t="s">
        <v>36</v>
      </c>
    </row>
    <row r="20" spans="3:15" x14ac:dyDescent="0.25">
      <c r="C20" t="s">
        <v>66</v>
      </c>
      <c r="D20">
        <f>D11*D19</f>
        <v>44</v>
      </c>
      <c r="E20" t="s">
        <v>70</v>
      </c>
      <c r="L20" t="s">
        <v>79</v>
      </c>
      <c r="M20">
        <f>M14*M19</f>
        <v>2.34</v>
      </c>
      <c r="N20" t="s">
        <v>70</v>
      </c>
    </row>
    <row r="21" spans="3:15" x14ac:dyDescent="0.25">
      <c r="L21" t="s">
        <v>78</v>
      </c>
      <c r="M21">
        <f>(M11^2)*O10</f>
        <v>3.9E-2</v>
      </c>
      <c r="N21" t="s">
        <v>36</v>
      </c>
    </row>
    <row r="22" spans="3:15" x14ac:dyDescent="0.25">
      <c r="L22" t="s">
        <v>80</v>
      </c>
      <c r="M22" s="30">
        <f>M21*M14</f>
        <v>2.5350000000000001</v>
      </c>
      <c r="N22" t="s">
        <v>70</v>
      </c>
    </row>
    <row r="27" spans="3:15" x14ac:dyDescent="0.25">
      <c r="L27" s="34" t="s">
        <v>81</v>
      </c>
      <c r="M27" s="34"/>
      <c r="N27" s="34"/>
      <c r="O27" s="32">
        <f>D19/M19</f>
        <v>13.888888888888889</v>
      </c>
    </row>
    <row r="28" spans="3:15" x14ac:dyDescent="0.25">
      <c r="L28" s="34" t="s">
        <v>82</v>
      </c>
      <c r="M28" s="34"/>
      <c r="N28" s="34"/>
      <c r="O28" s="32">
        <f>D20/M20</f>
        <v>18.803418803418804</v>
      </c>
    </row>
  </sheetData>
  <mergeCells count="6">
    <mergeCell ref="C8:E8"/>
    <mergeCell ref="C18:E18"/>
    <mergeCell ref="L8:N8"/>
    <mergeCell ref="L18:N18"/>
    <mergeCell ref="L27:N27"/>
    <mergeCell ref="L28:N2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MOSFET</vt:lpstr>
      <vt:lpstr>Shunt_OpAmp</vt:lpstr>
      <vt:lpstr>Buck Converter</vt:lpstr>
      <vt:lpstr>Reverse Polarity Protection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Hartmann</dc:creator>
  <cp:lastModifiedBy>Dirk Hartmann</cp:lastModifiedBy>
  <dcterms:created xsi:type="dcterms:W3CDTF">2023-10-03T08:51:04Z</dcterms:created>
  <dcterms:modified xsi:type="dcterms:W3CDTF">2023-10-03T18:22:51Z</dcterms:modified>
</cp:coreProperties>
</file>