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5" windowWidth="18675" windowHeight="11970" tabRatio="900"/>
  </bookViews>
  <sheets>
    <sheet name="NPV_BS" sheetId="91" r:id="rId1"/>
    <sheet name="Calibration_BS" sheetId="90" r:id="rId2"/>
    <sheet name="GBPSTD_STD" sheetId="85" r:id="rId3"/>
    <sheet name="GeneralSettings_MKT" sheetId="67" r:id="rId4"/>
  </sheets>
  <definedNames>
    <definedName name="AdditionalCF">#REF!</definedName>
    <definedName name="Calendar" localSheetId="1">NPV_BS!$C$8</definedName>
    <definedName name="Calendar" localSheetId="0">NPV_BS!$C$8</definedName>
    <definedName name="Calendar">GeneralSettings_MKT!$D$19</definedName>
    <definedName name="currency" localSheetId="1">NPV_BS!$C$6</definedName>
    <definedName name="currency" localSheetId="0">NPV_BS!$C$6</definedName>
    <definedName name="Currency">GeneralSettings_MKT!$D$16</definedName>
    <definedName name="DiscountCurve">#REF!</definedName>
    <definedName name="Discounting" localSheetId="1">NPV_BS!$C$13</definedName>
    <definedName name="Discounting" localSheetId="0">NPV_BS!$C$13</definedName>
    <definedName name="Discounting">#REF!</definedName>
    <definedName name="Effective">#REF!</definedName>
    <definedName name="EvaluationDate" localSheetId="1">NPV_BS!$C$5</definedName>
    <definedName name="EvaluationDate" localSheetId="0">NPV_BS!$C$5</definedName>
    <definedName name="EvaluationDate">GeneralSettings_MKT!$D$5</definedName>
    <definedName name="familyName" localSheetId="1">NPV_BS!$C$7</definedName>
    <definedName name="familyName" localSheetId="0">NPV_BS!$C$7</definedName>
    <definedName name="FamilyName">GeneralSettings_MKT!$D$18</definedName>
    <definedName name="FirstLegCF">#REF!</definedName>
    <definedName name="fixedLefFrequency">NPV_BS!$C$22</definedName>
    <definedName name="fixedLegConvention">NPV_BS!$C$23</definedName>
    <definedName name="fixedLegDayCounter">NPV_BS!$C$24</definedName>
    <definedName name="floatingLegConvention">NPV_BS!$F$23</definedName>
    <definedName name="floatingLegDayCounter">NPV_BS!$F$25</definedName>
    <definedName name="floatingLegFrequency">NPV_BS!$F$22</definedName>
    <definedName name="floatingLegIndex">NPV_BS!$F$24</definedName>
    <definedName name="IncludeSettlementDate">#REF!</definedName>
    <definedName name="IndexCalendar">#REF!</definedName>
    <definedName name="LastFixingsTrigger">GeneralSettings_MKT!$D$8</definedName>
    <definedName name="LastUpdate">GeneralSettings_MKT!#REF!</definedName>
    <definedName name="LiveDataFeed">GeneralSettings_MKT!#REF!</definedName>
    <definedName name="NPV">#REF!</definedName>
    <definedName name="NPVDate">#REF!</definedName>
    <definedName name="ObjectOverwrite">GeneralSettings_MKT!$D$11</definedName>
    <definedName name="Permanent">GeneralSettings_MKT!$D$10</definedName>
    <definedName name="PriceTickValue">GeneralSettings_MKT!#REF!</definedName>
    <definedName name="QuoteSuffix">GeneralSettings_MKT!$D$12</definedName>
    <definedName name="RateTickValue">GeneralSettings_MKT!#REF!</definedName>
    <definedName name="ReutersRtMode">GeneralSettings_MKT!#REF!</definedName>
    <definedName name="SecondLegCF">#REF!</definedName>
    <definedName name="SerialFutSeries" localSheetId="1">IF(CheckSerialFut=FALSE,SerialFutNull,SerialFutQuotes)</definedName>
    <definedName name="SerialFutSeries" localSheetId="0">IF(CheckSerialFut=FALSE,SerialFutNull,SerialFutQuotes)</definedName>
    <definedName name="SerialFutSeries">IF(CheckSerialFut=FALSE,SerialFutNull,SerialFutQuotes)</definedName>
    <definedName name="SettlementDate" localSheetId="1">NPV_BS!$C$10</definedName>
    <definedName name="SettlementDate" localSheetId="0">NPV_BS!$C$10</definedName>
    <definedName name="SwapID">#REF!</definedName>
    <definedName name="swapMaturityDate">NPV_BS!$C$18</definedName>
    <definedName name="swapStartDate">NPV_BS!$C$17</definedName>
    <definedName name="Trigger" localSheetId="1">Calibration_BS!$F$2</definedName>
    <definedName name="Trigger" localSheetId="2">GBPSTD_STD!$J$2</definedName>
    <definedName name="Trigger" localSheetId="3">GeneralSettings_MKT!$H$3</definedName>
    <definedName name="Trigger" localSheetId="0">NPV_BS!$F$2</definedName>
    <definedName name="Trigger2" localSheetId="1">Calibration_BS!$F$3</definedName>
    <definedName name="Trigger2" localSheetId="2">GBPSTD_STD!$J$3</definedName>
    <definedName name="Trigger2" localSheetId="3">GeneralSettings_MKT!$H$4</definedName>
    <definedName name="Trigger2" localSheetId="0">NPV_BS!$F$3</definedName>
    <definedName name="Trigger2">#REF!</definedName>
    <definedName name="TriggerCounter">GeneralSettings_MKT!$D$7</definedName>
    <definedName name="type">NPV_BS!$C$19</definedName>
    <definedName name="YieldCurveSTD">GBPSTD_STD!$G$11</definedName>
  </definedNames>
  <calcPr calcId="145621"/>
</workbook>
</file>

<file path=xl/calcChain.xml><?xml version="1.0" encoding="utf-8"?>
<calcChain xmlns="http://schemas.openxmlformats.org/spreadsheetml/2006/main">
  <c r="D89" i="85" l="1"/>
  <c r="D88" i="85"/>
  <c r="D87" i="85"/>
  <c r="D86" i="85"/>
  <c r="D85" i="85"/>
  <c r="D84" i="85"/>
  <c r="D83" i="85"/>
  <c r="D82" i="85"/>
  <c r="D81" i="85"/>
  <c r="D80" i="85"/>
  <c r="D79" i="85"/>
  <c r="D78" i="85"/>
  <c r="D77" i="85"/>
  <c r="D76" i="85"/>
  <c r="D75" i="85"/>
  <c r="D74" i="85"/>
  <c r="D73" i="85"/>
  <c r="D72" i="85"/>
  <c r="D71" i="85"/>
  <c r="D70" i="85"/>
  <c r="D69" i="85"/>
  <c r="D68" i="85"/>
  <c r="D67" i="85"/>
  <c r="D66" i="85"/>
  <c r="D65" i="85"/>
  <c r="D64" i="85"/>
  <c r="D63" i="85"/>
  <c r="D62" i="85"/>
  <c r="D61" i="85"/>
  <c r="D60" i="85"/>
  <c r="D59" i="85"/>
  <c r="D58" i="85"/>
  <c r="D57" i="85"/>
  <c r="D56" i="85"/>
  <c r="D55" i="85"/>
  <c r="D54" i="85"/>
  <c r="D53" i="85"/>
  <c r="D52" i="85"/>
  <c r="D51" i="85"/>
  <c r="D50" i="85"/>
  <c r="D49" i="85"/>
  <c r="D48" i="85"/>
  <c r="D47" i="85"/>
  <c r="D46" i="85"/>
  <c r="D45" i="85"/>
  <c r="D44" i="85"/>
  <c r="D43" i="85"/>
  <c r="D42" i="85"/>
  <c r="D41" i="85"/>
  <c r="D40" i="85"/>
  <c r="D39" i="85"/>
  <c r="D38" i="85"/>
  <c r="D37" i="85"/>
  <c r="D36" i="85"/>
  <c r="D35" i="85"/>
  <c r="D34" i="85"/>
  <c r="D33" i="85"/>
  <c r="D32" i="85"/>
  <c r="D31" i="85"/>
  <c r="D30" i="85"/>
  <c r="D29" i="85"/>
  <c r="D28" i="85"/>
  <c r="D27" i="85"/>
  <c r="D26" i="85"/>
  <c r="D25" i="85"/>
  <c r="D24" i="85"/>
  <c r="D23" i="85"/>
  <c r="D22" i="85"/>
  <c r="D21" i="85"/>
  <c r="D20" i="85"/>
  <c r="D19" i="85"/>
  <c r="D18" i="85"/>
  <c r="D17" i="85"/>
  <c r="D16" i="85"/>
  <c r="D15" i="85"/>
  <c r="D14" i="85"/>
  <c r="D13" i="85"/>
  <c r="D12" i="85"/>
  <c r="D11" i="85"/>
  <c r="D10" i="85"/>
  <c r="D9" i="85"/>
  <c r="D8" i="85"/>
  <c r="D7" i="85"/>
  <c r="D6" i="85"/>
  <c r="D5" i="85"/>
  <c r="D4" i="85"/>
  <c r="B1" i="85"/>
  <c r="G2" i="85"/>
  <c r="G13" i="85"/>
  <c r="D8" i="67"/>
  <c r="D7" i="67"/>
  <c r="F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E33" i="90"/>
  <c r="G31" i="91"/>
  <c r="G30" i="91"/>
  <c r="E32" i="90"/>
  <c r="E30" i="90"/>
  <c r="E31" i="90"/>
  <c r="E28" i="90"/>
  <c r="E29" i="90"/>
  <c r="I25" i="90" l="1"/>
  <c r="I27" i="90"/>
  <c r="I32" i="90"/>
  <c r="L32" i="90" s="1"/>
  <c r="I24" i="90"/>
  <c r="I29" i="90"/>
  <c r="L29" i="90" s="1"/>
  <c r="I33" i="90"/>
  <c r="L33" i="90" s="1"/>
  <c r="I26" i="90"/>
  <c r="I31" i="90"/>
  <c r="L31" i="90" s="1"/>
  <c r="I23" i="90"/>
  <c r="I30" i="90"/>
  <c r="L30" i="90" s="1"/>
  <c r="I28" i="90"/>
  <c r="L28" i="90" s="1"/>
  <c r="D4" i="67" l="1"/>
  <c r="D17" i="67" l="1"/>
  <c r="D5" i="67"/>
  <c r="J2" i="85" l="1"/>
  <c r="G6" i="85"/>
  <c r="G9" i="85"/>
  <c r="B3" i="85" l="1"/>
  <c r="G10" i="85"/>
  <c r="D3" i="85" l="1"/>
  <c r="G11" i="85"/>
  <c r="G12" i="85"/>
  <c r="G17" i="85"/>
  <c r="F2" i="90" l="1"/>
  <c r="E25" i="90"/>
  <c r="J32" i="90"/>
  <c r="C3" i="91"/>
  <c r="K24" i="90"/>
  <c r="M30" i="90"/>
  <c r="L23" i="90"/>
  <c r="C2" i="90"/>
  <c r="J28" i="90"/>
  <c r="J30" i="90"/>
  <c r="H31" i="90"/>
  <c r="K27" i="90"/>
  <c r="K29" i="90"/>
  <c r="L25" i="90"/>
  <c r="J25" i="90"/>
  <c r="E24" i="90"/>
  <c r="J29" i="90"/>
  <c r="H28" i="90"/>
  <c r="K26" i="90"/>
  <c r="M29" i="90"/>
  <c r="F2" i="91"/>
  <c r="C3" i="90"/>
  <c r="J27" i="90"/>
  <c r="H30" i="90"/>
  <c r="K31" i="90"/>
  <c r="M33" i="90"/>
  <c r="F25" i="91"/>
  <c r="E27" i="90"/>
  <c r="J33" i="90"/>
  <c r="H29" i="90"/>
  <c r="M31" i="90"/>
  <c r="K33" i="90"/>
  <c r="H32" i="90"/>
  <c r="E26" i="90"/>
  <c r="J23" i="90"/>
  <c r="H33" i="90"/>
  <c r="K28" i="90"/>
  <c r="L26" i="90"/>
  <c r="G16" i="85"/>
  <c r="E23" i="90"/>
  <c r="C4" i="90"/>
  <c r="J31" i="90"/>
  <c r="K32" i="90"/>
  <c r="M28" i="90"/>
  <c r="L27" i="90"/>
  <c r="J3" i="85"/>
  <c r="J24" i="90"/>
  <c r="J26" i="90"/>
  <c r="C5" i="91"/>
  <c r="M32" i="90"/>
  <c r="K30" i="90"/>
  <c r="L24" i="90"/>
  <c r="C28" i="91"/>
  <c r="C29" i="91"/>
  <c r="I31" i="91" a="1"/>
  <c r="C42" i="91"/>
  <c r="C10" i="91"/>
  <c r="C18" i="91"/>
  <c r="C26" i="91"/>
  <c r="C17" i="91"/>
  <c r="F32" i="91"/>
  <c r="G33" i="91"/>
  <c r="C30" i="91"/>
  <c r="C32" i="91"/>
  <c r="F33" i="91"/>
  <c r="G34" i="91"/>
  <c r="C40" i="91"/>
  <c r="C41" i="91"/>
  <c r="C44" i="91"/>
  <c r="C45" i="91"/>
  <c r="K43" i="91" a="1"/>
  <c r="F34" i="91"/>
  <c r="I43" i="91" a="1"/>
  <c r="J43" i="91" a="1"/>
  <c r="J49" i="91" l="1"/>
  <c r="J45" i="91"/>
  <c r="J44" i="91"/>
  <c r="J47" i="91"/>
  <c r="J48" i="91"/>
  <c r="J46" i="91"/>
  <c r="J43" i="91"/>
  <c r="I46" i="91"/>
  <c r="I49" i="91"/>
  <c r="I48" i="91"/>
  <c r="I45" i="91"/>
  <c r="I47" i="91"/>
  <c r="I44" i="91"/>
  <c r="I43" i="91"/>
  <c r="K46" i="91"/>
  <c r="K44" i="91"/>
  <c r="K48" i="91"/>
  <c r="K47" i="91"/>
  <c r="K45" i="91"/>
  <c r="K49" i="91"/>
  <c r="K43" i="91"/>
  <c r="C33" i="91"/>
  <c r="C34" i="91" s="1"/>
  <c r="I36" i="91"/>
  <c r="I32" i="91"/>
  <c r="I37" i="91"/>
  <c r="I31" i="91"/>
  <c r="I34" i="91"/>
  <c r="I33" i="91"/>
  <c r="I35" i="91"/>
  <c r="N32" i="90"/>
  <c r="N28" i="90"/>
  <c r="N31" i="90"/>
  <c r="N33" i="90"/>
  <c r="C2" i="91"/>
  <c r="N29" i="90"/>
  <c r="N30" i="90"/>
  <c r="H27" i="90"/>
  <c r="M27" i="90"/>
  <c r="H25" i="90"/>
  <c r="M25" i="90"/>
  <c r="C43" i="91"/>
  <c r="M23" i="90"/>
  <c r="K23" i="90"/>
  <c r="H26" i="90"/>
  <c r="H23" i="90"/>
  <c r="M26" i="90"/>
  <c r="C5" i="90"/>
  <c r="H24" i="90"/>
  <c r="F26" i="91"/>
  <c r="M24" i="90"/>
  <c r="N24" i="90" l="1"/>
  <c r="N26" i="90"/>
  <c r="N23" i="90"/>
  <c r="N25" i="90"/>
  <c r="N27" i="90"/>
  <c r="K25" i="90"/>
</calcChain>
</file>

<file path=xl/comments1.xml><?xml version="1.0" encoding="utf-8"?>
<comments xmlns="http://schemas.openxmlformats.org/spreadsheetml/2006/main">
  <authors>
    <author>Ferdinando Ametrano</author>
  </authors>
  <commentList>
    <comment ref="G3" authorId="0">
      <text>
        <r>
          <rPr>
            <sz val="8"/>
            <color indexed="81"/>
            <rFont val="Tahoma"/>
            <family val="2"/>
          </rPr>
          <t>TRUE if the object must be permanent (i.e. resistant to garbage collection). Default is FALSE.</t>
        </r>
      </text>
    </comment>
    <comment ref="G13" authorId="0">
      <text>
        <r>
          <rPr>
            <sz val="8"/>
            <color indexed="81"/>
            <rFont val="Tahoma"/>
            <family val="2"/>
          </rPr>
          <t>id of the object to be created. If missing a unique id will be automatically assigned.</t>
        </r>
      </text>
    </comment>
    <comment ref="G14" authorId="0">
      <text>
        <r>
          <rPr>
            <sz val="8"/>
            <color indexed="81"/>
            <rFont val="Tahoma"/>
            <family val="2"/>
          </rPr>
          <t>Discount, ZeroRate, or ForwardRate. If omitted, default = Discount is used.</t>
        </r>
      </text>
    </comment>
    <comment ref="G15" authorId="0">
      <text>
        <r>
          <rPr>
            <sz val="8"/>
            <color indexed="81"/>
            <rFont val="Tahoma"/>
            <family val="2"/>
          </rPr>
          <t>Linear, LogLinear, or Cubic. If omitted, default = LogLinear is used.</t>
        </r>
      </text>
    </comment>
  </commentList>
</comments>
</file>

<file path=xl/sharedStrings.xml><?xml version="1.0" encoding="utf-8"?>
<sst xmlns="http://schemas.openxmlformats.org/spreadsheetml/2006/main" count="149" uniqueCount="117">
  <si>
    <t>Currency</t>
  </si>
  <si>
    <t>ObjectOverwrite</t>
  </si>
  <si>
    <t>Permanent</t>
  </si>
  <si>
    <t>Trigger</t>
  </si>
  <si>
    <t>1Y</t>
  </si>
  <si>
    <t>Tenor</t>
  </si>
  <si>
    <t>FamilyName</t>
  </si>
  <si>
    <t>30Y</t>
  </si>
  <si>
    <t>25Y</t>
  </si>
  <si>
    <t>20Y</t>
  </si>
  <si>
    <t>15Y</t>
  </si>
  <si>
    <t>10Y</t>
  </si>
  <si>
    <t>7Y</t>
  </si>
  <si>
    <t>5Y</t>
  </si>
  <si>
    <t>4Y</t>
  </si>
  <si>
    <t>3Y</t>
  </si>
  <si>
    <t>2Y</t>
  </si>
  <si>
    <t>TriggerCounter</t>
  </si>
  <si>
    <t>EvaluationDate</t>
  </si>
  <si>
    <t>LastFixingsTrigger</t>
  </si>
  <si>
    <t>Index</t>
  </si>
  <si>
    <t xml:space="preserve"> </t>
  </si>
  <si>
    <t>Discounting</t>
  </si>
  <si>
    <t>Calendar</t>
  </si>
  <si>
    <t>Triggers</t>
  </si>
  <si>
    <t>Currency Settings</t>
  </si>
  <si>
    <t>Error</t>
  </si>
  <si>
    <t>GBP</t>
  </si>
  <si>
    <t>Libor</t>
  </si>
  <si>
    <t>UnitedKingdom::Exchange</t>
  </si>
  <si>
    <t>Modified Following</t>
  </si>
  <si>
    <t>Semiannual</t>
  </si>
  <si>
    <t>Pillar Date</t>
  </si>
  <si>
    <t>Include Flag</t>
  </si>
  <si>
    <t>Extrapolation</t>
  </si>
  <si>
    <t>InterpolatorID</t>
  </si>
  <si>
    <t>TraitsID</t>
  </si>
  <si>
    <t>ObjectID</t>
  </si>
  <si>
    <t>PiecewiseYieldCurve</t>
  </si>
  <si>
    <t>Evaluation Date</t>
  </si>
  <si>
    <t>Family Name</t>
  </si>
  <si>
    <t>inputs</t>
  </si>
  <si>
    <t>outputs</t>
  </si>
  <si>
    <t>NPV</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</si>
  <si>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</si>
  <si>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</si>
  <si>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</si>
  <si>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</si>
  <si>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</si>
  <si>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</si>
  <si>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</si>
  <si>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</si>
  <si>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</si>
  <si>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</si>
  <si>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</si>
  <si>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</si>
  <si>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</si>
  <si>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</si>
  <si>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</si>
  <si>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</si>
  <si>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</si>
  <si>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</si>
  <si>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</si>
  <si>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</si>
  <si>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</si>
  <si>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</si>
  <si>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</si>
  <si>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</si>
  <si>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</si>
  <si>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</si>
  <si>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</si>
  <si>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</si>
  <si>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</si>
  <si>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</si>
  <si>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</si>
  <si>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</si>
  <si>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</si>
  <si>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</si>
  <si>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</si>
  <si>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</si>
  <si>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</si>
  <si>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</si>
  <si>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</si>
  <si>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</si>
  <si>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</si>
  <si>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</si>
  <si>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</si>
  <si>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</si>
  <si>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</si>
  <si>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</si>
  <si>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</si>
  <si>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</si>
  <si>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</si>
  <si>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</si>
  <si>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</si>
  <si>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</si>
  <si>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</si>
  <si>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</si>
  <si>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</si>
  <si>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</si>
  <si>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</si>
  <si>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ql version</t>
  </si>
  <si>
    <t>trigger</t>
  </si>
  <si>
    <t>GBPSTD</t>
  </si>
  <si>
    <t>calculator</t>
  </si>
  <si>
    <t>exercise</t>
  </si>
  <si>
    <t>dates</t>
  </si>
  <si>
    <t>probabilities</t>
  </si>
  <si>
    <t>rates</t>
  </si>
  <si>
    <t>accrual</t>
  </si>
  <si>
    <t>start</t>
  </si>
  <si>
    <t>Data</t>
  </si>
  <si>
    <t>Discount</t>
  </si>
  <si>
    <t>MonotonicCubicNaturalSpline</t>
  </si>
  <si>
    <t>Evaluation date (according to STD Curve)</t>
  </si>
  <si>
    <t>Handle</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</si>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</sst>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_-* #,##0.00_-;\-* #,##0.00_-;_-* &quot;-&quot;??_-;_-@_-"/>
    <numFmt numFmtId="165" formatCode="&quot;£&quot;#,##0;[Red]\-&quot;£&quot;#,##0"/>
    <numFmt numFmtId="166" formatCode="#,##0.0;#,##0.0"/>
    <numFmt numFmtId="167" formatCode="General_)"/>
    <numFmt numFmtId="168" formatCode="0.0000%"/>
    <numFmt numFmtId="169" formatCode="ddd\,\ dd\-mmm\-yyyy"/>
    <numFmt numFmtId="170" formatCode="ddd\,\ d\-mmm\-yyyy"/>
    <numFmt numFmtId="171" formatCode="_([$€-2]* #,##0.00_);_([$€-2]* \(#,##0.00\);_([$€-2]* &quot;-&quot;??_)"/>
    <numFmt numFmtId="172" formatCode="ddd\,\ dd\-mmm\-yyyy\,\ hh:mm:ss"/>
    <numFmt numFmtId="173" formatCode="0.0000E+00"/>
    <numFmt numFmtId="174" formatCode="0.000000"/>
    <numFmt numFmtId="175" formatCode="0.000000000"/>
    <numFmt numFmtId="176" formatCode="ddd\,\ d\-mmm\-yy"/>
    <numFmt numFmtId="177" formatCode="_(* #,##0.0000_);_(* \(#,##0.0000\);_(* &quot;-&quot;??_);_(@_)"/>
    <numFmt numFmtId="178" formatCode="dd\-mmm\-yyyy"/>
    <numFmt numFmtId="179" formatCode="[$-F800]dddd\,\ mmmm\ dd\,\ yyyy"/>
    <numFmt numFmtId="180" formatCode="_(* #,##0.000000_);_(* \(#,##0.000000\);_(* &quot;-&quot;??_);_(@_)"/>
  </numFmts>
  <fonts count="1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b/>
      <sz val="8"/>
      <name val="Courier New"/>
      <family val="3"/>
    </font>
    <font>
      <sz val="8"/>
      <color theme="1"/>
      <name val="Courier New"/>
      <family val="3"/>
    </font>
    <font>
      <b/>
      <sz val="12"/>
      <name val="Courier New"/>
      <family val="3"/>
    </font>
    <font>
      <sz val="8"/>
      <color indexed="81"/>
      <name val="Tahoma"/>
      <family val="2"/>
    </font>
    <font>
      <sz val="11"/>
      <color theme="1"/>
      <name val="Calibri"/>
      <family val="2"/>
      <scheme val="minor"/>
    </font>
    <font>
      <sz val="10"/>
      <color theme="1"/>
      <name val="Calibri"/>
      <family val="2"/>
      <scheme val="minor"/>
    </font>
    <font>
      <b/>
      <sz val="10"/>
      <color theme="1"/>
      <name val="Calibri"/>
      <family val="2"/>
      <scheme val="minor"/>
    </font>
  </fonts>
  <fills count="12">
    <fill>
      <patternFill patternType="none"/>
    </fill>
    <fill>
      <patternFill patternType="gray125"/>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s>
  <cellStyleXfs count="53">
    <xf numFmtId="0" fontId="0" fillId="0" borderId="0"/>
    <xf numFmtId="0" fontId="1" fillId="0" borderId="0"/>
    <xf numFmtId="0" fontId="2" fillId="0" borderId="0"/>
    <xf numFmtId="166" fontId="3" fillId="3"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7" fontId="7" fillId="0" borderId="0"/>
    <xf numFmtId="165" fontId="6" fillId="0" borderId="0" applyFont="0" applyFill="0" applyBorder="0" applyAlignment="0" applyProtection="0"/>
    <xf numFmtId="165" fontId="6" fillId="0" borderId="0" applyFont="0" applyFill="0" applyBorder="0" applyAlignment="0" applyProtection="0"/>
    <xf numFmtId="0" fontId="5" fillId="0" borderId="0"/>
    <xf numFmtId="9" fontId="5" fillId="0" borderId="0" applyFont="0" applyFill="0" applyBorder="0" applyAlignment="0" applyProtection="0"/>
    <xf numFmtId="171"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2"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2" fillId="0" borderId="0" applyFont="0" applyFill="0" applyBorder="0" applyAlignment="0" applyProtection="0"/>
    <xf numFmtId="0" fontId="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 fillId="0" borderId="0"/>
    <xf numFmtId="0" fontId="1" fillId="0" borderId="0"/>
    <xf numFmtId="0" fontId="2" fillId="0" borderId="0"/>
    <xf numFmtId="0" fontId="13" fillId="0" borderId="0"/>
    <xf numFmtId="0" fontId="1" fillId="11" borderId="16" applyNumberFormat="0" applyFont="0" applyAlignment="0" applyProtection="0"/>
    <xf numFmtId="9" fontId="1" fillId="0" borderId="0" applyFont="0" applyFill="0" applyBorder="0" applyAlignment="0" applyProtection="0"/>
    <xf numFmtId="9" fontId="13"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cellStyleXfs>
  <cellXfs count="118">
    <xf numFmtId="0" fontId="0" fillId="0" borderId="0" xfId="0"/>
    <xf numFmtId="0" fontId="8" fillId="6" borderId="0" xfId="1" applyFont="1" applyFill="1"/>
    <xf numFmtId="0" fontId="8" fillId="6" borderId="14" xfId="1" applyFont="1" applyFill="1" applyBorder="1" applyAlignment="1"/>
    <xf numFmtId="0" fontId="8" fillId="6" borderId="3" xfId="1" applyFont="1" applyFill="1" applyBorder="1" applyAlignment="1"/>
    <xf numFmtId="169" fontId="8" fillId="2" borderId="3" xfId="1" applyNumberFormat="1" applyFont="1" applyFill="1" applyBorder="1" applyAlignment="1">
      <alignment horizontal="center"/>
    </xf>
    <xf numFmtId="169" fontId="8" fillId="4" borderId="0" xfId="1" applyNumberFormat="1" applyFont="1" applyFill="1" applyBorder="1" applyAlignment="1">
      <alignment horizontal="center"/>
    </xf>
    <xf numFmtId="0" fontId="8" fillId="2" borderId="14" xfId="1" applyFont="1" applyFill="1" applyBorder="1" applyAlignment="1">
      <alignment horizontal="center"/>
    </xf>
    <xf numFmtId="0" fontId="8" fillId="2" borderId="3" xfId="1" applyFont="1" applyFill="1" applyBorder="1" applyAlignment="1">
      <alignment horizontal="center"/>
    </xf>
    <xf numFmtId="0" fontId="8" fillId="6" borderId="15" xfId="1" applyFont="1" applyFill="1" applyBorder="1" applyAlignment="1"/>
    <xf numFmtId="0" fontId="1" fillId="6" borderId="0" xfId="1" applyFill="1"/>
    <xf numFmtId="0" fontId="10" fillId="6" borderId="0" xfId="0" applyFont="1" applyFill="1"/>
    <xf numFmtId="0" fontId="8" fillId="2" borderId="0" xfId="1" applyFont="1" applyFill="1" applyBorder="1"/>
    <xf numFmtId="0" fontId="8" fillId="2" borderId="15" xfId="1" applyFont="1" applyFill="1" applyBorder="1" applyAlignment="1">
      <alignment horizontal="center"/>
    </xf>
    <xf numFmtId="0" fontId="8" fillId="2" borderId="10" xfId="1" applyFont="1" applyFill="1" applyBorder="1" applyAlignment="1">
      <alignment horizontal="center"/>
    </xf>
    <xf numFmtId="0" fontId="8" fillId="2" borderId="11" xfId="1" applyFont="1" applyFill="1" applyBorder="1"/>
    <xf numFmtId="0" fontId="8" fillId="2" borderId="10" xfId="1" applyFont="1" applyFill="1" applyBorder="1"/>
    <xf numFmtId="0" fontId="8" fillId="2" borderId="9" xfId="1" applyFont="1" applyFill="1" applyBorder="1"/>
    <xf numFmtId="0" fontId="8" fillId="2" borderId="8" xfId="1" applyFont="1" applyFill="1" applyBorder="1"/>
    <xf numFmtId="0" fontId="8" fillId="2" borderId="4" xfId="1" applyFont="1" applyFill="1" applyBorder="1"/>
    <xf numFmtId="0" fontId="8" fillId="4" borderId="0" xfId="1" applyFont="1" applyFill="1" applyBorder="1" applyAlignment="1"/>
    <xf numFmtId="0" fontId="8" fillId="2" borderId="8" xfId="1" applyFont="1" applyFill="1" applyBorder="1" applyAlignment="1">
      <alignment horizontal="center"/>
    </xf>
    <xf numFmtId="15" fontId="8" fillId="2" borderId="10" xfId="1" applyNumberFormat="1" applyFont="1" applyFill="1" applyBorder="1"/>
    <xf numFmtId="0" fontId="8" fillId="2" borderId="11" xfId="10" applyFont="1" applyFill="1" applyBorder="1"/>
    <xf numFmtId="0" fontId="8" fillId="2" borderId="10" xfId="10" applyFont="1" applyFill="1" applyBorder="1"/>
    <xf numFmtId="0" fontId="8" fillId="4" borderId="11" xfId="10" applyFont="1" applyFill="1" applyBorder="1"/>
    <xf numFmtId="0" fontId="8" fillId="4" borderId="10" xfId="10" applyFont="1" applyFill="1" applyBorder="1"/>
    <xf numFmtId="0" fontId="11" fillId="7" borderId="5" xfId="1" applyFont="1" applyFill="1" applyBorder="1" applyAlignment="1">
      <alignment horizontal="centerContinuous" vertical="center"/>
    </xf>
    <xf numFmtId="0" fontId="9" fillId="7" borderId="7" xfId="1" applyFont="1" applyFill="1" applyBorder="1" applyAlignment="1">
      <alignment horizontal="centerContinuous" vertical="center"/>
    </xf>
    <xf numFmtId="0" fontId="9" fillId="7" borderId="2" xfId="1" applyFont="1" applyFill="1" applyBorder="1" applyAlignment="1">
      <alignment horizontal="centerContinuous" vertical="center"/>
    </xf>
    <xf numFmtId="172" fontId="8" fillId="5" borderId="14" xfId="1" applyNumberFormat="1" applyFont="1" applyFill="1" applyBorder="1" applyAlignment="1">
      <alignment horizontal="center"/>
    </xf>
    <xf numFmtId="0" fontId="8" fillId="7" borderId="1" xfId="1" applyFont="1" applyFill="1" applyBorder="1"/>
    <xf numFmtId="0" fontId="10" fillId="6" borderId="0" xfId="0" applyFont="1" applyFill="1" applyBorder="1"/>
    <xf numFmtId="11" fontId="10" fillId="6" borderId="0" xfId="0" applyNumberFormat="1" applyFont="1" applyFill="1"/>
    <xf numFmtId="173" fontId="10" fillId="6" borderId="0" xfId="0" applyNumberFormat="1" applyFont="1" applyFill="1" applyAlignment="1"/>
    <xf numFmtId="0" fontId="8" fillId="6" borderId="0" xfId="1" applyFont="1" applyFill="1" applyBorder="1"/>
    <xf numFmtId="0" fontId="8" fillId="7" borderId="1" xfId="0" applyFont="1" applyFill="1" applyBorder="1" applyAlignment="1">
      <alignment horizontal="center" vertical="center" wrapText="1"/>
    </xf>
    <xf numFmtId="0" fontId="8" fillId="7" borderId="1" xfId="0" applyFont="1" applyFill="1" applyBorder="1" applyAlignment="1">
      <alignment horizontal="centerContinuous" vertical="center"/>
    </xf>
    <xf numFmtId="0" fontId="8" fillId="7" borderId="2" xfId="0" applyFont="1" applyFill="1" applyBorder="1" applyAlignment="1">
      <alignment horizontal="centerContinuous" vertical="center"/>
    </xf>
    <xf numFmtId="0" fontId="8" fillId="7" borderId="5" xfId="0" applyFont="1" applyFill="1" applyBorder="1" applyAlignment="1">
      <alignment horizontal="centerContinuous" vertical="center"/>
    </xf>
    <xf numFmtId="0" fontId="8" fillId="2" borderId="4" xfId="2" applyFont="1" applyFill="1" applyBorder="1"/>
    <xf numFmtId="0" fontId="8" fillId="2" borderId="3" xfId="2" applyFont="1" applyFill="1" applyBorder="1" applyAlignment="1">
      <alignment horizontal="right"/>
    </xf>
    <xf numFmtId="175" fontId="8" fillId="2" borderId="15" xfId="1" applyNumberFormat="1" applyFont="1" applyFill="1" applyBorder="1" applyAlignment="1">
      <alignment horizontal="center"/>
    </xf>
    <xf numFmtId="170" fontId="8" fillId="2" borderId="15" xfId="1" applyNumberFormat="1" applyFont="1" applyFill="1" applyBorder="1" applyAlignment="1">
      <alignment horizontal="right"/>
    </xf>
    <xf numFmtId="0" fontId="8" fillId="9" borderId="4" xfId="1" applyFont="1" applyFill="1" applyBorder="1" applyAlignment="1">
      <alignment horizontal="center"/>
    </xf>
    <xf numFmtId="0" fontId="9" fillId="7" borderId="3" xfId="1" applyFont="1" applyFill="1" applyBorder="1" applyAlignment="1">
      <alignment horizontal="right"/>
    </xf>
    <xf numFmtId="0" fontId="8" fillId="9" borderId="10" xfId="1" applyFont="1" applyFill="1" applyBorder="1" applyAlignment="1">
      <alignment horizontal="center"/>
    </xf>
    <xf numFmtId="0" fontId="9" fillId="7" borderId="15" xfId="1" applyFont="1" applyFill="1" applyBorder="1" applyAlignment="1">
      <alignment horizontal="right"/>
    </xf>
    <xf numFmtId="176" fontId="8" fillId="9" borderId="6" xfId="1" applyNumberFormat="1" applyFont="1" applyFill="1" applyBorder="1" applyAlignment="1">
      <alignment horizontal="center"/>
    </xf>
    <xf numFmtId="0" fontId="9" fillId="7" borderId="14" xfId="1" applyFont="1" applyFill="1" applyBorder="1" applyAlignment="1">
      <alignment horizontal="right"/>
    </xf>
    <xf numFmtId="0" fontId="10" fillId="0" borderId="6" xfId="0" applyFont="1" applyBorder="1" applyAlignment="1">
      <alignment horizontal="center" vertical="center"/>
    </xf>
    <xf numFmtId="0" fontId="8" fillId="2" borderId="2" xfId="1" applyFont="1" applyFill="1" applyBorder="1" applyAlignment="1">
      <alignment horizontal="center"/>
    </xf>
    <xf numFmtId="0" fontId="8" fillId="7" borderId="15" xfId="1" applyFont="1" applyFill="1" applyBorder="1"/>
    <xf numFmtId="169" fontId="8" fillId="2" borderId="6" xfId="1" applyNumberFormat="1" applyFont="1" applyFill="1" applyBorder="1" applyAlignment="1">
      <alignment horizontal="center"/>
    </xf>
    <xf numFmtId="0" fontId="8" fillId="7" borderId="14" xfId="1" applyFont="1" applyFill="1" applyBorder="1"/>
    <xf numFmtId="0" fontId="8" fillId="2" borderId="6" xfId="1" applyFont="1" applyFill="1" applyBorder="1" applyAlignment="1">
      <alignment horizontal="center"/>
    </xf>
    <xf numFmtId="0" fontId="8" fillId="10" borderId="0" xfId="1" applyFont="1" applyFill="1"/>
    <xf numFmtId="0" fontId="8" fillId="10" borderId="0" xfId="2" applyFont="1" applyFill="1"/>
    <xf numFmtId="22" fontId="8" fillId="10" borderId="0" xfId="1" applyNumberFormat="1" applyFont="1" applyFill="1"/>
    <xf numFmtId="0" fontId="14" fillId="6" borderId="0" xfId="0" applyFont="1" applyFill="1"/>
    <xf numFmtId="10" fontId="14" fillId="0" borderId="1" xfId="0" applyNumberFormat="1" applyFont="1" applyBorder="1" applyAlignment="1">
      <alignment horizontal="center" vertical="center"/>
    </xf>
    <xf numFmtId="10" fontId="14" fillId="0" borderId="1" xfId="29" applyNumberFormat="1" applyFont="1" applyBorder="1" applyAlignment="1">
      <alignment horizontal="center" vertical="center"/>
    </xf>
    <xf numFmtId="177" fontId="14" fillId="0" borderId="1" xfId="29" applyNumberFormat="1" applyFont="1" applyBorder="1" applyAlignment="1">
      <alignment horizontal="center" vertical="center"/>
    </xf>
    <xf numFmtId="0" fontId="14" fillId="0" borderId="1" xfId="0" applyFont="1" applyBorder="1" applyAlignment="1">
      <alignment horizontal="center" vertical="center"/>
    </xf>
    <xf numFmtId="0" fontId="14" fillId="0" borderId="1" xfId="0" applyFont="1" applyBorder="1"/>
    <xf numFmtId="0" fontId="15" fillId="7" borderId="1" xfId="0" applyFont="1" applyFill="1" applyBorder="1" applyAlignment="1">
      <alignment horizontal="center"/>
    </xf>
    <xf numFmtId="0" fontId="14" fillId="7" borderId="2" xfId="0" applyFont="1" applyFill="1" applyBorder="1" applyAlignment="1">
      <alignment horizontal="centerContinuous" vertical="center"/>
    </xf>
    <xf numFmtId="0" fontId="14" fillId="7" borderId="7" xfId="0" applyFont="1" applyFill="1" applyBorder="1" applyAlignment="1">
      <alignment horizontal="centerContinuous" vertical="center"/>
    </xf>
    <xf numFmtId="0" fontId="15" fillId="7" borderId="5" xfId="0" applyFont="1" applyFill="1" applyBorder="1" applyAlignment="1">
      <alignment horizontal="centerContinuous" vertical="center"/>
    </xf>
    <xf numFmtId="10" fontId="14" fillId="0" borderId="1" xfId="0" applyNumberFormat="1" applyFont="1" applyBorder="1"/>
    <xf numFmtId="0" fontId="14" fillId="7" borderId="1" xfId="0" applyFont="1" applyFill="1" applyBorder="1"/>
    <xf numFmtId="0" fontId="14" fillId="7" borderId="5" xfId="0" applyFont="1" applyFill="1" applyBorder="1" applyAlignment="1">
      <alignment horizontal="centerContinuous" vertical="center"/>
    </xf>
    <xf numFmtId="0" fontId="15" fillId="6" borderId="0" xfId="0" applyFont="1" applyFill="1"/>
    <xf numFmtId="0" fontId="15" fillId="6" borderId="0" xfId="0" applyFont="1" applyFill="1" applyAlignment="1">
      <alignment horizontal="center"/>
    </xf>
    <xf numFmtId="0" fontId="14" fillId="6" borderId="0" xfId="0" applyFont="1" applyFill="1" applyAlignment="1">
      <alignment horizontal="right"/>
    </xf>
    <xf numFmtId="178" fontId="14" fillId="4" borderId="3" xfId="0" applyNumberFormat="1" applyFont="1" applyFill="1" applyBorder="1"/>
    <xf numFmtId="0" fontId="14" fillId="4" borderId="4" xfId="0" applyFont="1" applyFill="1" applyBorder="1"/>
    <xf numFmtId="0" fontId="14" fillId="4" borderId="8" xfId="0" applyFont="1" applyFill="1" applyBorder="1"/>
    <xf numFmtId="0" fontId="14" fillId="4" borderId="9" xfId="0" applyFont="1" applyFill="1" applyBorder="1"/>
    <xf numFmtId="178" fontId="14" fillId="4" borderId="15" xfId="0" applyNumberFormat="1" applyFont="1" applyFill="1" applyBorder="1"/>
    <xf numFmtId="0" fontId="14" fillId="4" borderId="10" xfId="0" applyFont="1" applyFill="1" applyBorder="1"/>
    <xf numFmtId="2" fontId="14" fillId="0" borderId="1" xfId="0" applyNumberFormat="1" applyFont="1" applyBorder="1" applyAlignment="1">
      <alignment horizontal="center" vertical="center"/>
    </xf>
    <xf numFmtId="0" fontId="14" fillId="7" borderId="1" xfId="0" applyFont="1" applyFill="1" applyBorder="1" applyAlignment="1">
      <alignment horizontal="right"/>
    </xf>
    <xf numFmtId="0" fontId="14" fillId="4" borderId="11" xfId="0" applyFont="1" applyFill="1" applyBorder="1"/>
    <xf numFmtId="0" fontId="14" fillId="4" borderId="6" xfId="0" applyFont="1" applyFill="1" applyBorder="1"/>
    <xf numFmtId="0" fontId="14" fillId="4" borderId="12" xfId="0" applyFont="1" applyFill="1" applyBorder="1"/>
    <xf numFmtId="0" fontId="14" fillId="4" borderId="12" xfId="0" applyFont="1" applyFill="1" applyBorder="1" applyAlignment="1">
      <alignment horizontal="right"/>
    </xf>
    <xf numFmtId="0" fontId="14" fillId="4" borderId="13" xfId="0" applyFont="1" applyFill="1" applyBorder="1"/>
    <xf numFmtId="0" fontId="14" fillId="0" borderId="4" xfId="0" applyFont="1" applyBorder="1"/>
    <xf numFmtId="0" fontId="14" fillId="0" borderId="8" xfId="0" applyFont="1" applyBorder="1"/>
    <xf numFmtId="0" fontId="14" fillId="0" borderId="9" xfId="0" applyFont="1" applyBorder="1"/>
    <xf numFmtId="0" fontId="14" fillId="0" borderId="10" xfId="0" applyFont="1" applyBorder="1"/>
    <xf numFmtId="0" fontId="14" fillId="0" borderId="0" xfId="0" applyFont="1" applyBorder="1"/>
    <xf numFmtId="0" fontId="14" fillId="0" borderId="0" xfId="0" applyFont="1"/>
    <xf numFmtId="0" fontId="14" fillId="0" borderId="11" xfId="0" applyFont="1" applyBorder="1"/>
    <xf numFmtId="168" fontId="14" fillId="0" borderId="1" xfId="0" applyNumberFormat="1" applyFont="1" applyBorder="1" applyAlignment="1">
      <alignment horizontal="center" vertical="center"/>
    </xf>
    <xf numFmtId="0" fontId="14" fillId="7" borderId="2" xfId="0" applyFont="1" applyFill="1" applyBorder="1" applyAlignment="1">
      <alignment horizontal="centerContinuous" vertical="center" wrapText="1"/>
    </xf>
    <xf numFmtId="0" fontId="14" fillId="7" borderId="5" xfId="0" applyFont="1" applyFill="1" applyBorder="1" applyAlignment="1">
      <alignment horizontal="centerContinuous" vertical="center" wrapText="1"/>
    </xf>
    <xf numFmtId="0" fontId="14" fillId="0" borderId="0" xfId="0" applyFont="1" applyBorder="1" applyAlignment="1">
      <alignment horizontal="right"/>
    </xf>
    <xf numFmtId="178" fontId="14" fillId="0" borderId="1" xfId="0" applyNumberFormat="1" applyFont="1" applyBorder="1" applyAlignment="1">
      <alignment horizontal="center" vertical="center"/>
    </xf>
    <xf numFmtId="0" fontId="14" fillId="0" borderId="1" xfId="0" applyFont="1" applyBorder="1" applyAlignment="1">
      <alignment horizontal="center"/>
    </xf>
    <xf numFmtId="179" fontId="14" fillId="0" borderId="1" xfId="0" applyNumberFormat="1" applyFont="1" applyBorder="1" applyAlignment="1">
      <alignment horizontal="center" vertical="center"/>
    </xf>
    <xf numFmtId="0" fontId="14" fillId="7" borderId="1" xfId="0" applyFont="1" applyFill="1" applyBorder="1" applyAlignment="1">
      <alignment horizontal="center" wrapText="1"/>
    </xf>
    <xf numFmtId="0" fontId="14" fillId="5" borderId="1" xfId="0" applyFont="1" applyFill="1" applyBorder="1"/>
    <xf numFmtId="0" fontId="14" fillId="7" borderId="14" xfId="0" applyFont="1" applyFill="1" applyBorder="1"/>
    <xf numFmtId="0" fontId="14" fillId="7" borderId="15" xfId="0" applyFont="1" applyFill="1" applyBorder="1"/>
    <xf numFmtId="0" fontId="14" fillId="7" borderId="3" xfId="0" applyFont="1" applyFill="1" applyBorder="1"/>
    <xf numFmtId="180" fontId="14" fillId="4" borderId="15" xfId="29" applyNumberFormat="1" applyFont="1" applyFill="1" applyBorder="1"/>
    <xf numFmtId="180" fontId="14" fillId="4" borderId="3" xfId="29" applyNumberFormat="1" applyFont="1" applyFill="1" applyBorder="1"/>
    <xf numFmtId="168" fontId="10" fillId="8" borderId="15" xfId="0" applyNumberFormat="1" applyFont="1" applyFill="1" applyBorder="1"/>
    <xf numFmtId="168" fontId="10" fillId="8" borderId="3" xfId="0" applyNumberFormat="1" applyFont="1" applyFill="1" applyBorder="1"/>
    <xf numFmtId="178" fontId="10" fillId="8" borderId="1" xfId="0" applyNumberFormat="1" applyFont="1" applyFill="1" applyBorder="1" applyAlignment="1">
      <alignment horizontal="center" vertical="center"/>
    </xf>
    <xf numFmtId="178" fontId="10" fillId="8" borderId="15" xfId="0" applyNumberFormat="1" applyFont="1" applyFill="1" applyBorder="1" applyAlignment="1">
      <alignment horizontal="center" vertical="center"/>
    </xf>
    <xf numFmtId="178" fontId="10" fillId="8" borderId="3" xfId="0" applyNumberFormat="1" applyFont="1" applyFill="1" applyBorder="1" applyAlignment="1">
      <alignment horizontal="center" vertical="center"/>
    </xf>
    <xf numFmtId="174" fontId="10" fillId="8" borderId="15" xfId="0" applyNumberFormat="1" applyFont="1" applyFill="1" applyBorder="1"/>
    <xf numFmtId="0" fontId="10" fillId="0" borderId="10" xfId="0" applyFont="1" applyBorder="1" applyAlignment="1">
      <alignment vertical="center"/>
    </xf>
    <xf numFmtId="174" fontId="10" fillId="8" borderId="14" xfId="0" applyNumberFormat="1" applyFont="1" applyFill="1" applyBorder="1"/>
    <xf numFmtId="174" fontId="10" fillId="8" borderId="1" xfId="0" applyNumberFormat="1" applyFont="1" applyFill="1" applyBorder="1"/>
    <xf numFmtId="0" fontId="10" fillId="0" borderId="10" xfId="0" applyFont="1" applyBorder="1" applyAlignment="1">
      <alignment horizontal="center" vertical="center"/>
    </xf>
  </cellXfs>
  <cellStyles count="53">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SwaptionATMVols" xfId="2"/>
    <cellStyle name="Normale_AZIONI" xfId="7"/>
    <cellStyle name="Note 2" xfId="45"/>
    <cellStyle name="Percent 2" xfId="4"/>
    <cellStyle name="Percent 2 2" xfId="22"/>
    <cellStyle name="Percent 2 2 2" xfId="46"/>
    <cellStyle name="Percent 2 2 3" xfId="47"/>
    <cellStyle name="Percent 2 3" xfId="17"/>
    <cellStyle name="Percent 3" xfId="11"/>
    <cellStyle name="Percent 3 2" xfId="14"/>
    <cellStyle name="Percent 3 2 2" xfId="28"/>
    <cellStyle name="Percent 3 2 3" xfId="26"/>
    <cellStyle name="Percent 3 3" xfId="23"/>
    <cellStyle name="Percent 3 4" xfId="48"/>
    <cellStyle name="Percent 4" xfId="13"/>
    <cellStyle name="Percent 4 2" xfId="20"/>
    <cellStyle name="Percent 4 3" xfId="19"/>
    <cellStyle name="Percent 5" xfId="49"/>
    <cellStyle name="Percent 5 2" xfId="50"/>
    <cellStyle name="Percent 6" xfId="51"/>
    <cellStyle name="Percent 7" xfId="52"/>
    <cellStyle name="result" xfId="3"/>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49"/>
  <sheetViews>
    <sheetView showGridLines="0" tabSelected="1" workbookViewId="0"/>
  </sheetViews>
  <sheetFormatPr defaultRowHeight="12.75" x14ac:dyDescent="0.2"/>
  <cols>
    <col min="1" max="1" width="2.7109375" style="58" customWidth="1"/>
    <col min="2" max="2" width="24.5703125" style="73" customWidth="1"/>
    <col min="3" max="3" width="21.5703125" style="58" bestFit="1" customWidth="1"/>
    <col min="4" max="4" width="2.7109375" style="58" customWidth="1"/>
    <col min="5" max="5" width="18.7109375" style="58" bestFit="1" customWidth="1"/>
    <col min="6" max="6" width="16.42578125" style="58" bestFit="1" customWidth="1"/>
    <col min="7" max="7" width="2.7109375" style="58" customWidth="1"/>
    <col min="8" max="8" width="9.140625" style="58"/>
    <col min="9" max="11" width="12.7109375" style="58" customWidth="1"/>
    <col min="12" max="16384" width="9.140625" style="58"/>
  </cols>
  <sheetData>
    <row r="1" spans="1:7" x14ac:dyDescent="0.2">
      <c r="B1" s="58"/>
    </row>
    <row r="2" spans="1:7" x14ac:dyDescent="0.2">
      <c r="B2" s="81" t="s">
        <v>102</v>
      </c>
      <c r="C2" s="102" t="e">
        <f ca="1">Trigger</f>
        <v>#NAME?</v>
      </c>
      <c r="E2" s="55" t="s">
        <v>41</v>
      </c>
      <c r="F2" s="55" t="e">
        <f ca="1">_xll.ohTrigger(GBPSTD_STD!Trigger2)</f>
        <v>#NAME?</v>
      </c>
    </row>
    <row r="3" spans="1:7" x14ac:dyDescent="0.2">
      <c r="B3" s="81" t="s">
        <v>101</v>
      </c>
      <c r="C3" s="99" t="e">
        <f ca="1">_xll.qlVersion(Trigger)</f>
        <v>#NAME?</v>
      </c>
      <c r="E3" s="55" t="s">
        <v>42</v>
      </c>
      <c r="F3" s="56"/>
    </row>
    <row r="5" spans="1:7" ht="26.25" customHeight="1" x14ac:dyDescent="0.2">
      <c r="B5" s="101" t="s">
        <v>114</v>
      </c>
      <c r="C5" s="100" t="e">
        <f ca="1">_xll.qlSettingsEvaluationDate(Trigger)</f>
        <v>#NAME?</v>
      </c>
    </row>
    <row r="6" spans="1:7" x14ac:dyDescent="0.2">
      <c r="B6" s="81" t="s">
        <v>0</v>
      </c>
      <c r="C6" s="62" t="s">
        <v>27</v>
      </c>
    </row>
    <row r="7" spans="1:7" x14ac:dyDescent="0.2">
      <c r="B7" s="81" t="s">
        <v>40</v>
      </c>
      <c r="C7" s="62" t="s">
        <v>100</v>
      </c>
    </row>
    <row r="8" spans="1:7" x14ac:dyDescent="0.2">
      <c r="B8" s="81" t="s">
        <v>99</v>
      </c>
      <c r="C8" s="63" t="s">
        <v>29</v>
      </c>
    </row>
    <row r="9" spans="1:7" x14ac:dyDescent="0.2">
      <c r="B9" s="81" t="s">
        <v>98</v>
      </c>
      <c r="C9" s="62">
        <v>0</v>
      </c>
    </row>
    <row r="10" spans="1:7" x14ac:dyDescent="0.2">
      <c r="B10" s="81" t="s">
        <v>97</v>
      </c>
      <c r="C10" s="100" t="e">
        <f ca="1">_xll.qlCalendarAdvance(Calendar,EvaluationDate,C9&amp;"D","following",FALSE,Trigger)</f>
        <v>#NAME?</v>
      </c>
    </row>
    <row r="12" spans="1:7" x14ac:dyDescent="0.2">
      <c r="B12" s="81" t="s">
        <v>96</v>
      </c>
      <c r="C12" s="99" t="s">
        <v>103</v>
      </c>
    </row>
    <row r="13" spans="1:7" x14ac:dyDescent="0.2">
      <c r="B13" s="81" t="s">
        <v>95</v>
      </c>
      <c r="C13" s="99" t="s">
        <v>103</v>
      </c>
    </row>
    <row r="15" spans="1:7" x14ac:dyDescent="0.2">
      <c r="A15" s="70" t="s">
        <v>94</v>
      </c>
      <c r="B15" s="66"/>
      <c r="C15" s="66"/>
      <c r="D15" s="66"/>
      <c r="E15" s="66"/>
      <c r="F15" s="66"/>
      <c r="G15" s="65"/>
    </row>
    <row r="16" spans="1:7" x14ac:dyDescent="0.2">
      <c r="A16" s="93"/>
      <c r="B16" s="92"/>
      <c r="C16" s="92"/>
      <c r="D16" s="91"/>
      <c r="E16" s="91"/>
      <c r="F16" s="91"/>
      <c r="G16" s="90"/>
    </row>
    <row r="17" spans="1:9" x14ac:dyDescent="0.2">
      <c r="A17" s="93"/>
      <c r="B17" s="81" t="s">
        <v>93</v>
      </c>
      <c r="C17" s="98" t="e">
        <f ca="1">_xll.qlCalendarAdvance(Calendar,SettlementDate,"1Y",floatingLegConvention,)</f>
        <v>#NAME?</v>
      </c>
      <c r="D17" s="91"/>
      <c r="E17" s="91"/>
      <c r="F17" s="91"/>
      <c r="G17" s="90"/>
    </row>
    <row r="18" spans="1:9" x14ac:dyDescent="0.2">
      <c r="A18" s="93"/>
      <c r="B18" s="81" t="s">
        <v>92</v>
      </c>
      <c r="C18" s="98" t="e">
        <f ca="1">_xll.qlCalendarAdvance(Calendar,C17,"5Y",floatingLegConvention)</f>
        <v>#NAME?</v>
      </c>
      <c r="D18" s="91"/>
      <c r="E18" s="91"/>
      <c r="F18" s="91"/>
      <c r="G18" s="90"/>
    </row>
    <row r="19" spans="1:9" x14ac:dyDescent="0.2">
      <c r="A19" s="93"/>
      <c r="B19" s="81" t="s">
        <v>91</v>
      </c>
      <c r="C19" s="62" t="s">
        <v>90</v>
      </c>
      <c r="D19" s="91"/>
      <c r="E19" s="91"/>
      <c r="F19" s="91"/>
      <c r="G19" s="90"/>
    </row>
    <row r="20" spans="1:9" x14ac:dyDescent="0.2">
      <c r="A20" s="93"/>
      <c r="B20" s="97"/>
      <c r="C20" s="91"/>
      <c r="D20" s="91"/>
      <c r="E20" s="91"/>
      <c r="F20" s="91"/>
      <c r="G20" s="90"/>
    </row>
    <row r="21" spans="1:9" x14ac:dyDescent="0.2">
      <c r="A21" s="93"/>
      <c r="B21" s="96" t="s">
        <v>89</v>
      </c>
      <c r="C21" s="95"/>
      <c r="D21" s="91"/>
      <c r="E21" s="96" t="s">
        <v>88</v>
      </c>
      <c r="F21" s="95"/>
      <c r="G21" s="90"/>
    </row>
    <row r="22" spans="1:9" x14ac:dyDescent="0.2">
      <c r="A22" s="93"/>
      <c r="B22" s="81" t="s">
        <v>87</v>
      </c>
      <c r="C22" s="62" t="s">
        <v>31</v>
      </c>
      <c r="D22" s="91"/>
      <c r="E22" s="81" t="s">
        <v>86</v>
      </c>
      <c r="F22" s="62" t="s">
        <v>31</v>
      </c>
      <c r="G22" s="90"/>
    </row>
    <row r="23" spans="1:9" x14ac:dyDescent="0.2">
      <c r="A23" s="93"/>
      <c r="B23" s="81" t="s">
        <v>85</v>
      </c>
      <c r="C23" s="62" t="s">
        <v>30</v>
      </c>
      <c r="D23" s="91"/>
      <c r="E23" s="81" t="s">
        <v>84</v>
      </c>
      <c r="F23" s="62" t="s">
        <v>30</v>
      </c>
      <c r="G23" s="90"/>
    </row>
    <row r="24" spans="1:9" x14ac:dyDescent="0.2">
      <c r="A24" s="93"/>
      <c r="B24" s="81" t="s">
        <v>83</v>
      </c>
      <c r="C24" s="62" t="s">
        <v>82</v>
      </c>
      <c r="D24" s="91"/>
      <c r="E24" s="81" t="s">
        <v>81</v>
      </c>
      <c r="F24" s="62" t="str">
        <f>currency&amp;familyName&amp;"6M"</f>
        <v>GBPLIBOR6M</v>
      </c>
      <c r="G24" s="90"/>
    </row>
    <row r="25" spans="1:9" x14ac:dyDescent="0.2">
      <c r="A25" s="93"/>
      <c r="B25" s="81" t="s">
        <v>80</v>
      </c>
      <c r="C25" s="94">
        <v>0.03</v>
      </c>
      <c r="D25" s="91"/>
      <c r="E25" s="81" t="s">
        <v>79</v>
      </c>
      <c r="F25" s="62" t="e">
        <f ca="1">_xll.qlInterestRateIndexDayCounter(F24,Trigger)</f>
        <v>#NAME?</v>
      </c>
      <c r="G25" s="90"/>
    </row>
    <row r="26" spans="1:9" x14ac:dyDescent="0.2">
      <c r="A26" s="93"/>
      <c r="B26" s="81" t="s">
        <v>78</v>
      </c>
      <c r="C26" s="62" t="e">
        <f ca="1">_xll.qlSchedule(B26,swapStartDate,swapMaturityDate,"1Y",Calendar,fixedLegConvention,fixedLegConvention,"Backward")</f>
        <v>#NAME?</v>
      </c>
      <c r="D26" s="91"/>
      <c r="E26" s="81" t="s">
        <v>77</v>
      </c>
      <c r="F26" s="62" t="e">
        <f ca="1">_xll.qlSchedule(E26,swapStartDate,swapMaturityDate,"6M",Calendar,floatingLegConvention,floatingLegConvention,"Backward")</f>
        <v>#NAME?</v>
      </c>
      <c r="G26" s="90"/>
    </row>
    <row r="27" spans="1:9" x14ac:dyDescent="0.2">
      <c r="A27" s="93"/>
      <c r="B27" s="92"/>
      <c r="C27" s="92"/>
      <c r="D27" s="91"/>
      <c r="E27" s="91"/>
      <c r="F27" s="91"/>
      <c r="G27" s="90"/>
    </row>
    <row r="28" spans="1:9" x14ac:dyDescent="0.2">
      <c r="A28" s="93"/>
      <c r="B28" s="81" t="s">
        <v>76</v>
      </c>
      <c r="C28" s="62" t="e">
        <f ca="1">_xll.qlVanillaSwap(B28,C19,1000,C26,C25,fixedLegDayCounter,F26,floatingLegIndex,0,floatingLegDayCounter)</f>
        <v>#NAME?</v>
      </c>
      <c r="D28" s="91"/>
      <c r="E28" s="91"/>
      <c r="F28" s="91"/>
      <c r="G28" s="90"/>
      <c r="I28" s="103" t="s">
        <v>109</v>
      </c>
    </row>
    <row r="29" spans="1:9" x14ac:dyDescent="0.2">
      <c r="A29" s="93"/>
      <c r="B29" s="81" t="s">
        <v>75</v>
      </c>
      <c r="C29" s="62" t="e">
        <f ca="1">_xll.qlDiscountingSwapEngine(,Discounting,,,,,C28)</f>
        <v>#NAME?</v>
      </c>
      <c r="D29" s="91"/>
      <c r="E29" s="91"/>
      <c r="F29" s="91"/>
      <c r="G29" s="90"/>
      <c r="I29" s="104" t="s">
        <v>110</v>
      </c>
    </row>
    <row r="30" spans="1:9" x14ac:dyDescent="0.2">
      <c r="A30" s="93"/>
      <c r="B30" s="81" t="s">
        <v>74</v>
      </c>
      <c r="C30" s="62" t="e">
        <f ca="1">_xll.qlInstrumentSetPricingEngine(C28,C29)</f>
        <v>#NAME?</v>
      </c>
      <c r="D30" s="91"/>
      <c r="E30" s="91"/>
      <c r="F30" s="91"/>
      <c r="G30" s="90" t="e">
        <f ca="1">_xll.ohRangeRetrieveError(C37)</f>
        <v>#NAME?</v>
      </c>
      <c r="I30" s="105" t="s">
        <v>106</v>
      </c>
    </row>
    <row r="31" spans="1:9" x14ac:dyDescent="0.2">
      <c r="A31" s="93"/>
      <c r="B31" s="92"/>
      <c r="C31" s="92"/>
      <c r="D31" s="91"/>
      <c r="E31" s="91"/>
      <c r="F31" s="91"/>
      <c r="G31" s="90" t="e">
        <f ca="1">_xll.ohRangeRetrieveError(C39)</f>
        <v>#NAME?</v>
      </c>
      <c r="I31" s="78" t="e">
        <f t="array" aca="1" ref="I31:I37" ca="1">_xll.qlSwapFixedLegAccrualStartDates(C28)</f>
        <v>#NAME?</v>
      </c>
    </row>
    <row r="32" spans="1:9" x14ac:dyDescent="0.2">
      <c r="A32" s="93"/>
      <c r="B32" s="81" t="s">
        <v>73</v>
      </c>
      <c r="C32" s="94" t="e">
        <f ca="1">_xll.qlVanillaSwapFairRate(C28,C30)</f>
        <v>#NAME?</v>
      </c>
      <c r="D32" s="91"/>
      <c r="E32" s="81" t="s">
        <v>72</v>
      </c>
      <c r="F32" s="94" t="e">
        <f ca="1">_xll.qlVanillaSwap(E32,C19,1000,C26,C32,C24,F26,F24,0,F25)</f>
        <v>#NAME?</v>
      </c>
      <c r="G32" s="90"/>
      <c r="I32" s="78" t="e">
        <f ca="1"/>
        <v>#NAME?</v>
      </c>
    </row>
    <row r="33" spans="1:11" x14ac:dyDescent="0.2">
      <c r="A33" s="93"/>
      <c r="B33" s="81" t="s">
        <v>71</v>
      </c>
      <c r="C33" s="94" t="e">
        <f ca="1">C32*1.2</f>
        <v>#NAME?</v>
      </c>
      <c r="D33" s="91"/>
      <c r="E33" s="81" t="s">
        <v>70</v>
      </c>
      <c r="F33" s="94" t="e">
        <f ca="1">_xll.qlVanillaSwap(E33,C19,1000,C26,C33,C24,F26,F24,0,F25)</f>
        <v>#NAME?</v>
      </c>
      <c r="G33" s="90" t="e">
        <f ca="1">_xll.ohRangeRetrieveError(F32)</f>
        <v>#NAME?</v>
      </c>
      <c r="I33" s="78" t="e">
        <f ca="1"/>
        <v>#NAME?</v>
      </c>
    </row>
    <row r="34" spans="1:11" x14ac:dyDescent="0.2">
      <c r="A34" s="93"/>
      <c r="B34" s="81" t="s">
        <v>69</v>
      </c>
      <c r="C34" s="94" t="e">
        <f ca="1">C33*0.8</f>
        <v>#NAME?</v>
      </c>
      <c r="D34" s="91"/>
      <c r="E34" s="81" t="s">
        <v>68</v>
      </c>
      <c r="F34" s="94" t="e">
        <f ca="1">_xll.qlVanillaSwap(E34,C19,1000,C26,C34,C24,F26,F24,0,F25)</f>
        <v>#NAME?</v>
      </c>
      <c r="G34" s="90" t="e">
        <f ca="1">_xll.ohRangeRetrieveError(F33)</f>
        <v>#NAME?</v>
      </c>
      <c r="I34" s="78" t="e">
        <f ca="1"/>
        <v>#NAME?</v>
      </c>
    </row>
    <row r="35" spans="1:11" x14ac:dyDescent="0.2">
      <c r="A35" s="93"/>
      <c r="B35" s="92"/>
      <c r="C35" s="92"/>
      <c r="D35" s="91"/>
      <c r="E35" s="91"/>
      <c r="F35" s="91"/>
      <c r="G35" s="90"/>
      <c r="I35" s="78" t="e">
        <f ca="1"/>
        <v>#NAME?</v>
      </c>
    </row>
    <row r="36" spans="1:11" x14ac:dyDescent="0.2">
      <c r="A36" s="89"/>
      <c r="B36" s="88"/>
      <c r="C36" s="88"/>
      <c r="D36" s="88"/>
      <c r="E36" s="88"/>
      <c r="F36" s="88"/>
      <c r="G36" s="87"/>
      <c r="I36" s="78" t="e">
        <f ca="1"/>
        <v>#NAME?</v>
      </c>
    </row>
    <row r="37" spans="1:11" x14ac:dyDescent="0.2">
      <c r="I37" s="74" t="e">
        <f ca="1"/>
        <v>#NAME?</v>
      </c>
    </row>
    <row r="38" spans="1:11" x14ac:dyDescent="0.2">
      <c r="A38" s="70" t="s">
        <v>67</v>
      </c>
      <c r="B38" s="66"/>
      <c r="C38" s="66"/>
      <c r="D38" s="65"/>
    </row>
    <row r="39" spans="1:11" x14ac:dyDescent="0.2">
      <c r="A39" s="86"/>
      <c r="B39" s="85"/>
      <c r="C39" s="84"/>
      <c r="D39" s="83"/>
    </row>
    <row r="40" spans="1:11" x14ac:dyDescent="0.2">
      <c r="A40" s="82"/>
      <c r="B40" s="81" t="s">
        <v>66</v>
      </c>
      <c r="C40" s="62" t="e">
        <f ca="1">_xll.qlBermudanExercise(B40,I31:I35)</f>
        <v>#NAME?</v>
      </c>
      <c r="D40" s="79"/>
    </row>
    <row r="41" spans="1:11" x14ac:dyDescent="0.2">
      <c r="A41" s="82"/>
      <c r="B41" s="81" t="s">
        <v>65</v>
      </c>
      <c r="C41" s="62" t="e">
        <f ca="1">_xll.qlSwaption(B41,F32,C40)</f>
        <v>#NAME?</v>
      </c>
      <c r="D41" s="79"/>
      <c r="I41" s="103" t="s">
        <v>105</v>
      </c>
      <c r="J41" s="103" t="s">
        <v>105</v>
      </c>
      <c r="K41" s="103" t="s">
        <v>105</v>
      </c>
    </row>
    <row r="42" spans="1:11" x14ac:dyDescent="0.2">
      <c r="A42" s="82"/>
      <c r="B42" s="81" t="s">
        <v>104</v>
      </c>
      <c r="C42" s="62" t="e">
        <f ca="1">_xll.qlTreeCumulativeProbabilityCalculator1D(,,C2)</f>
        <v>#NAME?</v>
      </c>
      <c r="D42" s="79"/>
      <c r="I42" s="105" t="s">
        <v>106</v>
      </c>
      <c r="J42" s="105" t="s">
        <v>107</v>
      </c>
      <c r="K42" s="105" t="s">
        <v>108</v>
      </c>
    </row>
    <row r="43" spans="1:11" x14ac:dyDescent="0.2">
      <c r="A43" s="82"/>
      <c r="B43" s="81" t="s">
        <v>64</v>
      </c>
      <c r="C43" s="62" t="e">
        <f ca="1">_xll.qlTreeSwaptionEngine(B43,Calibration_BS!C2,50,,C42,,Calibration_BS!C5)</f>
        <v>#NAME?</v>
      </c>
      <c r="D43" s="79"/>
      <c r="I43" s="78" t="e">
        <f t="array" aca="1" ref="I43:I49" ca="1">_xll.qlSwaptionExerciseDates(C41,C45)</f>
        <v>#NAME?</v>
      </c>
      <c r="J43" s="106" t="e">
        <f t="array" aca="1" ref="J43:J49" ca="1">_xll.qlSwaptionExerciseProbabilities(C41,C45)</f>
        <v>#NAME?</v>
      </c>
      <c r="K43" s="106" t="e">
        <f t="array" aca="1" ref="K43:K49" ca="1">_xll.qlSwaptionExerciseRates(C41,C45)</f>
        <v>#NAME?</v>
      </c>
    </row>
    <row r="44" spans="1:11" x14ac:dyDescent="0.2">
      <c r="A44" s="82"/>
      <c r="B44" s="81" t="s">
        <v>63</v>
      </c>
      <c r="C44" s="62" t="e">
        <f ca="1">_xll.qlInstrumentSetPricingEngine(C41,C43,Trigger)</f>
        <v>#NAME?</v>
      </c>
      <c r="D44" s="79"/>
      <c r="I44" s="78" t="e">
        <f ca="1"/>
        <v>#NAME?</v>
      </c>
      <c r="J44" s="106" t="e">
        <f ca="1"/>
        <v>#NAME?</v>
      </c>
      <c r="K44" s="106" t="e">
        <f ca="1"/>
        <v>#NAME?</v>
      </c>
    </row>
    <row r="45" spans="1:11" x14ac:dyDescent="0.2">
      <c r="A45" s="82"/>
      <c r="B45" s="81" t="s">
        <v>43</v>
      </c>
      <c r="C45" s="80" t="e">
        <f ca="1">_xll.qlInstrumentNPV(C41,C44)</f>
        <v>#NAME?</v>
      </c>
      <c r="D45" s="79"/>
      <c r="I45" s="78" t="e">
        <f ca="1"/>
        <v>#NAME?</v>
      </c>
      <c r="J45" s="106" t="e">
        <f ca="1"/>
        <v>#NAME?</v>
      </c>
      <c r="K45" s="106" t="e">
        <f ca="1"/>
        <v>#NAME?</v>
      </c>
    </row>
    <row r="46" spans="1:11" x14ac:dyDescent="0.2">
      <c r="A46" s="77"/>
      <c r="B46" s="76"/>
      <c r="C46" s="76"/>
      <c r="D46" s="75"/>
      <c r="I46" s="78" t="e">
        <f ca="1"/>
        <v>#NAME?</v>
      </c>
      <c r="J46" s="106" t="e">
        <f ca="1"/>
        <v>#NAME?</v>
      </c>
      <c r="K46" s="106" t="e">
        <f ca="1"/>
        <v>#NAME?</v>
      </c>
    </row>
    <row r="47" spans="1:11" x14ac:dyDescent="0.2">
      <c r="B47" s="58"/>
      <c r="I47" s="78" t="e">
        <f ca="1"/>
        <v>#NAME?</v>
      </c>
      <c r="J47" s="106" t="e">
        <f ca="1"/>
        <v>#NAME?</v>
      </c>
      <c r="K47" s="106" t="e">
        <f ca="1"/>
        <v>#NAME?</v>
      </c>
    </row>
    <row r="48" spans="1:11" x14ac:dyDescent="0.2">
      <c r="B48" s="58"/>
      <c r="I48" s="78" t="e">
        <f ca="1"/>
        <v>#NAME?</v>
      </c>
      <c r="J48" s="106" t="e">
        <f ca="1"/>
        <v>#NAME?</v>
      </c>
      <c r="K48" s="106" t="e">
        <f ca="1"/>
        <v>#NAME?</v>
      </c>
    </row>
    <row r="49" spans="9:11" x14ac:dyDescent="0.2">
      <c r="I49" s="74" t="e">
        <f ca="1"/>
        <v>#NAME?</v>
      </c>
      <c r="J49" s="107" t="e">
        <f ca="1"/>
        <v>#NAME?</v>
      </c>
      <c r="K49" s="107" t="e">
        <f ca="1"/>
        <v>#NAME?</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N33"/>
  <sheetViews>
    <sheetView showGridLines="0" workbookViewId="0"/>
  </sheetViews>
  <sheetFormatPr defaultRowHeight="12.75" x14ac:dyDescent="0.2"/>
  <cols>
    <col min="1" max="1" width="2.7109375" style="58" customWidth="1"/>
    <col min="2" max="2" width="9.85546875" style="58" bestFit="1" customWidth="1"/>
    <col min="3" max="3" width="14.42578125" style="58" bestFit="1" customWidth="1"/>
    <col min="4" max="13" width="12.7109375" style="58" customWidth="1"/>
    <col min="14" max="14" width="7.28515625" style="58" bestFit="1" customWidth="1"/>
    <col min="15" max="18" width="13.7109375" style="58" customWidth="1"/>
    <col min="19" max="16384" width="9.140625" style="58"/>
  </cols>
  <sheetData>
    <row r="2" spans="2:13" s="71" customFormat="1" x14ac:dyDescent="0.2">
      <c r="B2" s="69" t="s">
        <v>62</v>
      </c>
      <c r="C2" s="63" t="e">
        <f ca="1">_xll.qlHullWhite(B2,NPV_BS!$C$12,,Trigger)</f>
        <v>#NAME?</v>
      </c>
      <c r="D2" s="72"/>
      <c r="E2" s="55" t="s">
        <v>41</v>
      </c>
      <c r="F2" s="55" t="e">
        <f ca="1">_xll.ohTrigger(GBPSTD_STD!Trigger2)</f>
        <v>#NAME?</v>
      </c>
    </row>
    <row r="3" spans="2:13" s="71" customFormat="1" x14ac:dyDescent="0.2">
      <c r="B3" s="69" t="s">
        <v>61</v>
      </c>
      <c r="C3" s="63" t="e">
        <f ca="1">_xll.qlLevenbergMarquardt(B3,,Trigger)</f>
        <v>#NAME?</v>
      </c>
      <c r="D3" s="72"/>
      <c r="E3" s="55" t="s">
        <v>42</v>
      </c>
      <c r="F3" s="56"/>
    </row>
    <row r="4" spans="2:13" x14ac:dyDescent="0.2">
      <c r="B4" s="69" t="s">
        <v>60</v>
      </c>
      <c r="C4" s="63" t="e">
        <f ca="1">_xll.qlEndCriteria(,400,100,0.00000001,0.00000001,0.00000001,,Trigger)</f>
        <v>#NAME?</v>
      </c>
    </row>
    <row r="5" spans="2:13" x14ac:dyDescent="0.2">
      <c r="B5" s="69" t="s">
        <v>59</v>
      </c>
      <c r="C5" s="63" t="e">
        <f ca="1">_xll.qlCalibratedModelCalibrate(C2,_xll.ohFilter(H23:H33,I23:I33),C3,C4,_xll.ohTrigger(K23:K27))</f>
        <v>#NAME?</v>
      </c>
    </row>
    <row r="7" spans="2:13" x14ac:dyDescent="0.2">
      <c r="C7" s="70" t="s">
        <v>58</v>
      </c>
      <c r="D7" s="66"/>
      <c r="E7" s="66"/>
      <c r="F7" s="66"/>
      <c r="G7" s="66"/>
      <c r="H7" s="66"/>
      <c r="I7" s="66"/>
      <c r="J7" s="66"/>
      <c r="K7" s="66"/>
      <c r="L7" s="66"/>
      <c r="M7" s="65"/>
    </row>
    <row r="8" spans="2:13" x14ac:dyDescent="0.2">
      <c r="B8" s="69" t="s">
        <v>57</v>
      </c>
      <c r="C8" s="69" t="s">
        <v>4</v>
      </c>
      <c r="D8" s="69" t="s">
        <v>16</v>
      </c>
      <c r="E8" s="69" t="s">
        <v>15</v>
      </c>
      <c r="F8" s="69" t="s">
        <v>14</v>
      </c>
      <c r="G8" s="69" t="s">
        <v>13</v>
      </c>
      <c r="H8" s="69" t="s">
        <v>12</v>
      </c>
      <c r="I8" s="69" t="s">
        <v>11</v>
      </c>
      <c r="J8" s="69" t="s">
        <v>10</v>
      </c>
      <c r="K8" s="69" t="s">
        <v>9</v>
      </c>
      <c r="L8" s="69" t="s">
        <v>8</v>
      </c>
      <c r="M8" s="69" t="s">
        <v>7</v>
      </c>
    </row>
    <row r="9" spans="2:13" x14ac:dyDescent="0.2">
      <c r="B9" s="69" t="s">
        <v>4</v>
      </c>
      <c r="C9" s="68">
        <v>0.59599999999999997</v>
      </c>
      <c r="D9" s="68">
        <v>0.56899999999999995</v>
      </c>
      <c r="E9" s="68">
        <v>0.51900000000000002</v>
      </c>
      <c r="F9" s="68">
        <v>0.48399999999999999</v>
      </c>
      <c r="G9" s="68">
        <v>0.45799999999999996</v>
      </c>
      <c r="H9" s="68">
        <v>0.41299999999999998</v>
      </c>
      <c r="I9" s="68">
        <v>0.34700000000000003</v>
      </c>
      <c r="J9" s="68">
        <v>0.311</v>
      </c>
      <c r="K9" s="68">
        <v>0.30499999999999999</v>
      </c>
      <c r="L9" s="68">
        <v>0.311</v>
      </c>
      <c r="M9" s="68">
        <v>0.307</v>
      </c>
    </row>
    <row r="10" spans="2:13" x14ac:dyDescent="0.2">
      <c r="B10" s="69" t="s">
        <v>16</v>
      </c>
      <c r="C10" s="68">
        <v>0.52500000000000002</v>
      </c>
      <c r="D10" s="68">
        <v>0.496</v>
      </c>
      <c r="E10" s="68">
        <v>0.45700000000000002</v>
      </c>
      <c r="F10" s="68">
        <v>0.42499999999999999</v>
      </c>
      <c r="G10" s="68">
        <v>0.40600000000000003</v>
      </c>
      <c r="H10" s="68">
        <v>0.371</v>
      </c>
      <c r="I10" s="68">
        <v>0.32299999999999995</v>
      </c>
      <c r="J10" s="68">
        <v>0.30199999999999999</v>
      </c>
      <c r="K10" s="68">
        <v>0.30599999999999999</v>
      </c>
      <c r="L10" s="68">
        <v>0.29899999999999999</v>
      </c>
      <c r="M10" s="68">
        <v>0.29899999999999999</v>
      </c>
    </row>
    <row r="11" spans="2:13" x14ac:dyDescent="0.2">
      <c r="B11" s="69" t="s">
        <v>15</v>
      </c>
      <c r="C11" s="68">
        <v>0.499</v>
      </c>
      <c r="D11" s="68">
        <v>0.46899999999999997</v>
      </c>
      <c r="E11" s="68">
        <v>0.43700000000000006</v>
      </c>
      <c r="F11" s="68">
        <v>0.40899999999999997</v>
      </c>
      <c r="G11" s="68">
        <v>0.39</v>
      </c>
      <c r="H11" s="68">
        <v>0.35899999999999999</v>
      </c>
      <c r="I11" s="68">
        <v>0.315</v>
      </c>
      <c r="J11" s="68">
        <v>0.29399999999999998</v>
      </c>
      <c r="K11" s="68">
        <v>0.29699999999999999</v>
      </c>
      <c r="L11" s="68">
        <v>0.28999999999999998</v>
      </c>
      <c r="M11" s="68">
        <v>0.29299999999999998</v>
      </c>
    </row>
    <row r="12" spans="2:13" x14ac:dyDescent="0.2">
      <c r="B12" s="69" t="s">
        <v>14</v>
      </c>
      <c r="C12" s="68">
        <v>0.47600000000000003</v>
      </c>
      <c r="D12" s="68">
        <v>0.45</v>
      </c>
      <c r="E12" s="68">
        <v>0.42200000000000004</v>
      </c>
      <c r="F12" s="68">
        <v>0.39500000000000002</v>
      </c>
      <c r="G12" s="68">
        <v>0.37799999999999995</v>
      </c>
      <c r="H12" s="68">
        <v>0.34600000000000003</v>
      </c>
      <c r="I12" s="68">
        <v>0.307</v>
      </c>
      <c r="J12" s="68">
        <v>0.28699999999999998</v>
      </c>
      <c r="K12" s="68">
        <v>0.29100000000000004</v>
      </c>
      <c r="L12" s="68">
        <v>0.28100000000000003</v>
      </c>
      <c r="M12" s="68">
        <v>0.28300000000000003</v>
      </c>
    </row>
    <row r="13" spans="2:13" x14ac:dyDescent="0.2">
      <c r="B13" s="69" t="s">
        <v>13</v>
      </c>
      <c r="C13" s="68">
        <v>0.46399999999999997</v>
      </c>
      <c r="D13" s="68">
        <v>0.43700000000000006</v>
      </c>
      <c r="E13" s="68">
        <v>0.40899999999999997</v>
      </c>
      <c r="F13" s="68">
        <v>0.38400000000000001</v>
      </c>
      <c r="G13" s="68">
        <v>0.36599999999999999</v>
      </c>
      <c r="H13" s="68">
        <v>0.33600000000000002</v>
      </c>
      <c r="I13" s="68">
        <v>0.30099999999999999</v>
      </c>
      <c r="J13" s="68">
        <v>0.28100000000000003</v>
      </c>
      <c r="K13" s="68">
        <v>0.28300000000000003</v>
      </c>
      <c r="L13" s="68">
        <v>0.27200000000000002</v>
      </c>
      <c r="M13" s="68">
        <v>0.27300000000000002</v>
      </c>
    </row>
    <row r="14" spans="2:13" x14ac:dyDescent="0.2">
      <c r="B14" s="69" t="s">
        <v>12</v>
      </c>
      <c r="C14" s="68">
        <v>0.42799999999999999</v>
      </c>
      <c r="D14" s="68">
        <v>0.40700000000000003</v>
      </c>
      <c r="E14" s="68">
        <v>0.38799999999999996</v>
      </c>
      <c r="F14" s="68">
        <v>0.36700000000000005</v>
      </c>
      <c r="G14" s="68">
        <v>0.35200000000000004</v>
      </c>
      <c r="H14" s="68">
        <v>0.32600000000000001</v>
      </c>
      <c r="I14" s="68">
        <v>0.29799999999999999</v>
      </c>
      <c r="J14" s="68">
        <v>0.28100000000000003</v>
      </c>
      <c r="K14" s="68">
        <v>0.27800000000000002</v>
      </c>
      <c r="L14" s="68">
        <v>0.26800000000000002</v>
      </c>
      <c r="M14" s="68">
        <v>0.27</v>
      </c>
    </row>
    <row r="15" spans="2:13" x14ac:dyDescent="0.2">
      <c r="B15" s="69" t="s">
        <v>11</v>
      </c>
      <c r="C15" s="68">
        <v>0.39600000000000002</v>
      </c>
      <c r="D15" s="68">
        <v>0.38100000000000001</v>
      </c>
      <c r="E15" s="68">
        <v>0.36799999999999999</v>
      </c>
      <c r="F15" s="68">
        <v>0.35100000000000003</v>
      </c>
      <c r="G15" s="68">
        <v>0.33799999999999997</v>
      </c>
      <c r="H15" s="68">
        <v>0.317</v>
      </c>
      <c r="I15" s="68">
        <v>0.29299999999999998</v>
      </c>
      <c r="J15" s="68">
        <v>0.27899999999999997</v>
      </c>
      <c r="K15" s="68">
        <v>0.27</v>
      </c>
      <c r="L15" s="68">
        <v>0.26200000000000001</v>
      </c>
      <c r="M15" s="68">
        <v>0.26200000000000001</v>
      </c>
    </row>
    <row r="16" spans="2:13" x14ac:dyDescent="0.2">
      <c r="B16" s="69" t="s">
        <v>10</v>
      </c>
      <c r="C16" s="68">
        <v>0.36700000000000005</v>
      </c>
      <c r="D16" s="68">
        <v>0.35600000000000004</v>
      </c>
      <c r="E16" s="68">
        <v>0.34700000000000003</v>
      </c>
      <c r="F16" s="68">
        <v>0.33500000000000002</v>
      </c>
      <c r="G16" s="68">
        <v>0.32500000000000001</v>
      </c>
      <c r="H16" s="68">
        <v>0.308</v>
      </c>
      <c r="I16" s="68">
        <v>0.28800000000000003</v>
      </c>
      <c r="J16" s="68">
        <v>0.27</v>
      </c>
      <c r="K16" s="68">
        <v>0.26</v>
      </c>
      <c r="L16" s="68">
        <v>0.254</v>
      </c>
      <c r="M16" s="68">
        <v>0.25</v>
      </c>
    </row>
    <row r="17" spans="2:14" x14ac:dyDescent="0.2">
      <c r="B17" s="69" t="s">
        <v>9</v>
      </c>
      <c r="C17" s="68">
        <v>0.35799999999999998</v>
      </c>
      <c r="D17" s="68">
        <v>0.34899999999999998</v>
      </c>
      <c r="E17" s="68">
        <v>0.34200000000000003</v>
      </c>
      <c r="F17" s="68">
        <v>0.33100000000000002</v>
      </c>
      <c r="G17" s="68">
        <v>0.32100000000000001</v>
      </c>
      <c r="H17" s="68">
        <v>0.30399999999999999</v>
      </c>
      <c r="I17" s="68">
        <v>0.28300000000000003</v>
      </c>
      <c r="J17" s="68">
        <v>0.26500000000000001</v>
      </c>
      <c r="K17" s="68">
        <v>0.254</v>
      </c>
      <c r="L17" s="68">
        <v>0.24299999999999999</v>
      </c>
      <c r="M17" s="68">
        <v>0.23600000000000002</v>
      </c>
    </row>
    <row r="18" spans="2:14" x14ac:dyDescent="0.2">
      <c r="B18" s="69" t="s">
        <v>8</v>
      </c>
      <c r="C18" s="68">
        <v>0.35700000000000004</v>
      </c>
      <c r="D18" s="68">
        <v>0.34799999999999998</v>
      </c>
      <c r="E18" s="68">
        <v>0.34200000000000003</v>
      </c>
      <c r="F18" s="68">
        <v>0.33</v>
      </c>
      <c r="G18" s="68">
        <v>0.32</v>
      </c>
      <c r="H18" s="68">
        <v>0.30099999999999999</v>
      </c>
      <c r="I18" s="68">
        <v>0.27899999999999997</v>
      </c>
      <c r="J18" s="68">
        <v>0.25800000000000001</v>
      </c>
      <c r="K18" s="68">
        <v>0.245</v>
      </c>
      <c r="L18" s="68">
        <v>0.23100000000000001</v>
      </c>
      <c r="M18" s="68">
        <v>0.21899999999999997</v>
      </c>
    </row>
    <row r="19" spans="2:14" x14ac:dyDescent="0.2">
      <c r="B19" s="69" t="s">
        <v>7</v>
      </c>
      <c r="C19" s="68">
        <v>0.35700000000000004</v>
      </c>
      <c r="D19" s="68">
        <v>0.34799999999999998</v>
      </c>
      <c r="E19" s="68">
        <v>0.34100000000000003</v>
      </c>
      <c r="F19" s="68">
        <v>0.33</v>
      </c>
      <c r="G19" s="68">
        <v>0.32100000000000001</v>
      </c>
      <c r="H19" s="68">
        <v>0.30199999999999999</v>
      </c>
      <c r="I19" s="68">
        <v>0.27800000000000002</v>
      </c>
      <c r="J19" s="68">
        <v>0.252</v>
      </c>
      <c r="K19" s="68">
        <v>0.23699999999999999</v>
      </c>
      <c r="L19" s="68">
        <v>0.21899999999999997</v>
      </c>
      <c r="M19" s="68">
        <v>0.20600000000000002</v>
      </c>
    </row>
    <row r="21" spans="2:14" x14ac:dyDescent="0.2">
      <c r="B21" s="67" t="s">
        <v>56</v>
      </c>
      <c r="C21" s="66"/>
      <c r="D21" s="66"/>
      <c r="E21" s="66"/>
      <c r="F21" s="66"/>
      <c r="G21" s="66"/>
      <c r="H21" s="66"/>
      <c r="I21" s="66"/>
      <c r="J21" s="66"/>
      <c r="K21" s="66"/>
      <c r="L21" s="66"/>
      <c r="M21" s="66"/>
      <c r="N21" s="65"/>
    </row>
    <row r="22" spans="2:14" x14ac:dyDescent="0.2">
      <c r="B22" s="64" t="s">
        <v>5</v>
      </c>
      <c r="C22" s="64" t="s">
        <v>55</v>
      </c>
      <c r="D22" s="64" t="s">
        <v>54</v>
      </c>
      <c r="E22" s="64" t="s">
        <v>53</v>
      </c>
      <c r="F22" s="64" t="s">
        <v>52</v>
      </c>
      <c r="G22" s="64" t="s">
        <v>51</v>
      </c>
      <c r="H22" s="64" t="s">
        <v>50</v>
      </c>
      <c r="I22" s="64" t="s">
        <v>49</v>
      </c>
      <c r="J22" s="64" t="s">
        <v>48</v>
      </c>
      <c r="K22" s="64" t="s">
        <v>47</v>
      </c>
      <c r="L22" s="64" t="s">
        <v>46</v>
      </c>
      <c r="M22" s="64" t="s">
        <v>45</v>
      </c>
      <c r="N22" s="64" t="s">
        <v>44</v>
      </c>
    </row>
    <row r="23" spans="2:14" x14ac:dyDescent="0.2">
      <c r="B23" s="63">
        <v>1</v>
      </c>
      <c r="C23" s="63">
        <v>5</v>
      </c>
      <c r="D23" s="60">
        <f>IF(C23=0,"--",INDEX(Calibration_BS!C9:M9,C23))</f>
        <v>0.45799999999999996</v>
      </c>
      <c r="E23" s="62" t="str">
        <f ca="1">IFERROR(_xll.qlSimpleQuote(,D23,,Trigger),"--")</f>
        <v>--</v>
      </c>
      <c r="F23" s="62" t="str">
        <f t="shared" ref="F23:F33" si="0">(B23)&amp;"Y"</f>
        <v>1Y</v>
      </c>
      <c r="G23" s="62" t="str">
        <f t="shared" ref="G23:G33" si="1">(C23)&amp;"Y"</f>
        <v>5Y</v>
      </c>
      <c r="H23" s="62" t="str">
        <f ca="1">IFERROR(_xll.qlSwaptionHelper(,F23,G23,E23,floatingLegIndex,"6M",fixedLegDayCounter,floatingLegDayCounter,NPV_BS!$C$12,,Trigger),"--")</f>
        <v>--</v>
      </c>
      <c r="I23" s="62" t="b">
        <f t="shared" ref="I23:I33" si="2">IF(D23="--",FALSE,TRUE)</f>
        <v>1</v>
      </c>
      <c r="J23" s="62" t="e">
        <f ca="1">_xll.qlJamshidianSwaptionEngine(,Calibration_BS!$C$2)</f>
        <v>#NAME?</v>
      </c>
      <c r="K23" s="62" t="str">
        <f ca="1">IFERROR(_xll.qlCalibrationHelperSetPricingEngine(H23,J23),"--")</f>
        <v>--</v>
      </c>
      <c r="L23" s="61" t="e">
        <f ca="1">IF(I23=FALSE,"--",_xll.qlSwaptionHelperModelValue(H23,$C$5))</f>
        <v>#NAME?</v>
      </c>
      <c r="M23" s="60" t="str">
        <f ca="1">IFERROR(_xll.qlCalibrationHelperImpliedVolatility(H23,L23,0.0001,1000,0.05,0.5),"--")</f>
        <v>--</v>
      </c>
      <c r="N23" s="59" t="str">
        <f t="shared" ref="N23:N33" ca="1" si="3">IFERROR((M23-D23)/D23,"--")</f>
        <v>--</v>
      </c>
    </row>
    <row r="24" spans="2:14" x14ac:dyDescent="0.2">
      <c r="B24" s="63">
        <v>2</v>
      </c>
      <c r="C24" s="63">
        <v>4</v>
      </c>
      <c r="D24" s="60">
        <f>IF(C24=0,"--",INDEX(Calibration_BS!C10:M10,C24))</f>
        <v>0.42499999999999999</v>
      </c>
      <c r="E24" s="62" t="str">
        <f ca="1">IFERROR(_xll.qlSimpleQuote(,D24,,Trigger),"--")</f>
        <v>--</v>
      </c>
      <c r="F24" s="62" t="str">
        <f t="shared" si="0"/>
        <v>2Y</v>
      </c>
      <c r="G24" s="62" t="str">
        <f t="shared" si="1"/>
        <v>4Y</v>
      </c>
      <c r="H24" s="62" t="str">
        <f ca="1">IFERROR(_xll.qlSwaptionHelper(,F24,G24,E24,floatingLegIndex,"6M",fixedLegDayCounter,floatingLegDayCounter,NPV_BS!$C$12,,Trigger),"--")</f>
        <v>--</v>
      </c>
      <c r="I24" s="62" t="b">
        <f t="shared" si="2"/>
        <v>1</v>
      </c>
      <c r="J24" s="62" t="e">
        <f ca="1">_xll.qlJamshidianSwaptionEngine(,Calibration_BS!$C$2)</f>
        <v>#NAME?</v>
      </c>
      <c r="K24" s="62" t="str">
        <f ca="1">IFERROR(_xll.qlCalibrationHelperSetPricingEngine(H24,J24),"--")</f>
        <v>--</v>
      </c>
      <c r="L24" s="61" t="e">
        <f ca="1">IF(I24=FALSE,"--",_xll.qlSwaptionHelperModelValue(H24,$C$5))</f>
        <v>#NAME?</v>
      </c>
      <c r="M24" s="60" t="str">
        <f ca="1">IFERROR(_xll.qlCalibrationHelperImpliedVolatility(H24,L24,0.0001,1000,0.05,0.5),"--")</f>
        <v>--</v>
      </c>
      <c r="N24" s="59" t="str">
        <f t="shared" ca="1" si="3"/>
        <v>--</v>
      </c>
    </row>
    <row r="25" spans="2:14" x14ac:dyDescent="0.2">
      <c r="B25" s="63">
        <v>3</v>
      </c>
      <c r="C25" s="63">
        <v>3</v>
      </c>
      <c r="D25" s="60">
        <f>IF(C25=0,"--",INDEX(Calibration_BS!C11:M11,C25))</f>
        <v>0.43700000000000006</v>
      </c>
      <c r="E25" s="62" t="str">
        <f ca="1">IFERROR(_xll.qlSimpleQuote(,D25,,Trigger),"--")</f>
        <v>--</v>
      </c>
      <c r="F25" s="62" t="str">
        <f t="shared" si="0"/>
        <v>3Y</v>
      </c>
      <c r="G25" s="62" t="str">
        <f t="shared" si="1"/>
        <v>3Y</v>
      </c>
      <c r="H25" s="62" t="str">
        <f ca="1">IFERROR(_xll.qlSwaptionHelper(,F25,G25,E25,floatingLegIndex,"6M",fixedLegDayCounter,floatingLegDayCounter,NPV_BS!$C$12,,Trigger),"--")</f>
        <v>--</v>
      </c>
      <c r="I25" s="62" t="b">
        <f t="shared" si="2"/>
        <v>1</v>
      </c>
      <c r="J25" s="62" t="e">
        <f ca="1">_xll.qlJamshidianSwaptionEngine(,Calibration_BS!$C$2)</f>
        <v>#NAME?</v>
      </c>
      <c r="K25" s="62" t="str">
        <f ca="1">IFERROR(_xll.qlCalibrationHelperSetPricingEngine(H25,J25),"--")</f>
        <v>--</v>
      </c>
      <c r="L25" s="61" t="e">
        <f ca="1">IF(I25=FALSE,"--",_xll.qlSwaptionHelperModelValue(H25,$C$5))</f>
        <v>#NAME?</v>
      </c>
      <c r="M25" s="60" t="str">
        <f ca="1">IFERROR(_xll.qlCalibrationHelperImpliedVolatility(H25,L25,0.0001,1000,0.05,0.5),"--")</f>
        <v>--</v>
      </c>
      <c r="N25" s="59" t="str">
        <f t="shared" ca="1" si="3"/>
        <v>--</v>
      </c>
    </row>
    <row r="26" spans="2:14" x14ac:dyDescent="0.2">
      <c r="B26" s="63">
        <v>4</v>
      </c>
      <c r="C26" s="63">
        <v>2</v>
      </c>
      <c r="D26" s="60">
        <f>IF(C26=0,"--",INDEX(Calibration_BS!C12:M12,C26))</f>
        <v>0.45</v>
      </c>
      <c r="E26" s="62" t="str">
        <f ca="1">IFERROR(_xll.qlSimpleQuote(,D26,,Trigger),"--")</f>
        <v>--</v>
      </c>
      <c r="F26" s="62" t="str">
        <f t="shared" si="0"/>
        <v>4Y</v>
      </c>
      <c r="G26" s="62" t="str">
        <f t="shared" si="1"/>
        <v>2Y</v>
      </c>
      <c r="H26" s="62" t="str">
        <f ca="1">IFERROR(_xll.qlSwaptionHelper(,F26,G26,E26,floatingLegIndex,"6M",fixedLegDayCounter,floatingLegDayCounter,NPV_BS!$C$12,,Trigger),"--")</f>
        <v>--</v>
      </c>
      <c r="I26" s="62" t="b">
        <f t="shared" si="2"/>
        <v>1</v>
      </c>
      <c r="J26" s="62" t="e">
        <f ca="1">_xll.qlJamshidianSwaptionEngine(,Calibration_BS!$C$2)</f>
        <v>#NAME?</v>
      </c>
      <c r="K26" s="62" t="str">
        <f ca="1">IFERROR(_xll.qlCalibrationHelperSetPricingEngine(H26,J26),"--")</f>
        <v>--</v>
      </c>
      <c r="L26" s="61" t="e">
        <f ca="1">IF(I26=FALSE,"--",_xll.qlSwaptionHelperModelValue(H26,$C$5))</f>
        <v>#NAME?</v>
      </c>
      <c r="M26" s="60" t="str">
        <f ca="1">IFERROR(_xll.qlCalibrationHelperImpliedVolatility(H26,L26,0.0001,1000,0.05,0.5),"--")</f>
        <v>--</v>
      </c>
      <c r="N26" s="59" t="str">
        <f t="shared" ca="1" si="3"/>
        <v>--</v>
      </c>
    </row>
    <row r="27" spans="2:14" x14ac:dyDescent="0.2">
      <c r="B27" s="63">
        <v>5</v>
      </c>
      <c r="C27" s="63">
        <v>1</v>
      </c>
      <c r="D27" s="60">
        <f>IF(C27=0,"--",INDEX(Calibration_BS!C13:M13,C27))</f>
        <v>0.46399999999999997</v>
      </c>
      <c r="E27" s="62" t="str">
        <f ca="1">IFERROR(_xll.qlSimpleQuote(,D27,,Trigger),"--")</f>
        <v>--</v>
      </c>
      <c r="F27" s="62" t="str">
        <f t="shared" si="0"/>
        <v>5Y</v>
      </c>
      <c r="G27" s="62" t="str">
        <f t="shared" si="1"/>
        <v>1Y</v>
      </c>
      <c r="H27" s="62" t="str">
        <f ca="1">IFERROR(_xll.qlSwaptionHelper(,F27,G27,E27,floatingLegIndex,"6M",fixedLegDayCounter,floatingLegDayCounter,NPV_BS!$C$12,,Trigger),"--")</f>
        <v>--</v>
      </c>
      <c r="I27" s="62" t="b">
        <f t="shared" si="2"/>
        <v>1</v>
      </c>
      <c r="J27" s="62" t="e">
        <f ca="1">_xll.qlJamshidianSwaptionEngine(,Calibration_BS!$C$2)</f>
        <v>#NAME?</v>
      </c>
      <c r="K27" s="62" t="str">
        <f ca="1">IFERROR(_xll.qlCalibrationHelperSetPricingEngine(H27,J27),"--")</f>
        <v>--</v>
      </c>
      <c r="L27" s="61" t="e">
        <f ca="1">IF(I27=FALSE,"--",_xll.qlSwaptionHelperModelValue(H27,$C$5))</f>
        <v>#NAME?</v>
      </c>
      <c r="M27" s="60" t="str">
        <f ca="1">IFERROR(_xll.qlCalibrationHelperImpliedVolatility(H27,L27,0.0001,1000,0.05,0.5),"--")</f>
        <v>--</v>
      </c>
      <c r="N27" s="59" t="str">
        <f t="shared" ca="1" si="3"/>
        <v>--</v>
      </c>
    </row>
    <row r="28" spans="2:14" x14ac:dyDescent="0.2">
      <c r="B28" s="63">
        <v>7</v>
      </c>
      <c r="C28" s="63">
        <v>0</v>
      </c>
      <c r="D28" s="60" t="str">
        <f>IF(C28=0,"--",INDEX(Calibration_BS!C14:M14,C28))</f>
        <v>--</v>
      </c>
      <c r="E28" s="62" t="str">
        <f ca="1">IFERROR(_xll.qlSimpleQuote(,D28,,Trigger),"--")</f>
        <v>--</v>
      </c>
      <c r="F28" s="62" t="str">
        <f t="shared" si="0"/>
        <v>7Y</v>
      </c>
      <c r="G28" s="62" t="str">
        <f t="shared" si="1"/>
        <v>0Y</v>
      </c>
      <c r="H28" s="62" t="str">
        <f ca="1">IFERROR(_xll.qlSwaptionHelper(,F28,G28,E28,floatingLegIndex,"6M",fixedLegDayCounter,floatingLegDayCounter,NPV_BS!$C$12,,Trigger),"--")</f>
        <v>--</v>
      </c>
      <c r="I28" s="62" t="b">
        <f t="shared" si="2"/>
        <v>0</v>
      </c>
      <c r="J28" s="62" t="e">
        <f ca="1">_xll.qlJamshidianSwaptionEngine(,Calibration_BS!$C$2)</f>
        <v>#NAME?</v>
      </c>
      <c r="K28" s="62" t="str">
        <f ca="1">IFERROR(_xll.qlCalibrationHelperSetPricingEngine(H28,J28),"--")</f>
        <v>--</v>
      </c>
      <c r="L28" s="61" t="str">
        <f>IF(I28=FALSE,"--",_xll.qlSwaptionHelperModelValue(H28,$C$5))</f>
        <v>--</v>
      </c>
      <c r="M28" s="60" t="str">
        <f ca="1">IFERROR(_xll.qlCalibrationHelperImpliedVolatility(H28,L28,0.0001,1000,0.05,0.5),"--")</f>
        <v>--</v>
      </c>
      <c r="N28" s="59" t="str">
        <f t="shared" ca="1" si="3"/>
        <v>--</v>
      </c>
    </row>
    <row r="29" spans="2:14" x14ac:dyDescent="0.2">
      <c r="B29" s="63">
        <v>10</v>
      </c>
      <c r="C29" s="63">
        <v>0</v>
      </c>
      <c r="D29" s="60" t="str">
        <f>IF(C29=0,"--",INDEX(Calibration_BS!C15:M15,C29))</f>
        <v>--</v>
      </c>
      <c r="E29" s="62" t="str">
        <f ca="1">IFERROR(_xll.qlSimpleQuote(,D29,,Trigger),"--")</f>
        <v>--</v>
      </c>
      <c r="F29" s="62" t="str">
        <f t="shared" si="0"/>
        <v>10Y</v>
      </c>
      <c r="G29" s="62" t="str">
        <f t="shared" si="1"/>
        <v>0Y</v>
      </c>
      <c r="H29" s="62" t="str">
        <f ca="1">IFERROR(_xll.qlSwaptionHelper(,F29,G29,E29,floatingLegIndex,"6M",fixedLegDayCounter,floatingLegDayCounter,NPV_BS!$C$12,,Trigger),"--")</f>
        <v>--</v>
      </c>
      <c r="I29" s="62" t="b">
        <f t="shared" si="2"/>
        <v>0</v>
      </c>
      <c r="J29" s="62" t="e">
        <f ca="1">_xll.qlJamshidianSwaptionEngine(,Calibration_BS!$C$2)</f>
        <v>#NAME?</v>
      </c>
      <c r="K29" s="62" t="str">
        <f ca="1">IFERROR(_xll.qlCalibrationHelperSetPricingEngine(H29,J29),"--")</f>
        <v>--</v>
      </c>
      <c r="L29" s="61" t="str">
        <f>IF(I29=FALSE,"--",_xll.qlSwaptionHelperModelValue(H29,$C$5))</f>
        <v>--</v>
      </c>
      <c r="M29" s="60" t="str">
        <f ca="1">IFERROR(_xll.qlCalibrationHelperImpliedVolatility(H29,L29,0.0001,1000,0.05,0.5),"--")</f>
        <v>--</v>
      </c>
      <c r="N29" s="59" t="str">
        <f t="shared" ca="1" si="3"/>
        <v>--</v>
      </c>
    </row>
    <row r="30" spans="2:14" x14ac:dyDescent="0.2">
      <c r="B30" s="63">
        <v>15</v>
      </c>
      <c r="C30" s="63">
        <v>0</v>
      </c>
      <c r="D30" s="60" t="str">
        <f>IF(C30=0,"--",INDEX(Calibration_BS!C16:M16,C30))</f>
        <v>--</v>
      </c>
      <c r="E30" s="62" t="str">
        <f ca="1">IFERROR(_xll.qlSimpleQuote(,D30,,Trigger),"--")</f>
        <v>--</v>
      </c>
      <c r="F30" s="62" t="str">
        <f t="shared" si="0"/>
        <v>15Y</v>
      </c>
      <c r="G30" s="62" t="str">
        <f t="shared" si="1"/>
        <v>0Y</v>
      </c>
      <c r="H30" s="62" t="str">
        <f ca="1">IFERROR(_xll.qlSwaptionHelper(,F30,G30,E30,floatingLegIndex,"6M",fixedLegDayCounter,floatingLegDayCounter,NPV_BS!$C$12,,Trigger),"--")</f>
        <v>--</v>
      </c>
      <c r="I30" s="62" t="b">
        <f t="shared" si="2"/>
        <v>0</v>
      </c>
      <c r="J30" s="62" t="e">
        <f ca="1">_xll.qlJamshidianSwaptionEngine(,Calibration_BS!$C$2)</f>
        <v>#NAME?</v>
      </c>
      <c r="K30" s="62" t="str">
        <f ca="1">IFERROR(_xll.qlCalibrationHelperSetPricingEngine(H30,J30),"--")</f>
        <v>--</v>
      </c>
      <c r="L30" s="61" t="str">
        <f>IF(I30=FALSE,"--",_xll.qlSwaptionHelperModelValue(H30,$C$5))</f>
        <v>--</v>
      </c>
      <c r="M30" s="60" t="str">
        <f ca="1">IFERROR(_xll.qlCalibrationHelperImpliedVolatility(H30,L30,0.0001,1000,0.05,0.5),"--")</f>
        <v>--</v>
      </c>
      <c r="N30" s="59" t="str">
        <f t="shared" ca="1" si="3"/>
        <v>--</v>
      </c>
    </row>
    <row r="31" spans="2:14" x14ac:dyDescent="0.2">
      <c r="B31" s="63">
        <v>20</v>
      </c>
      <c r="C31" s="63">
        <v>0</v>
      </c>
      <c r="D31" s="60" t="str">
        <f>IF(C31=0,"--",INDEX(Calibration_BS!C17:M17,C31))</f>
        <v>--</v>
      </c>
      <c r="E31" s="62" t="str">
        <f ca="1">IFERROR(_xll.qlSimpleQuote(,D31,,Trigger),"--")</f>
        <v>--</v>
      </c>
      <c r="F31" s="62" t="str">
        <f t="shared" si="0"/>
        <v>20Y</v>
      </c>
      <c r="G31" s="62" t="str">
        <f t="shared" si="1"/>
        <v>0Y</v>
      </c>
      <c r="H31" s="62" t="str">
        <f ca="1">IFERROR(_xll.qlSwaptionHelper(,F31,G31,E31,floatingLegIndex,"6M",fixedLegDayCounter,floatingLegDayCounter,NPV_BS!$C$12,,Trigger),"--")</f>
        <v>--</v>
      </c>
      <c r="I31" s="62" t="b">
        <f t="shared" si="2"/>
        <v>0</v>
      </c>
      <c r="J31" s="62" t="e">
        <f ca="1">_xll.qlJamshidianSwaptionEngine(,Calibration_BS!$C$2)</f>
        <v>#NAME?</v>
      </c>
      <c r="K31" s="62" t="str">
        <f ca="1">IFERROR(_xll.qlCalibrationHelperSetPricingEngine(H31,J31),"--")</f>
        <v>--</v>
      </c>
      <c r="L31" s="61" t="str">
        <f>IF(I31=FALSE,"--",_xll.qlSwaptionHelperModelValue(H31,$C$5))</f>
        <v>--</v>
      </c>
      <c r="M31" s="60" t="str">
        <f ca="1">IFERROR(_xll.qlCalibrationHelperImpliedVolatility(H31,L31,0.0001,1000,0.05,0.5),"--")</f>
        <v>--</v>
      </c>
      <c r="N31" s="59" t="str">
        <f t="shared" ca="1" si="3"/>
        <v>--</v>
      </c>
    </row>
    <row r="32" spans="2:14" x14ac:dyDescent="0.2">
      <c r="B32" s="63">
        <v>25</v>
      </c>
      <c r="C32" s="63">
        <v>0</v>
      </c>
      <c r="D32" s="60" t="str">
        <f>IF(C32=0,"--",INDEX(Calibration_BS!C18:M18,C32))</f>
        <v>--</v>
      </c>
      <c r="E32" s="62" t="str">
        <f ca="1">IFERROR(_xll.qlSimpleQuote(,D32,,Trigger),"--")</f>
        <v>--</v>
      </c>
      <c r="F32" s="62" t="str">
        <f t="shared" si="0"/>
        <v>25Y</v>
      </c>
      <c r="G32" s="62" t="str">
        <f t="shared" si="1"/>
        <v>0Y</v>
      </c>
      <c r="H32" s="62" t="str">
        <f ca="1">IFERROR(_xll.qlSwaptionHelper(,F32,G32,E32,floatingLegIndex,"6M",fixedLegDayCounter,floatingLegDayCounter,NPV_BS!$C$12,,Trigger),"--")</f>
        <v>--</v>
      </c>
      <c r="I32" s="62" t="b">
        <f t="shared" si="2"/>
        <v>0</v>
      </c>
      <c r="J32" s="62" t="e">
        <f ca="1">_xll.qlJamshidianSwaptionEngine(,Calibration_BS!$C$2)</f>
        <v>#NAME?</v>
      </c>
      <c r="K32" s="62" t="str">
        <f ca="1">IFERROR(_xll.qlCalibrationHelperSetPricingEngine(H32,J32),"--")</f>
        <v>--</v>
      </c>
      <c r="L32" s="61" t="str">
        <f>IF(I32=FALSE,"--",_xll.qlSwaptionHelperModelValue(H32,$C$5))</f>
        <v>--</v>
      </c>
      <c r="M32" s="60" t="str">
        <f ca="1">IFERROR(_xll.qlCalibrationHelperImpliedVolatility(H32,L32,0.0001,1000,0.05,0.5),"--")</f>
        <v>--</v>
      </c>
      <c r="N32" s="59" t="str">
        <f t="shared" ca="1" si="3"/>
        <v>--</v>
      </c>
    </row>
    <row r="33" spans="2:14" x14ac:dyDescent="0.2">
      <c r="B33" s="63">
        <v>30</v>
      </c>
      <c r="C33" s="63">
        <v>0</v>
      </c>
      <c r="D33" s="60" t="str">
        <f>IF(C33=0,"--",INDEX(Calibration_BS!C19:M19,C33))</f>
        <v>--</v>
      </c>
      <c r="E33" s="62" t="str">
        <f ca="1">IFERROR(_xll.qlSimpleQuote(,D33,,Trigger),"--")</f>
        <v>--</v>
      </c>
      <c r="F33" s="62" t="str">
        <f t="shared" si="0"/>
        <v>30Y</v>
      </c>
      <c r="G33" s="62" t="str">
        <f t="shared" si="1"/>
        <v>0Y</v>
      </c>
      <c r="H33" s="62" t="str">
        <f ca="1">IFERROR(_xll.qlSwaptionHelper(,F33,G33,E33,floatingLegIndex,"6M",fixedLegDayCounter,floatingLegDayCounter,NPV_BS!$C$12,,Trigger),"--")</f>
        <v>--</v>
      </c>
      <c r="I33" s="62" t="b">
        <f t="shared" si="2"/>
        <v>0</v>
      </c>
      <c r="J33" s="62" t="e">
        <f ca="1">_xll.qlJamshidianSwaptionEngine(,Calibration_BS!$C$2)</f>
        <v>#NAME?</v>
      </c>
      <c r="K33" s="62" t="str">
        <f ca="1">IFERROR(_xll.qlCalibrationHelperSetPricingEngine(H33,J33),"--")</f>
        <v>--</v>
      </c>
      <c r="L33" s="61" t="str">
        <f>IF(I33=FALSE,"--",_xll.qlSwaptionHelperModelValue(H33,$C$5))</f>
        <v>--</v>
      </c>
      <c r="M33" s="60" t="str">
        <f ca="1">IFERROR(_xll.qlCalibrationHelperImpliedVolatility(H33,L33,0.0001,1000,0.05,0.5),"--")</f>
        <v>--</v>
      </c>
      <c r="N33" s="59"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27"/>
  <sheetViews>
    <sheetView showGridLines="0" zoomScaleNormal="100" workbookViewId="0"/>
  </sheetViews>
  <sheetFormatPr defaultRowHeight="11.25" x14ac:dyDescent="0.2"/>
  <cols>
    <col min="1" max="1" width="2.7109375" style="10" customWidth="1"/>
    <col min="2" max="2" width="13.7109375" style="10" bestFit="1" customWidth="1"/>
    <col min="3" max="3" width="10" style="10" bestFit="1" customWidth="1"/>
    <col min="4" max="4" width="13.140625" style="10" customWidth="1"/>
    <col min="5" max="5" width="2.85546875" style="10" customWidth="1"/>
    <col min="6" max="6" width="20.28515625" style="10" bestFit="1" customWidth="1"/>
    <col min="7" max="7" width="28.5703125" style="10" bestFit="1" customWidth="1"/>
    <col min="8" max="8" width="2.7109375" style="10" customWidth="1"/>
    <col min="9" max="9" width="8" style="10" bestFit="1" customWidth="1"/>
    <col min="10" max="10" width="9.140625" style="10"/>
    <col min="11" max="11" width="20.28515625" style="10" bestFit="1" customWidth="1"/>
    <col min="12" max="12" width="24.42578125" style="10" bestFit="1" customWidth="1"/>
    <col min="13" max="16384" width="9.140625" style="10"/>
  </cols>
  <sheetData>
    <row r="1" spans="1:10" ht="18" customHeight="1" x14ac:dyDescent="0.2">
      <c r="B1" s="38" t="str">
        <f>Currency&amp;"STD"</f>
        <v>GBPSTD</v>
      </c>
      <c r="C1" s="37"/>
      <c r="D1" s="36"/>
    </row>
    <row r="2" spans="1:10" ht="12" customHeight="1" x14ac:dyDescent="0.2">
      <c r="B2" s="35" t="s">
        <v>32</v>
      </c>
      <c r="C2" s="36" t="s">
        <v>111</v>
      </c>
      <c r="D2" s="36" t="s">
        <v>33</v>
      </c>
      <c r="F2" s="53" t="s">
        <v>0</v>
      </c>
      <c r="G2" s="54" t="str">
        <f>[0]!Currency</f>
        <v>GBP</v>
      </c>
      <c r="I2" s="55" t="s">
        <v>41</v>
      </c>
      <c r="J2" s="55">
        <f>GeneralSettings_MKT!Trigger2</f>
        <v>0</v>
      </c>
    </row>
    <row r="3" spans="1:10" ht="11.25" customHeight="1" x14ac:dyDescent="0.2">
      <c r="A3" s="34"/>
      <c r="B3" s="110" t="e">
        <f ca="1">G6</f>
        <v>#NAME?</v>
      </c>
      <c r="C3" s="116">
        <v>1</v>
      </c>
      <c r="D3" s="115" t="b">
        <f ca="1">IF(ISBLANK(B3),FALSE,TRUE)</f>
        <v>1</v>
      </c>
      <c r="E3" s="32"/>
      <c r="F3" s="51" t="s">
        <v>2</v>
      </c>
      <c r="G3" s="13" t="b">
        <v>1</v>
      </c>
      <c r="I3" s="55" t="s">
        <v>42</v>
      </c>
      <c r="J3" s="56" t="e">
        <f ca="1">_xll.ohTrigger(G16:G17)</f>
        <v>#NAME?</v>
      </c>
    </row>
    <row r="4" spans="1:10" ht="11.25" customHeight="1" x14ac:dyDescent="0.2">
      <c r="A4" s="31"/>
      <c r="B4" s="111">
        <v>42380</v>
      </c>
      <c r="C4" s="113">
        <v>0.99990699000000005</v>
      </c>
      <c r="D4" s="113" t="b">
        <f t="shared" ref="D4:D67" si="0">IF(ISBLANK(B4),FALSE,TRUE)</f>
        <v>1</v>
      </c>
      <c r="E4" s="32"/>
      <c r="F4" s="30" t="s">
        <v>1</v>
      </c>
      <c r="G4" s="50" t="b">
        <v>1</v>
      </c>
    </row>
    <row r="5" spans="1:10" ht="11.25" customHeight="1" x14ac:dyDescent="0.2">
      <c r="A5" s="31"/>
      <c r="B5" s="111">
        <v>42555</v>
      </c>
      <c r="C5" s="113">
        <v>0.99627297000000004</v>
      </c>
      <c r="D5" s="113" t="b">
        <f t="shared" si="0"/>
        <v>1</v>
      </c>
      <c r="E5" s="32"/>
    </row>
    <row r="6" spans="1:10" ht="11.25" customHeight="1" x14ac:dyDescent="0.2">
      <c r="A6" s="31"/>
      <c r="B6" s="111">
        <v>42586</v>
      </c>
      <c r="C6" s="113">
        <v>0.99560000000000004</v>
      </c>
      <c r="D6" s="113" t="b">
        <f t="shared" si="0"/>
        <v>1</v>
      </c>
      <c r="E6" s="32"/>
      <c r="F6" s="53" t="s">
        <v>39</v>
      </c>
      <c r="G6" s="52" t="e">
        <f ca="1">_xll.qlSettingsEvaluationDate(Trigger)</f>
        <v>#NAME?</v>
      </c>
    </row>
    <row r="7" spans="1:10" ht="11.25" customHeight="1" x14ac:dyDescent="0.2">
      <c r="A7" s="31"/>
      <c r="B7" s="111">
        <v>42618</v>
      </c>
      <c r="C7" s="113">
        <v>0.99480000000000002</v>
      </c>
      <c r="D7" s="113" t="b">
        <f t="shared" si="0"/>
        <v>1</v>
      </c>
      <c r="E7" s="32"/>
      <c r="F7" s="30" t="s">
        <v>23</v>
      </c>
      <c r="G7" s="50" t="s">
        <v>29</v>
      </c>
    </row>
    <row r="8" spans="1:10" ht="11.25" customHeight="1" x14ac:dyDescent="0.2">
      <c r="A8" s="31"/>
      <c r="B8" s="111">
        <v>42647</v>
      </c>
      <c r="C8" s="113">
        <v>0.99409999999999998</v>
      </c>
      <c r="D8" s="113" t="b">
        <f t="shared" si="0"/>
        <v>1</v>
      </c>
      <c r="E8" s="32"/>
    </row>
    <row r="9" spans="1:10" ht="11.25" customHeight="1" x14ac:dyDescent="0.2">
      <c r="A9" s="31"/>
      <c r="B9" s="111">
        <v>42678</v>
      </c>
      <c r="C9" s="113">
        <v>0.99329999999999996</v>
      </c>
      <c r="D9" s="113" t="b">
        <f t="shared" si="0"/>
        <v>1</v>
      </c>
      <c r="E9" s="32"/>
      <c r="F9" s="48" t="s">
        <v>115</v>
      </c>
      <c r="G9" s="49" t="e">
        <f ca="1">_xll.qlRelinkableHandleYieldTermStructure("GBPSTD",,Permanent,Trigger,ObjectOverwrite)</f>
        <v>#NAME?</v>
      </c>
    </row>
    <row r="10" spans="1:10" ht="11.25" customHeight="1" x14ac:dyDescent="0.2">
      <c r="A10" s="31" t="s">
        <v>21</v>
      </c>
      <c r="B10" s="111">
        <v>42710</v>
      </c>
      <c r="C10" s="113">
        <v>0.99250000000000005</v>
      </c>
      <c r="D10" s="113" t="b">
        <f t="shared" si="0"/>
        <v>1</v>
      </c>
      <c r="E10" s="32"/>
      <c r="F10" s="44" t="s">
        <v>20</v>
      </c>
      <c r="G10" s="117" t="e">
        <f ca="1">_xll.qlLibor("GbpLibor6M",Currency,"6M",G9,Permanent,Trigger,ObjectOverwrite)</f>
        <v>#NAME?</v>
      </c>
    </row>
    <row r="11" spans="1:10" ht="11.25" customHeight="1" x14ac:dyDescent="0.2">
      <c r="A11" s="31"/>
      <c r="B11" s="111">
        <v>42739</v>
      </c>
      <c r="C11" s="113">
        <v>0.99170000000000003</v>
      </c>
      <c r="D11" s="113" t="b">
        <f t="shared" si="0"/>
        <v>1</v>
      </c>
      <c r="E11" s="32"/>
      <c r="F11" s="48" t="s">
        <v>38</v>
      </c>
      <c r="G11" s="49" t="e">
        <f ca="1">_xll.qlInterpolatedYieldCurve($G$13,_xll.ohFilter($B$3:$B$89,$D$3:$D$89),_xll.ohFilter($C$3:$C$89,$D$3:$D$89),$G$7,"Actual/365 (fixed)",,,$G$14,$G$15,$G$3,Trigger,$G$4)</f>
        <v>#NAME?</v>
      </c>
    </row>
    <row r="12" spans="1:10" ht="11.25" customHeight="1" x14ac:dyDescent="0.2">
      <c r="A12" s="31"/>
      <c r="B12" s="111">
        <v>42772</v>
      </c>
      <c r="C12" s="113">
        <v>0.99080000000000001</v>
      </c>
      <c r="D12" s="113" t="b">
        <f t="shared" si="0"/>
        <v>1</v>
      </c>
      <c r="E12" s="32"/>
      <c r="F12" s="44" t="s">
        <v>26</v>
      </c>
      <c r="G12" s="114" t="e">
        <f ca="1">_xll.ohRangeRetrieveError(YieldCurveSTD)</f>
        <v>#NAME?</v>
      </c>
    </row>
    <row r="13" spans="1:10" ht="11.25" customHeight="1" x14ac:dyDescent="0.2">
      <c r="A13" s="31"/>
      <c r="B13" s="111">
        <v>42800</v>
      </c>
      <c r="C13" s="113">
        <v>0.9899</v>
      </c>
      <c r="D13" s="113" t="b">
        <f t="shared" si="0"/>
        <v>1</v>
      </c>
      <c r="E13" s="32"/>
      <c r="F13" s="48" t="s">
        <v>37</v>
      </c>
      <c r="G13" s="47" t="str">
        <f>"_"&amp;Currency&amp;"STD"</f>
        <v>_GBPSTD</v>
      </c>
    </row>
    <row r="14" spans="1:10" ht="11.25" customHeight="1" x14ac:dyDescent="0.2">
      <c r="A14" s="31"/>
      <c r="B14" s="111">
        <v>42829</v>
      </c>
      <c r="C14" s="113">
        <v>0.98899999999999999</v>
      </c>
      <c r="D14" s="113" t="b">
        <f t="shared" si="0"/>
        <v>1</v>
      </c>
      <c r="E14" s="32"/>
      <c r="F14" s="46" t="s">
        <v>36</v>
      </c>
      <c r="G14" s="45" t="s">
        <v>112</v>
      </c>
    </row>
    <row r="15" spans="1:10" ht="11.25" customHeight="1" x14ac:dyDescent="0.2">
      <c r="A15" s="31"/>
      <c r="B15" s="111">
        <v>42920</v>
      </c>
      <c r="C15" s="113">
        <v>0.98599999999999999</v>
      </c>
      <c r="D15" s="113" t="b">
        <f t="shared" si="0"/>
        <v>1</v>
      </c>
      <c r="E15" s="32"/>
      <c r="F15" s="44" t="s">
        <v>35</v>
      </c>
      <c r="G15" s="43" t="s">
        <v>113</v>
      </c>
    </row>
    <row r="16" spans="1:10" ht="11.25" customHeight="1" x14ac:dyDescent="0.2">
      <c r="A16" s="31"/>
      <c r="B16" s="111">
        <v>43104</v>
      </c>
      <c r="C16" s="113">
        <v>0.97915412000000002</v>
      </c>
      <c r="D16" s="113" t="b">
        <f t="shared" si="0"/>
        <v>1</v>
      </c>
      <c r="E16" s="32"/>
      <c r="F16" s="42" t="s">
        <v>116</v>
      </c>
      <c r="G16" s="41" t="e">
        <f ca="1">_xll.qlRelinkableHandleLinkTo(G9,G11,Trigger)</f>
        <v>#NAME?</v>
      </c>
    </row>
    <row r="17" spans="1:7" ht="11.25" customHeight="1" x14ac:dyDescent="0.2">
      <c r="A17" s="31"/>
      <c r="B17" s="111">
        <v>43469</v>
      </c>
      <c r="C17" s="113">
        <v>0.96333398000000003</v>
      </c>
      <c r="D17" s="113" t="b">
        <f t="shared" si="0"/>
        <v>1</v>
      </c>
      <c r="E17" s="32"/>
      <c r="F17" s="40" t="s">
        <v>34</v>
      </c>
      <c r="G17" s="39" t="e">
        <f ca="1">_xll.qlExtrapolatorEnableExtrapolation(YieldCurveSTD,TRUE,Trigger)</f>
        <v>#NAME?</v>
      </c>
    </row>
    <row r="18" spans="1:7" ht="11.25" customHeight="1" x14ac:dyDescent="0.2">
      <c r="A18" s="31"/>
      <c r="B18" s="111">
        <v>43836</v>
      </c>
      <c r="C18" s="113">
        <v>0.94562959000000002</v>
      </c>
      <c r="D18" s="113" t="b">
        <f t="shared" si="0"/>
        <v>1</v>
      </c>
      <c r="E18" s="32"/>
      <c r="F18" s="33"/>
    </row>
    <row r="19" spans="1:7" ht="11.25" customHeight="1" x14ac:dyDescent="0.2">
      <c r="A19" s="31"/>
      <c r="B19" s="111">
        <v>44200</v>
      </c>
      <c r="C19" s="113">
        <v>0.92679038000000002</v>
      </c>
      <c r="D19" s="113" t="b">
        <f t="shared" si="0"/>
        <v>1</v>
      </c>
      <c r="E19" s="32"/>
      <c r="F19" s="33"/>
    </row>
    <row r="20" spans="1:7" ht="11.25" customHeight="1" x14ac:dyDescent="0.2">
      <c r="A20" s="31"/>
      <c r="B20" s="111">
        <v>44565</v>
      </c>
      <c r="C20" s="113">
        <v>0.90676292000000003</v>
      </c>
      <c r="D20" s="113" t="b">
        <f t="shared" si="0"/>
        <v>1</v>
      </c>
      <c r="E20" s="32"/>
      <c r="F20" s="33"/>
    </row>
    <row r="21" spans="1:7" ht="11.25" customHeight="1" x14ac:dyDescent="0.2">
      <c r="A21" s="31"/>
      <c r="B21" s="111">
        <v>44930</v>
      </c>
      <c r="C21" s="113">
        <v>0.88617562999999999</v>
      </c>
      <c r="D21" s="113" t="b">
        <f t="shared" si="0"/>
        <v>1</v>
      </c>
      <c r="E21" s="32"/>
      <c r="F21" s="33"/>
    </row>
    <row r="22" spans="1:7" ht="11.25" customHeight="1" x14ac:dyDescent="0.2">
      <c r="A22" s="31"/>
      <c r="B22" s="111">
        <v>45295</v>
      </c>
      <c r="C22" s="113">
        <v>0.86536215000000005</v>
      </c>
      <c r="D22" s="113" t="b">
        <f t="shared" si="0"/>
        <v>1</v>
      </c>
      <c r="E22" s="32"/>
      <c r="F22" s="33"/>
    </row>
    <row r="23" spans="1:7" ht="11.25" customHeight="1" x14ac:dyDescent="0.2">
      <c r="A23" s="31"/>
      <c r="B23" s="111">
        <v>45663</v>
      </c>
      <c r="C23" s="113">
        <v>0.84444174000000005</v>
      </c>
      <c r="D23" s="113" t="b">
        <f t="shared" si="0"/>
        <v>1</v>
      </c>
      <c r="E23" s="32"/>
      <c r="F23" s="33"/>
    </row>
    <row r="24" spans="1:7" ht="11.25" customHeight="1" x14ac:dyDescent="0.2">
      <c r="A24" s="31"/>
      <c r="B24" s="111">
        <v>46027</v>
      </c>
      <c r="C24" s="113">
        <v>0.82395775000000004</v>
      </c>
      <c r="D24" s="113" t="b">
        <f t="shared" si="0"/>
        <v>1</v>
      </c>
      <c r="E24" s="32"/>
    </row>
    <row r="25" spans="1:7" ht="11.25" customHeight="1" x14ac:dyDescent="0.2">
      <c r="A25" s="31"/>
      <c r="B25" s="111">
        <v>46756</v>
      </c>
      <c r="C25" s="113">
        <v>0.78400024000000001</v>
      </c>
      <c r="D25" s="113" t="b">
        <f t="shared" si="0"/>
        <v>1</v>
      </c>
      <c r="E25" s="32"/>
    </row>
    <row r="26" spans="1:7" ht="11.25" customHeight="1" x14ac:dyDescent="0.2">
      <c r="A26" s="31"/>
      <c r="B26" s="111">
        <v>47854</v>
      </c>
      <c r="C26" s="113">
        <v>0.72808538</v>
      </c>
      <c r="D26" s="113" t="b">
        <f t="shared" si="0"/>
        <v>1</v>
      </c>
      <c r="E26" s="32"/>
    </row>
    <row r="27" spans="1:7" ht="11.25" customHeight="1" x14ac:dyDescent="0.2">
      <c r="A27" s="31"/>
      <c r="B27" s="111">
        <v>49678</v>
      </c>
      <c r="C27" s="113">
        <v>0.65037840999999996</v>
      </c>
      <c r="D27" s="113" t="b">
        <f t="shared" si="0"/>
        <v>1</v>
      </c>
      <c r="E27" s="32"/>
    </row>
    <row r="28" spans="1:7" ht="11.25" customHeight="1" x14ac:dyDescent="0.2">
      <c r="A28" s="31"/>
      <c r="B28" s="111">
        <v>51505</v>
      </c>
      <c r="C28" s="113">
        <v>0.58843345000000002</v>
      </c>
      <c r="D28" s="113" t="b">
        <f t="shared" si="0"/>
        <v>1</v>
      </c>
      <c r="E28" s="32"/>
    </row>
    <row r="29" spans="1:7" ht="11.25" customHeight="1" x14ac:dyDescent="0.2">
      <c r="A29" s="31"/>
      <c r="B29" s="111">
        <v>53331</v>
      </c>
      <c r="C29" s="113">
        <v>0.53473724</v>
      </c>
      <c r="D29" s="113" t="b">
        <f t="shared" si="0"/>
        <v>1</v>
      </c>
      <c r="E29" s="32"/>
    </row>
    <row r="30" spans="1:7" ht="11.25" customHeight="1" x14ac:dyDescent="0.2">
      <c r="A30" s="31"/>
      <c r="B30" s="111">
        <v>55157</v>
      </c>
      <c r="C30" s="113">
        <v>0.49020978999999998</v>
      </c>
      <c r="D30" s="113" t="b">
        <f t="shared" si="0"/>
        <v>1</v>
      </c>
      <c r="E30" s="32"/>
    </row>
    <row r="31" spans="1:7" ht="11.25" customHeight="1" x14ac:dyDescent="0.2">
      <c r="A31" s="31"/>
      <c r="B31" s="111">
        <v>56983</v>
      </c>
      <c r="C31" s="113">
        <v>0.45154281000000002</v>
      </c>
      <c r="D31" s="113" t="b">
        <f t="shared" si="0"/>
        <v>1</v>
      </c>
      <c r="E31" s="32"/>
    </row>
    <row r="32" spans="1:7" ht="11.25" customHeight="1" x14ac:dyDescent="0.2">
      <c r="A32" s="31"/>
      <c r="B32" s="111">
        <v>58810</v>
      </c>
      <c r="C32" s="113">
        <v>0.41616513999999999</v>
      </c>
      <c r="D32" s="113" t="b">
        <f t="shared" si="0"/>
        <v>1</v>
      </c>
      <c r="E32" s="32"/>
    </row>
    <row r="33" spans="1:5" ht="11.25" customHeight="1" x14ac:dyDescent="0.2">
      <c r="A33" s="31"/>
      <c r="B33" s="111">
        <v>60636</v>
      </c>
      <c r="C33" s="113">
        <v>0.38249813999999999</v>
      </c>
      <c r="D33" s="108" t="b">
        <f t="shared" si="0"/>
        <v>1</v>
      </c>
      <c r="E33" s="32"/>
    </row>
    <row r="34" spans="1:5" ht="11.25" customHeight="1" x14ac:dyDescent="0.2">
      <c r="A34" s="31"/>
      <c r="B34" s="111">
        <v>64290</v>
      </c>
      <c r="C34" s="113">
        <v>0.31576752000000002</v>
      </c>
      <c r="D34" s="108" t="b">
        <f t="shared" si="0"/>
        <v>1</v>
      </c>
      <c r="E34" s="32"/>
    </row>
    <row r="35" spans="1:5" ht="11.25" customHeight="1" x14ac:dyDescent="0.2">
      <c r="A35" s="31"/>
      <c r="B35" s="111"/>
      <c r="C35" s="113"/>
      <c r="D35" s="108" t="b">
        <f t="shared" si="0"/>
        <v>0</v>
      </c>
      <c r="E35" s="32"/>
    </row>
    <row r="36" spans="1:5" ht="11.25" customHeight="1" x14ac:dyDescent="0.2">
      <c r="A36" s="31"/>
      <c r="B36" s="111"/>
      <c r="C36" s="113"/>
      <c r="D36" s="108" t="b">
        <f t="shared" si="0"/>
        <v>0</v>
      </c>
      <c r="E36" s="32"/>
    </row>
    <row r="37" spans="1:5" ht="11.25" customHeight="1" x14ac:dyDescent="0.2">
      <c r="A37" s="31"/>
      <c r="B37" s="111"/>
      <c r="C37" s="113"/>
      <c r="D37" s="108" t="b">
        <f t="shared" si="0"/>
        <v>0</v>
      </c>
      <c r="E37" s="32"/>
    </row>
    <row r="38" spans="1:5" ht="11.25" customHeight="1" x14ac:dyDescent="0.2">
      <c r="A38" s="31"/>
      <c r="B38" s="111"/>
      <c r="C38" s="113"/>
      <c r="D38" s="108" t="b">
        <f t="shared" si="0"/>
        <v>0</v>
      </c>
      <c r="E38" s="32"/>
    </row>
    <row r="39" spans="1:5" ht="11.25" customHeight="1" x14ac:dyDescent="0.2">
      <c r="B39" s="111"/>
      <c r="C39" s="113"/>
      <c r="D39" s="108" t="b">
        <f t="shared" si="0"/>
        <v>0</v>
      </c>
      <c r="E39" s="32"/>
    </row>
    <row r="40" spans="1:5" ht="11.25" customHeight="1" x14ac:dyDescent="0.2">
      <c r="B40" s="111"/>
      <c r="C40" s="113"/>
      <c r="D40" s="108" t="b">
        <f t="shared" si="0"/>
        <v>0</v>
      </c>
      <c r="E40" s="32"/>
    </row>
    <row r="41" spans="1:5" ht="11.25" customHeight="1" x14ac:dyDescent="0.2">
      <c r="B41" s="111"/>
      <c r="C41" s="113"/>
      <c r="D41" s="108" t="b">
        <f t="shared" si="0"/>
        <v>0</v>
      </c>
      <c r="E41" s="32"/>
    </row>
    <row r="42" spans="1:5" ht="11.25" customHeight="1" x14ac:dyDescent="0.2">
      <c r="B42" s="111"/>
      <c r="C42" s="113"/>
      <c r="D42" s="108" t="b">
        <f t="shared" si="0"/>
        <v>0</v>
      </c>
      <c r="E42" s="32"/>
    </row>
    <row r="43" spans="1:5" ht="11.25" customHeight="1" x14ac:dyDescent="0.2">
      <c r="B43" s="111"/>
      <c r="C43" s="113"/>
      <c r="D43" s="108" t="b">
        <f t="shared" si="0"/>
        <v>0</v>
      </c>
      <c r="E43" s="32"/>
    </row>
    <row r="44" spans="1:5" ht="11.25" customHeight="1" x14ac:dyDescent="0.2">
      <c r="B44" s="111"/>
      <c r="C44" s="113"/>
      <c r="D44" s="108" t="b">
        <f t="shared" si="0"/>
        <v>0</v>
      </c>
      <c r="E44" s="32"/>
    </row>
    <row r="45" spans="1:5" ht="11.25" customHeight="1" x14ac:dyDescent="0.2">
      <c r="B45" s="111"/>
      <c r="C45" s="113"/>
      <c r="D45" s="108" t="b">
        <f t="shared" si="0"/>
        <v>0</v>
      </c>
      <c r="E45" s="32"/>
    </row>
    <row r="46" spans="1:5" ht="11.25" customHeight="1" x14ac:dyDescent="0.2">
      <c r="B46" s="111"/>
      <c r="C46" s="113"/>
      <c r="D46" s="108" t="b">
        <f t="shared" si="0"/>
        <v>0</v>
      </c>
      <c r="E46" s="32"/>
    </row>
    <row r="47" spans="1:5" ht="11.25" customHeight="1" x14ac:dyDescent="0.2">
      <c r="B47" s="111"/>
      <c r="C47" s="113"/>
      <c r="D47" s="108" t="b">
        <f t="shared" si="0"/>
        <v>0</v>
      </c>
      <c r="E47" s="32"/>
    </row>
    <row r="48" spans="1:5" ht="11.25" customHeight="1" x14ac:dyDescent="0.2">
      <c r="B48" s="111"/>
      <c r="C48" s="113"/>
      <c r="D48" s="108" t="b">
        <f t="shared" si="0"/>
        <v>0</v>
      </c>
      <c r="E48" s="32"/>
    </row>
    <row r="49" spans="2:5" ht="11.25" customHeight="1" x14ac:dyDescent="0.2">
      <c r="B49" s="111"/>
      <c r="C49" s="113"/>
      <c r="D49" s="108" t="b">
        <f t="shared" si="0"/>
        <v>0</v>
      </c>
      <c r="E49" s="32"/>
    </row>
    <row r="50" spans="2:5" ht="11.25" customHeight="1" x14ac:dyDescent="0.2">
      <c r="B50" s="111"/>
      <c r="C50" s="113"/>
      <c r="D50" s="108" t="b">
        <f t="shared" si="0"/>
        <v>0</v>
      </c>
      <c r="E50" s="32"/>
    </row>
    <row r="51" spans="2:5" ht="11.25" customHeight="1" x14ac:dyDescent="0.2">
      <c r="B51" s="111"/>
      <c r="C51" s="113"/>
      <c r="D51" s="108" t="b">
        <f t="shared" si="0"/>
        <v>0</v>
      </c>
      <c r="E51" s="32"/>
    </row>
    <row r="52" spans="2:5" ht="11.25" customHeight="1" x14ac:dyDescent="0.2">
      <c r="B52" s="111"/>
      <c r="C52" s="113"/>
      <c r="D52" s="108" t="b">
        <f t="shared" si="0"/>
        <v>0</v>
      </c>
      <c r="E52" s="32"/>
    </row>
    <row r="53" spans="2:5" ht="11.25" customHeight="1" x14ac:dyDescent="0.2">
      <c r="B53" s="111"/>
      <c r="C53" s="113"/>
      <c r="D53" s="108" t="b">
        <f t="shared" si="0"/>
        <v>0</v>
      </c>
      <c r="E53" s="32"/>
    </row>
    <row r="54" spans="2:5" ht="11.25" customHeight="1" x14ac:dyDescent="0.2">
      <c r="B54" s="111"/>
      <c r="C54" s="113"/>
      <c r="D54" s="108" t="b">
        <f t="shared" si="0"/>
        <v>0</v>
      </c>
      <c r="E54" s="32"/>
    </row>
    <row r="55" spans="2:5" ht="11.25" customHeight="1" x14ac:dyDescent="0.2">
      <c r="B55" s="111"/>
      <c r="C55" s="113"/>
      <c r="D55" s="108" t="b">
        <f t="shared" si="0"/>
        <v>0</v>
      </c>
      <c r="E55" s="32"/>
    </row>
    <row r="56" spans="2:5" ht="11.25" customHeight="1" x14ac:dyDescent="0.2">
      <c r="B56" s="111"/>
      <c r="C56" s="113"/>
      <c r="D56" s="108" t="b">
        <f t="shared" si="0"/>
        <v>0</v>
      </c>
      <c r="E56" s="32"/>
    </row>
    <row r="57" spans="2:5" ht="11.25" customHeight="1" x14ac:dyDescent="0.2">
      <c r="B57" s="111"/>
      <c r="C57" s="113"/>
      <c r="D57" s="108" t="b">
        <f t="shared" si="0"/>
        <v>0</v>
      </c>
      <c r="E57" s="32"/>
    </row>
    <row r="58" spans="2:5" ht="11.25" customHeight="1" x14ac:dyDescent="0.2">
      <c r="B58" s="111"/>
      <c r="C58" s="113"/>
      <c r="D58" s="108" t="b">
        <f t="shared" si="0"/>
        <v>0</v>
      </c>
      <c r="E58" s="32"/>
    </row>
    <row r="59" spans="2:5" ht="11.25" customHeight="1" x14ac:dyDescent="0.2">
      <c r="B59" s="111"/>
      <c r="C59" s="113"/>
      <c r="D59" s="108" t="b">
        <f t="shared" si="0"/>
        <v>0</v>
      </c>
      <c r="E59" s="32"/>
    </row>
    <row r="60" spans="2:5" ht="11.25" customHeight="1" x14ac:dyDescent="0.2">
      <c r="B60" s="111"/>
      <c r="C60" s="113"/>
      <c r="D60" s="108" t="b">
        <f t="shared" si="0"/>
        <v>0</v>
      </c>
      <c r="E60" s="32"/>
    </row>
    <row r="61" spans="2:5" ht="11.25" customHeight="1" x14ac:dyDescent="0.2">
      <c r="B61" s="111"/>
      <c r="C61" s="113"/>
      <c r="D61" s="108" t="b">
        <f t="shared" si="0"/>
        <v>0</v>
      </c>
      <c r="E61" s="32"/>
    </row>
    <row r="62" spans="2:5" ht="11.25" customHeight="1" x14ac:dyDescent="0.2">
      <c r="B62" s="111"/>
      <c r="C62" s="113"/>
      <c r="D62" s="108" t="b">
        <f t="shared" si="0"/>
        <v>0</v>
      </c>
      <c r="E62" s="32"/>
    </row>
    <row r="63" spans="2:5" ht="11.25" customHeight="1" x14ac:dyDescent="0.2">
      <c r="B63" s="111"/>
      <c r="C63" s="113"/>
      <c r="D63" s="108" t="b">
        <f t="shared" si="0"/>
        <v>0</v>
      </c>
      <c r="E63" s="32"/>
    </row>
    <row r="64" spans="2:5" ht="11.25" customHeight="1" x14ac:dyDescent="0.2">
      <c r="B64" s="111"/>
      <c r="C64" s="113"/>
      <c r="D64" s="108" t="b">
        <f t="shared" si="0"/>
        <v>0</v>
      </c>
      <c r="E64" s="32"/>
    </row>
    <row r="65" spans="2:5" ht="11.25" customHeight="1" x14ac:dyDescent="0.2">
      <c r="B65" s="111"/>
      <c r="C65" s="113"/>
      <c r="D65" s="108" t="b">
        <f t="shared" si="0"/>
        <v>0</v>
      </c>
      <c r="E65" s="32"/>
    </row>
    <row r="66" spans="2:5" ht="11.25" customHeight="1" x14ac:dyDescent="0.2">
      <c r="B66" s="111"/>
      <c r="C66" s="113"/>
      <c r="D66" s="108" t="b">
        <f t="shared" si="0"/>
        <v>0</v>
      </c>
      <c r="E66" s="32"/>
    </row>
    <row r="67" spans="2:5" ht="11.25" customHeight="1" x14ac:dyDescent="0.2">
      <c r="B67" s="111"/>
      <c r="C67" s="113"/>
      <c r="D67" s="108" t="b">
        <f t="shared" si="0"/>
        <v>0</v>
      </c>
      <c r="E67" s="32"/>
    </row>
    <row r="68" spans="2:5" ht="11.25" customHeight="1" x14ac:dyDescent="0.2">
      <c r="B68" s="111"/>
      <c r="C68" s="113"/>
      <c r="D68" s="108" t="b">
        <f t="shared" ref="D68:D89" si="1">IF(ISBLANK(B68),FALSE,TRUE)</f>
        <v>0</v>
      </c>
      <c r="E68" s="32"/>
    </row>
    <row r="69" spans="2:5" ht="11.25" customHeight="1" x14ac:dyDescent="0.2">
      <c r="B69" s="111"/>
      <c r="C69" s="113"/>
      <c r="D69" s="108" t="b">
        <f t="shared" si="1"/>
        <v>0</v>
      </c>
      <c r="E69" s="32"/>
    </row>
    <row r="70" spans="2:5" ht="11.25" customHeight="1" x14ac:dyDescent="0.2">
      <c r="B70" s="111"/>
      <c r="C70" s="113"/>
      <c r="D70" s="108" t="b">
        <f t="shared" si="1"/>
        <v>0</v>
      </c>
      <c r="E70" s="32"/>
    </row>
    <row r="71" spans="2:5" ht="11.25" customHeight="1" x14ac:dyDescent="0.2">
      <c r="B71" s="111"/>
      <c r="C71" s="113"/>
      <c r="D71" s="108" t="b">
        <f t="shared" si="1"/>
        <v>0</v>
      </c>
      <c r="E71" s="32"/>
    </row>
    <row r="72" spans="2:5" ht="11.25" customHeight="1" x14ac:dyDescent="0.2">
      <c r="B72" s="111"/>
      <c r="C72" s="113"/>
      <c r="D72" s="108" t="b">
        <f t="shared" si="1"/>
        <v>0</v>
      </c>
      <c r="E72" s="32"/>
    </row>
    <row r="73" spans="2:5" ht="11.25" customHeight="1" x14ac:dyDescent="0.2">
      <c r="B73" s="111"/>
      <c r="C73" s="113"/>
      <c r="D73" s="108" t="b">
        <f t="shared" si="1"/>
        <v>0</v>
      </c>
      <c r="E73" s="32"/>
    </row>
    <row r="74" spans="2:5" ht="11.25" customHeight="1" x14ac:dyDescent="0.2">
      <c r="B74" s="111"/>
      <c r="C74" s="113"/>
      <c r="D74" s="108" t="b">
        <f t="shared" si="1"/>
        <v>0</v>
      </c>
      <c r="E74" s="32"/>
    </row>
    <row r="75" spans="2:5" ht="11.25" customHeight="1" x14ac:dyDescent="0.2">
      <c r="B75" s="111"/>
      <c r="C75" s="113"/>
      <c r="D75" s="108" t="b">
        <f t="shared" si="1"/>
        <v>0</v>
      </c>
      <c r="E75" s="32"/>
    </row>
    <row r="76" spans="2:5" ht="11.25" customHeight="1" x14ac:dyDescent="0.2">
      <c r="B76" s="111"/>
      <c r="C76" s="113"/>
      <c r="D76" s="108" t="b">
        <f t="shared" si="1"/>
        <v>0</v>
      </c>
      <c r="E76" s="32"/>
    </row>
    <row r="77" spans="2:5" ht="11.25" customHeight="1" x14ac:dyDescent="0.2">
      <c r="B77" s="111"/>
      <c r="C77" s="113"/>
      <c r="D77" s="108" t="b">
        <f t="shared" si="1"/>
        <v>0</v>
      </c>
      <c r="E77" s="32"/>
    </row>
    <row r="78" spans="2:5" ht="11.25" customHeight="1" x14ac:dyDescent="0.2">
      <c r="B78" s="111"/>
      <c r="C78" s="113"/>
      <c r="D78" s="108" t="b">
        <f t="shared" si="1"/>
        <v>0</v>
      </c>
      <c r="E78" s="32"/>
    </row>
    <row r="79" spans="2:5" ht="11.25" customHeight="1" x14ac:dyDescent="0.2">
      <c r="B79" s="111"/>
      <c r="C79" s="113"/>
      <c r="D79" s="108" t="b">
        <f t="shared" si="1"/>
        <v>0</v>
      </c>
      <c r="E79" s="32"/>
    </row>
    <row r="80" spans="2:5" ht="11.25" customHeight="1" x14ac:dyDescent="0.2">
      <c r="B80" s="111"/>
      <c r="C80" s="113"/>
      <c r="D80" s="108" t="b">
        <f t="shared" si="1"/>
        <v>0</v>
      </c>
      <c r="E80" s="32"/>
    </row>
    <row r="81" spans="1:5" x14ac:dyDescent="0.2">
      <c r="B81" s="111"/>
      <c r="C81" s="113"/>
      <c r="D81" s="108" t="b">
        <f t="shared" si="1"/>
        <v>0</v>
      </c>
      <c r="E81" s="32"/>
    </row>
    <row r="82" spans="1:5" x14ac:dyDescent="0.2">
      <c r="B82" s="111"/>
      <c r="C82" s="113"/>
      <c r="D82" s="108" t="b">
        <f t="shared" si="1"/>
        <v>0</v>
      </c>
      <c r="E82" s="32"/>
    </row>
    <row r="83" spans="1:5" x14ac:dyDescent="0.2">
      <c r="B83" s="111"/>
      <c r="C83" s="113"/>
      <c r="D83" s="108" t="b">
        <f t="shared" si="1"/>
        <v>0</v>
      </c>
      <c r="E83" s="32"/>
    </row>
    <row r="84" spans="1:5" x14ac:dyDescent="0.2">
      <c r="B84" s="111"/>
      <c r="C84" s="113"/>
      <c r="D84" s="108" t="b">
        <f t="shared" si="1"/>
        <v>0</v>
      </c>
      <c r="E84" s="32"/>
    </row>
    <row r="85" spans="1:5" x14ac:dyDescent="0.2">
      <c r="B85" s="111"/>
      <c r="C85" s="113"/>
      <c r="D85" s="108" t="b">
        <f t="shared" si="1"/>
        <v>0</v>
      </c>
      <c r="E85" s="32"/>
    </row>
    <row r="86" spans="1:5" x14ac:dyDescent="0.2">
      <c r="B86" s="111"/>
      <c r="C86" s="113"/>
      <c r="D86" s="108" t="b">
        <f t="shared" si="1"/>
        <v>0</v>
      </c>
      <c r="E86" s="32"/>
    </row>
    <row r="87" spans="1:5" x14ac:dyDescent="0.2">
      <c r="B87" s="111"/>
      <c r="C87" s="113"/>
      <c r="D87" s="108" t="b">
        <f t="shared" si="1"/>
        <v>0</v>
      </c>
      <c r="E87" s="32"/>
    </row>
    <row r="88" spans="1:5" x14ac:dyDescent="0.2">
      <c r="A88" s="10" t="s">
        <v>21</v>
      </c>
      <c r="B88" s="111"/>
      <c r="C88" s="113"/>
      <c r="D88" s="108" t="b">
        <f t="shared" si="1"/>
        <v>0</v>
      </c>
      <c r="E88" s="32"/>
    </row>
    <row r="89" spans="1:5" x14ac:dyDescent="0.2">
      <c r="B89" s="112"/>
      <c r="C89" s="109"/>
      <c r="D89" s="109" t="b">
        <f t="shared" si="1"/>
        <v>0</v>
      </c>
      <c r="E89" s="32"/>
    </row>
    <row r="90" spans="1:5" x14ac:dyDescent="0.2">
      <c r="E90" s="32"/>
    </row>
    <row r="91" spans="1:5" x14ac:dyDescent="0.2">
      <c r="E91" s="32"/>
    </row>
    <row r="92" spans="1:5" x14ac:dyDescent="0.2">
      <c r="E92" s="32"/>
    </row>
    <row r="93" spans="1:5" x14ac:dyDescent="0.2">
      <c r="E93" s="32"/>
    </row>
    <row r="94" spans="1:5" x14ac:dyDescent="0.2">
      <c r="E94" s="32"/>
    </row>
    <row r="95" spans="1:5" x14ac:dyDescent="0.2">
      <c r="E95" s="32"/>
    </row>
    <row r="96" spans="1:5" x14ac:dyDescent="0.2">
      <c r="E96" s="32"/>
    </row>
    <row r="97" spans="5:5" x14ac:dyDescent="0.2">
      <c r="E97" s="32"/>
    </row>
    <row r="98" spans="5:5" x14ac:dyDescent="0.2">
      <c r="E98" s="32"/>
    </row>
    <row r="99" spans="5:5" x14ac:dyDescent="0.2">
      <c r="E99" s="32"/>
    </row>
    <row r="100" spans="5:5" x14ac:dyDescent="0.2">
      <c r="E100" s="32"/>
    </row>
    <row r="101" spans="5:5" x14ac:dyDescent="0.2">
      <c r="E101" s="32"/>
    </row>
    <row r="102" spans="5:5" x14ac:dyDescent="0.2">
      <c r="E102" s="32"/>
    </row>
    <row r="103" spans="5:5" x14ac:dyDescent="0.2">
      <c r="E103" s="32"/>
    </row>
    <row r="104" spans="5:5" x14ac:dyDescent="0.2">
      <c r="E104" s="32"/>
    </row>
    <row r="105" spans="5:5" x14ac:dyDescent="0.2">
      <c r="E105" s="32"/>
    </row>
    <row r="106" spans="5:5" x14ac:dyDescent="0.2">
      <c r="E106" s="32"/>
    </row>
    <row r="107" spans="5:5" x14ac:dyDescent="0.2">
      <c r="E107" s="32"/>
    </row>
    <row r="108" spans="5:5" x14ac:dyDescent="0.2">
      <c r="E108" s="32"/>
    </row>
    <row r="109" spans="5:5" x14ac:dyDescent="0.2">
      <c r="E109" s="32"/>
    </row>
    <row r="110" spans="5:5" x14ac:dyDescent="0.2">
      <c r="E110" s="32"/>
    </row>
    <row r="111" spans="5:5" x14ac:dyDescent="0.2">
      <c r="E111" s="32"/>
    </row>
    <row r="112" spans="5:5" x14ac:dyDescent="0.2">
      <c r="E112" s="32"/>
    </row>
    <row r="113" spans="5:5" x14ac:dyDescent="0.2">
      <c r="E113" s="32"/>
    </row>
    <row r="114" spans="5:5" x14ac:dyDescent="0.2">
      <c r="E114" s="32"/>
    </row>
    <row r="115" spans="5:5" x14ac:dyDescent="0.2">
      <c r="E115" s="32"/>
    </row>
    <row r="116" spans="5:5" x14ac:dyDescent="0.2">
      <c r="E116" s="32"/>
    </row>
    <row r="117" spans="5:5" x14ac:dyDescent="0.2">
      <c r="E117" s="32"/>
    </row>
    <row r="118" spans="5:5" x14ac:dyDescent="0.2">
      <c r="E118" s="32"/>
    </row>
    <row r="119" spans="5:5" x14ac:dyDescent="0.2">
      <c r="E119" s="32"/>
    </row>
    <row r="120" spans="5:5" x14ac:dyDescent="0.2">
      <c r="E120" s="32"/>
    </row>
    <row r="121" spans="5:5" x14ac:dyDescent="0.2">
      <c r="E121" s="32"/>
    </row>
    <row r="122" spans="5:5" x14ac:dyDescent="0.2">
      <c r="E122" s="32"/>
    </row>
    <row r="123" spans="5:5" x14ac:dyDescent="0.2">
      <c r="E123" s="32"/>
    </row>
    <row r="124" spans="5:5" x14ac:dyDescent="0.2">
      <c r="E124" s="32"/>
    </row>
    <row r="125" spans="5:5" x14ac:dyDescent="0.2">
      <c r="E125" s="32"/>
    </row>
    <row r="126" spans="5:5" x14ac:dyDescent="0.2">
      <c r="E126" s="32"/>
    </row>
    <row r="127" spans="5:5" x14ac:dyDescent="0.2">
      <c r="E127" s="32"/>
    </row>
  </sheetData>
  <dataValidations disablePrompts="1" count="3">
    <dataValidation type="list" allowBlank="1" showInputMessage="1" showErrorMessage="1" sqref="G14">
      <formula1>"Discount,ZeroYield,ForwardRate"</formula1>
    </dataValidation>
    <dataValidation type="list" allowBlank="1" showInputMessage="1" showErrorMessage="1" sqref="G1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G7">
      <formula1>"TARGET,UnitedKingdom::Exchange,UnitedKingdom::Metals,UnitedKingdom::Settlement,UnitedStates::GovernmentBond,UnitedStates::NERC,UnitedStates::NYSE,UnitedStates::Settlement,Switzerland,Japan,Italy::Exchange,NullCalendar"</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H20"/>
  <sheetViews>
    <sheetView workbookViewId="0"/>
  </sheetViews>
  <sheetFormatPr defaultRowHeight="12.75" x14ac:dyDescent="0.2"/>
  <cols>
    <col min="1" max="1" width="3.140625" style="9" customWidth="1"/>
    <col min="2" max="2" width="2.7109375" style="9" customWidth="1"/>
    <col min="3" max="4" width="27.28515625" style="9" customWidth="1"/>
    <col min="5" max="6" width="2.7109375" style="9" customWidth="1"/>
    <col min="7" max="7" width="9.140625" style="9"/>
    <col min="8" max="8" width="16.140625" style="9" bestFit="1" customWidth="1"/>
    <col min="9" max="16384" width="9.140625" style="9"/>
  </cols>
  <sheetData>
    <row r="1" spans="2:8" s="1" customFormat="1" ht="11.25" x14ac:dyDescent="0.2"/>
    <row r="2" spans="2:8" s="1" customFormat="1" ht="17.25" customHeight="1" x14ac:dyDescent="0.2">
      <c r="B2" s="26" t="s">
        <v>24</v>
      </c>
      <c r="C2" s="27"/>
      <c r="D2" s="27"/>
      <c r="E2" s="28"/>
    </row>
    <row r="3" spans="2:8" s="1" customFormat="1" ht="11.25" customHeight="1" x14ac:dyDescent="0.2">
      <c r="B3" s="14"/>
      <c r="C3" s="11"/>
      <c r="D3" s="11"/>
      <c r="E3" s="15"/>
      <c r="G3" s="55" t="s">
        <v>41</v>
      </c>
      <c r="H3" s="57">
        <v>42384.944664351853</v>
      </c>
    </row>
    <row r="4" spans="2:8" s="1" customFormat="1" ht="11.25" customHeight="1" x14ac:dyDescent="0.2">
      <c r="B4" s="14"/>
      <c r="C4" s="2" t="s">
        <v>3</v>
      </c>
      <c r="D4" s="29">
        <f>Trigger</f>
        <v>42384.944664351853</v>
      </c>
      <c r="E4" s="21"/>
      <c r="G4" s="55" t="s">
        <v>42</v>
      </c>
      <c r="H4" s="56"/>
    </row>
    <row r="5" spans="2:8" s="1" customFormat="1" ht="11.25" customHeight="1" x14ac:dyDescent="0.2">
      <c r="B5" s="22"/>
      <c r="C5" s="3" t="s">
        <v>18</v>
      </c>
      <c r="D5" s="4" t="e">
        <f ca="1">_xll.qlSettingsEvaluationDate(Trigger)</f>
        <v>#NAME?</v>
      </c>
      <c r="E5" s="23"/>
    </row>
    <row r="6" spans="2:8" s="1" customFormat="1" ht="11.25" customHeight="1" x14ac:dyDescent="0.2">
      <c r="B6" s="24"/>
      <c r="C6" s="19"/>
      <c r="D6" s="5"/>
      <c r="E6" s="25"/>
    </row>
    <row r="7" spans="2:8" s="1" customFormat="1" ht="11.25" customHeight="1" x14ac:dyDescent="0.2">
      <c r="B7" s="14"/>
      <c r="C7" s="2" t="s">
        <v>17</v>
      </c>
      <c r="D7" s="6" t="e">
        <f ca="1">_xll.ohTrigger()</f>
        <v>#NAME?</v>
      </c>
      <c r="E7" s="15"/>
    </row>
    <row r="8" spans="2:8" s="1" customFormat="1" ht="11.25" customHeight="1" x14ac:dyDescent="0.2">
      <c r="B8" s="14"/>
      <c r="C8" s="3" t="s">
        <v>19</v>
      </c>
      <c r="D8" s="7" t="e">
        <f ca="1">_xll.ohTrigger()</f>
        <v>#NAME?</v>
      </c>
      <c r="E8" s="15"/>
    </row>
    <row r="9" spans="2:8" s="1" customFormat="1" ht="11.25" customHeight="1" x14ac:dyDescent="0.2">
      <c r="B9" s="14"/>
      <c r="C9" s="20"/>
      <c r="D9" s="20"/>
      <c r="E9" s="15"/>
    </row>
    <row r="10" spans="2:8" s="1" customFormat="1" ht="11.25" customHeight="1" x14ac:dyDescent="0.2">
      <c r="B10" s="14"/>
      <c r="C10" s="2" t="s">
        <v>2</v>
      </c>
      <c r="D10" s="6" t="b">
        <v>1</v>
      </c>
      <c r="E10" s="21"/>
    </row>
    <row r="11" spans="2:8" s="1" customFormat="1" ht="17.25" customHeight="1" x14ac:dyDescent="0.2">
      <c r="B11" s="14"/>
      <c r="C11" s="3" t="s">
        <v>1</v>
      </c>
      <c r="D11" s="7" t="b">
        <v>0</v>
      </c>
      <c r="E11" s="21"/>
    </row>
    <row r="12" spans="2:8" s="1" customFormat="1" ht="11.25" customHeight="1" x14ac:dyDescent="0.2">
      <c r="B12" s="16"/>
      <c r="C12" s="17"/>
      <c r="D12" s="17"/>
      <c r="E12" s="18"/>
    </row>
    <row r="13" spans="2:8" s="1" customFormat="1" ht="11.25" customHeight="1" x14ac:dyDescent="0.2"/>
    <row r="14" spans="2:8" s="1" customFormat="1" ht="17.25" customHeight="1" x14ac:dyDescent="0.2">
      <c r="B14" s="26" t="s">
        <v>25</v>
      </c>
      <c r="C14" s="27"/>
      <c r="D14" s="27"/>
      <c r="E14" s="28"/>
    </row>
    <row r="15" spans="2:8" s="1" customFormat="1" ht="11.25" customHeight="1" x14ac:dyDescent="0.2">
      <c r="B15" s="14"/>
      <c r="C15" s="11"/>
      <c r="D15" s="11"/>
      <c r="E15" s="15"/>
    </row>
    <row r="16" spans="2:8" s="1" customFormat="1" ht="11.25" customHeight="1" x14ac:dyDescent="0.2">
      <c r="B16" s="14"/>
      <c r="C16" s="2" t="s">
        <v>0</v>
      </c>
      <c r="D16" s="6" t="s">
        <v>27</v>
      </c>
      <c r="E16" s="21"/>
    </row>
    <row r="17" spans="2:5" s="1" customFormat="1" ht="11.25" customHeight="1" x14ac:dyDescent="0.2">
      <c r="B17" s="14"/>
      <c r="C17" s="8" t="s">
        <v>22</v>
      </c>
      <c r="D17" s="12" t="str">
        <f>Currency&amp;"ON"</f>
        <v>GBPON</v>
      </c>
      <c r="E17" s="21"/>
    </row>
    <row r="18" spans="2:5" s="1" customFormat="1" ht="11.25" customHeight="1" x14ac:dyDescent="0.2">
      <c r="B18" s="14"/>
      <c r="C18" s="8" t="s">
        <v>6</v>
      </c>
      <c r="D18" s="12" t="s">
        <v>28</v>
      </c>
      <c r="E18" s="21"/>
    </row>
    <row r="19" spans="2:5" s="1" customFormat="1" ht="11.25" customHeight="1" x14ac:dyDescent="0.2">
      <c r="B19" s="14"/>
      <c r="C19" s="3" t="s">
        <v>23</v>
      </c>
      <c r="D19" s="7" t="s">
        <v>29</v>
      </c>
      <c r="E19" s="21"/>
    </row>
    <row r="20" spans="2:5" s="1" customFormat="1" ht="11.25" customHeight="1" x14ac:dyDescent="0.2">
      <c r="B20" s="16"/>
      <c r="C20" s="17"/>
      <c r="D20" s="17"/>
      <c r="E20" s="18"/>
    </row>
  </sheetData>
  <dataValidations count="4">
    <dataValidation type="list" allowBlank="1" showInputMessage="1" showErrorMessage="1" sqref="IT17:IT18 SP17:SP18 ACL17:ACL18 AMH17:AMH18 AWD17:AWD18 BFZ17:BFZ18 BPV17:BPV18 BZR17:BZR18 CJN17:CJN18 CTJ17:CTJ18 DDF17:DDF18 DNB17:DNB18 DWX17:DWX18 EGT17:EGT18 EQP17:EQP18 FAL17:FAL18 FKH17:FKH18 FUD17:FUD18 GDZ17:GDZ18 GNV17:GNV18 GXR17:GXR18 HHN17:HHN18 HRJ17:HRJ18 IBF17:IBF18 ILB17:ILB18 IUX17:IUX18 JET17:JET18 JOP17:JOP18 JYL17:JYL18 KIH17:KIH18 KSD17:KSD18 LBZ17:LBZ18 LLV17:LLV18 LVR17:LVR18 MFN17:MFN18 MPJ17:MPJ18 MZF17:MZF18 NJB17:NJB18 NSX17:NSX18 OCT17:OCT18 OMP17:OMP18 OWL17:OWL18 PGH17:PGH18 PQD17:PQD18 PZZ17:PZZ18 QJV17:QJV18 QTR17:QTR18 RDN17:RDN18 RNJ17:RNJ18 RXF17:RXF18 SHB17:SHB18 SQX17:SQX18 TAT17:TAT18 TKP17:TKP18 TUL17:TUL18 UEH17:UEH18 UOD17:UOD18 UXZ17:UXZ18 VHV17:VHV18 VRR17:VRR18 WBN17:WBN18 WLJ17:WLJ18 WVF17:WVF18 D65508:D65509 IT65515:IT65516 SP65515:SP65516 ACL65515:ACL65516 AMH65515:AMH65516 AWD65515:AWD65516 BFZ65515:BFZ65516 BPV65515:BPV65516 BZR65515:BZR65516 CJN65515:CJN65516 CTJ65515:CTJ65516 DDF65515:DDF65516 DNB65515:DNB65516 DWX65515:DWX65516 EGT65515:EGT65516 EQP65515:EQP65516 FAL65515:FAL65516 FKH65515:FKH65516 FUD65515:FUD65516 GDZ65515:GDZ65516 GNV65515:GNV65516 GXR65515:GXR65516 HHN65515:HHN65516 HRJ65515:HRJ65516 IBF65515:IBF65516 ILB65515:ILB65516 IUX65515:IUX65516 JET65515:JET65516 JOP65515:JOP65516 JYL65515:JYL65516 KIH65515:KIH65516 KSD65515:KSD65516 LBZ65515:LBZ65516 LLV65515:LLV65516 LVR65515:LVR65516 MFN65515:MFN65516 MPJ65515:MPJ65516 MZF65515:MZF65516 NJB65515:NJB65516 NSX65515:NSX65516 OCT65515:OCT65516 OMP65515:OMP65516 OWL65515:OWL65516 PGH65515:PGH65516 PQD65515:PQD65516 PZZ65515:PZZ65516 QJV65515:QJV65516 QTR65515:QTR65516 RDN65515:RDN65516 RNJ65515:RNJ65516 RXF65515:RXF65516 SHB65515:SHB65516 SQX65515:SQX65516 TAT65515:TAT65516 TKP65515:TKP65516 TUL65515:TUL65516 UEH65515:UEH65516 UOD65515:UOD65516 UXZ65515:UXZ65516 VHV65515:VHV65516 VRR65515:VRR65516 WBN65515:WBN65516 WLJ65515:WLJ65516 WVF65515:WVF65516 D131044:D131045 IT131051:IT131052 SP131051:SP131052 ACL131051:ACL131052 AMH131051:AMH131052 AWD131051:AWD131052 BFZ131051:BFZ131052 BPV131051:BPV131052 BZR131051:BZR131052 CJN131051:CJN131052 CTJ131051:CTJ131052 DDF131051:DDF131052 DNB131051:DNB131052 DWX131051:DWX131052 EGT131051:EGT131052 EQP131051:EQP131052 FAL131051:FAL131052 FKH131051:FKH131052 FUD131051:FUD131052 GDZ131051:GDZ131052 GNV131051:GNV131052 GXR131051:GXR131052 HHN131051:HHN131052 HRJ131051:HRJ131052 IBF131051:IBF131052 ILB131051:ILB131052 IUX131051:IUX131052 JET131051:JET131052 JOP131051:JOP131052 JYL131051:JYL131052 KIH131051:KIH131052 KSD131051:KSD131052 LBZ131051:LBZ131052 LLV131051:LLV131052 LVR131051:LVR131052 MFN131051:MFN131052 MPJ131051:MPJ131052 MZF131051:MZF131052 NJB131051:NJB131052 NSX131051:NSX131052 OCT131051:OCT131052 OMP131051:OMP131052 OWL131051:OWL131052 PGH131051:PGH131052 PQD131051:PQD131052 PZZ131051:PZZ131052 QJV131051:QJV131052 QTR131051:QTR131052 RDN131051:RDN131052 RNJ131051:RNJ131052 RXF131051:RXF131052 SHB131051:SHB131052 SQX131051:SQX131052 TAT131051:TAT131052 TKP131051:TKP131052 TUL131051:TUL131052 UEH131051:UEH131052 UOD131051:UOD131052 UXZ131051:UXZ131052 VHV131051:VHV131052 VRR131051:VRR131052 WBN131051:WBN131052 WLJ131051:WLJ131052 WVF131051:WVF131052 D196580:D196581 IT196587:IT196588 SP196587:SP196588 ACL196587:ACL196588 AMH196587:AMH196588 AWD196587:AWD196588 BFZ196587:BFZ196588 BPV196587:BPV196588 BZR196587:BZR196588 CJN196587:CJN196588 CTJ196587:CTJ196588 DDF196587:DDF196588 DNB196587:DNB196588 DWX196587:DWX196588 EGT196587:EGT196588 EQP196587:EQP196588 FAL196587:FAL196588 FKH196587:FKH196588 FUD196587:FUD196588 GDZ196587:GDZ196588 GNV196587:GNV196588 GXR196587:GXR196588 HHN196587:HHN196588 HRJ196587:HRJ196588 IBF196587:IBF196588 ILB196587:ILB196588 IUX196587:IUX196588 JET196587:JET196588 JOP196587:JOP196588 JYL196587:JYL196588 KIH196587:KIH196588 KSD196587:KSD196588 LBZ196587:LBZ196588 LLV196587:LLV196588 LVR196587:LVR196588 MFN196587:MFN196588 MPJ196587:MPJ196588 MZF196587:MZF196588 NJB196587:NJB196588 NSX196587:NSX196588 OCT196587:OCT196588 OMP196587:OMP196588 OWL196587:OWL196588 PGH196587:PGH196588 PQD196587:PQD196588 PZZ196587:PZZ196588 QJV196587:QJV196588 QTR196587:QTR196588 RDN196587:RDN196588 RNJ196587:RNJ196588 RXF196587:RXF196588 SHB196587:SHB196588 SQX196587:SQX196588 TAT196587:TAT196588 TKP196587:TKP196588 TUL196587:TUL196588 UEH196587:UEH196588 UOD196587:UOD196588 UXZ196587:UXZ196588 VHV196587:VHV196588 VRR196587:VRR196588 WBN196587:WBN196588 WLJ196587:WLJ196588 WVF196587:WVF196588 D262116:D262117 IT262123:IT262124 SP262123:SP262124 ACL262123:ACL262124 AMH262123:AMH262124 AWD262123:AWD262124 BFZ262123:BFZ262124 BPV262123:BPV262124 BZR262123:BZR262124 CJN262123:CJN262124 CTJ262123:CTJ262124 DDF262123:DDF262124 DNB262123:DNB262124 DWX262123:DWX262124 EGT262123:EGT262124 EQP262123:EQP262124 FAL262123:FAL262124 FKH262123:FKH262124 FUD262123:FUD262124 GDZ262123:GDZ262124 GNV262123:GNV262124 GXR262123:GXR262124 HHN262123:HHN262124 HRJ262123:HRJ262124 IBF262123:IBF262124 ILB262123:ILB262124 IUX262123:IUX262124 JET262123:JET262124 JOP262123:JOP262124 JYL262123:JYL262124 KIH262123:KIH262124 KSD262123:KSD262124 LBZ262123:LBZ262124 LLV262123:LLV262124 LVR262123:LVR262124 MFN262123:MFN262124 MPJ262123:MPJ262124 MZF262123:MZF262124 NJB262123:NJB262124 NSX262123:NSX262124 OCT262123:OCT262124 OMP262123:OMP262124 OWL262123:OWL262124 PGH262123:PGH262124 PQD262123:PQD262124 PZZ262123:PZZ262124 QJV262123:QJV262124 QTR262123:QTR262124 RDN262123:RDN262124 RNJ262123:RNJ262124 RXF262123:RXF262124 SHB262123:SHB262124 SQX262123:SQX262124 TAT262123:TAT262124 TKP262123:TKP262124 TUL262123:TUL262124 UEH262123:UEH262124 UOD262123:UOD262124 UXZ262123:UXZ262124 VHV262123:VHV262124 VRR262123:VRR262124 WBN262123:WBN262124 WLJ262123:WLJ262124 WVF262123:WVF262124 D327652:D327653 IT327659:IT327660 SP327659:SP327660 ACL327659:ACL327660 AMH327659:AMH327660 AWD327659:AWD327660 BFZ327659:BFZ327660 BPV327659:BPV327660 BZR327659:BZR327660 CJN327659:CJN327660 CTJ327659:CTJ327660 DDF327659:DDF327660 DNB327659:DNB327660 DWX327659:DWX327660 EGT327659:EGT327660 EQP327659:EQP327660 FAL327659:FAL327660 FKH327659:FKH327660 FUD327659:FUD327660 GDZ327659:GDZ327660 GNV327659:GNV327660 GXR327659:GXR327660 HHN327659:HHN327660 HRJ327659:HRJ327660 IBF327659:IBF327660 ILB327659:ILB327660 IUX327659:IUX327660 JET327659:JET327660 JOP327659:JOP327660 JYL327659:JYL327660 KIH327659:KIH327660 KSD327659:KSD327660 LBZ327659:LBZ327660 LLV327659:LLV327660 LVR327659:LVR327660 MFN327659:MFN327660 MPJ327659:MPJ327660 MZF327659:MZF327660 NJB327659:NJB327660 NSX327659:NSX327660 OCT327659:OCT327660 OMP327659:OMP327660 OWL327659:OWL327660 PGH327659:PGH327660 PQD327659:PQD327660 PZZ327659:PZZ327660 QJV327659:QJV327660 QTR327659:QTR327660 RDN327659:RDN327660 RNJ327659:RNJ327660 RXF327659:RXF327660 SHB327659:SHB327660 SQX327659:SQX327660 TAT327659:TAT327660 TKP327659:TKP327660 TUL327659:TUL327660 UEH327659:UEH327660 UOD327659:UOD327660 UXZ327659:UXZ327660 VHV327659:VHV327660 VRR327659:VRR327660 WBN327659:WBN327660 WLJ327659:WLJ327660 WVF327659:WVF327660 D393188:D393189 IT393195:IT393196 SP393195:SP393196 ACL393195:ACL393196 AMH393195:AMH393196 AWD393195:AWD393196 BFZ393195:BFZ393196 BPV393195:BPV393196 BZR393195:BZR393196 CJN393195:CJN393196 CTJ393195:CTJ393196 DDF393195:DDF393196 DNB393195:DNB393196 DWX393195:DWX393196 EGT393195:EGT393196 EQP393195:EQP393196 FAL393195:FAL393196 FKH393195:FKH393196 FUD393195:FUD393196 GDZ393195:GDZ393196 GNV393195:GNV393196 GXR393195:GXR393196 HHN393195:HHN393196 HRJ393195:HRJ393196 IBF393195:IBF393196 ILB393195:ILB393196 IUX393195:IUX393196 JET393195:JET393196 JOP393195:JOP393196 JYL393195:JYL393196 KIH393195:KIH393196 KSD393195:KSD393196 LBZ393195:LBZ393196 LLV393195:LLV393196 LVR393195:LVR393196 MFN393195:MFN393196 MPJ393195:MPJ393196 MZF393195:MZF393196 NJB393195:NJB393196 NSX393195:NSX393196 OCT393195:OCT393196 OMP393195:OMP393196 OWL393195:OWL393196 PGH393195:PGH393196 PQD393195:PQD393196 PZZ393195:PZZ393196 QJV393195:QJV393196 QTR393195:QTR393196 RDN393195:RDN393196 RNJ393195:RNJ393196 RXF393195:RXF393196 SHB393195:SHB393196 SQX393195:SQX393196 TAT393195:TAT393196 TKP393195:TKP393196 TUL393195:TUL393196 UEH393195:UEH393196 UOD393195:UOD393196 UXZ393195:UXZ393196 VHV393195:VHV393196 VRR393195:VRR393196 WBN393195:WBN393196 WLJ393195:WLJ393196 WVF393195:WVF393196 D458724:D458725 IT458731:IT458732 SP458731:SP458732 ACL458731:ACL458732 AMH458731:AMH458732 AWD458731:AWD458732 BFZ458731:BFZ458732 BPV458731:BPV458732 BZR458731:BZR458732 CJN458731:CJN458732 CTJ458731:CTJ458732 DDF458731:DDF458732 DNB458731:DNB458732 DWX458731:DWX458732 EGT458731:EGT458732 EQP458731:EQP458732 FAL458731:FAL458732 FKH458731:FKH458732 FUD458731:FUD458732 GDZ458731:GDZ458732 GNV458731:GNV458732 GXR458731:GXR458732 HHN458731:HHN458732 HRJ458731:HRJ458732 IBF458731:IBF458732 ILB458731:ILB458732 IUX458731:IUX458732 JET458731:JET458732 JOP458731:JOP458732 JYL458731:JYL458732 KIH458731:KIH458732 KSD458731:KSD458732 LBZ458731:LBZ458732 LLV458731:LLV458732 LVR458731:LVR458732 MFN458731:MFN458732 MPJ458731:MPJ458732 MZF458731:MZF458732 NJB458731:NJB458732 NSX458731:NSX458732 OCT458731:OCT458732 OMP458731:OMP458732 OWL458731:OWL458732 PGH458731:PGH458732 PQD458731:PQD458732 PZZ458731:PZZ458732 QJV458731:QJV458732 QTR458731:QTR458732 RDN458731:RDN458732 RNJ458731:RNJ458732 RXF458731:RXF458732 SHB458731:SHB458732 SQX458731:SQX458732 TAT458731:TAT458732 TKP458731:TKP458732 TUL458731:TUL458732 UEH458731:UEH458732 UOD458731:UOD458732 UXZ458731:UXZ458732 VHV458731:VHV458732 VRR458731:VRR458732 WBN458731:WBN458732 WLJ458731:WLJ458732 WVF458731:WVF458732 D524260:D524261 IT524267:IT524268 SP524267:SP524268 ACL524267:ACL524268 AMH524267:AMH524268 AWD524267:AWD524268 BFZ524267:BFZ524268 BPV524267:BPV524268 BZR524267:BZR524268 CJN524267:CJN524268 CTJ524267:CTJ524268 DDF524267:DDF524268 DNB524267:DNB524268 DWX524267:DWX524268 EGT524267:EGT524268 EQP524267:EQP524268 FAL524267:FAL524268 FKH524267:FKH524268 FUD524267:FUD524268 GDZ524267:GDZ524268 GNV524267:GNV524268 GXR524267:GXR524268 HHN524267:HHN524268 HRJ524267:HRJ524268 IBF524267:IBF524268 ILB524267:ILB524268 IUX524267:IUX524268 JET524267:JET524268 JOP524267:JOP524268 JYL524267:JYL524268 KIH524267:KIH524268 KSD524267:KSD524268 LBZ524267:LBZ524268 LLV524267:LLV524268 LVR524267:LVR524268 MFN524267:MFN524268 MPJ524267:MPJ524268 MZF524267:MZF524268 NJB524267:NJB524268 NSX524267:NSX524268 OCT524267:OCT524268 OMP524267:OMP524268 OWL524267:OWL524268 PGH524267:PGH524268 PQD524267:PQD524268 PZZ524267:PZZ524268 QJV524267:QJV524268 QTR524267:QTR524268 RDN524267:RDN524268 RNJ524267:RNJ524268 RXF524267:RXF524268 SHB524267:SHB524268 SQX524267:SQX524268 TAT524267:TAT524268 TKP524267:TKP524268 TUL524267:TUL524268 UEH524267:UEH524268 UOD524267:UOD524268 UXZ524267:UXZ524268 VHV524267:VHV524268 VRR524267:VRR524268 WBN524267:WBN524268 WLJ524267:WLJ524268 WVF524267:WVF524268 D589796:D589797 IT589803:IT589804 SP589803:SP589804 ACL589803:ACL589804 AMH589803:AMH589804 AWD589803:AWD589804 BFZ589803:BFZ589804 BPV589803:BPV589804 BZR589803:BZR589804 CJN589803:CJN589804 CTJ589803:CTJ589804 DDF589803:DDF589804 DNB589803:DNB589804 DWX589803:DWX589804 EGT589803:EGT589804 EQP589803:EQP589804 FAL589803:FAL589804 FKH589803:FKH589804 FUD589803:FUD589804 GDZ589803:GDZ589804 GNV589803:GNV589804 GXR589803:GXR589804 HHN589803:HHN589804 HRJ589803:HRJ589804 IBF589803:IBF589804 ILB589803:ILB589804 IUX589803:IUX589804 JET589803:JET589804 JOP589803:JOP589804 JYL589803:JYL589804 KIH589803:KIH589804 KSD589803:KSD589804 LBZ589803:LBZ589804 LLV589803:LLV589804 LVR589803:LVR589804 MFN589803:MFN589804 MPJ589803:MPJ589804 MZF589803:MZF589804 NJB589803:NJB589804 NSX589803:NSX589804 OCT589803:OCT589804 OMP589803:OMP589804 OWL589803:OWL589804 PGH589803:PGH589804 PQD589803:PQD589804 PZZ589803:PZZ589804 QJV589803:QJV589804 QTR589803:QTR589804 RDN589803:RDN589804 RNJ589803:RNJ589804 RXF589803:RXF589804 SHB589803:SHB589804 SQX589803:SQX589804 TAT589803:TAT589804 TKP589803:TKP589804 TUL589803:TUL589804 UEH589803:UEH589804 UOD589803:UOD589804 UXZ589803:UXZ589804 VHV589803:VHV589804 VRR589803:VRR589804 WBN589803:WBN589804 WLJ589803:WLJ589804 WVF589803:WVF589804 D655332:D655333 IT655339:IT655340 SP655339:SP655340 ACL655339:ACL655340 AMH655339:AMH655340 AWD655339:AWD655340 BFZ655339:BFZ655340 BPV655339:BPV655340 BZR655339:BZR655340 CJN655339:CJN655340 CTJ655339:CTJ655340 DDF655339:DDF655340 DNB655339:DNB655340 DWX655339:DWX655340 EGT655339:EGT655340 EQP655339:EQP655340 FAL655339:FAL655340 FKH655339:FKH655340 FUD655339:FUD655340 GDZ655339:GDZ655340 GNV655339:GNV655340 GXR655339:GXR655340 HHN655339:HHN655340 HRJ655339:HRJ655340 IBF655339:IBF655340 ILB655339:ILB655340 IUX655339:IUX655340 JET655339:JET655340 JOP655339:JOP655340 JYL655339:JYL655340 KIH655339:KIH655340 KSD655339:KSD655340 LBZ655339:LBZ655340 LLV655339:LLV655340 LVR655339:LVR655340 MFN655339:MFN655340 MPJ655339:MPJ655340 MZF655339:MZF655340 NJB655339:NJB655340 NSX655339:NSX655340 OCT655339:OCT655340 OMP655339:OMP655340 OWL655339:OWL655340 PGH655339:PGH655340 PQD655339:PQD655340 PZZ655339:PZZ655340 QJV655339:QJV655340 QTR655339:QTR655340 RDN655339:RDN655340 RNJ655339:RNJ655340 RXF655339:RXF655340 SHB655339:SHB655340 SQX655339:SQX655340 TAT655339:TAT655340 TKP655339:TKP655340 TUL655339:TUL655340 UEH655339:UEH655340 UOD655339:UOD655340 UXZ655339:UXZ655340 VHV655339:VHV655340 VRR655339:VRR655340 WBN655339:WBN655340 WLJ655339:WLJ655340 WVF655339:WVF655340 D720868:D720869 IT720875:IT720876 SP720875:SP720876 ACL720875:ACL720876 AMH720875:AMH720876 AWD720875:AWD720876 BFZ720875:BFZ720876 BPV720875:BPV720876 BZR720875:BZR720876 CJN720875:CJN720876 CTJ720875:CTJ720876 DDF720875:DDF720876 DNB720875:DNB720876 DWX720875:DWX720876 EGT720875:EGT720876 EQP720875:EQP720876 FAL720875:FAL720876 FKH720875:FKH720876 FUD720875:FUD720876 GDZ720875:GDZ720876 GNV720875:GNV720876 GXR720875:GXR720876 HHN720875:HHN720876 HRJ720875:HRJ720876 IBF720875:IBF720876 ILB720875:ILB720876 IUX720875:IUX720876 JET720875:JET720876 JOP720875:JOP720876 JYL720875:JYL720876 KIH720875:KIH720876 KSD720875:KSD720876 LBZ720875:LBZ720876 LLV720875:LLV720876 LVR720875:LVR720876 MFN720875:MFN720876 MPJ720875:MPJ720876 MZF720875:MZF720876 NJB720875:NJB720876 NSX720875:NSX720876 OCT720875:OCT720876 OMP720875:OMP720876 OWL720875:OWL720876 PGH720875:PGH720876 PQD720875:PQD720876 PZZ720875:PZZ720876 QJV720875:QJV720876 QTR720875:QTR720876 RDN720875:RDN720876 RNJ720875:RNJ720876 RXF720875:RXF720876 SHB720875:SHB720876 SQX720875:SQX720876 TAT720875:TAT720876 TKP720875:TKP720876 TUL720875:TUL720876 UEH720875:UEH720876 UOD720875:UOD720876 UXZ720875:UXZ720876 VHV720875:VHV720876 VRR720875:VRR720876 WBN720875:WBN720876 WLJ720875:WLJ720876 WVF720875:WVF720876 D786404:D786405 IT786411:IT786412 SP786411:SP786412 ACL786411:ACL786412 AMH786411:AMH786412 AWD786411:AWD786412 BFZ786411:BFZ786412 BPV786411:BPV786412 BZR786411:BZR786412 CJN786411:CJN786412 CTJ786411:CTJ786412 DDF786411:DDF786412 DNB786411:DNB786412 DWX786411:DWX786412 EGT786411:EGT786412 EQP786411:EQP786412 FAL786411:FAL786412 FKH786411:FKH786412 FUD786411:FUD786412 GDZ786411:GDZ786412 GNV786411:GNV786412 GXR786411:GXR786412 HHN786411:HHN786412 HRJ786411:HRJ786412 IBF786411:IBF786412 ILB786411:ILB786412 IUX786411:IUX786412 JET786411:JET786412 JOP786411:JOP786412 JYL786411:JYL786412 KIH786411:KIH786412 KSD786411:KSD786412 LBZ786411:LBZ786412 LLV786411:LLV786412 LVR786411:LVR786412 MFN786411:MFN786412 MPJ786411:MPJ786412 MZF786411:MZF786412 NJB786411:NJB786412 NSX786411:NSX786412 OCT786411:OCT786412 OMP786411:OMP786412 OWL786411:OWL786412 PGH786411:PGH786412 PQD786411:PQD786412 PZZ786411:PZZ786412 QJV786411:QJV786412 QTR786411:QTR786412 RDN786411:RDN786412 RNJ786411:RNJ786412 RXF786411:RXF786412 SHB786411:SHB786412 SQX786411:SQX786412 TAT786411:TAT786412 TKP786411:TKP786412 TUL786411:TUL786412 UEH786411:UEH786412 UOD786411:UOD786412 UXZ786411:UXZ786412 VHV786411:VHV786412 VRR786411:VRR786412 WBN786411:WBN786412 WLJ786411:WLJ786412 WVF786411:WVF786412 D851940:D851941 IT851947:IT851948 SP851947:SP851948 ACL851947:ACL851948 AMH851947:AMH851948 AWD851947:AWD851948 BFZ851947:BFZ851948 BPV851947:BPV851948 BZR851947:BZR851948 CJN851947:CJN851948 CTJ851947:CTJ851948 DDF851947:DDF851948 DNB851947:DNB851948 DWX851947:DWX851948 EGT851947:EGT851948 EQP851947:EQP851948 FAL851947:FAL851948 FKH851947:FKH851948 FUD851947:FUD851948 GDZ851947:GDZ851948 GNV851947:GNV851948 GXR851947:GXR851948 HHN851947:HHN851948 HRJ851947:HRJ851948 IBF851947:IBF851948 ILB851947:ILB851948 IUX851947:IUX851948 JET851947:JET851948 JOP851947:JOP851948 JYL851947:JYL851948 KIH851947:KIH851948 KSD851947:KSD851948 LBZ851947:LBZ851948 LLV851947:LLV851948 LVR851947:LVR851948 MFN851947:MFN851948 MPJ851947:MPJ851948 MZF851947:MZF851948 NJB851947:NJB851948 NSX851947:NSX851948 OCT851947:OCT851948 OMP851947:OMP851948 OWL851947:OWL851948 PGH851947:PGH851948 PQD851947:PQD851948 PZZ851947:PZZ851948 QJV851947:QJV851948 QTR851947:QTR851948 RDN851947:RDN851948 RNJ851947:RNJ851948 RXF851947:RXF851948 SHB851947:SHB851948 SQX851947:SQX851948 TAT851947:TAT851948 TKP851947:TKP851948 TUL851947:TUL851948 UEH851947:UEH851948 UOD851947:UOD851948 UXZ851947:UXZ851948 VHV851947:VHV851948 VRR851947:VRR851948 WBN851947:WBN851948 WLJ851947:WLJ851948 WVF851947:WVF851948 D917476:D917477 IT917483:IT917484 SP917483:SP917484 ACL917483:ACL917484 AMH917483:AMH917484 AWD917483:AWD917484 BFZ917483:BFZ917484 BPV917483:BPV917484 BZR917483:BZR917484 CJN917483:CJN917484 CTJ917483:CTJ917484 DDF917483:DDF917484 DNB917483:DNB917484 DWX917483:DWX917484 EGT917483:EGT917484 EQP917483:EQP917484 FAL917483:FAL917484 FKH917483:FKH917484 FUD917483:FUD917484 GDZ917483:GDZ917484 GNV917483:GNV917484 GXR917483:GXR917484 HHN917483:HHN917484 HRJ917483:HRJ917484 IBF917483:IBF917484 ILB917483:ILB917484 IUX917483:IUX917484 JET917483:JET917484 JOP917483:JOP917484 JYL917483:JYL917484 KIH917483:KIH917484 KSD917483:KSD917484 LBZ917483:LBZ917484 LLV917483:LLV917484 LVR917483:LVR917484 MFN917483:MFN917484 MPJ917483:MPJ917484 MZF917483:MZF917484 NJB917483:NJB917484 NSX917483:NSX917484 OCT917483:OCT917484 OMP917483:OMP917484 OWL917483:OWL917484 PGH917483:PGH917484 PQD917483:PQD917484 PZZ917483:PZZ917484 QJV917483:QJV917484 QTR917483:QTR917484 RDN917483:RDN917484 RNJ917483:RNJ917484 RXF917483:RXF917484 SHB917483:SHB917484 SQX917483:SQX917484 TAT917483:TAT917484 TKP917483:TKP917484 TUL917483:TUL917484 UEH917483:UEH917484 UOD917483:UOD917484 UXZ917483:UXZ917484 VHV917483:VHV917484 VRR917483:VRR917484 WBN917483:WBN917484 WLJ917483:WLJ917484 WVF917483:WVF917484 D983012:D983013 IT983019:IT983020 SP983019:SP983020 ACL983019:ACL983020 AMH983019:AMH983020 AWD983019:AWD983020 BFZ983019:BFZ983020 BPV983019:BPV983020 BZR983019:BZR983020 CJN983019:CJN983020 CTJ983019:CTJ983020 DDF983019:DDF983020 DNB983019:DNB983020 DWX983019:DWX983020 EGT983019:EGT983020 EQP983019:EQP983020 FAL983019:FAL983020 FKH983019:FKH983020 FUD983019:FUD983020 GDZ983019:GDZ983020 GNV983019:GNV983020 GXR983019:GXR983020 HHN983019:HHN983020 HRJ983019:HRJ983020 IBF983019:IBF983020 ILB983019:ILB983020 IUX983019:IUX983020 JET983019:JET983020 JOP983019:JOP983020 JYL983019:JYL983020 KIH983019:KIH983020 KSD983019:KSD983020 LBZ983019:LBZ983020 LLV983019:LLV983020 LVR983019:LVR983020 MFN983019:MFN983020 MPJ983019:MPJ983020 MZF983019:MZF983020 NJB983019:NJB983020 NSX983019:NSX983020 OCT983019:OCT983020 OMP983019:OMP983020 OWL983019:OWL983020 PGH983019:PGH983020 PQD983019:PQD983020 PZZ983019:PZZ983020 QJV983019:QJV983020 QTR983019:QTR983020 RDN983019:RDN983020 RNJ983019:RNJ983020 RXF983019:RXF983020 SHB983019:SHB983020 SQX983019:SQX983020 TAT983019:TAT983020 TKP983019:TKP983020 TUL983019:TUL983020 UEH983019:UEH983020 UOD983019:UOD983020 UXZ983019:UXZ983020 VHV983019:VHV983020 VRR983019:VRR983020 WBN983019:WBN983020 WLJ983019:WLJ983020 WVF983019:WVF9830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T13 SP13 ACL13 AMH13 AWD13 BFZ13 BPV13 BZR13 CJN13 CTJ13 DDF13 DNB13 DWX13 EGT13 EQP13 FAL13 FKH13 FUD13 GDZ13 GNV13 GXR13 HHN13 HRJ13 IBF13 ILB13 IUX13 JET13 JOP13 JYL13 KIH13 KSD13 LBZ13 LLV13 LVR13 MFN13 MPJ13 MZF13 NJB13 NSX13 OCT13 OMP13 OWL13 PGH13 PQD13 PZZ13 QJV13 QTR13 RDN13 RNJ13 RXF13 SHB13 SQX13 TAT13 TKP13 TUL13 UEH13 UOD13 UXZ13 VHV13 VRR13 WBN13 WLJ13 WVF13 D65504 IT65511 SP65511 ACL65511 AMH65511 AWD65511 BFZ65511 BPV65511 BZR65511 CJN65511 CTJ65511 DDF65511 DNB65511 DWX65511 EGT65511 EQP65511 FAL65511 FKH65511 FUD65511 GDZ65511 GNV65511 GXR65511 HHN65511 HRJ65511 IBF65511 ILB65511 IUX65511 JET65511 JOP65511 JYL65511 KIH65511 KSD65511 LBZ65511 LLV65511 LVR65511 MFN65511 MPJ65511 MZF65511 NJB65511 NSX65511 OCT65511 OMP65511 OWL65511 PGH65511 PQD65511 PZZ65511 QJV65511 QTR65511 RDN65511 RNJ65511 RXF65511 SHB65511 SQX65511 TAT65511 TKP65511 TUL65511 UEH65511 UOD65511 UXZ65511 VHV65511 VRR65511 WBN65511 WLJ65511 WVF65511 D131040 IT131047 SP131047 ACL131047 AMH131047 AWD131047 BFZ131047 BPV131047 BZR131047 CJN131047 CTJ131047 DDF131047 DNB131047 DWX131047 EGT131047 EQP131047 FAL131047 FKH131047 FUD131047 GDZ131047 GNV131047 GXR131047 HHN131047 HRJ131047 IBF131047 ILB131047 IUX131047 JET131047 JOP131047 JYL131047 KIH131047 KSD131047 LBZ131047 LLV131047 LVR131047 MFN131047 MPJ131047 MZF131047 NJB131047 NSX131047 OCT131047 OMP131047 OWL131047 PGH131047 PQD131047 PZZ131047 QJV131047 QTR131047 RDN131047 RNJ131047 RXF131047 SHB131047 SQX131047 TAT131047 TKP131047 TUL131047 UEH131047 UOD131047 UXZ131047 VHV131047 VRR131047 WBN131047 WLJ131047 WVF131047 D196576 IT196583 SP196583 ACL196583 AMH196583 AWD196583 BFZ196583 BPV196583 BZR196583 CJN196583 CTJ196583 DDF196583 DNB196583 DWX196583 EGT196583 EQP196583 FAL196583 FKH196583 FUD196583 GDZ196583 GNV196583 GXR196583 HHN196583 HRJ196583 IBF196583 ILB196583 IUX196583 JET196583 JOP196583 JYL196583 KIH196583 KSD196583 LBZ196583 LLV196583 LVR196583 MFN196583 MPJ196583 MZF196583 NJB196583 NSX196583 OCT196583 OMP196583 OWL196583 PGH196583 PQD196583 PZZ196583 QJV196583 QTR196583 RDN196583 RNJ196583 RXF196583 SHB196583 SQX196583 TAT196583 TKP196583 TUL196583 UEH196583 UOD196583 UXZ196583 VHV196583 VRR196583 WBN196583 WLJ196583 WVF196583 D262112 IT262119 SP262119 ACL262119 AMH262119 AWD262119 BFZ262119 BPV262119 BZR262119 CJN262119 CTJ262119 DDF262119 DNB262119 DWX262119 EGT262119 EQP262119 FAL262119 FKH262119 FUD262119 GDZ262119 GNV262119 GXR262119 HHN262119 HRJ262119 IBF262119 ILB262119 IUX262119 JET262119 JOP262119 JYL262119 KIH262119 KSD262119 LBZ262119 LLV262119 LVR262119 MFN262119 MPJ262119 MZF262119 NJB262119 NSX262119 OCT262119 OMP262119 OWL262119 PGH262119 PQD262119 PZZ262119 QJV262119 QTR262119 RDN262119 RNJ262119 RXF262119 SHB262119 SQX262119 TAT262119 TKP262119 TUL262119 UEH262119 UOD262119 UXZ262119 VHV262119 VRR262119 WBN262119 WLJ262119 WVF262119 D327648 IT327655 SP327655 ACL327655 AMH327655 AWD327655 BFZ327655 BPV327655 BZR327655 CJN327655 CTJ327655 DDF327655 DNB327655 DWX327655 EGT327655 EQP327655 FAL327655 FKH327655 FUD327655 GDZ327655 GNV327655 GXR327655 HHN327655 HRJ327655 IBF327655 ILB327655 IUX327655 JET327655 JOP327655 JYL327655 KIH327655 KSD327655 LBZ327655 LLV327655 LVR327655 MFN327655 MPJ327655 MZF327655 NJB327655 NSX327655 OCT327655 OMP327655 OWL327655 PGH327655 PQD327655 PZZ327655 QJV327655 QTR327655 RDN327655 RNJ327655 RXF327655 SHB327655 SQX327655 TAT327655 TKP327655 TUL327655 UEH327655 UOD327655 UXZ327655 VHV327655 VRR327655 WBN327655 WLJ327655 WVF327655 D393184 IT393191 SP393191 ACL393191 AMH393191 AWD393191 BFZ393191 BPV393191 BZR393191 CJN393191 CTJ393191 DDF393191 DNB393191 DWX393191 EGT393191 EQP393191 FAL393191 FKH393191 FUD393191 GDZ393191 GNV393191 GXR393191 HHN393191 HRJ393191 IBF393191 ILB393191 IUX393191 JET393191 JOP393191 JYL393191 KIH393191 KSD393191 LBZ393191 LLV393191 LVR393191 MFN393191 MPJ393191 MZF393191 NJB393191 NSX393191 OCT393191 OMP393191 OWL393191 PGH393191 PQD393191 PZZ393191 QJV393191 QTR393191 RDN393191 RNJ393191 RXF393191 SHB393191 SQX393191 TAT393191 TKP393191 TUL393191 UEH393191 UOD393191 UXZ393191 VHV393191 VRR393191 WBN393191 WLJ393191 WVF393191 D458720 IT458727 SP458727 ACL458727 AMH458727 AWD458727 BFZ458727 BPV458727 BZR458727 CJN458727 CTJ458727 DDF458727 DNB458727 DWX458727 EGT458727 EQP458727 FAL458727 FKH458727 FUD458727 GDZ458727 GNV458727 GXR458727 HHN458727 HRJ458727 IBF458727 ILB458727 IUX458727 JET458727 JOP458727 JYL458727 KIH458727 KSD458727 LBZ458727 LLV458727 LVR458727 MFN458727 MPJ458727 MZF458727 NJB458727 NSX458727 OCT458727 OMP458727 OWL458727 PGH458727 PQD458727 PZZ458727 QJV458727 QTR458727 RDN458727 RNJ458727 RXF458727 SHB458727 SQX458727 TAT458727 TKP458727 TUL458727 UEH458727 UOD458727 UXZ458727 VHV458727 VRR458727 WBN458727 WLJ458727 WVF458727 D524256 IT524263 SP524263 ACL524263 AMH524263 AWD524263 BFZ524263 BPV524263 BZR524263 CJN524263 CTJ524263 DDF524263 DNB524263 DWX524263 EGT524263 EQP524263 FAL524263 FKH524263 FUD524263 GDZ524263 GNV524263 GXR524263 HHN524263 HRJ524263 IBF524263 ILB524263 IUX524263 JET524263 JOP524263 JYL524263 KIH524263 KSD524263 LBZ524263 LLV524263 LVR524263 MFN524263 MPJ524263 MZF524263 NJB524263 NSX524263 OCT524263 OMP524263 OWL524263 PGH524263 PQD524263 PZZ524263 QJV524263 QTR524263 RDN524263 RNJ524263 RXF524263 SHB524263 SQX524263 TAT524263 TKP524263 TUL524263 UEH524263 UOD524263 UXZ524263 VHV524263 VRR524263 WBN524263 WLJ524263 WVF524263 D589792 IT589799 SP589799 ACL589799 AMH589799 AWD589799 BFZ589799 BPV589799 BZR589799 CJN589799 CTJ589799 DDF589799 DNB589799 DWX589799 EGT589799 EQP589799 FAL589799 FKH589799 FUD589799 GDZ589799 GNV589799 GXR589799 HHN589799 HRJ589799 IBF589799 ILB589799 IUX589799 JET589799 JOP589799 JYL589799 KIH589799 KSD589799 LBZ589799 LLV589799 LVR589799 MFN589799 MPJ589799 MZF589799 NJB589799 NSX589799 OCT589799 OMP589799 OWL589799 PGH589799 PQD589799 PZZ589799 QJV589799 QTR589799 RDN589799 RNJ589799 RXF589799 SHB589799 SQX589799 TAT589799 TKP589799 TUL589799 UEH589799 UOD589799 UXZ589799 VHV589799 VRR589799 WBN589799 WLJ589799 WVF589799 D655328 IT655335 SP655335 ACL655335 AMH655335 AWD655335 BFZ655335 BPV655335 BZR655335 CJN655335 CTJ655335 DDF655335 DNB655335 DWX655335 EGT655335 EQP655335 FAL655335 FKH655335 FUD655335 GDZ655335 GNV655335 GXR655335 HHN655335 HRJ655335 IBF655335 ILB655335 IUX655335 JET655335 JOP655335 JYL655335 KIH655335 KSD655335 LBZ655335 LLV655335 LVR655335 MFN655335 MPJ655335 MZF655335 NJB655335 NSX655335 OCT655335 OMP655335 OWL655335 PGH655335 PQD655335 PZZ655335 QJV655335 QTR655335 RDN655335 RNJ655335 RXF655335 SHB655335 SQX655335 TAT655335 TKP655335 TUL655335 UEH655335 UOD655335 UXZ655335 VHV655335 VRR655335 WBN655335 WLJ655335 WVF655335 D720864 IT720871 SP720871 ACL720871 AMH720871 AWD720871 BFZ720871 BPV720871 BZR720871 CJN720871 CTJ720871 DDF720871 DNB720871 DWX720871 EGT720871 EQP720871 FAL720871 FKH720871 FUD720871 GDZ720871 GNV720871 GXR720871 HHN720871 HRJ720871 IBF720871 ILB720871 IUX720871 JET720871 JOP720871 JYL720871 KIH720871 KSD720871 LBZ720871 LLV720871 LVR720871 MFN720871 MPJ720871 MZF720871 NJB720871 NSX720871 OCT720871 OMP720871 OWL720871 PGH720871 PQD720871 PZZ720871 QJV720871 QTR720871 RDN720871 RNJ720871 RXF720871 SHB720871 SQX720871 TAT720871 TKP720871 TUL720871 UEH720871 UOD720871 UXZ720871 VHV720871 VRR720871 WBN720871 WLJ720871 WVF720871 D786400 IT786407 SP786407 ACL786407 AMH786407 AWD786407 BFZ786407 BPV786407 BZR786407 CJN786407 CTJ786407 DDF786407 DNB786407 DWX786407 EGT786407 EQP786407 FAL786407 FKH786407 FUD786407 GDZ786407 GNV786407 GXR786407 HHN786407 HRJ786407 IBF786407 ILB786407 IUX786407 JET786407 JOP786407 JYL786407 KIH786407 KSD786407 LBZ786407 LLV786407 LVR786407 MFN786407 MPJ786407 MZF786407 NJB786407 NSX786407 OCT786407 OMP786407 OWL786407 PGH786407 PQD786407 PZZ786407 QJV786407 QTR786407 RDN786407 RNJ786407 RXF786407 SHB786407 SQX786407 TAT786407 TKP786407 TUL786407 UEH786407 UOD786407 UXZ786407 VHV786407 VRR786407 WBN786407 WLJ786407 WVF786407 D851936 IT851943 SP851943 ACL851943 AMH851943 AWD851943 BFZ851943 BPV851943 BZR851943 CJN851943 CTJ851943 DDF851943 DNB851943 DWX851943 EGT851943 EQP851943 FAL851943 FKH851943 FUD851943 GDZ851943 GNV851943 GXR851943 HHN851943 HRJ851943 IBF851943 ILB851943 IUX851943 JET851943 JOP851943 JYL851943 KIH851943 KSD851943 LBZ851943 LLV851943 LVR851943 MFN851943 MPJ851943 MZF851943 NJB851943 NSX851943 OCT851943 OMP851943 OWL851943 PGH851943 PQD851943 PZZ851943 QJV851943 QTR851943 RDN851943 RNJ851943 RXF851943 SHB851943 SQX851943 TAT851943 TKP851943 TUL851943 UEH851943 UOD851943 UXZ851943 VHV851943 VRR851943 WBN851943 WLJ851943 WVF851943 D917472 IT917479 SP917479 ACL917479 AMH917479 AWD917479 BFZ917479 BPV917479 BZR917479 CJN917479 CTJ917479 DDF917479 DNB917479 DWX917479 EGT917479 EQP917479 FAL917479 FKH917479 FUD917479 GDZ917479 GNV917479 GXR917479 HHN917479 HRJ917479 IBF917479 ILB917479 IUX917479 JET917479 JOP917479 JYL917479 KIH917479 KSD917479 LBZ917479 LLV917479 LVR917479 MFN917479 MPJ917479 MZF917479 NJB917479 NSX917479 OCT917479 OMP917479 OWL917479 PGH917479 PQD917479 PZZ917479 QJV917479 QTR917479 RDN917479 RNJ917479 RXF917479 SHB917479 SQX917479 TAT917479 TKP917479 TUL917479 UEH917479 UOD917479 UXZ917479 VHV917479 VRR917479 WBN917479 WLJ917479 WVF917479 D983008 IT983015 SP983015 ACL983015 AMH983015 AWD983015 BFZ983015 BPV983015 BZR983015 CJN983015 CTJ983015 DDF983015 DNB983015 DWX983015 EGT983015 EQP983015 FAL983015 FKH983015 FUD983015 GDZ983015 GNV983015 GXR983015 HHN983015 HRJ983015 IBF983015 ILB983015 IUX983015 JET983015 JOP983015 JYL983015 KIH983015 KSD983015 LBZ983015 LLV983015 LVR983015 MFN983015 MPJ983015 MZF983015 NJB983015 NSX983015 OCT983015 OMP983015 OWL983015 PGH983015 PQD983015 PZZ983015 QJV983015 QTR983015 RDN983015 RNJ983015 RXF983015 SHB983015 SQX983015 TAT983015 TKP983015 TUL983015 UEH983015 UOD983015 UXZ983015 VHV983015 VRR983015 WBN983015 WLJ983015 WVF983015 D16">
      <formula1>"EUR,USD,GBP,JPY,CHF"</formula1>
    </dataValidation>
    <dataValidation type="list" allowBlank="1" showInputMessage="1" showErrorMessage="1" sqref="D18">
      <formula1>"ibor,Libor"</formula1>
    </dataValidation>
    <dataValidation type="list" allowBlank="1" showInputMessage="1" showErrorMessage="1" sqref="D19">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40</vt:i4>
      </vt:variant>
    </vt:vector>
  </HeadingPairs>
  <TitlesOfParts>
    <vt:vector size="44" baseType="lpstr">
      <vt:lpstr>NPV_BS</vt:lpstr>
      <vt:lpstr>Calibration_BS</vt:lpstr>
      <vt:lpstr>GBPSTD_STD</vt:lpstr>
      <vt:lpstr>GeneralSettings_MKT</vt:lpstr>
      <vt:lpstr>Calibration_BS!Calendar</vt:lpstr>
      <vt:lpstr>NPV_BS!Calendar</vt:lpstr>
      <vt:lpstr>Calendar</vt:lpstr>
      <vt:lpstr>Calibration_BS!currency</vt:lpstr>
      <vt:lpstr>NPV_BS!currency</vt:lpstr>
      <vt:lpstr>Currency</vt:lpstr>
      <vt:lpstr>Calibration_BS!Discounting</vt:lpstr>
      <vt:lpstr>NPV_BS!Discounting</vt:lpstr>
      <vt:lpstr>Calibration_BS!EvaluationDate</vt:lpstr>
      <vt:lpstr>NPV_BS!EvaluationDate</vt:lpstr>
      <vt:lpstr>EvaluationDate</vt:lpstr>
      <vt:lpstr>Calibration_BS!familyName</vt:lpstr>
      <vt:lpstr>NPV_BS!familyName</vt:lpstr>
      <vt:lpstr>FamilyName</vt:lpstr>
      <vt:lpstr>fixedLefFrequency</vt:lpstr>
      <vt:lpstr>fixedLegConvention</vt:lpstr>
      <vt:lpstr>fixedLegDayCounter</vt:lpstr>
      <vt:lpstr>floatingLegConvention</vt:lpstr>
      <vt:lpstr>floatingLegDayCounter</vt:lpstr>
      <vt:lpstr>floatingLegFrequency</vt:lpstr>
      <vt:lpstr>floatingLegIndex</vt:lpstr>
      <vt:lpstr>LastFixingsTrigger</vt:lpstr>
      <vt:lpstr>ObjectOverwrite</vt:lpstr>
      <vt:lpstr>Permanent</vt:lpstr>
      <vt:lpstr>QuoteSuffix</vt:lpstr>
      <vt:lpstr>Calibration_BS!SettlementDate</vt:lpstr>
      <vt:lpstr>NPV_BS!SettlementDate</vt:lpstr>
      <vt:lpstr>swapMaturityDate</vt:lpstr>
      <vt:lpstr>swapStartDate</vt:lpstr>
      <vt:lpstr>Calibration_BS!Trigger</vt:lpstr>
      <vt:lpstr>GBPSTD_STD!Trigger</vt:lpstr>
      <vt:lpstr>GeneralSettings_MKT!Trigger</vt:lpstr>
      <vt:lpstr>NPV_BS!Trigger</vt:lpstr>
      <vt:lpstr>Calibration_BS!Trigger2</vt:lpstr>
      <vt:lpstr>GBPSTD_STD!Trigger2</vt:lpstr>
      <vt:lpstr>GeneralSettings_MKT!Trigger2</vt:lpstr>
      <vt:lpstr>NPV_BS!Trigger2</vt:lpstr>
      <vt:lpstr>TriggerCounter</vt:lpstr>
      <vt:lpstr>type</vt:lpstr>
      <vt:lpstr>YieldCurveSTD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2016-01-15T21:54:08Z</dcterms:modified>
</cp:coreProperties>
</file>