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MAY GEDAM\Downloads\"/>
    </mc:Choice>
  </mc:AlternateContent>
  <xr:revisionPtr revIDLastSave="0" documentId="13_ncr:1_{3C0F3F11-CB5F-403F-ACA7-B540D5A55C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ign Pt M=5" sheetId="7" r:id="rId1"/>
    <sheet name="Off-Design M = 4" sheetId="14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2" i="7" l="1"/>
  <c r="L20" i="7"/>
  <c r="U18" i="7" l="1"/>
  <c r="X18" i="7" s="1"/>
  <c r="AA18" i="7" s="1"/>
  <c r="O56" i="14" l="1"/>
  <c r="O59" i="14" s="1"/>
  <c r="O53" i="14" l="1"/>
  <c r="O97" i="14"/>
  <c r="O95" i="14"/>
  <c r="O87" i="14"/>
  <c r="O86" i="14"/>
  <c r="P85" i="14"/>
  <c r="O82" i="14"/>
  <c r="O84" i="14" s="1"/>
  <c r="O81" i="14"/>
  <c r="O83" i="14" s="1"/>
  <c r="X32" i="14"/>
  <c r="X36" i="14" s="1"/>
  <c r="X37" i="14" s="1"/>
  <c r="U32" i="14"/>
  <c r="U36" i="14" s="1"/>
  <c r="U37" i="14" s="1"/>
  <c r="R32" i="14"/>
  <c r="R33" i="14" s="1"/>
  <c r="R34" i="14" s="1"/>
  <c r="O32" i="14"/>
  <c r="O36" i="14" s="1"/>
  <c r="AD19" i="14"/>
  <c r="S4" i="14" s="1"/>
  <c r="U18" i="14"/>
  <c r="AA18" i="14" s="1"/>
  <c r="L18" i="14"/>
  <c r="L19" i="14" s="1"/>
  <c r="AA17" i="14"/>
  <c r="X17" i="14"/>
  <c r="U17" i="14"/>
  <c r="R17" i="14"/>
  <c r="O17" i="14"/>
  <c r="O14" i="14"/>
  <c r="R14" i="14" s="1"/>
  <c r="L14" i="14"/>
  <c r="O10" i="14" s="1"/>
  <c r="L10" i="14"/>
  <c r="L12" i="14" s="1"/>
  <c r="O4" i="14" s="1"/>
  <c r="H9" i="14"/>
  <c r="E9" i="14"/>
  <c r="L6" i="14"/>
  <c r="O8" i="14" s="1"/>
  <c r="O9" i="14" s="1"/>
  <c r="H6" i="14"/>
  <c r="H7" i="14" s="1"/>
  <c r="E6" i="14"/>
  <c r="E7" i="14" s="1"/>
  <c r="O5" i="14"/>
  <c r="O25" i="14" s="1"/>
  <c r="H5" i="14"/>
  <c r="E5" i="14"/>
  <c r="B4" i="14"/>
  <c r="O65" i="14"/>
  <c r="O66" i="14" s="1"/>
  <c r="O70" i="14" l="1"/>
  <c r="U14" i="14"/>
  <c r="X14" i="14" s="1"/>
  <c r="AA14" i="14" s="1"/>
  <c r="AE20" i="14"/>
  <c r="O22" i="14"/>
  <c r="R22" i="14" s="1"/>
  <c r="U22" i="14" s="1"/>
  <c r="H10" i="14"/>
  <c r="O57" i="14"/>
  <c r="O58" i="14" s="1"/>
  <c r="O60" i="14" s="1"/>
  <c r="X18" i="14"/>
  <c r="R25" i="14"/>
  <c r="R28" i="14" s="1"/>
  <c r="O28" i="14"/>
  <c r="AE19" i="14"/>
  <c r="S3" i="14" s="1"/>
  <c r="O37" i="14"/>
  <c r="O44" i="14"/>
  <c r="O33" i="14"/>
  <c r="E10" i="14"/>
  <c r="U33" i="14"/>
  <c r="U34" i="14" s="1"/>
  <c r="O26" i="14"/>
  <c r="X33" i="14"/>
  <c r="X34" i="14" s="1"/>
  <c r="O88" i="14"/>
  <c r="O89" i="14" s="1"/>
  <c r="O47" i="14"/>
  <c r="O48" i="14" s="1"/>
  <c r="R47" i="14"/>
  <c r="R48" i="14" s="1"/>
  <c r="R36" i="14"/>
  <c r="L11" i="14"/>
  <c r="L13" i="14" s="1"/>
  <c r="AD19" i="7"/>
  <c r="X32" i="7"/>
  <c r="X36" i="7" s="1"/>
  <c r="X37" i="7" s="1"/>
  <c r="X17" i="7"/>
  <c r="AO33" i="7"/>
  <c r="AN33" i="7"/>
  <c r="AM33" i="7"/>
  <c r="AL33" i="7"/>
  <c r="X22" i="14" l="1"/>
  <c r="AA22" i="14" s="1"/>
  <c r="U25" i="14"/>
  <c r="X25" i="14" s="1"/>
  <c r="L20" i="14"/>
  <c r="O12" i="14" s="1"/>
  <c r="O61" i="14"/>
  <c r="O64" i="14" s="1"/>
  <c r="O71" i="14"/>
  <c r="O73" i="14" s="1"/>
  <c r="O74" i="14" s="1"/>
  <c r="O45" i="14"/>
  <c r="O34" i="14"/>
  <c r="O35" i="14" s="1"/>
  <c r="O38" i="14" s="1"/>
  <c r="R31" i="14" s="1"/>
  <c r="O6" i="14"/>
  <c r="E13" i="14"/>
  <c r="E16" i="14"/>
  <c r="O27" i="14"/>
  <c r="R26" i="14"/>
  <c r="O90" i="14"/>
  <c r="R37" i="14"/>
  <c r="R44" i="14"/>
  <c r="X33" i="7"/>
  <c r="X34" i="7" s="1"/>
  <c r="L6" i="7"/>
  <c r="X28" i="14" l="1"/>
  <c r="AA25" i="14"/>
  <c r="AA28" i="14" s="1"/>
  <c r="U28" i="14"/>
  <c r="O67" i="14"/>
  <c r="R35" i="14"/>
  <c r="R38" i="14" s="1"/>
  <c r="R45" i="14"/>
  <c r="R27" i="14"/>
  <c r="U26" i="14"/>
  <c r="O23" i="14"/>
  <c r="O29" i="14" s="1"/>
  <c r="O7" i="14"/>
  <c r="O32" i="7"/>
  <c r="O36" i="7" s="1"/>
  <c r="R32" i="7"/>
  <c r="U32" i="7"/>
  <c r="U31" i="14" l="1"/>
  <c r="U35" i="14" s="1"/>
  <c r="U38" i="14" s="1"/>
  <c r="X31" i="14" s="1"/>
  <c r="X35" i="14" s="1"/>
  <c r="X38" i="14" s="1"/>
  <c r="R43" i="14"/>
  <c r="R46" i="14" s="1"/>
  <c r="R49" i="14" s="1"/>
  <c r="O43" i="14" s="1"/>
  <c r="O46" i="14" s="1"/>
  <c r="O49" i="14" s="1"/>
  <c r="O96" i="14" s="1"/>
  <c r="O98" i="14" s="1"/>
  <c r="O24" i="14"/>
  <c r="R23" i="14"/>
  <c r="N41" i="14"/>
  <c r="X26" i="14"/>
  <c r="U27" i="14"/>
  <c r="N40" i="14"/>
  <c r="X27" i="14" l="1"/>
  <c r="AA26" i="14"/>
  <c r="AA27" i="14" s="1"/>
  <c r="U23" i="14"/>
  <c r="R24" i="14"/>
  <c r="R29" i="14"/>
  <c r="X23" i="14" l="1"/>
  <c r="AA23" i="14" s="1"/>
  <c r="U24" i="14"/>
  <c r="U29" i="14"/>
  <c r="AA29" i="14" l="1"/>
  <c r="AA31" i="14" s="1"/>
  <c r="AA32" i="14" s="1"/>
  <c r="AA24" i="14"/>
  <c r="X24" i="14"/>
  <c r="X29" i="14"/>
  <c r="O56" i="7" l="1"/>
  <c r="L10" i="7" l="1"/>
  <c r="L12" i="7" s="1"/>
  <c r="O8" i="7"/>
  <c r="L18" i="7" l="1"/>
  <c r="L19" i="7" s="1"/>
  <c r="B4" i="7"/>
  <c r="AA17" i="7"/>
  <c r="U17" i="7"/>
  <c r="R17" i="7"/>
  <c r="O17" i="7"/>
  <c r="H9" i="7"/>
  <c r="E9" i="7"/>
  <c r="U36" i="7"/>
  <c r="R36" i="7"/>
  <c r="R44" i="7" s="1"/>
  <c r="R47" i="7" l="1"/>
  <c r="O47" i="7" l="1"/>
  <c r="O5" i="7"/>
  <c r="O25" i="7" s="1"/>
  <c r="H6" i="7"/>
  <c r="H7" i="7" s="1"/>
  <c r="E6" i="7"/>
  <c r="E7" i="7" s="1"/>
  <c r="H5" i="7"/>
  <c r="E5" i="7"/>
  <c r="AE19" i="7" l="1"/>
  <c r="S3" i="7" s="1"/>
  <c r="AE20" i="7"/>
  <c r="O28" i="7"/>
  <c r="R25" i="7"/>
  <c r="O44" i="7"/>
  <c r="E10" i="7"/>
  <c r="E16" i="7" s="1"/>
  <c r="H10" i="7"/>
  <c r="R28" i="7" l="1"/>
  <c r="U25" i="7"/>
  <c r="E13" i="7"/>
  <c r="X25" i="7" l="1"/>
  <c r="U28" i="7"/>
  <c r="X28" i="7" l="1"/>
  <c r="AA25" i="7"/>
  <c r="AA28" i="7" s="1"/>
  <c r="L11" i="7"/>
  <c r="L13" i="7" s="1"/>
  <c r="O12" i="7" l="1"/>
  <c r="O4" i="7"/>
  <c r="O6" i="7" l="1"/>
  <c r="O23" i="7" s="1"/>
  <c r="O22" i="7"/>
  <c r="R22" i="7" s="1"/>
  <c r="U22" i="7" s="1"/>
  <c r="X22" i="7" s="1"/>
  <c r="R23" i="7" l="1"/>
  <c r="O29" i="7"/>
  <c r="N40" i="7" s="1"/>
  <c r="R29" i="7" l="1"/>
  <c r="R24" i="7"/>
  <c r="U23" i="7"/>
  <c r="O62" i="7"/>
  <c r="P60" i="7"/>
  <c r="O61" i="7"/>
  <c r="O57" i="7"/>
  <c r="O59" i="7" s="1"/>
  <c r="O58" i="7"/>
  <c r="O72" i="7"/>
  <c r="R48" i="7"/>
  <c r="O48" i="7"/>
  <c r="R45" i="7"/>
  <c r="O45" i="7"/>
  <c r="U37" i="7"/>
  <c r="R37" i="7"/>
  <c r="O37" i="7"/>
  <c r="U33" i="7"/>
  <c r="U34" i="7" s="1"/>
  <c r="R33" i="7"/>
  <c r="R34" i="7" s="1"/>
  <c r="O33" i="7"/>
  <c r="O34" i="7" s="1"/>
  <c r="O35" i="7" s="1"/>
  <c r="S4" i="7"/>
  <c r="O14" i="7"/>
  <c r="R14" i="7" s="1"/>
  <c r="L14" i="7"/>
  <c r="O10" i="7" s="1"/>
  <c r="U14" i="7" l="1"/>
  <c r="X14" i="7" s="1"/>
  <c r="AA14" i="7" s="1"/>
  <c r="X23" i="7"/>
  <c r="AA23" i="7" s="1"/>
  <c r="U29" i="7"/>
  <c r="X24" i="7"/>
  <c r="X29" i="7"/>
  <c r="U24" i="7"/>
  <c r="O38" i="7"/>
  <c r="O70" i="7"/>
  <c r="O26" i="7"/>
  <c r="O9" i="7"/>
  <c r="O24" i="7"/>
  <c r="O63" i="7"/>
  <c r="O65" i="7" s="1"/>
  <c r="N41" i="7"/>
  <c r="O7" i="7"/>
  <c r="AA29" i="7" l="1"/>
  <c r="AA24" i="7"/>
  <c r="R31" i="7"/>
  <c r="R35" i="7" s="1"/>
  <c r="R38" i="7" s="1"/>
  <c r="O52" i="14"/>
  <c r="R43" i="7"/>
  <c r="U31" i="7"/>
  <c r="U35" i="7" s="1"/>
  <c r="U38" i="7" s="1"/>
  <c r="X31" i="7" s="1"/>
  <c r="X35" i="7" s="1"/>
  <c r="X38" i="7" s="1"/>
  <c r="AA31" i="7"/>
  <c r="AA32" i="7" s="1"/>
  <c r="O27" i="7"/>
  <c r="R26" i="7"/>
  <c r="O64" i="7"/>
  <c r="R46" i="7" l="1"/>
  <c r="R49" i="7" s="1"/>
  <c r="R27" i="7"/>
  <c r="U26" i="7"/>
  <c r="X26" i="7" s="1"/>
  <c r="X27" i="7" l="1"/>
  <c r="AA26" i="7"/>
  <c r="AA27" i="7" s="1"/>
  <c r="O43" i="7"/>
  <c r="U27" i="7"/>
  <c r="O46" i="7" l="1"/>
  <c r="O49" i="7" s="1"/>
  <c r="O71" i="7" l="1"/>
  <c r="O73" i="7" s="1"/>
</calcChain>
</file>

<file path=xl/sharedStrings.xml><?xml version="1.0" encoding="utf-8"?>
<sst xmlns="http://schemas.openxmlformats.org/spreadsheetml/2006/main" count="687" uniqueCount="184">
  <si>
    <t>Alt</t>
  </si>
  <si>
    <t>m</t>
  </si>
  <si>
    <t>K</t>
  </si>
  <si>
    <t>atm</t>
  </si>
  <si>
    <t>m/s</t>
  </si>
  <si>
    <r>
      <rPr>
        <sz val="12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r</t>
    </r>
  </si>
  <si>
    <r>
      <rPr>
        <sz val="12"/>
        <rFont val="Symbol"/>
        <family val="1"/>
        <charset val="2"/>
      </rPr>
      <t>p</t>
    </r>
    <r>
      <rPr>
        <vertAlign val="subscript"/>
        <sz val="12"/>
        <rFont val="Arial"/>
        <family val="2"/>
      </rPr>
      <t>r</t>
    </r>
  </si>
  <si>
    <t>kg/s</t>
  </si>
  <si>
    <t>M3</t>
  </si>
  <si>
    <t>Tt3</t>
  </si>
  <si>
    <t>pt3</t>
  </si>
  <si>
    <t>Mass Flow Parameter</t>
  </si>
  <si>
    <t>Inlet Compression</t>
  </si>
  <si>
    <t>m_dot</t>
  </si>
  <si>
    <t>M0</t>
  </si>
  <si>
    <r>
      <t>T</t>
    </r>
    <r>
      <rPr>
        <vertAlign val="subscript"/>
        <sz val="12"/>
        <color theme="1"/>
        <rFont val="Arial"/>
        <family val="2"/>
      </rPr>
      <t>t</t>
    </r>
  </si>
  <si>
    <t xml:space="preserve">K </t>
  </si>
  <si>
    <t>MFP0</t>
  </si>
  <si>
    <r>
      <t>p</t>
    </r>
    <r>
      <rPr>
        <vertAlign val="subscript"/>
        <sz val="12"/>
        <color theme="1"/>
        <rFont val="Arial"/>
        <family val="2"/>
      </rPr>
      <t>t</t>
    </r>
  </si>
  <si>
    <t>Tt0</t>
  </si>
  <si>
    <r>
      <t>N/m</t>
    </r>
    <r>
      <rPr>
        <vertAlign val="superscript"/>
        <sz val="12"/>
        <color theme="1"/>
        <rFont val="Arial"/>
        <family val="2"/>
      </rPr>
      <t>2</t>
    </r>
  </si>
  <si>
    <t>pt0</t>
  </si>
  <si>
    <t>A</t>
  </si>
  <si>
    <r>
      <t>m</t>
    </r>
    <r>
      <rPr>
        <vertAlign val="superscript"/>
        <sz val="12"/>
        <color theme="1"/>
        <rFont val="Arial"/>
        <family val="2"/>
      </rPr>
      <t>2</t>
    </r>
  </si>
  <si>
    <t>N/m2</t>
  </si>
  <si>
    <t>A0</t>
  </si>
  <si>
    <t>m2</t>
  </si>
  <si>
    <t>Delta1</t>
  </si>
  <si>
    <t>Delta2</t>
  </si>
  <si>
    <t>Delta3</t>
  </si>
  <si>
    <t>NS</t>
  </si>
  <si>
    <t>gamma</t>
  </si>
  <si>
    <t>Theta1</t>
  </si>
  <si>
    <t>Theta2</t>
  </si>
  <si>
    <t>Theta3</t>
  </si>
  <si>
    <t>Theta4</t>
  </si>
  <si>
    <t>Theta5</t>
  </si>
  <si>
    <t>R</t>
  </si>
  <si>
    <t>J/kg.K</t>
  </si>
  <si>
    <t>Beta1</t>
  </si>
  <si>
    <t>deg</t>
  </si>
  <si>
    <t>Beta2</t>
  </si>
  <si>
    <t>Beta3</t>
  </si>
  <si>
    <t xml:space="preserve">Beta5 </t>
  </si>
  <si>
    <t>M2</t>
  </si>
  <si>
    <t>M1</t>
  </si>
  <si>
    <t>M5</t>
  </si>
  <si>
    <t>MFP=</t>
  </si>
  <si>
    <t>MFP1</t>
  </si>
  <si>
    <t>MFP2</t>
  </si>
  <si>
    <t>MFP3</t>
  </si>
  <si>
    <t>A2</t>
  </si>
  <si>
    <t>D2</t>
  </si>
  <si>
    <t>Mass Flow Rate</t>
  </si>
  <si>
    <t>Tt1</t>
  </si>
  <si>
    <t>Tt2</t>
  </si>
  <si>
    <t>Tt5</t>
  </si>
  <si>
    <t>A1</t>
  </si>
  <si>
    <t>A3</t>
  </si>
  <si>
    <t>Geometric calculation</t>
  </si>
  <si>
    <t>H0</t>
  </si>
  <si>
    <t>rad</t>
  </si>
  <si>
    <t>L1</t>
  </si>
  <si>
    <t>Check</t>
  </si>
  <si>
    <t>A1/A0</t>
  </si>
  <si>
    <t>(pt0*MFP0)/(pt1*MFP1)</t>
  </si>
  <si>
    <t>Engine diameter</t>
  </si>
  <si>
    <t>Engine height (w=1 m)</t>
  </si>
  <si>
    <t>Delta4</t>
  </si>
  <si>
    <r>
      <t>A</t>
    </r>
    <r>
      <rPr>
        <vertAlign val="subscript"/>
        <sz val="12"/>
        <color theme="1"/>
        <rFont val="Arial"/>
        <family val="2"/>
      </rPr>
      <t>DT</t>
    </r>
    <r>
      <rPr>
        <sz val="12"/>
        <color theme="1"/>
        <rFont val="Arial"/>
        <family val="2"/>
      </rPr>
      <t>/A</t>
    </r>
    <r>
      <rPr>
        <vertAlign val="subscript"/>
        <sz val="12"/>
        <color theme="1"/>
        <rFont val="Arial"/>
        <family val="2"/>
      </rPr>
      <t>1</t>
    </r>
  </si>
  <si>
    <t>MilSpec =</t>
  </si>
  <si>
    <r>
      <t>p</t>
    </r>
    <r>
      <rPr>
        <b/>
        <vertAlign val="subscript"/>
        <sz val="16"/>
        <color theme="1"/>
        <rFont val="Arial"/>
        <family val="2"/>
      </rPr>
      <t xml:space="preserve">D = </t>
    </r>
  </si>
  <si>
    <t>T1</t>
  </si>
  <si>
    <t>T0</t>
  </si>
  <si>
    <t>V0</t>
  </si>
  <si>
    <t>V1</t>
  </si>
  <si>
    <t>T2</t>
  </si>
  <si>
    <t>V2</t>
  </si>
  <si>
    <t>T3</t>
  </si>
  <si>
    <t>V3</t>
  </si>
  <si>
    <t>M4</t>
  </si>
  <si>
    <t>MFP4</t>
  </si>
  <si>
    <t>Tt4</t>
  </si>
  <si>
    <t>T4</t>
  </si>
  <si>
    <t>V4</t>
  </si>
  <si>
    <t>A4</t>
  </si>
  <si>
    <t>Beta4</t>
  </si>
  <si>
    <t>T5</t>
  </si>
  <si>
    <t>V5</t>
  </si>
  <si>
    <t>p1</t>
  </si>
  <si>
    <t>p3</t>
  </si>
  <si>
    <t>p4</t>
  </si>
  <si>
    <t>p5</t>
  </si>
  <si>
    <t>p0</t>
  </si>
  <si>
    <r>
      <t>g</t>
    </r>
    <r>
      <rPr>
        <vertAlign val="subscript"/>
        <sz val="12"/>
        <color theme="1"/>
        <rFont val="Arial"/>
        <family val="2"/>
      </rPr>
      <t>c</t>
    </r>
  </si>
  <si>
    <r>
      <t>R</t>
    </r>
    <r>
      <rPr>
        <vertAlign val="subscript"/>
        <sz val="12"/>
        <color theme="1"/>
        <rFont val="Arial"/>
        <family val="2"/>
      </rPr>
      <t>C</t>
    </r>
  </si>
  <si>
    <t>km</t>
  </si>
  <si>
    <r>
      <t>p</t>
    </r>
    <r>
      <rPr>
        <vertAlign val="subscript"/>
        <sz val="12"/>
        <color theme="1"/>
        <rFont val="Arial"/>
        <family val="2"/>
      </rPr>
      <t>0</t>
    </r>
  </si>
  <si>
    <r>
      <t>a</t>
    </r>
    <r>
      <rPr>
        <vertAlign val="subscript"/>
        <sz val="12"/>
        <color theme="1"/>
        <rFont val="Arial"/>
        <family val="2"/>
      </rPr>
      <t>0</t>
    </r>
  </si>
  <si>
    <r>
      <t>T</t>
    </r>
    <r>
      <rPr>
        <vertAlign val="subscript"/>
        <sz val="12"/>
        <color theme="1"/>
        <rFont val="Arial"/>
        <family val="2"/>
      </rPr>
      <t>0</t>
    </r>
  </si>
  <si>
    <t>p2</t>
  </si>
  <si>
    <r>
      <t>T</t>
    </r>
    <r>
      <rPr>
        <vertAlign val="subscript"/>
        <sz val="12"/>
        <color theme="1"/>
        <rFont val="Arial"/>
        <family val="2"/>
      </rPr>
      <t>t0</t>
    </r>
  </si>
  <si>
    <r>
      <t>p</t>
    </r>
    <r>
      <rPr>
        <vertAlign val="subscript"/>
        <sz val="12"/>
        <color theme="1"/>
        <rFont val="Arial"/>
        <family val="2"/>
      </rPr>
      <t>t0</t>
    </r>
  </si>
  <si>
    <r>
      <t>V</t>
    </r>
    <r>
      <rPr>
        <vertAlign val="subscript"/>
        <sz val="12"/>
        <color theme="1"/>
        <rFont val="Arial"/>
        <family val="2"/>
      </rPr>
      <t>0</t>
    </r>
  </si>
  <si>
    <t>Free Stream Conditions</t>
  </si>
  <si>
    <t>X1</t>
  </si>
  <si>
    <t>X2</t>
  </si>
  <si>
    <t>Design point geometry calculation</t>
  </si>
  <si>
    <t>Y1</t>
  </si>
  <si>
    <t>S1</t>
  </si>
  <si>
    <r>
      <t>Test M(45</t>
    </r>
    <r>
      <rPr>
        <vertAlign val="super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>)=</t>
    </r>
  </si>
  <si>
    <t>X3</t>
  </si>
  <si>
    <t>Y2</t>
  </si>
  <si>
    <t>Y3</t>
  </si>
  <si>
    <t>b1-d1</t>
  </si>
  <si>
    <t>Y0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</si>
  <si>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1-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1</t>
    </r>
  </si>
  <si>
    <t>b2-d2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</si>
  <si>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2-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2</t>
    </r>
  </si>
  <si>
    <t>b3-d3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</si>
  <si>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3-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3</t>
    </r>
  </si>
  <si>
    <t>b4-d4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</si>
  <si>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4-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4</t>
    </r>
  </si>
  <si>
    <t xml:space="preserve">b1 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</si>
  <si>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1</t>
    </r>
  </si>
  <si>
    <t xml:space="preserve">b2 </t>
  </si>
  <si>
    <t>b2</t>
  </si>
  <si>
    <t xml:space="preserve">b3 </t>
  </si>
  <si>
    <t>b3</t>
  </si>
  <si>
    <r>
      <t>sin(</t>
    </r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1)</t>
    </r>
  </si>
  <si>
    <r>
      <t>sin(</t>
    </r>
    <r>
      <rPr>
        <sz val="12"/>
        <color theme="1"/>
        <rFont val="Symbol"/>
        <family val="1"/>
        <charset val="2"/>
      </rPr>
      <t>b2</t>
    </r>
    <r>
      <rPr>
        <sz val="12"/>
        <color theme="1"/>
        <rFont val="Arial"/>
        <family val="2"/>
      </rPr>
      <t>)</t>
    </r>
  </si>
  <si>
    <r>
      <t>sin(</t>
    </r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3)</t>
    </r>
  </si>
  <si>
    <r>
      <t>sin(</t>
    </r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Arial"/>
        <family val="2"/>
      </rPr>
      <t>4)</t>
    </r>
  </si>
  <si>
    <t>L2</t>
  </si>
  <si>
    <t>L3</t>
  </si>
  <si>
    <t>L4</t>
  </si>
  <si>
    <t>REVERSE</t>
  </si>
  <si>
    <t>b1</t>
  </si>
  <si>
    <t>Y1'</t>
  </si>
  <si>
    <t>Y1'(N)</t>
  </si>
  <si>
    <t>Y1'(d)</t>
  </si>
  <si>
    <r>
      <rPr>
        <sz val="14"/>
        <color theme="1"/>
        <rFont val="Arial"/>
        <family val="2"/>
      </rPr>
      <t>∆</t>
    </r>
    <r>
      <rPr>
        <sz val="12"/>
        <color theme="1"/>
        <rFont val="Arial"/>
        <family val="2"/>
      </rPr>
      <t>1</t>
    </r>
  </si>
  <si>
    <t>CDA</t>
  </si>
  <si>
    <t>Check - single ramp inlet</t>
  </si>
  <si>
    <t>Additive drag calculation</t>
  </si>
  <si>
    <r>
      <t>q</t>
    </r>
    <r>
      <rPr>
        <vertAlign val="subscript"/>
        <sz val="12"/>
        <color theme="1"/>
        <rFont val="Arial"/>
        <family val="2"/>
      </rPr>
      <t>0</t>
    </r>
  </si>
  <si>
    <t xml:space="preserve">Engine Sizing 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</si>
  <si>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</si>
  <si>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 xml:space="preserve">M </t>
  </si>
  <si>
    <r>
      <rPr>
        <b/>
        <i/>
        <sz val="12"/>
        <rFont val="Arial"/>
        <family val="2"/>
      </rPr>
      <t>m</t>
    </r>
    <r>
      <rPr>
        <b/>
        <i/>
        <vertAlign val="superscript"/>
        <sz val="12"/>
        <rFont val="Arial"/>
        <family val="2"/>
      </rPr>
      <t>2</t>
    </r>
  </si>
  <si>
    <t>p2/p1</t>
  </si>
  <si>
    <t>pt2/pt1</t>
  </si>
  <si>
    <t>T2/T1</t>
  </si>
  <si>
    <t>Tt2/Tt1</t>
  </si>
  <si>
    <t>pt2</t>
  </si>
  <si>
    <t>pt1</t>
  </si>
  <si>
    <r>
      <t>A</t>
    </r>
    <r>
      <rPr>
        <vertAlign val="subscript"/>
        <sz val="12"/>
        <color theme="1"/>
        <rFont val="Arial"/>
        <family val="2"/>
      </rPr>
      <t>1/</t>
    </r>
    <r>
      <rPr>
        <sz val="12"/>
        <color theme="1"/>
        <rFont val="Arial"/>
        <family val="2"/>
      </rPr>
      <t>A</t>
    </r>
    <r>
      <rPr>
        <vertAlign val="subscript"/>
        <sz val="12"/>
        <color theme="1"/>
        <rFont val="Arial"/>
        <family val="2"/>
      </rPr>
      <t>DT</t>
    </r>
  </si>
  <si>
    <t>A1c</t>
  </si>
  <si>
    <t>Spillage Calculation</t>
  </si>
  <si>
    <t>Design Point Geomery</t>
  </si>
  <si>
    <t>M &gt; 5</t>
  </si>
  <si>
    <t>M &lt; 5</t>
  </si>
  <si>
    <r>
      <rPr>
        <b/>
        <sz val="12"/>
        <color theme="1"/>
        <rFont val="Symbol"/>
        <family val="1"/>
        <charset val="2"/>
      </rPr>
      <t>b</t>
    </r>
    <r>
      <rPr>
        <b/>
        <vertAlign val="subscript"/>
        <sz val="12"/>
        <color theme="1"/>
        <rFont val="Arial"/>
        <family val="2"/>
      </rPr>
      <t>1,DP</t>
    </r>
  </si>
  <si>
    <r>
      <rPr>
        <b/>
        <sz val="12"/>
        <color theme="1"/>
        <rFont val="Symbol"/>
        <family val="1"/>
        <charset val="2"/>
      </rPr>
      <t>b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'</t>
    </r>
  </si>
  <si>
    <t>pt4</t>
  </si>
  <si>
    <t>b4</t>
  </si>
  <si>
    <t>MFP5</t>
  </si>
  <si>
    <t>pt5</t>
  </si>
  <si>
    <r>
      <t>A5=A</t>
    </r>
    <r>
      <rPr>
        <vertAlign val="subscript"/>
        <sz val="12"/>
        <color theme="1"/>
        <rFont val="Arial"/>
        <family val="2"/>
      </rPr>
      <t>DT</t>
    </r>
  </si>
  <si>
    <t>Y1=Y0</t>
  </si>
  <si>
    <t>p1/p0-1</t>
  </si>
  <si>
    <t>Capture area calculation</t>
  </si>
  <si>
    <t>Y1'=Y0'</t>
  </si>
  <si>
    <t>A0'</t>
  </si>
  <si>
    <t>Mass flow calculation</t>
  </si>
  <si>
    <t>MilSpec 5008</t>
  </si>
  <si>
    <r>
      <rPr>
        <b/>
        <sz val="16"/>
        <color theme="1"/>
        <rFont val="Symbol"/>
        <family val="1"/>
        <charset val="2"/>
      </rPr>
      <t>p</t>
    </r>
    <r>
      <rPr>
        <b/>
        <vertAlign val="subscript"/>
        <sz val="16"/>
        <color theme="1"/>
        <rFont val="Arial"/>
        <family val="2"/>
      </rPr>
      <t>D</t>
    </r>
    <r>
      <rPr>
        <b/>
        <sz val="16"/>
        <color theme="1"/>
        <rFont val="Arial"/>
        <family val="2"/>
      </rPr>
      <t>=</t>
    </r>
  </si>
  <si>
    <t>Drag=</t>
  </si>
  <si>
    <t>N</t>
  </si>
  <si>
    <t>Off-design Shock Reflection</t>
  </si>
  <si>
    <t>Fixed geometry</t>
  </si>
  <si>
    <t>Variable geometry</t>
  </si>
  <si>
    <r>
      <t>A</t>
    </r>
    <r>
      <rPr>
        <b/>
        <vertAlign val="subscript"/>
        <sz val="12"/>
        <color rgb="FF0000FF"/>
        <rFont val="Arial"/>
        <family val="2"/>
      </rPr>
      <t>DT</t>
    </r>
    <r>
      <rPr>
        <b/>
        <sz val="12"/>
        <color rgb="FF0000FF"/>
        <rFont val="Arial"/>
        <family val="2"/>
      </rPr>
      <t>/A</t>
    </r>
    <r>
      <rPr>
        <b/>
        <vertAlign val="subscript"/>
        <sz val="12"/>
        <color rgb="FF0000FF"/>
        <rFont val="Arial"/>
        <family val="2"/>
      </rPr>
      <t>1</t>
    </r>
  </si>
  <si>
    <r>
      <t>A</t>
    </r>
    <r>
      <rPr>
        <b/>
        <vertAlign val="subscript"/>
        <sz val="12"/>
        <color rgb="FF0000FF"/>
        <rFont val="Arial"/>
        <family val="2"/>
      </rPr>
      <t>1/</t>
    </r>
    <r>
      <rPr>
        <b/>
        <sz val="12"/>
        <color rgb="FF0000FF"/>
        <rFont val="Arial"/>
        <family val="2"/>
      </rPr>
      <t>A</t>
    </r>
    <r>
      <rPr>
        <b/>
        <vertAlign val="subscript"/>
        <sz val="12"/>
        <color rgb="FF0000FF"/>
        <rFont val="Arial"/>
        <family val="2"/>
      </rPr>
      <t>DT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</si>
</sst>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E+00"/>
    <numFmt numFmtId="168" formatCode="&quot;$&quot;#,##0.0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FF"/>
      <name val="Arial"/>
      <family val="2"/>
    </font>
    <font>
      <vertAlign val="superscript"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name val="Arial"/>
      <family val="2"/>
    </font>
    <font>
      <sz val="11"/>
      <color theme="1"/>
      <name val="Arial"/>
      <family val="2"/>
    </font>
    <font>
      <vertAlign val="superscript"/>
      <sz val="12"/>
      <color theme="1"/>
      <name val="Arial"/>
      <family val="2"/>
    </font>
    <font>
      <sz val="11"/>
      <name val="Arial"/>
      <family val="2"/>
    </font>
    <font>
      <b/>
      <sz val="12"/>
      <color theme="1"/>
      <name val="Symbol"/>
      <family val="1"/>
      <charset val="2"/>
    </font>
    <font>
      <b/>
      <sz val="16"/>
      <color theme="1"/>
      <name val="Symbol"/>
      <family val="1"/>
      <charset val="2"/>
    </font>
    <font>
      <b/>
      <vertAlign val="subscript"/>
      <sz val="16"/>
      <color theme="1"/>
      <name val="Arial"/>
      <family val="2"/>
    </font>
    <font>
      <sz val="12"/>
      <color theme="1"/>
      <name val="Symbol"/>
      <family val="1"/>
      <charset val="2"/>
    </font>
    <font>
      <sz val="12"/>
      <color theme="1"/>
      <name val="Arial"/>
      <family val="1"/>
      <charset val="2"/>
    </font>
    <font>
      <b/>
      <vertAlign val="subscript"/>
      <sz val="12"/>
      <color theme="1"/>
      <name val="Arial"/>
      <family val="2"/>
    </font>
    <font>
      <b/>
      <sz val="12"/>
      <color theme="1"/>
      <name val="Arial"/>
      <family val="1"/>
      <charset val="2"/>
    </font>
    <font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i/>
      <vertAlign val="superscript"/>
      <sz val="12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1"/>
      <charset val="2"/>
    </font>
    <font>
      <b/>
      <sz val="16"/>
      <color theme="1"/>
      <name val="Arial"/>
      <family val="2"/>
    </font>
    <font>
      <sz val="12"/>
      <color rgb="FF0000FF"/>
      <name val="Arial"/>
      <family val="2"/>
    </font>
    <font>
      <b/>
      <sz val="14"/>
      <color theme="1"/>
      <name val="Arial"/>
      <family val="2"/>
    </font>
    <font>
      <b/>
      <vertAlign val="subscript"/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6" fillId="0" borderId="0" xfId="0" applyFont="1" applyBorder="1"/>
    <xf numFmtId="164" fontId="6" fillId="0" borderId="0" xfId="0" applyNumberFormat="1" applyFont="1" applyBorder="1"/>
    <xf numFmtId="0" fontId="0" fillId="0" borderId="1" xfId="0" applyBorder="1"/>
    <xf numFmtId="164" fontId="6" fillId="0" borderId="0" xfId="0" applyNumberFormat="1" applyFont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1" xfId="0" applyFont="1" applyBorder="1"/>
    <xf numFmtId="0" fontId="11" fillId="0" borderId="0" xfId="0" applyFont="1"/>
    <xf numFmtId="0" fontId="10" fillId="0" borderId="0" xfId="0" applyFont="1" applyBorder="1"/>
    <xf numFmtId="0" fontId="10" fillId="0" borderId="0" xfId="0" applyFont="1"/>
    <xf numFmtId="0" fontId="13" fillId="0" borderId="0" xfId="0" applyFont="1"/>
    <xf numFmtId="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0" fontId="10" fillId="0" borderId="3" xfId="0" applyFont="1" applyBorder="1"/>
    <xf numFmtId="0" fontId="10" fillId="0" borderId="4" xfId="0" applyFont="1" applyBorder="1"/>
    <xf numFmtId="0" fontId="6" fillId="0" borderId="5" xfId="0" applyFont="1" applyBorder="1"/>
    <xf numFmtId="0" fontId="15" fillId="0" borderId="0" xfId="0" applyFont="1" applyBorder="1" applyAlignment="1">
      <alignment horizontal="right"/>
    </xf>
    <xf numFmtId="0" fontId="10" fillId="0" borderId="2" xfId="0" applyFont="1" applyBorder="1"/>
    <xf numFmtId="0" fontId="6" fillId="0" borderId="6" xfId="0" applyFont="1" applyBorder="1"/>
    <xf numFmtId="165" fontId="6" fillId="0" borderId="0" xfId="0" applyNumberFormat="1" applyFont="1" applyBorder="1"/>
    <xf numFmtId="165" fontId="6" fillId="0" borderId="2" xfId="0" applyNumberFormat="1" applyFont="1" applyBorder="1"/>
    <xf numFmtId="166" fontId="6" fillId="0" borderId="0" xfId="0" applyNumberFormat="1" applyFont="1" applyBorder="1"/>
    <xf numFmtId="164" fontId="6" fillId="0" borderId="6" xfId="0" applyNumberFormat="1" applyFont="1" applyBorder="1"/>
    <xf numFmtId="167" fontId="6" fillId="0" borderId="0" xfId="0" applyNumberFormat="1" applyFont="1" applyBorder="1"/>
    <xf numFmtId="167" fontId="6" fillId="0" borderId="6" xfId="0" applyNumberFormat="1" applyFont="1" applyBorder="1"/>
    <xf numFmtId="0" fontId="6" fillId="0" borderId="7" xfId="0" applyFont="1" applyBorder="1"/>
    <xf numFmtId="165" fontId="6" fillId="0" borderId="8" xfId="0" applyNumberFormat="1" applyFont="1" applyBorder="1"/>
    <xf numFmtId="164" fontId="6" fillId="0" borderId="5" xfId="0" applyNumberFormat="1" applyFont="1" applyBorder="1"/>
    <xf numFmtId="0" fontId="13" fillId="0" borderId="3" xfId="0" applyFont="1" applyBorder="1"/>
    <xf numFmtId="0" fontId="0" fillId="0" borderId="4" xfId="0" applyBorder="1"/>
    <xf numFmtId="0" fontId="13" fillId="0" borderId="6" xfId="0" applyFont="1" applyBorder="1"/>
    <xf numFmtId="0" fontId="6" fillId="0" borderId="8" xfId="0" applyFont="1" applyBorder="1"/>
    <xf numFmtId="164" fontId="6" fillId="0" borderId="8" xfId="0" applyNumberFormat="1" applyFont="1" applyBorder="1"/>
    <xf numFmtId="0" fontId="13" fillId="0" borderId="7" xfId="0" applyFont="1" applyBorder="1"/>
    <xf numFmtId="0" fontId="6" fillId="0" borderId="3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165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2" borderId="0" xfId="0" applyFont="1" applyFill="1" applyAlignment="1">
      <alignment horizontal="right"/>
    </xf>
    <xf numFmtId="164" fontId="10" fillId="2" borderId="0" xfId="0" applyNumberFormat="1" applyFont="1" applyFill="1" applyAlignment="1">
      <alignment horizontal="left"/>
    </xf>
    <xf numFmtId="0" fontId="17" fillId="2" borderId="0" xfId="0" applyFont="1" applyFill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168" fontId="6" fillId="0" borderId="6" xfId="0" applyNumberFormat="1" applyFont="1" applyBorder="1"/>
    <xf numFmtId="4" fontId="6" fillId="0" borderId="0" xfId="0" applyNumberFormat="1" applyFont="1" applyBorder="1"/>
    <xf numFmtId="166" fontId="10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0" fontId="1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6" xfId="1" applyFont="1" applyBorder="1"/>
    <xf numFmtId="0" fontId="10" fillId="0" borderId="2" xfId="0" applyFont="1" applyBorder="1" applyAlignment="1">
      <alignment vertical="center"/>
    </xf>
    <xf numFmtId="0" fontId="15" fillId="0" borderId="6" xfId="0" applyFont="1" applyBorder="1" applyAlignment="1">
      <alignment horizontal="right"/>
    </xf>
    <xf numFmtId="0" fontId="15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3" fontId="6" fillId="0" borderId="0" xfId="0" applyNumberFormat="1" applyFont="1" applyBorder="1"/>
    <xf numFmtId="165" fontId="10" fillId="0" borderId="0" xfId="0" applyNumberFormat="1" applyFont="1" applyBorder="1"/>
    <xf numFmtId="2" fontId="6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9" fillId="0" borderId="2" xfId="0" applyFont="1" applyBorder="1"/>
    <xf numFmtId="0" fontId="20" fillId="0" borderId="2" xfId="0" applyFont="1" applyBorder="1"/>
    <xf numFmtId="165" fontId="8" fillId="0" borderId="0" xfId="0" applyNumberFormat="1" applyFont="1" applyBorder="1"/>
    <xf numFmtId="0" fontId="0" fillId="0" borderId="11" xfId="0" applyBorder="1"/>
    <xf numFmtId="0" fontId="6" fillId="0" borderId="18" xfId="0" applyFont="1" applyBorder="1"/>
    <xf numFmtId="0" fontId="10" fillId="0" borderId="12" xfId="0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6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1" xfId="0" applyFont="1" applyBorder="1"/>
    <xf numFmtId="0" fontId="6" fillId="0" borderId="15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165" fontId="6" fillId="0" borderId="17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1" fontId="0" fillId="0" borderId="0" xfId="0" applyNumberFormat="1"/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166" fontId="2" fillId="0" borderId="8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5" fontId="12" fillId="0" borderId="0" xfId="0" applyNumberFormat="1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167" fontId="6" fillId="0" borderId="1" xfId="0" applyNumberFormat="1" applyFont="1" applyBorder="1"/>
    <xf numFmtId="0" fontId="6" fillId="0" borderId="19" xfId="0" applyFont="1" applyBorder="1"/>
    <xf numFmtId="166" fontId="6" fillId="0" borderId="20" xfId="0" applyNumberFormat="1" applyFont="1" applyBorder="1"/>
    <xf numFmtId="0" fontId="6" fillId="0" borderId="21" xfId="0" applyFont="1" applyBorder="1"/>
    <xf numFmtId="0" fontId="6" fillId="0" borderId="22" xfId="0" applyFont="1" applyBorder="1"/>
    <xf numFmtId="166" fontId="6" fillId="0" borderId="23" xfId="0" applyNumberFormat="1" applyFont="1" applyBorder="1"/>
    <xf numFmtId="0" fontId="6" fillId="0" borderId="24" xfId="0" applyFont="1" applyBorder="1"/>
    <xf numFmtId="0" fontId="6" fillId="0" borderId="23" xfId="0" applyFont="1" applyBorder="1"/>
    <xf numFmtId="0" fontId="6" fillId="0" borderId="2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8" fillId="0" borderId="1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26" fillId="0" borderId="3" xfId="0" applyFont="1" applyBorder="1"/>
    <xf numFmtId="164" fontId="6" fillId="0" borderId="4" xfId="0" applyNumberFormat="1" applyFont="1" applyBorder="1"/>
    <xf numFmtId="0" fontId="22" fillId="0" borderId="2" xfId="0" applyFont="1" applyBorder="1"/>
    <xf numFmtId="164" fontId="10" fillId="0" borderId="0" xfId="0" applyNumberFormat="1" applyFont="1" applyBorder="1"/>
    <xf numFmtId="164" fontId="10" fillId="0" borderId="6" xfId="0" applyNumberFormat="1" applyFont="1" applyBorder="1"/>
    <xf numFmtId="0" fontId="10" fillId="0" borderId="7" xfId="0" applyFont="1" applyBorder="1"/>
    <xf numFmtId="164" fontId="10" fillId="0" borderId="7" xfId="0" applyNumberFormat="1" applyFont="1" applyBorder="1"/>
    <xf numFmtId="165" fontId="10" fillId="0" borderId="1" xfId="0" applyNumberFormat="1" applyFont="1" applyBorder="1"/>
    <xf numFmtId="0" fontId="22" fillId="0" borderId="0" xfId="0" applyFont="1" applyBorder="1"/>
    <xf numFmtId="0" fontId="22" fillId="0" borderId="4" xfId="0" applyFont="1" applyBorder="1"/>
    <xf numFmtId="164" fontId="10" fillId="0" borderId="5" xfId="0" applyNumberFormat="1" applyFont="1" applyBorder="1"/>
    <xf numFmtId="164" fontId="3" fillId="0" borderId="1" xfId="0" applyNumberFormat="1" applyFont="1" applyBorder="1" applyAlignment="1">
      <alignment vertical="center"/>
    </xf>
    <xf numFmtId="0" fontId="10" fillId="0" borderId="8" xfId="0" applyFont="1" applyBorder="1"/>
    <xf numFmtId="166" fontId="27" fillId="0" borderId="0" xfId="0" applyNumberFormat="1" applyFont="1" applyAlignment="1">
      <alignment horizontal="right"/>
    </xf>
    <xf numFmtId="165" fontId="29" fillId="0" borderId="1" xfId="0" applyNumberFormat="1" applyFont="1" applyBorder="1"/>
    <xf numFmtId="165" fontId="29" fillId="0" borderId="0" xfId="0" applyNumberFormat="1" applyFont="1" applyBorder="1"/>
    <xf numFmtId="164" fontId="29" fillId="0" borderId="9" xfId="0" applyNumberFormat="1" applyFont="1" applyBorder="1"/>
    <xf numFmtId="164" fontId="29" fillId="0" borderId="10" xfId="0" applyNumberFormat="1" applyFont="1" applyBorder="1"/>
    <xf numFmtId="164" fontId="10" fillId="0" borderId="1" xfId="0" applyNumberFormat="1" applyFont="1" applyBorder="1"/>
    <xf numFmtId="164" fontId="10" fillId="0" borderId="8" xfId="0" applyNumberFormat="1" applyFont="1" applyBorder="1"/>
    <xf numFmtId="0" fontId="3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3" fontId="29" fillId="0" borderId="0" xfId="0" applyNumberFormat="1" applyFont="1" applyBorder="1"/>
    <xf numFmtId="167" fontId="29" fillId="0" borderId="0" xfId="0" applyNumberFormat="1" applyFont="1" applyBorder="1"/>
    <xf numFmtId="164" fontId="29" fillId="0" borderId="0" xfId="0" applyNumberFormat="1" applyFont="1" applyBorder="1"/>
    <xf numFmtId="4" fontId="29" fillId="0" borderId="0" xfId="0" applyNumberFormat="1" applyFont="1" applyBorder="1"/>
    <xf numFmtId="167" fontId="29" fillId="0" borderId="0" xfId="0" applyNumberFormat="1" applyFont="1"/>
    <xf numFmtId="0" fontId="8" fillId="0" borderId="0" xfId="0" applyFont="1"/>
    <xf numFmtId="165" fontId="8" fillId="0" borderId="0" xfId="0" applyNumberFormat="1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png"/><Relationship Id="rId1" Type="http://schemas.openxmlformats.org/officeDocument/2006/relationships/image" Target="../media/image4.emf"/><Relationship Id="rId4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933450</xdr:colOff>
      <xdr:row>42</xdr:row>
      <xdr:rowOff>117475</xdr:rowOff>
    </xdr:from>
    <xdr:to>
      <xdr:col>17</xdr:col>
      <xdr:colOff>377825</xdr:colOff>
      <xdr:row>48</xdr:row>
      <xdr:rowOff>130175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15240000" y="9366250"/>
          <a:ext cx="1644650" cy="1222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812800</xdr:colOff>
      <xdr:row>38</xdr:row>
      <xdr:rowOff>50800</xdr:rowOff>
    </xdr:from>
    <xdr:to>
      <xdr:col>17</xdr:col>
      <xdr:colOff>819150</xdr:colOff>
      <xdr:row>42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385550" y="6921500"/>
          <a:ext cx="63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18</xdr:row>
          <xdr:rowOff>114300</xdr:rowOff>
        </xdr:from>
        <xdr:to>
          <xdr:col>7</xdr:col>
          <xdr:colOff>388620</xdr:colOff>
          <xdr:row>33</xdr:row>
          <xdr:rowOff>182880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123825</xdr:colOff>
      <xdr:row>49</xdr:row>
      <xdr:rowOff>152400</xdr:rowOff>
    </xdr:from>
    <xdr:to>
      <xdr:col>23</xdr:col>
      <xdr:colOff>28575</xdr:colOff>
      <xdr:row>59</xdr:row>
      <xdr:rowOff>133350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10791825"/>
          <a:ext cx="4733925" cy="199072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327660</xdr:colOff>
          <xdr:row>33</xdr:row>
          <xdr:rowOff>0</xdr:rowOff>
        </xdr:from>
        <xdr:to>
          <xdr:col>8</xdr:col>
          <xdr:colOff>381000</xdr:colOff>
          <xdr:row>54</xdr:row>
          <xdr:rowOff>137160</xdr:rowOff>
        </xdr:to>
        <xdr:sp macro="" textlink="">
          <xdr:nvSpPr>
            <xdr:cNvPr id="12295" name="Object 3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59</xdr:row>
          <xdr:rowOff>198120</xdr:rowOff>
        </xdr:from>
        <xdr:to>
          <xdr:col>23</xdr:col>
          <xdr:colOff>83820</xdr:colOff>
          <xdr:row>81</xdr:row>
          <xdr:rowOff>137160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0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657225</xdr:colOff>
      <xdr:row>0</xdr:row>
      <xdr:rowOff>123826</xdr:rowOff>
    </xdr:from>
    <xdr:to>
      <xdr:col>27</xdr:col>
      <xdr:colOff>495300</xdr:colOff>
      <xdr:row>11</xdr:row>
      <xdr:rowOff>70557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123826"/>
          <a:ext cx="6543675" cy="2585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933450</xdr:colOff>
      <xdr:row>42</xdr:row>
      <xdr:rowOff>117475</xdr:rowOff>
    </xdr:from>
    <xdr:to>
      <xdr:col>17</xdr:col>
      <xdr:colOff>377825</xdr:colOff>
      <xdr:row>48</xdr:row>
      <xdr:rowOff>130175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0429875" y="9356725"/>
          <a:ext cx="1644650" cy="1212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812800</xdr:colOff>
      <xdr:row>38</xdr:row>
      <xdr:rowOff>50800</xdr:rowOff>
    </xdr:from>
    <xdr:to>
      <xdr:col>17</xdr:col>
      <xdr:colOff>819150</xdr:colOff>
      <xdr:row>42</xdr:row>
      <xdr:rowOff>12700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2509500" y="8489950"/>
          <a:ext cx="63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17</xdr:row>
          <xdr:rowOff>0</xdr:rowOff>
        </xdr:from>
        <xdr:to>
          <xdr:col>7</xdr:col>
          <xdr:colOff>441960</xdr:colOff>
          <xdr:row>32</xdr:row>
          <xdr:rowOff>68580</xdr:rowOff>
        </xdr:to>
        <xdr:sp macro="" textlink="">
          <xdr:nvSpPr>
            <xdr:cNvPr id="30721" name="Object 6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1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85725</xdr:colOff>
      <xdr:row>74</xdr:row>
      <xdr:rowOff>171450</xdr:rowOff>
    </xdr:from>
    <xdr:to>
      <xdr:col>22</xdr:col>
      <xdr:colOff>714375</xdr:colOff>
      <xdr:row>82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16011525"/>
          <a:ext cx="4733925" cy="199072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327660</xdr:colOff>
          <xdr:row>33</xdr:row>
          <xdr:rowOff>30480</xdr:rowOff>
        </xdr:from>
        <xdr:to>
          <xdr:col>8</xdr:col>
          <xdr:colOff>381000</xdr:colOff>
          <xdr:row>54</xdr:row>
          <xdr:rowOff>160020</xdr:rowOff>
        </xdr:to>
        <xdr:sp macro="" textlink="">
          <xdr:nvSpPr>
            <xdr:cNvPr id="30722" name="Object 3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1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49</xdr:row>
          <xdr:rowOff>190500</xdr:rowOff>
        </xdr:from>
        <xdr:to>
          <xdr:col>22</xdr:col>
          <xdr:colOff>228600</xdr:colOff>
          <xdr:row>68</xdr:row>
          <xdr:rowOff>0</xdr:rowOff>
        </xdr:to>
        <xdr:sp macro="" textlink="">
          <xdr:nvSpPr>
            <xdr:cNvPr id="30723" name="Object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1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551037</xdr:colOff>
      <xdr:row>66</xdr:row>
      <xdr:rowOff>66675</xdr:rowOff>
    </xdr:from>
    <xdr:to>
      <xdr:col>12</xdr:col>
      <xdr:colOff>333351</xdr:colOff>
      <xdr:row>73</xdr:row>
      <xdr:rowOff>27270</xdr:rowOff>
    </xdr:to>
    <xdr:pic>
      <xdr:nvPicPr>
        <xdr:cNvPr id="16" nam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912" y="14220825"/>
          <a:ext cx="4487664" cy="1694145"/>
        </a:xfrm>
        <a:prstGeom prst="rect">
          <a:avLst/>
        </a:prstGeom>
        <a:ln w="12700">
          <a:solidFill>
            <a:schemeClr val="accent1"/>
          </a:solidFill>
        </a:ln>
      </xdr:spPr>
    </xdr:pic>
    <xdr:clientData/>
  </xdr:twoCellAnchor>
  <xdr:twoCellAnchor editAs="oneCell">
    <xdr:from>
      <xdr:col>31</xdr:col>
      <xdr:colOff>581025</xdr:colOff>
      <xdr:row>5</xdr:row>
      <xdr:rowOff>66675</xdr:rowOff>
    </xdr:from>
    <xdr:to>
      <xdr:col>40</xdr:col>
      <xdr:colOff>590550</xdr:colOff>
      <xdr:row>16</xdr:row>
      <xdr:rowOff>35560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1238250"/>
          <a:ext cx="5943600" cy="2693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628650</xdr:colOff>
      <xdr:row>19</xdr:row>
      <xdr:rowOff>133350</xdr:rowOff>
    </xdr:from>
    <xdr:to>
      <xdr:col>41</xdr:col>
      <xdr:colOff>28575</xdr:colOff>
      <xdr:row>31</xdr:row>
      <xdr:rowOff>174625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4657725"/>
          <a:ext cx="5943600" cy="3013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2"/>
  <sheetViews>
    <sheetView tabSelected="1" zoomScaleNormal="100" workbookViewId="0">
      <selection activeCell="J27" sqref="J27"/>
    </sheetView>
  </sheetViews>
  <sheetFormatPr defaultRowHeight="15.6"/>
  <cols>
    <col min="1" max="3" width="10.6640625" style="5" customWidth="1"/>
    <col min="4" max="9" width="10.6640625" customWidth="1"/>
    <col min="10" max="10" width="4.6640625" style="1" customWidth="1"/>
    <col min="11" max="11" width="9.109375" style="5"/>
    <col min="12" max="12" width="13.88671875" style="5" bestFit="1" customWidth="1"/>
    <col min="13" max="13" width="9.109375" style="1"/>
    <col min="14" max="14" width="9.109375" style="6"/>
    <col min="15" max="15" width="14.6640625" style="5" customWidth="1"/>
    <col min="16" max="17" width="9.109375" style="5"/>
    <col min="18" max="18" width="14.6640625" style="5" customWidth="1"/>
    <col min="19" max="19" width="9.5546875" style="4" bestFit="1" customWidth="1"/>
    <col min="20" max="20" width="12.109375" style="13" bestFit="1" customWidth="1"/>
    <col min="21" max="21" width="14.6640625" customWidth="1"/>
    <col min="22" max="22" width="9.109375" style="72"/>
    <col min="23" max="23" width="12.109375" style="71" bestFit="1" customWidth="1"/>
    <col min="24" max="24" width="14.6640625" style="72" customWidth="1"/>
    <col min="26" max="26" width="13.88671875" style="13" bestFit="1" customWidth="1"/>
    <col min="27" max="27" width="14.6640625" customWidth="1"/>
    <col min="28" max="28" width="10.5546875" bestFit="1" customWidth="1"/>
    <col min="30" max="30" width="14.6640625" style="5" customWidth="1"/>
    <col min="31" max="31" width="13.88671875" style="5" bestFit="1" customWidth="1"/>
    <col min="32" max="32" width="14.5546875" style="5" bestFit="1" customWidth="1"/>
    <col min="33" max="33" width="9.5546875" style="5" bestFit="1" customWidth="1"/>
    <col min="39" max="39" width="10" bestFit="1" customWidth="1"/>
  </cols>
  <sheetData>
    <row r="1" spans="1:39">
      <c r="A1" s="18" t="s">
        <v>11</v>
      </c>
      <c r="B1" s="8"/>
      <c r="C1" s="19"/>
      <c r="D1" s="98" t="s">
        <v>146</v>
      </c>
      <c r="E1" s="99"/>
      <c r="F1" s="100"/>
      <c r="G1" s="98" t="s">
        <v>53</v>
      </c>
      <c r="H1" s="101"/>
      <c r="I1" s="102"/>
      <c r="K1" s="17" t="s">
        <v>104</v>
      </c>
      <c r="L1" s="8"/>
      <c r="M1" s="19"/>
      <c r="N1" s="21" t="s">
        <v>12</v>
      </c>
      <c r="P1" s="22"/>
    </row>
    <row r="2" spans="1:39" ht="18.600000000000001">
      <c r="A2" s="1" t="s">
        <v>31</v>
      </c>
      <c r="B2" s="1">
        <v>1.4</v>
      </c>
      <c r="C2" s="62"/>
      <c r="D2" s="61" t="s">
        <v>13</v>
      </c>
      <c r="E2" s="67">
        <v>110.93</v>
      </c>
      <c r="F2" s="66" t="s">
        <v>7</v>
      </c>
      <c r="G2" s="61" t="s">
        <v>22</v>
      </c>
      <c r="H2" s="67">
        <v>0.60150000000000003</v>
      </c>
      <c r="I2" s="66" t="s">
        <v>147</v>
      </c>
      <c r="J2" s="20"/>
      <c r="K2" s="81" t="s">
        <v>94</v>
      </c>
      <c r="L2" s="1">
        <v>1.3620000000000001</v>
      </c>
      <c r="M2" s="22"/>
      <c r="N2" s="6" t="s">
        <v>14</v>
      </c>
      <c r="O2" s="5">
        <v>5</v>
      </c>
      <c r="P2" s="22"/>
    </row>
    <row r="3" spans="1:39" ht="18.600000000000001">
      <c r="A3" s="41" t="s">
        <v>148</v>
      </c>
      <c r="B3" s="41">
        <v>1</v>
      </c>
      <c r="C3" s="64"/>
      <c r="D3" s="59" t="s">
        <v>31</v>
      </c>
      <c r="E3" s="41">
        <v>1.4</v>
      </c>
      <c r="F3" s="63"/>
      <c r="G3" s="59" t="s">
        <v>31</v>
      </c>
      <c r="H3" s="41">
        <v>1.4</v>
      </c>
      <c r="I3" s="63"/>
      <c r="J3" s="45"/>
      <c r="K3" s="6" t="s">
        <v>95</v>
      </c>
      <c r="L3" s="1">
        <v>287</v>
      </c>
      <c r="M3" s="22" t="s">
        <v>38</v>
      </c>
      <c r="N3" s="6" t="s">
        <v>17</v>
      </c>
      <c r="O3" s="15">
        <v>2.2089999999999999E-2</v>
      </c>
      <c r="P3" s="22"/>
      <c r="R3" s="42" t="s">
        <v>70</v>
      </c>
      <c r="S3" s="43">
        <f>AE19</f>
        <v>0.51264856218625865</v>
      </c>
    </row>
    <row r="4" spans="1:39" ht="18" customHeight="1">
      <c r="A4" s="117" t="s">
        <v>47</v>
      </c>
      <c r="B4" s="103">
        <f>SQRT($L$2)*B3/(1+($L$2-1)/2*B3^2)^(($L$2+1)/(2*($L$2-1)))</f>
        <v>0.67823196231575256</v>
      </c>
      <c r="C4" s="104"/>
      <c r="D4" s="58" t="s">
        <v>37</v>
      </c>
      <c r="E4" s="105">
        <v>287</v>
      </c>
      <c r="F4" s="63" t="s">
        <v>38</v>
      </c>
      <c r="G4" s="58" t="s">
        <v>37</v>
      </c>
      <c r="H4" s="105">
        <v>287</v>
      </c>
      <c r="I4" s="63" t="s">
        <v>38</v>
      </c>
      <c r="J4" s="47"/>
      <c r="K4" s="59" t="s">
        <v>14</v>
      </c>
      <c r="L4" s="41">
        <v>5</v>
      </c>
      <c r="M4" s="22"/>
      <c r="N4" s="6" t="s">
        <v>19</v>
      </c>
      <c r="O4" s="14">
        <f>L12</f>
        <v>1221.5222500000002</v>
      </c>
      <c r="P4" s="22" t="s">
        <v>2</v>
      </c>
      <c r="R4" s="44" t="s">
        <v>71</v>
      </c>
      <c r="S4" s="43">
        <f>AD19</f>
        <v>0.47409904858759755</v>
      </c>
    </row>
    <row r="5" spans="1:39" ht="18.600000000000001">
      <c r="A5" s="46"/>
      <c r="B5" s="46"/>
      <c r="C5" s="47"/>
      <c r="D5" s="59" t="s">
        <v>15</v>
      </c>
      <c r="E5" s="106">
        <f>288.15*(1+0.4/2*0.2^2)</f>
        <v>290.45519999999999</v>
      </c>
      <c r="F5" s="65" t="s">
        <v>16</v>
      </c>
      <c r="G5" s="59" t="s">
        <v>15</v>
      </c>
      <c r="H5" s="106">
        <f>288.15*(1+0.4/2*0.2^2)</f>
        <v>290.45519999999999</v>
      </c>
      <c r="I5" s="65" t="s">
        <v>16</v>
      </c>
      <c r="J5" s="41"/>
      <c r="K5" s="59" t="s">
        <v>145</v>
      </c>
      <c r="L5" s="106">
        <v>24490</v>
      </c>
      <c r="M5" s="22" t="s">
        <v>24</v>
      </c>
      <c r="N5" s="6" t="s">
        <v>73</v>
      </c>
      <c r="O5" s="14">
        <f>L8</f>
        <v>221.09</v>
      </c>
      <c r="P5" s="22" t="s">
        <v>2</v>
      </c>
    </row>
    <row r="6" spans="1:39" ht="18.600000000000001">
      <c r="D6" s="59" t="s">
        <v>18</v>
      </c>
      <c r="E6" s="41">
        <f>1*(1+0.4/2*0.2^2)^3.5</f>
        <v>1.0282811211191059</v>
      </c>
      <c r="F6" s="65" t="s">
        <v>3</v>
      </c>
      <c r="G6" s="59" t="s">
        <v>18</v>
      </c>
      <c r="H6" s="41">
        <f>1*(1+0.4/2*0.2^2)^3.5</f>
        <v>1.0282811211191059</v>
      </c>
      <c r="I6" s="65" t="s">
        <v>3</v>
      </c>
      <c r="J6" s="41"/>
      <c r="K6" s="6" t="s">
        <v>97</v>
      </c>
      <c r="L6" s="27">
        <f>2*L5/(1.4*L4^2)</f>
        <v>1399.4285714285713</v>
      </c>
      <c r="M6" s="22" t="s">
        <v>24</v>
      </c>
      <c r="N6" s="6" t="s">
        <v>21</v>
      </c>
      <c r="O6" s="16">
        <f>L13</f>
        <v>868809.74346299912</v>
      </c>
      <c r="P6" s="22" t="s">
        <v>24</v>
      </c>
    </row>
    <row r="7" spans="1:39" ht="18.600000000000001">
      <c r="D7" s="59" t="s">
        <v>18</v>
      </c>
      <c r="E7" s="41">
        <f>E6*101325</f>
        <v>104190.5845973934</v>
      </c>
      <c r="F7" s="65" t="s">
        <v>20</v>
      </c>
      <c r="G7" s="59" t="s">
        <v>18</v>
      </c>
      <c r="H7" s="41">
        <f>H6*101325</f>
        <v>104190.5845973934</v>
      </c>
      <c r="I7" s="65" t="s">
        <v>20</v>
      </c>
      <c r="J7" s="41"/>
      <c r="K7" s="6" t="s">
        <v>0</v>
      </c>
      <c r="L7" s="1">
        <v>28.956</v>
      </c>
      <c r="M7" s="22" t="s">
        <v>96</v>
      </c>
      <c r="N7" s="6" t="s">
        <v>21</v>
      </c>
      <c r="O7" s="16">
        <f>O6/101325</f>
        <v>8.5744855017320418</v>
      </c>
      <c r="P7" s="22" t="s">
        <v>3</v>
      </c>
    </row>
    <row r="8" spans="1:39" ht="18" customHeight="1">
      <c r="D8" s="59" t="s">
        <v>44</v>
      </c>
      <c r="E8" s="50">
        <v>0.5</v>
      </c>
      <c r="F8" s="64"/>
      <c r="G8" s="59" t="s">
        <v>44</v>
      </c>
      <c r="H8" s="50">
        <v>0.5</v>
      </c>
      <c r="I8" s="64"/>
      <c r="J8" s="41"/>
      <c r="K8" s="6" t="s">
        <v>99</v>
      </c>
      <c r="L8" s="27">
        <v>221.09</v>
      </c>
      <c r="M8" s="22" t="s">
        <v>16</v>
      </c>
      <c r="N8" s="6" t="s">
        <v>93</v>
      </c>
      <c r="O8" s="16">
        <f>L6</f>
        <v>1399.4285714285713</v>
      </c>
      <c r="P8" s="22" t="s">
        <v>24</v>
      </c>
    </row>
    <row r="9" spans="1:39" ht="18.600000000000001">
      <c r="D9" s="59" t="s">
        <v>47</v>
      </c>
      <c r="E9" s="48">
        <f>SQRT($L$2)*E8/(1+($L$2-1)/2*E8^2)^(($L$2+1)/(2*($L$2-1)))</f>
        <v>0.50507289274472966</v>
      </c>
      <c r="F9" s="64"/>
      <c r="G9" s="59" t="s">
        <v>47</v>
      </c>
      <c r="H9" s="48">
        <f>SQRT($L$2)*H8/(1+($L$2-1)/2*H8^2)^(($L$2+1)/(2*($L$2-1)))</f>
        <v>0.50507289274472966</v>
      </c>
      <c r="I9" s="64"/>
      <c r="J9" s="41"/>
      <c r="K9" s="6" t="s">
        <v>98</v>
      </c>
      <c r="L9" s="27">
        <v>298.08</v>
      </c>
      <c r="M9" s="22" t="s">
        <v>4</v>
      </c>
      <c r="N9" s="6" t="s">
        <v>93</v>
      </c>
      <c r="O9" s="16">
        <f>O8/101325</f>
        <v>1.3811286172500088E-2</v>
      </c>
      <c r="P9" s="22" t="s">
        <v>3</v>
      </c>
    </row>
    <row r="10" spans="1:39" s="10" customFormat="1" ht="18.600000000000001">
      <c r="A10" s="5"/>
      <c r="B10" s="5"/>
      <c r="C10" s="5"/>
      <c r="D10" s="107" t="s">
        <v>51</v>
      </c>
      <c r="E10" s="108">
        <f>E2*SQRT($E$4*$E$5)/(E7*E9)</f>
        <v>0.60862109912871543</v>
      </c>
      <c r="F10" s="109" t="s">
        <v>149</v>
      </c>
      <c r="G10" s="110" t="s">
        <v>13</v>
      </c>
      <c r="H10" s="111">
        <f>H2*E7/SQRT(H4*E5)*H9</f>
        <v>109.63207666563112</v>
      </c>
      <c r="I10" s="112" t="s">
        <v>7</v>
      </c>
      <c r="J10" s="47"/>
      <c r="K10" s="118" t="s">
        <v>5</v>
      </c>
      <c r="L10" s="56">
        <f>1+(L2-1)/2*L4^2</f>
        <v>5.5250000000000012</v>
      </c>
      <c r="M10" s="60"/>
      <c r="N10" s="6" t="s">
        <v>74</v>
      </c>
      <c r="O10" s="16">
        <f>L14</f>
        <v>1490.3999999999999</v>
      </c>
      <c r="P10" s="22" t="s">
        <v>4</v>
      </c>
      <c r="Q10" s="5"/>
      <c r="R10" s="5"/>
      <c r="S10" s="4"/>
      <c r="T10" s="13"/>
      <c r="U10"/>
      <c r="V10" s="72"/>
      <c r="W10" s="71"/>
      <c r="X10" s="72"/>
      <c r="Y10"/>
      <c r="Z10" s="13"/>
      <c r="AA10"/>
      <c r="AB10"/>
      <c r="AC10"/>
      <c r="AD10" s="5"/>
      <c r="AE10" s="5"/>
      <c r="AF10" s="5"/>
      <c r="AG10" s="5"/>
      <c r="AH10"/>
      <c r="AI10"/>
      <c r="AJ10"/>
      <c r="AK10"/>
      <c r="AL10"/>
      <c r="AM10"/>
    </row>
    <row r="11" spans="1:39" ht="18.600000000000001">
      <c r="D11" s="59"/>
      <c r="E11" s="41"/>
      <c r="F11" s="65"/>
      <c r="J11" s="47"/>
      <c r="K11" s="118" t="s">
        <v>6</v>
      </c>
      <c r="L11" s="57">
        <f>L10^(L2/(L2-1))</f>
        <v>620.8317889180272</v>
      </c>
      <c r="M11" s="60"/>
      <c r="N11" s="6" t="s">
        <v>25</v>
      </c>
      <c r="O11" s="70">
        <v>1</v>
      </c>
      <c r="P11" s="22" t="s">
        <v>26</v>
      </c>
      <c r="AJ11" s="10"/>
      <c r="AK11" s="10"/>
      <c r="AL11" s="10"/>
      <c r="AM11" s="10"/>
    </row>
    <row r="12" spans="1:39" ht="18.600000000000001">
      <c r="D12" s="61" t="s">
        <v>67</v>
      </c>
      <c r="E12" s="67"/>
      <c r="F12" s="66"/>
      <c r="J12" s="41"/>
      <c r="K12" s="6" t="s">
        <v>101</v>
      </c>
      <c r="L12" s="27">
        <f>L8*L10</f>
        <v>1221.5222500000002</v>
      </c>
      <c r="M12" s="22" t="s">
        <v>2</v>
      </c>
      <c r="N12" s="6" t="s">
        <v>13</v>
      </c>
      <c r="O12" s="4">
        <f>L20</f>
        <v>32.41781924182537</v>
      </c>
      <c r="P12" s="35" t="s">
        <v>7</v>
      </c>
      <c r="AI12" s="10"/>
    </row>
    <row r="13" spans="1:39" ht="19.2">
      <c r="D13" s="59" t="s">
        <v>60</v>
      </c>
      <c r="E13" s="41">
        <f>E10/1</f>
        <v>0.60862109912871543</v>
      </c>
      <c r="F13" s="65" t="s">
        <v>1</v>
      </c>
      <c r="J13" s="47"/>
      <c r="K13" s="6" t="s">
        <v>102</v>
      </c>
      <c r="L13" s="27">
        <f>L6*L11</f>
        <v>868809.74346299912</v>
      </c>
      <c r="M13" s="22" t="s">
        <v>20</v>
      </c>
      <c r="N13" s="17" t="s">
        <v>27</v>
      </c>
      <c r="O13" s="18">
        <v>-14</v>
      </c>
      <c r="P13" s="19"/>
      <c r="Q13" s="17" t="s">
        <v>28</v>
      </c>
      <c r="R13" s="18">
        <v>14</v>
      </c>
      <c r="S13" s="19"/>
      <c r="T13" s="17" t="s">
        <v>29</v>
      </c>
      <c r="U13" s="18">
        <v>-14</v>
      </c>
      <c r="V13" s="74"/>
      <c r="W13" s="17" t="s">
        <v>68</v>
      </c>
      <c r="X13" s="18">
        <v>14</v>
      </c>
      <c r="Y13" s="74"/>
      <c r="Z13" s="17" t="s">
        <v>30</v>
      </c>
      <c r="AA13" s="18">
        <v>0</v>
      </c>
      <c r="AB13" s="19"/>
      <c r="AC13" s="12"/>
      <c r="AD13" s="12"/>
      <c r="AE13" s="10"/>
      <c r="AF13"/>
      <c r="AG13"/>
    </row>
    <row r="14" spans="1:39" ht="18.600000000000001">
      <c r="D14" s="59"/>
      <c r="E14" s="41"/>
      <c r="F14" s="65"/>
      <c r="J14" s="47"/>
      <c r="K14" s="29" t="s">
        <v>103</v>
      </c>
      <c r="L14" s="119">
        <f>L4*L9</f>
        <v>1490.3999999999999</v>
      </c>
      <c r="M14" s="35" t="s">
        <v>4</v>
      </c>
      <c r="N14" s="21" t="s">
        <v>32</v>
      </c>
      <c r="O14" s="11">
        <f>O13</f>
        <v>-14</v>
      </c>
      <c r="P14" s="22"/>
      <c r="Q14" s="21" t="s">
        <v>33</v>
      </c>
      <c r="R14" s="11">
        <f>O14+R13</f>
        <v>0</v>
      </c>
      <c r="S14" s="22"/>
      <c r="T14" s="21" t="s">
        <v>34</v>
      </c>
      <c r="U14" s="11">
        <f>R14+U13</f>
        <v>-14</v>
      </c>
      <c r="V14" s="75"/>
      <c r="W14" s="21" t="s">
        <v>35</v>
      </c>
      <c r="X14" s="11">
        <f>U14+X13</f>
        <v>0</v>
      </c>
      <c r="Y14" s="75"/>
      <c r="Z14" s="21" t="s">
        <v>36</v>
      </c>
      <c r="AA14" s="11">
        <f>X14+AA13</f>
        <v>0</v>
      </c>
      <c r="AB14" s="22"/>
      <c r="AC14" s="5"/>
      <c r="AE14"/>
      <c r="AF14"/>
      <c r="AG14"/>
    </row>
    <row r="15" spans="1:39">
      <c r="D15" s="61" t="s">
        <v>66</v>
      </c>
      <c r="E15" s="67"/>
      <c r="F15" s="66"/>
      <c r="J15" s="67"/>
      <c r="N15" s="21" t="s">
        <v>39</v>
      </c>
      <c r="O15" s="11">
        <v>23.046872799999999</v>
      </c>
      <c r="P15" s="22" t="s">
        <v>40</v>
      </c>
      <c r="Q15" s="21" t="s">
        <v>41</v>
      </c>
      <c r="R15" s="11">
        <v>27.062177699999999</v>
      </c>
      <c r="S15" s="22"/>
      <c r="T15" s="21" t="s">
        <v>42</v>
      </c>
      <c r="U15" s="11">
        <v>32.190384700000003</v>
      </c>
      <c r="V15" s="75"/>
      <c r="W15" s="21" t="s">
        <v>86</v>
      </c>
      <c r="X15" s="11">
        <v>39.4645577</v>
      </c>
      <c r="Y15" s="75"/>
      <c r="Z15" s="21" t="s">
        <v>43</v>
      </c>
      <c r="AA15" s="11">
        <v>90</v>
      </c>
      <c r="AB15" s="22"/>
      <c r="AC15" s="5"/>
      <c r="AE15"/>
      <c r="AF15"/>
      <c r="AG15"/>
    </row>
    <row r="16" spans="1:39">
      <c r="D16" s="113" t="s">
        <v>52</v>
      </c>
      <c r="E16" s="114">
        <f>SQRT(4*E10/3.14159)</f>
        <v>0.88029603300180581</v>
      </c>
      <c r="F16" s="115" t="s">
        <v>1</v>
      </c>
      <c r="J16" s="41"/>
      <c r="K16" s="17" t="s">
        <v>53</v>
      </c>
      <c r="L16" s="8"/>
      <c r="M16" s="19"/>
      <c r="N16" s="6" t="s">
        <v>45</v>
      </c>
      <c r="O16" s="1">
        <v>3.6873605500000002</v>
      </c>
      <c r="P16" s="22"/>
      <c r="Q16" s="6" t="s">
        <v>44</v>
      </c>
      <c r="R16" s="23">
        <v>2.8444969800000002</v>
      </c>
      <c r="S16" s="22"/>
      <c r="T16" s="6" t="s">
        <v>8</v>
      </c>
      <c r="U16" s="23">
        <v>2.2203275599999999</v>
      </c>
      <c r="V16" s="75"/>
      <c r="W16" s="6" t="s">
        <v>80</v>
      </c>
      <c r="X16" s="23">
        <v>1.7050428900000001</v>
      </c>
      <c r="Y16" s="75"/>
      <c r="Z16" s="24" t="s">
        <v>46</v>
      </c>
      <c r="AA16" s="23">
        <v>0.63553848999999996</v>
      </c>
      <c r="AB16" s="22"/>
      <c r="AC16" s="5"/>
      <c r="AE16"/>
      <c r="AF16"/>
      <c r="AG16"/>
    </row>
    <row r="17" spans="1:36" ht="18">
      <c r="J17" s="45"/>
      <c r="K17" s="6" t="s">
        <v>157</v>
      </c>
      <c r="L17" s="1">
        <v>1</v>
      </c>
      <c r="M17" s="22" t="s">
        <v>23</v>
      </c>
      <c r="N17" s="6" t="s">
        <v>48</v>
      </c>
      <c r="O17" s="103">
        <f>SQRT($L$2)*O16/(1+($L$2-1)/2*O16^2)^(($L$2+1)/(2*($L$2-1)))</f>
        <v>7.4937710670351473E-2</v>
      </c>
      <c r="P17" s="22"/>
      <c r="Q17" s="6" t="s">
        <v>49</v>
      </c>
      <c r="R17" s="103">
        <f>SQRT($L$2)*R16/(1+($L$2-1)/2*R16^2)^(($L$2+1)/(2*($L$2-1)))</f>
        <v>0.17502718344751558</v>
      </c>
      <c r="S17" s="22"/>
      <c r="T17" s="6" t="s">
        <v>50</v>
      </c>
      <c r="U17" s="103">
        <f>SQRT($L$2)*U16/(1+($L$2-1)/2*U16^2)^(($L$2+1)/(2*($L$2-1)))</f>
        <v>0.3234760655084441</v>
      </c>
      <c r="V17" s="75"/>
      <c r="W17" s="6" t="s">
        <v>81</v>
      </c>
      <c r="X17" s="103">
        <f>SQRT($L$2)*X16/(1+($L$2-1)/2*X16^2)^(($L$2+1)/(2*($L$2-1)))</f>
        <v>0.50096345810227993</v>
      </c>
      <c r="Y17" s="75"/>
      <c r="Z17" s="6" t="s">
        <v>166</v>
      </c>
      <c r="AA17" s="103">
        <f>SQRT($L$2)*AA16/(1+($L$2-1)/2*AA16^2)^(($L$2+1)/(2*($L$2-1)))</f>
        <v>0.58919480624731457</v>
      </c>
      <c r="AB17" s="22"/>
      <c r="AC17" s="5"/>
      <c r="AE17"/>
      <c r="AF17"/>
      <c r="AG17"/>
      <c r="AJ17" s="97"/>
    </row>
    <row r="18" spans="1:36">
      <c r="J18" s="45"/>
      <c r="K18" s="6" t="s">
        <v>14</v>
      </c>
      <c r="L18" s="1">
        <f>L4</f>
        <v>5</v>
      </c>
      <c r="M18" s="22"/>
      <c r="N18" s="120" t="s">
        <v>153</v>
      </c>
      <c r="O18" s="121">
        <v>1</v>
      </c>
      <c r="P18" s="122"/>
      <c r="Q18" s="120" t="s">
        <v>153</v>
      </c>
      <c r="R18" s="121">
        <v>1</v>
      </c>
      <c r="S18" s="122"/>
      <c r="T18" s="120" t="s">
        <v>153</v>
      </c>
      <c r="U18" s="121">
        <f>R18</f>
        <v>1</v>
      </c>
      <c r="V18" s="127"/>
      <c r="W18" s="120" t="s">
        <v>153</v>
      </c>
      <c r="X18" s="121">
        <f>U18</f>
        <v>1</v>
      </c>
      <c r="Y18" s="127"/>
      <c r="Z18" s="120" t="s">
        <v>153</v>
      </c>
      <c r="AA18" s="121">
        <f>X18</f>
        <v>1</v>
      </c>
      <c r="AB18" s="122"/>
      <c r="AC18" s="13"/>
      <c r="AD18"/>
      <c r="AE18" s="12" t="s">
        <v>175</v>
      </c>
      <c r="AF18"/>
      <c r="AG18"/>
    </row>
    <row r="19" spans="1:36" ht="23.4">
      <c r="J19" s="47"/>
      <c r="K19" s="59" t="s">
        <v>47</v>
      </c>
      <c r="L19" s="48">
        <f>SQRT($L$2)*L18/(1+($L$2-1)/2*L18^2)^(($L$2+1)/(2*($L$2-1)))</f>
        <v>2.2092799590428272E-2</v>
      </c>
      <c r="M19" s="22"/>
      <c r="N19" s="6" t="s">
        <v>151</v>
      </c>
      <c r="O19" s="25">
        <v>0.73399767000000005</v>
      </c>
      <c r="P19" s="22"/>
      <c r="Q19" s="6" t="s">
        <v>151</v>
      </c>
      <c r="R19" s="1">
        <v>0.86186852000000003</v>
      </c>
      <c r="S19" s="22"/>
      <c r="T19" s="6" t="s">
        <v>151</v>
      </c>
      <c r="U19" s="1">
        <v>0.92336878</v>
      </c>
      <c r="V19" s="75"/>
      <c r="W19" s="6" t="s">
        <v>151</v>
      </c>
      <c r="X19" s="1">
        <v>0.95457720999999995</v>
      </c>
      <c r="Y19" s="75"/>
      <c r="Z19" s="6" t="s">
        <v>151</v>
      </c>
      <c r="AA19" s="1">
        <v>0.85025097000000005</v>
      </c>
      <c r="AB19" s="22"/>
      <c r="AC19" s="145" t="s">
        <v>176</v>
      </c>
      <c r="AD19" s="55">
        <f>O19*R19*U19*X19*AA19</f>
        <v>0.47409904858759755</v>
      </c>
      <c r="AE19" s="12">
        <f>1-0.075*(O2-1)^1.35</f>
        <v>0.51264856218625865</v>
      </c>
      <c r="AF19" s="12" t="s">
        <v>161</v>
      </c>
      <c r="AG19"/>
    </row>
    <row r="20" spans="1:36">
      <c r="J20" s="47"/>
      <c r="K20" s="29" t="s">
        <v>13</v>
      </c>
      <c r="L20" s="114">
        <f>L13*L17/SQRT(L3*L12)*L19</f>
        <v>32.41781924182537</v>
      </c>
      <c r="M20" s="35" t="s">
        <v>7</v>
      </c>
      <c r="N20" s="6" t="s">
        <v>152</v>
      </c>
      <c r="O20" s="25">
        <v>1.5963641799999999</v>
      </c>
      <c r="P20" s="22"/>
      <c r="Q20" s="6" t="s">
        <v>152</v>
      </c>
      <c r="R20" s="1">
        <v>1.4043371200000001</v>
      </c>
      <c r="S20" s="22"/>
      <c r="T20" s="6" t="s">
        <v>152</v>
      </c>
      <c r="U20" s="1">
        <v>1.30238108</v>
      </c>
      <c r="V20" s="75"/>
      <c r="W20" s="6" t="s">
        <v>152</v>
      </c>
      <c r="X20" s="1">
        <v>1.23986631</v>
      </c>
      <c r="Y20" s="75"/>
      <c r="Z20" s="6" t="s">
        <v>152</v>
      </c>
      <c r="AA20" s="1">
        <v>1.42222275</v>
      </c>
      <c r="AB20" s="22"/>
      <c r="AC20" s="5"/>
      <c r="AE20" s="12">
        <f>800/(O2^4+935)</f>
        <v>0.51282051282051277</v>
      </c>
      <c r="AF20" s="12" t="s">
        <v>160</v>
      </c>
      <c r="AG20"/>
    </row>
    <row r="21" spans="1:36" ht="17.399999999999999">
      <c r="J21" s="51"/>
      <c r="N21" s="123" t="s">
        <v>150</v>
      </c>
      <c r="O21" s="124">
        <v>4.2654486499999997</v>
      </c>
      <c r="P21" s="125"/>
      <c r="Q21" s="123" t="s">
        <v>150</v>
      </c>
      <c r="R21" s="126">
        <v>3.0923731600000002</v>
      </c>
      <c r="S21" s="125"/>
      <c r="T21" s="123" t="s">
        <v>150</v>
      </c>
      <c r="U21" s="126">
        <v>2.4949927299999999</v>
      </c>
      <c r="V21" s="128"/>
      <c r="W21" s="123" t="s">
        <v>150</v>
      </c>
      <c r="X21" s="126">
        <v>2.1435199300000001</v>
      </c>
      <c r="Y21" s="128"/>
      <c r="Z21" s="123" t="s">
        <v>150</v>
      </c>
      <c r="AA21" s="126">
        <v>3.1994642199999999</v>
      </c>
      <c r="AB21" s="125"/>
      <c r="AC21" s="5"/>
      <c r="AE21"/>
      <c r="AF21"/>
      <c r="AG21"/>
    </row>
    <row r="22" spans="1:36">
      <c r="A22" s="116"/>
      <c r="B22" s="49"/>
      <c r="C22" s="47"/>
      <c r="J22" s="41"/>
      <c r="N22" s="6" t="s">
        <v>54</v>
      </c>
      <c r="O22" s="68">
        <f>O4*O18</f>
        <v>1221.5222500000002</v>
      </c>
      <c r="P22" s="22" t="s">
        <v>2</v>
      </c>
      <c r="Q22" s="6" t="s">
        <v>55</v>
      </c>
      <c r="R22" s="68">
        <f>O22*R18</f>
        <v>1221.5222500000002</v>
      </c>
      <c r="S22" s="22" t="s">
        <v>2</v>
      </c>
      <c r="T22" s="6" t="s">
        <v>9</v>
      </c>
      <c r="U22" s="68">
        <f>R22*U18</f>
        <v>1221.5222500000002</v>
      </c>
      <c r="V22" s="22" t="s">
        <v>2</v>
      </c>
      <c r="W22" s="6" t="s">
        <v>82</v>
      </c>
      <c r="X22" s="68">
        <f>U22*X18</f>
        <v>1221.5222500000002</v>
      </c>
      <c r="Y22" s="22" t="s">
        <v>2</v>
      </c>
      <c r="Z22" s="6" t="s">
        <v>56</v>
      </c>
      <c r="AA22" s="154">
        <f>X22*AA18</f>
        <v>1221.5222500000002</v>
      </c>
      <c r="AB22" s="22" t="s">
        <v>2</v>
      </c>
      <c r="AC22" s="5"/>
      <c r="AE22"/>
      <c r="AF22"/>
      <c r="AG22"/>
      <c r="AH22" s="5"/>
      <c r="AI22" s="5"/>
      <c r="AJ22" s="5"/>
    </row>
    <row r="23" spans="1:36">
      <c r="J23" s="67"/>
      <c r="N23" s="6" t="s">
        <v>155</v>
      </c>
      <c r="O23" s="27">
        <f>O6*O19</f>
        <v>637704.32737513911</v>
      </c>
      <c r="P23" s="28" t="s">
        <v>24</v>
      </c>
      <c r="Q23" s="6" t="s">
        <v>154</v>
      </c>
      <c r="R23" s="27">
        <f>O23*R19</f>
        <v>549617.28483240667</v>
      </c>
      <c r="S23" s="28" t="s">
        <v>24</v>
      </c>
      <c r="T23" s="6" t="s">
        <v>10</v>
      </c>
      <c r="U23" s="27">
        <f>R23*U19</f>
        <v>507499.44176261185</v>
      </c>
      <c r="V23" s="28" t="s">
        <v>24</v>
      </c>
      <c r="W23" s="6" t="s">
        <v>164</v>
      </c>
      <c r="X23" s="27">
        <f>U23*X19</f>
        <v>484447.4011943115</v>
      </c>
      <c r="Y23" s="28" t="s">
        <v>24</v>
      </c>
      <c r="Z23" s="6" t="s">
        <v>167</v>
      </c>
      <c r="AA23" s="155">
        <f>X23*AA19</f>
        <v>411901.87277944252</v>
      </c>
      <c r="AB23" s="28" t="s">
        <v>24</v>
      </c>
      <c r="AC23" s="5"/>
      <c r="AE23"/>
      <c r="AF23"/>
      <c r="AG23"/>
    </row>
    <row r="24" spans="1:36">
      <c r="J24" s="41"/>
      <c r="N24" s="6" t="s">
        <v>155</v>
      </c>
      <c r="O24" s="2">
        <f>O23/101325</f>
        <v>6.2936523797200996</v>
      </c>
      <c r="P24" s="26" t="s">
        <v>3</v>
      </c>
      <c r="Q24" s="6" t="s">
        <v>154</v>
      </c>
      <c r="R24" s="2">
        <f>R23/101325</f>
        <v>5.4243008619038404</v>
      </c>
      <c r="S24" s="26" t="s">
        <v>3</v>
      </c>
      <c r="T24" s="6" t="s">
        <v>10</v>
      </c>
      <c r="U24" s="2">
        <f>U23/101325</f>
        <v>5.0086300692090981</v>
      </c>
      <c r="V24" s="26" t="s">
        <v>3</v>
      </c>
      <c r="W24" s="6" t="s">
        <v>164</v>
      </c>
      <c r="X24" s="2">
        <f>X23/101325</f>
        <v>4.7811241173877272</v>
      </c>
      <c r="Y24" s="26" t="s">
        <v>3</v>
      </c>
      <c r="Z24" s="6" t="s">
        <v>167</v>
      </c>
      <c r="AA24" s="156">
        <f>AA23/101325</f>
        <v>4.0651554184993097</v>
      </c>
      <c r="AB24" s="26" t="s">
        <v>3</v>
      </c>
      <c r="AC24" s="5"/>
      <c r="AE24"/>
      <c r="AF24"/>
      <c r="AG24"/>
    </row>
    <row r="25" spans="1:36">
      <c r="J25" s="41"/>
      <c r="N25" s="6" t="s">
        <v>72</v>
      </c>
      <c r="O25" s="54">
        <f>O5*O20</f>
        <v>352.94015655620001</v>
      </c>
      <c r="P25" s="53" t="s">
        <v>2</v>
      </c>
      <c r="Q25" s="6" t="s">
        <v>76</v>
      </c>
      <c r="R25" s="54">
        <f>O25*R20</f>
        <v>495.64696299048308</v>
      </c>
      <c r="S25" s="53" t="s">
        <v>2</v>
      </c>
      <c r="T25" s="6" t="s">
        <v>78</v>
      </c>
      <c r="U25" s="54">
        <f>R25*U20</f>
        <v>645.5212269582654</v>
      </c>
      <c r="V25" s="53" t="s">
        <v>2</v>
      </c>
      <c r="W25" s="6" t="s">
        <v>83</v>
      </c>
      <c r="X25" s="54">
        <f>U25*X20</f>
        <v>800.36002169541712</v>
      </c>
      <c r="Y25" s="53" t="s">
        <v>2</v>
      </c>
      <c r="Z25" s="6" t="s">
        <v>87</v>
      </c>
      <c r="AA25" s="157">
        <f>X25*AA20</f>
        <v>1138.2902310457157</v>
      </c>
      <c r="AB25" s="53" t="s">
        <v>2</v>
      </c>
      <c r="AC25" s="5"/>
      <c r="AE25"/>
      <c r="AF25"/>
      <c r="AG25"/>
    </row>
    <row r="26" spans="1:36">
      <c r="J26" s="67"/>
      <c r="N26" s="6" t="s">
        <v>89</v>
      </c>
      <c r="O26" s="27">
        <f>O8*O21</f>
        <v>5969.1907107714278</v>
      </c>
      <c r="P26" s="28" t="s">
        <v>24</v>
      </c>
      <c r="Q26" s="6" t="s">
        <v>100</v>
      </c>
      <c r="R26" s="27">
        <f>O26*R21</f>
        <v>18458.965140910888</v>
      </c>
      <c r="S26" s="28" t="s">
        <v>24</v>
      </c>
      <c r="T26" s="6" t="s">
        <v>90</v>
      </c>
      <c r="U26" s="27">
        <f>R26*U21</f>
        <v>46054.983829896089</v>
      </c>
      <c r="V26" s="28" t="s">
        <v>24</v>
      </c>
      <c r="W26" s="6" t="s">
        <v>91</v>
      </c>
      <c r="X26" s="27">
        <f>U26*X21</f>
        <v>98719.775715209995</v>
      </c>
      <c r="Y26" s="28" t="s">
        <v>24</v>
      </c>
      <c r="Z26" s="6" t="s">
        <v>92</v>
      </c>
      <c r="AA26" s="155">
        <f>X26*AA21</f>
        <v>315850.39020723925</v>
      </c>
      <c r="AB26" s="28" t="s">
        <v>24</v>
      </c>
      <c r="AC26" s="5"/>
      <c r="AE26"/>
      <c r="AF26"/>
      <c r="AG26"/>
    </row>
    <row r="27" spans="1:36">
      <c r="E27" s="49"/>
      <c r="J27" s="47"/>
      <c r="N27" s="6" t="s">
        <v>89</v>
      </c>
      <c r="O27" s="2">
        <f>O26/101325</f>
        <v>5.891133195925416E-2</v>
      </c>
      <c r="P27" s="28" t="s">
        <v>3</v>
      </c>
      <c r="Q27" s="6" t="s">
        <v>100</v>
      </c>
      <c r="R27" s="2">
        <f>R26/101325</f>
        <v>0.18217582177064781</v>
      </c>
      <c r="S27" s="28" t="s">
        <v>3</v>
      </c>
      <c r="T27" s="6" t="s">
        <v>90</v>
      </c>
      <c r="U27" s="2">
        <f>U26/101325</f>
        <v>0.45452735089954194</v>
      </c>
      <c r="V27" s="28" t="s">
        <v>3</v>
      </c>
      <c r="W27" s="6" t="s">
        <v>91</v>
      </c>
      <c r="X27" s="2">
        <f>X26/101325</f>
        <v>0.97428843538327159</v>
      </c>
      <c r="Y27" s="28" t="s">
        <v>3</v>
      </c>
      <c r="Z27" s="6" t="s">
        <v>92</v>
      </c>
      <c r="AA27" s="156">
        <f>AA26/101325</f>
        <v>3.117200988968559</v>
      </c>
      <c r="AB27" s="28" t="s">
        <v>3</v>
      </c>
      <c r="AC27" s="5"/>
      <c r="AE27"/>
      <c r="AF27"/>
      <c r="AG27"/>
    </row>
    <row r="28" spans="1:36">
      <c r="N28" s="6" t="s">
        <v>75</v>
      </c>
      <c r="O28" s="16">
        <f>O16*SQRT($L$2*$L$3*O25)</f>
        <v>1369.6059818148622</v>
      </c>
      <c r="P28" s="53" t="s">
        <v>4</v>
      </c>
      <c r="Q28" s="6" t="s">
        <v>77</v>
      </c>
      <c r="R28" s="16">
        <f>R16*SQRT($L$2*$L$3*R25)</f>
        <v>1252.048648857585</v>
      </c>
      <c r="S28" s="53" t="s">
        <v>4</v>
      </c>
      <c r="T28" s="6" t="s">
        <v>79</v>
      </c>
      <c r="U28" s="16">
        <f>U16*SQRT($L$2*$L$3*U25)</f>
        <v>1115.3259727684449</v>
      </c>
      <c r="V28" s="53" t="s">
        <v>4</v>
      </c>
      <c r="W28" s="6" t="s">
        <v>84</v>
      </c>
      <c r="X28" s="16">
        <f>X16*SQRT($L$2*$L$3*X25)</f>
        <v>953.69060398463876</v>
      </c>
      <c r="Y28" s="53" t="s">
        <v>4</v>
      </c>
      <c r="Z28" s="6" t="s">
        <v>88</v>
      </c>
      <c r="AA28" s="158">
        <f>AA16*SQRT($L$2*$L$3*AA25)</f>
        <v>423.93362457302726</v>
      </c>
      <c r="AB28" s="53" t="s">
        <v>4</v>
      </c>
      <c r="AC28" s="16"/>
      <c r="AE28"/>
      <c r="AF28"/>
      <c r="AG28"/>
    </row>
    <row r="29" spans="1:36" ht="18.600000000000001">
      <c r="N29" s="29" t="s">
        <v>57</v>
      </c>
      <c r="O29" s="129">
        <f>$O$12*SQRT($L$3*$O$4)/(O23*O17)</f>
        <v>0.40165728684276181</v>
      </c>
      <c r="P29" s="30" t="s">
        <v>26</v>
      </c>
      <c r="Q29" s="29" t="s">
        <v>51</v>
      </c>
      <c r="R29" s="129">
        <f>$O$12*SQRT($L$3*$O$4)/(R23*R17)</f>
        <v>0.19953061873024872</v>
      </c>
      <c r="S29" s="30" t="s">
        <v>26</v>
      </c>
      <c r="T29" s="29" t="s">
        <v>58</v>
      </c>
      <c r="U29" s="129">
        <f>$O$12*SQRT($L$3*$O$4)/(U23*U17)</f>
        <v>0.11692239824963789</v>
      </c>
      <c r="V29" s="30" t="s">
        <v>26</v>
      </c>
      <c r="W29" s="29" t="s">
        <v>85</v>
      </c>
      <c r="X29" s="129">
        <f>$O$12*SQRT($L$3*$O$4)/(X23*X17)</f>
        <v>7.9090215171840589E-2</v>
      </c>
      <c r="Y29" s="30" t="s">
        <v>26</v>
      </c>
      <c r="Z29" s="29" t="s">
        <v>168</v>
      </c>
      <c r="AA29" s="129">
        <f>$O$12*SQRT($L$3*$O$4)/(AA23*AA17)</f>
        <v>7.909021557782539E-2</v>
      </c>
      <c r="AB29" s="30" t="s">
        <v>26</v>
      </c>
      <c r="AC29" s="16"/>
      <c r="AE29"/>
      <c r="AF29"/>
      <c r="AG29"/>
    </row>
    <row r="30" spans="1:36">
      <c r="N30" s="17" t="s">
        <v>59</v>
      </c>
      <c r="O30" s="8"/>
      <c r="P30" s="19"/>
      <c r="Q30" s="7"/>
      <c r="R30" s="8"/>
      <c r="S30" s="31"/>
      <c r="T30" s="32"/>
      <c r="U30" s="33"/>
      <c r="V30" s="76"/>
      <c r="W30" s="32"/>
      <c r="X30" s="33"/>
      <c r="Y30" s="76"/>
      <c r="Z30"/>
      <c r="AA30" s="5"/>
      <c r="AB30" s="5"/>
      <c r="AC30" s="5"/>
      <c r="AE30"/>
      <c r="AF30"/>
      <c r="AG30"/>
    </row>
    <row r="31" spans="1:36" ht="18">
      <c r="A31" s="116"/>
      <c r="B31" s="49"/>
      <c r="C31" s="47"/>
      <c r="N31" s="6" t="s">
        <v>115</v>
      </c>
      <c r="O31" s="2">
        <v>1</v>
      </c>
      <c r="P31" s="34"/>
      <c r="Q31" s="6" t="s">
        <v>108</v>
      </c>
      <c r="R31" s="2">
        <f>O38</f>
        <v>0.4016572983789517</v>
      </c>
      <c r="S31" s="34"/>
      <c r="T31" s="6" t="s">
        <v>112</v>
      </c>
      <c r="U31" s="2">
        <f>R38</f>
        <v>0.19953063079602726</v>
      </c>
      <c r="V31" s="77"/>
      <c r="W31" s="6" t="s">
        <v>113</v>
      </c>
      <c r="X31" s="2">
        <f>U38</f>
        <v>0.11692240794208367</v>
      </c>
      <c r="Y31" s="77"/>
      <c r="Z31" s="159" t="s">
        <v>182</v>
      </c>
      <c r="AA31" s="160">
        <f>AA29/O11</f>
        <v>7.909021557782539E-2</v>
      </c>
      <c r="AB31" s="5"/>
      <c r="AC31" s="5"/>
      <c r="AE31"/>
      <c r="AF31"/>
      <c r="AG31"/>
    </row>
    <row r="32" spans="1:36" ht="18">
      <c r="N32" s="81" t="s">
        <v>123</v>
      </c>
      <c r="O32" s="2">
        <f>ABS(O15)</f>
        <v>23.046872799999999</v>
      </c>
      <c r="P32" s="34" t="s">
        <v>40</v>
      </c>
      <c r="Q32" s="81" t="s">
        <v>125</v>
      </c>
      <c r="R32" s="2">
        <f>ABS(R15)</f>
        <v>27.062177699999999</v>
      </c>
      <c r="S32" s="34" t="s">
        <v>40</v>
      </c>
      <c r="T32" s="81" t="s">
        <v>127</v>
      </c>
      <c r="U32" s="2">
        <f>ABS(U15)</f>
        <v>32.190384700000003</v>
      </c>
      <c r="V32" s="77" t="s">
        <v>40</v>
      </c>
      <c r="W32" s="81" t="s">
        <v>165</v>
      </c>
      <c r="X32" s="2">
        <f>ABS(X15)</f>
        <v>39.4645577</v>
      </c>
      <c r="Y32" s="77" t="s">
        <v>40</v>
      </c>
      <c r="Z32" s="159" t="s">
        <v>183</v>
      </c>
      <c r="AA32" s="159">
        <f>1/AA31</f>
        <v>12.643789028694608</v>
      </c>
      <c r="AB32" s="5"/>
      <c r="AC32" s="5"/>
      <c r="AE32"/>
      <c r="AF32"/>
      <c r="AG32"/>
    </row>
    <row r="33" spans="14:41">
      <c r="N33" s="82" t="s">
        <v>124</v>
      </c>
      <c r="O33" s="2">
        <f>RADIANS(O32)</f>
        <v>0.40224381264832459</v>
      </c>
      <c r="P33" s="34" t="s">
        <v>61</v>
      </c>
      <c r="Q33" s="81" t="s">
        <v>126</v>
      </c>
      <c r="R33" s="2">
        <f>RADIANS(R32)</f>
        <v>0.47232410362478627</v>
      </c>
      <c r="S33" s="34" t="s">
        <v>61</v>
      </c>
      <c r="T33" s="81" t="s">
        <v>128</v>
      </c>
      <c r="U33" s="2">
        <f>RADIANS(U32)</f>
        <v>0.56182820049860716</v>
      </c>
      <c r="V33" s="77" t="s">
        <v>61</v>
      </c>
      <c r="W33" s="81" t="s">
        <v>165</v>
      </c>
      <c r="X33" s="2">
        <f>RADIANS(X32)</f>
        <v>0.68878646970828061</v>
      </c>
      <c r="Y33" s="77" t="s">
        <v>61</v>
      </c>
      <c r="Z33"/>
      <c r="AA33" s="40"/>
      <c r="AB33" s="5"/>
      <c r="AC33" s="5"/>
      <c r="AE33"/>
      <c r="AF33"/>
      <c r="AG33"/>
      <c r="AL33">
        <f>AL23*AL25*AL27*AL29*AL31</f>
        <v>0</v>
      </c>
      <c r="AM33">
        <f>AM23*AM25*AM27*AM29*AM31</f>
        <v>0</v>
      </c>
      <c r="AN33">
        <f>AN23*AN25*AN27*AN29*AN31</f>
        <v>0</v>
      </c>
      <c r="AO33">
        <f>AO23*AO25*AO27*AO29*AO31</f>
        <v>0</v>
      </c>
    </row>
    <row r="34" spans="14:41">
      <c r="N34" s="6" t="s">
        <v>129</v>
      </c>
      <c r="O34" s="2">
        <f>SIN(O33)</f>
        <v>0.39148404858176383</v>
      </c>
      <c r="P34" s="34"/>
      <c r="Q34" s="6" t="s">
        <v>130</v>
      </c>
      <c r="R34" s="2">
        <f>SIN(R33)</f>
        <v>0.45495715748152049</v>
      </c>
      <c r="S34" s="34"/>
      <c r="T34" s="6" t="s">
        <v>131</v>
      </c>
      <c r="U34" s="2">
        <f>SIN(U33)</f>
        <v>0.53273426157833825</v>
      </c>
      <c r="V34" s="77"/>
      <c r="W34" s="6" t="s">
        <v>132</v>
      </c>
      <c r="X34" s="2">
        <f>SIN(X33)</f>
        <v>0.63560078335009906</v>
      </c>
      <c r="Y34" s="77"/>
      <c r="Z34"/>
      <c r="AA34" s="40"/>
      <c r="AB34" s="5"/>
      <c r="AC34" s="5"/>
      <c r="AE34"/>
      <c r="AF34"/>
      <c r="AG34"/>
    </row>
    <row r="35" spans="14:41">
      <c r="N35" s="6" t="s">
        <v>62</v>
      </c>
      <c r="O35" s="2">
        <f>O31/O34</f>
        <v>2.5543824930357126</v>
      </c>
      <c r="P35" s="34"/>
      <c r="Q35" s="6" t="s">
        <v>133</v>
      </c>
      <c r="R35" s="2">
        <f>R31/R34</f>
        <v>0.88284642141335312</v>
      </c>
      <c r="S35" s="34"/>
      <c r="T35" s="6" t="s">
        <v>134</v>
      </c>
      <c r="U35" s="2">
        <f>U31/U34</f>
        <v>0.3745406390887559</v>
      </c>
      <c r="V35" s="77"/>
      <c r="W35" s="6" t="s">
        <v>135</v>
      </c>
      <c r="X35" s="2">
        <f>X31/X34</f>
        <v>0.18395573291432044</v>
      </c>
      <c r="Y35" s="77"/>
      <c r="Z35"/>
      <c r="AA35" s="40"/>
      <c r="AB35" s="5"/>
      <c r="AC35" s="5"/>
      <c r="AE35"/>
      <c r="AF35"/>
      <c r="AG35"/>
    </row>
    <row r="36" spans="14:41">
      <c r="N36" s="81" t="s">
        <v>114</v>
      </c>
      <c r="O36" s="2">
        <f>O32-ABS(O13)</f>
        <v>9.0468727999999992</v>
      </c>
      <c r="P36" s="34" t="s">
        <v>40</v>
      </c>
      <c r="Q36" s="81" t="s">
        <v>117</v>
      </c>
      <c r="R36" s="2">
        <f>R32-ABS(R13)</f>
        <v>13.062177699999999</v>
      </c>
      <c r="S36" s="34" t="s">
        <v>40</v>
      </c>
      <c r="T36" s="81" t="s">
        <v>119</v>
      </c>
      <c r="U36" s="2">
        <f>U32-ABS(U13)</f>
        <v>18.190384700000003</v>
      </c>
      <c r="V36" s="77" t="s">
        <v>40</v>
      </c>
      <c r="W36" s="81" t="s">
        <v>121</v>
      </c>
      <c r="X36" s="2">
        <f>X32-ABS(X13)</f>
        <v>25.4645577</v>
      </c>
      <c r="Y36" s="77" t="s">
        <v>40</v>
      </c>
      <c r="Z36"/>
      <c r="AA36" s="40"/>
      <c r="AB36" s="5"/>
      <c r="AC36" s="5"/>
      <c r="AE36"/>
      <c r="AF36"/>
      <c r="AG36"/>
    </row>
    <row r="37" spans="14:41">
      <c r="N37" s="82" t="s">
        <v>116</v>
      </c>
      <c r="O37" s="2">
        <f>RADIANS(O36)</f>
        <v>0.15789771736911845</v>
      </c>
      <c r="P37" s="34" t="s">
        <v>61</v>
      </c>
      <c r="Q37" s="82" t="s">
        <v>118</v>
      </c>
      <c r="R37" s="2">
        <f>RADIANS(R36)</f>
        <v>0.2279780083455801</v>
      </c>
      <c r="S37" s="34" t="s">
        <v>61</v>
      </c>
      <c r="T37" s="82" t="s">
        <v>120</v>
      </c>
      <c r="U37" s="2">
        <f>RADIANS(U36)</f>
        <v>0.31748210521940101</v>
      </c>
      <c r="V37" s="77" t="s">
        <v>61</v>
      </c>
      <c r="W37" s="82" t="s">
        <v>122</v>
      </c>
      <c r="X37" s="2">
        <f>RADIANS(X36)</f>
        <v>0.44444037442907447</v>
      </c>
      <c r="Y37" s="77" t="s">
        <v>61</v>
      </c>
      <c r="Z37"/>
      <c r="AA37" s="40"/>
      <c r="AB37" s="5"/>
      <c r="AC37" s="5"/>
      <c r="AE37"/>
      <c r="AF37"/>
      <c r="AG37"/>
    </row>
    <row r="38" spans="14:41">
      <c r="N38" s="6" t="s">
        <v>57</v>
      </c>
      <c r="O38" s="83">
        <f>O35*SIN(O37)</f>
        <v>0.4016572983789517</v>
      </c>
      <c r="P38" s="34"/>
      <c r="Q38" s="6" t="s">
        <v>51</v>
      </c>
      <c r="R38" s="83">
        <f>R35*SIN(R37)</f>
        <v>0.19953063079602726</v>
      </c>
      <c r="S38" s="34"/>
      <c r="T38" s="6" t="s">
        <v>58</v>
      </c>
      <c r="U38" s="83">
        <f>U35*SIN(U37)</f>
        <v>0.11692240794208367</v>
      </c>
      <c r="V38" s="77"/>
      <c r="W38" s="6" t="s">
        <v>85</v>
      </c>
      <c r="X38" s="83">
        <f>X35*SIN(X37)</f>
        <v>7.9092262007430206E-2</v>
      </c>
      <c r="Y38" s="77"/>
      <c r="Z38"/>
      <c r="AA38" s="40"/>
      <c r="AB38" s="5"/>
      <c r="AC38" s="5"/>
      <c r="AE38"/>
      <c r="AF38"/>
      <c r="AG38"/>
    </row>
    <row r="39" spans="14:41">
      <c r="N39" s="29" t="s">
        <v>63</v>
      </c>
      <c r="O39" s="9"/>
      <c r="P39" s="35"/>
      <c r="Q39" s="29"/>
      <c r="R39" s="9"/>
      <c r="S39" s="36"/>
      <c r="T39" s="37"/>
      <c r="U39" s="3"/>
      <c r="V39" s="78"/>
      <c r="W39" s="37"/>
      <c r="X39" s="3"/>
      <c r="Y39" s="78"/>
      <c r="Z39"/>
      <c r="AA39" s="40"/>
      <c r="AB39" s="5"/>
      <c r="AC39" s="5"/>
      <c r="AE39"/>
      <c r="AF39"/>
      <c r="AG39"/>
    </row>
    <row r="40" spans="14:41">
      <c r="N40" s="130">
        <f>O29/O11</f>
        <v>0.40165728684276181</v>
      </c>
      <c r="O40" s="38" t="s">
        <v>64</v>
      </c>
      <c r="P40" s="19"/>
      <c r="Q40" s="1"/>
      <c r="R40" s="1"/>
      <c r="S40" s="2"/>
      <c r="X40" s="40"/>
      <c r="Y40" s="5"/>
      <c r="Z40" s="5"/>
      <c r="AD40"/>
      <c r="AE40"/>
    </row>
    <row r="41" spans="14:41">
      <c r="N41" s="131">
        <f>(O6*O3)/(O23*O17)</f>
        <v>0.4016063889974667</v>
      </c>
      <c r="O41" s="39" t="s">
        <v>65</v>
      </c>
      <c r="P41" s="35"/>
      <c r="Q41" s="1"/>
      <c r="R41" s="1"/>
      <c r="S41" s="2"/>
      <c r="AD41"/>
      <c r="AE41"/>
    </row>
    <row r="42" spans="14:41">
      <c r="N42" s="32" t="s">
        <v>136</v>
      </c>
      <c r="O42" s="8"/>
      <c r="P42" s="31"/>
      <c r="Q42" s="32" t="s">
        <v>136</v>
      </c>
      <c r="R42" s="8"/>
      <c r="S42" s="31"/>
      <c r="AD42"/>
      <c r="AE42"/>
    </row>
    <row r="43" spans="14:41">
      <c r="N43" s="6" t="s">
        <v>57</v>
      </c>
      <c r="O43" s="83">
        <f>R49</f>
        <v>0.4016572983789517</v>
      </c>
      <c r="P43" s="5" t="s">
        <v>26</v>
      </c>
      <c r="Q43" s="6" t="s">
        <v>51</v>
      </c>
      <c r="R43" s="83">
        <f>R38</f>
        <v>0.19953063079602726</v>
      </c>
      <c r="S43" s="22" t="s">
        <v>26</v>
      </c>
      <c r="AD43"/>
      <c r="AE43"/>
    </row>
    <row r="44" spans="14:41">
      <c r="N44" s="81" t="s">
        <v>114</v>
      </c>
      <c r="O44" s="2">
        <f>O36</f>
        <v>9.0468727999999992</v>
      </c>
      <c r="P44" s="34" t="s">
        <v>40</v>
      </c>
      <c r="Q44" s="81" t="s">
        <v>117</v>
      </c>
      <c r="R44" s="2">
        <f>R36</f>
        <v>13.062177699999999</v>
      </c>
      <c r="S44" s="34" t="s">
        <v>40</v>
      </c>
    </row>
    <row r="45" spans="14:41">
      <c r="N45" s="82" t="s">
        <v>116</v>
      </c>
      <c r="O45" s="2">
        <f>RADIANS(O44)</f>
        <v>0.15789771736911845</v>
      </c>
      <c r="P45" s="34" t="s">
        <v>61</v>
      </c>
      <c r="Q45" s="82" t="s">
        <v>118</v>
      </c>
      <c r="R45" s="2">
        <f>RADIANS(R44)</f>
        <v>0.2279780083455801</v>
      </c>
      <c r="S45" s="34" t="s">
        <v>61</v>
      </c>
    </row>
    <row r="46" spans="14:41">
      <c r="N46" s="6" t="s">
        <v>62</v>
      </c>
      <c r="O46" s="1">
        <f>O43/SIN(O37)</f>
        <v>2.5543824930357126</v>
      </c>
      <c r="P46" s="26"/>
      <c r="Q46" s="6" t="s">
        <v>133</v>
      </c>
      <c r="R46" s="1">
        <f>R43/SIN(R37)</f>
        <v>0.88284642141335312</v>
      </c>
      <c r="S46" s="26"/>
    </row>
    <row r="47" spans="14:41">
      <c r="N47" s="81" t="s">
        <v>123</v>
      </c>
      <c r="O47" s="2">
        <f>O32</f>
        <v>23.046872799999999</v>
      </c>
      <c r="P47" s="34" t="s">
        <v>40</v>
      </c>
      <c r="Q47" s="81" t="s">
        <v>125</v>
      </c>
      <c r="R47" s="2">
        <f>R32</f>
        <v>27.062177699999999</v>
      </c>
      <c r="S47" s="34" t="s">
        <v>40</v>
      </c>
    </row>
    <row r="48" spans="14:41">
      <c r="N48" s="81" t="s">
        <v>137</v>
      </c>
      <c r="O48" s="2">
        <f>RADIANS(O47)</f>
        <v>0.40224381264832459</v>
      </c>
      <c r="P48" s="34" t="s">
        <v>61</v>
      </c>
      <c r="Q48" s="81" t="s">
        <v>126</v>
      </c>
      <c r="R48" s="2">
        <f>RADIANS(R47)</f>
        <v>0.47232410362478627</v>
      </c>
      <c r="S48" s="34" t="s">
        <v>61</v>
      </c>
    </row>
    <row r="49" spans="14:26">
      <c r="N49" s="29" t="s">
        <v>115</v>
      </c>
      <c r="O49" s="129">
        <f>O46*SIN(O48)</f>
        <v>0.99999999999999989</v>
      </c>
      <c r="P49" s="36"/>
      <c r="Q49" s="29" t="s">
        <v>108</v>
      </c>
      <c r="R49" s="129">
        <f>R46*SIN(R48)</f>
        <v>0.4016572983789517</v>
      </c>
      <c r="S49" s="35" t="s">
        <v>26</v>
      </c>
    </row>
    <row r="50" spans="14:26" ht="16.2" thickBot="1">
      <c r="N50" s="5"/>
      <c r="O50" s="40"/>
      <c r="P50" s="4"/>
    </row>
    <row r="51" spans="14:26">
      <c r="N51" s="86" t="s">
        <v>107</v>
      </c>
      <c r="O51" s="87"/>
      <c r="P51" s="87"/>
      <c r="Q51" s="88"/>
    </row>
    <row r="52" spans="14:26">
      <c r="N52" s="89"/>
      <c r="O52" s="52"/>
      <c r="P52" s="52"/>
      <c r="Q52" s="90"/>
    </row>
    <row r="53" spans="14:26">
      <c r="N53" s="91" t="s">
        <v>108</v>
      </c>
      <c r="O53" s="92">
        <v>0.5</v>
      </c>
      <c r="P53" s="52"/>
      <c r="Q53" s="84"/>
      <c r="V53" s="73"/>
      <c r="W53" s="73"/>
      <c r="X53" s="73"/>
      <c r="Y53" s="5"/>
    </row>
    <row r="54" spans="14:26">
      <c r="N54" s="91" t="s">
        <v>105</v>
      </c>
      <c r="O54" s="92">
        <v>0</v>
      </c>
      <c r="P54" s="52"/>
      <c r="Q54" s="84"/>
      <c r="V54" s="73"/>
      <c r="W54" s="73"/>
      <c r="X54" s="73"/>
      <c r="Y54" s="5"/>
    </row>
    <row r="55" spans="14:26">
      <c r="N55" s="91" t="s">
        <v>112</v>
      </c>
      <c r="O55" s="92">
        <v>0.5</v>
      </c>
      <c r="P55" s="93"/>
      <c r="Q55" s="90"/>
      <c r="Z55" s="5"/>
    </row>
    <row r="56" spans="14:26">
      <c r="N56" s="91" t="s">
        <v>106</v>
      </c>
      <c r="O56" s="92">
        <f>O31*TAN((90-ABS(O15))*PI()/180)</f>
        <v>2.3505041843671206</v>
      </c>
      <c r="P56" s="93"/>
      <c r="Q56" s="90"/>
      <c r="Z56" s="5"/>
    </row>
    <row r="57" spans="14:26">
      <c r="N57" s="91" t="s">
        <v>109</v>
      </c>
      <c r="O57" s="92">
        <f>O31/COS((90-ABS(O15))*PI()/180)</f>
        <v>2.5543824930357126</v>
      </c>
      <c r="P57" s="93"/>
      <c r="Q57" s="90"/>
      <c r="Z57" s="5"/>
    </row>
    <row r="58" spans="14:26">
      <c r="N58" s="91" t="s">
        <v>109</v>
      </c>
      <c r="O58" s="92">
        <f>O56/SIN((90-ABS(O15))*PI()/180)</f>
        <v>2.5543824930357126</v>
      </c>
      <c r="P58" s="93"/>
      <c r="Q58" s="90"/>
      <c r="Z58" s="5"/>
    </row>
    <row r="59" spans="14:26">
      <c r="N59" s="91" t="s">
        <v>57</v>
      </c>
      <c r="O59" s="92">
        <f>O57*SIN((ABS(O15)-ABS(O13))*PI()/180)</f>
        <v>0.4016572983789517</v>
      </c>
      <c r="P59" s="93"/>
      <c r="Q59" s="90"/>
      <c r="Z59" s="5"/>
    </row>
    <row r="60" spans="14:26" ht="18">
      <c r="N60" s="91"/>
      <c r="O60" s="93" t="s">
        <v>110</v>
      </c>
      <c r="P60" s="92">
        <f>TAN(ABS(45)*PI()/180)</f>
        <v>0.99999999999999989</v>
      </c>
      <c r="Q60" s="90"/>
      <c r="Z60" s="5"/>
    </row>
    <row r="61" spans="14:26">
      <c r="N61" s="91" t="s">
        <v>45</v>
      </c>
      <c r="O61" s="92">
        <f>TAN(ABS(O15)*PI()/180)</f>
        <v>0.42544063807708238</v>
      </c>
      <c r="Q61" s="90"/>
      <c r="Z61" s="5"/>
    </row>
    <row r="62" spans="14:26">
      <c r="N62" s="91" t="s">
        <v>44</v>
      </c>
      <c r="O62" s="92">
        <f>TAN((ABS(O13)+ABS(R15))*PI()/180)</f>
        <v>0.87119378901466704</v>
      </c>
      <c r="P62" s="93"/>
      <c r="Q62" s="90"/>
      <c r="Z62" s="5"/>
    </row>
    <row r="63" spans="14:26">
      <c r="N63" s="91" t="s">
        <v>111</v>
      </c>
      <c r="O63" s="92">
        <f>1/(O61-O62)*((O55-O62*O56)-(O53-O61*O54))</f>
        <v>4.5938983093365753</v>
      </c>
      <c r="P63" s="93"/>
      <c r="Q63" s="90"/>
      <c r="Z63" s="5"/>
    </row>
    <row r="64" spans="14:26">
      <c r="N64" s="91" t="s">
        <v>113</v>
      </c>
      <c r="O64" s="92">
        <f>O53+O61*(O63-O54)</f>
        <v>2.4544310279853825</v>
      </c>
      <c r="P64" s="93"/>
      <c r="Q64" s="90"/>
      <c r="Z64" s="5"/>
    </row>
    <row r="65" spans="14:34" ht="16.2" thickBot="1">
      <c r="N65" s="94" t="s">
        <v>113</v>
      </c>
      <c r="O65" s="95">
        <f>O55+O62*(O63-O56)</f>
        <v>2.4544310279853825</v>
      </c>
      <c r="P65" s="96"/>
      <c r="Q65" s="85"/>
      <c r="Z65" s="5"/>
    </row>
    <row r="66" spans="14:34">
      <c r="Z66" s="5"/>
    </row>
    <row r="67" spans="14:34">
      <c r="N67" s="17" t="s">
        <v>158</v>
      </c>
      <c r="O67" s="8"/>
      <c r="P67" s="19"/>
      <c r="Z67" s="5"/>
    </row>
    <row r="68" spans="14:34">
      <c r="O68" s="1"/>
      <c r="P68" s="22"/>
      <c r="Z68" s="5"/>
    </row>
    <row r="69" spans="14:34">
      <c r="N69" s="6" t="s">
        <v>143</v>
      </c>
      <c r="O69" s="1"/>
      <c r="P69" s="22"/>
      <c r="V69" s="79"/>
      <c r="W69" s="80"/>
      <c r="X69" s="79"/>
      <c r="Y69" s="5"/>
      <c r="Z69" s="5"/>
      <c r="AH69" s="5"/>
    </row>
    <row r="70" spans="14:34">
      <c r="N70" s="6" t="s">
        <v>105</v>
      </c>
      <c r="O70" s="1">
        <f>O11*TAN((90-15.7962)*PI()/180)</f>
        <v>3.5348198882967785</v>
      </c>
      <c r="P70" s="26" t="s">
        <v>1</v>
      </c>
      <c r="V70" s="79"/>
      <c r="W70" s="80"/>
      <c r="X70" s="79"/>
      <c r="Y70" s="5"/>
      <c r="Z70" s="5"/>
      <c r="AH70" s="5"/>
    </row>
    <row r="71" spans="14:34">
      <c r="N71" s="6" t="s">
        <v>139</v>
      </c>
      <c r="O71" s="1">
        <f>(O70*TAN(ABS(O13)*PI()/180)-O49)</f>
        <v>-0.11867041684060908</v>
      </c>
      <c r="P71" s="26"/>
      <c r="V71" s="79"/>
      <c r="W71" s="80"/>
      <c r="X71" s="79"/>
      <c r="Y71" s="5"/>
      <c r="Z71" s="5"/>
      <c r="AH71" s="5"/>
    </row>
    <row r="72" spans="14:34">
      <c r="N72" s="6" t="s">
        <v>140</v>
      </c>
      <c r="O72" s="1">
        <f>(TAN(ABS(90-18.7334)*PI()/180)*TAN(ABS(O13)*PI()/180)-1)</f>
        <v>-0.26480366112052367</v>
      </c>
      <c r="P72" s="22"/>
      <c r="Z72" s="5"/>
      <c r="AA72" s="5"/>
      <c r="AD72"/>
      <c r="AH72" s="5"/>
    </row>
    <row r="73" spans="14:34">
      <c r="N73" s="29" t="s">
        <v>138</v>
      </c>
      <c r="O73" s="9">
        <f>O71/O72</f>
        <v>0.44814492495478381</v>
      </c>
      <c r="P73" s="35" t="s">
        <v>1</v>
      </c>
      <c r="Z73" s="5"/>
      <c r="AA73" s="5"/>
      <c r="AD73"/>
      <c r="AH73" s="5"/>
    </row>
    <row r="74" spans="14:34">
      <c r="Z74" s="5"/>
      <c r="AA74" s="5"/>
      <c r="AD74"/>
      <c r="AH74" s="5"/>
    </row>
    <row r="75" spans="14:34">
      <c r="Z75"/>
      <c r="AA75" s="5"/>
      <c r="AD75"/>
      <c r="AH75" s="5"/>
    </row>
    <row r="76" spans="14:34">
      <c r="Z76"/>
      <c r="AA76" s="5"/>
      <c r="AD76"/>
      <c r="AH76" s="5"/>
    </row>
    <row r="77" spans="14:34">
      <c r="Z77"/>
      <c r="AA77" s="5"/>
      <c r="AD77"/>
    </row>
    <row r="78" spans="14:34">
      <c r="Z78"/>
      <c r="AA78" s="5"/>
      <c r="AD78"/>
    </row>
    <row r="79" spans="14:34">
      <c r="Z79"/>
      <c r="AA79" s="5"/>
      <c r="AD79"/>
    </row>
    <row r="80" spans="14:34">
      <c r="Z80" s="5"/>
      <c r="AA80" s="5"/>
      <c r="AD80"/>
    </row>
    <row r="81" spans="26:30">
      <c r="Z81" s="5"/>
      <c r="AA81" s="5"/>
      <c r="AD81"/>
    </row>
    <row r="82" spans="26:30">
      <c r="Z82" s="5"/>
      <c r="AA82" s="5"/>
      <c r="AD82"/>
    </row>
    <row r="83" spans="26:30">
      <c r="Z83" s="5"/>
      <c r="AA83" s="5"/>
      <c r="AD83"/>
    </row>
    <row r="84" spans="26:30">
      <c r="AA84" s="5"/>
      <c r="AD84"/>
    </row>
    <row r="85" spans="26:30">
      <c r="AA85" s="5"/>
      <c r="AD85"/>
    </row>
    <row r="86" spans="26:30">
      <c r="AA86" s="5"/>
      <c r="AD86"/>
    </row>
    <row r="87" spans="26:30">
      <c r="AA87" s="5"/>
      <c r="AD87"/>
    </row>
    <row r="88" spans="26:30">
      <c r="AA88" s="5"/>
      <c r="AD88"/>
    </row>
    <row r="89" spans="26:30">
      <c r="AA89" s="5"/>
      <c r="AD89"/>
    </row>
    <row r="90" spans="26:30">
      <c r="AA90" s="5"/>
      <c r="AD90"/>
    </row>
    <row r="91" spans="26:30">
      <c r="AA91" s="5"/>
      <c r="AD91"/>
    </row>
    <row r="92" spans="26:30">
      <c r="AA92" s="5"/>
      <c r="AD92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2294" r:id="rId4">
          <objectPr defaultSize="0" autoPict="0" r:id="rId5">
            <anchor moveWithCells="1" sizeWithCells="1">
              <from>
                <xdr:col>0</xdr:col>
                <xdr:colOff>243840</xdr:colOff>
                <xdr:row>18</xdr:row>
                <xdr:rowOff>114300</xdr:rowOff>
              </from>
              <to>
                <xdr:col>7</xdr:col>
                <xdr:colOff>388620</xdr:colOff>
                <xdr:row>33</xdr:row>
                <xdr:rowOff>182880</xdr:rowOff>
              </to>
            </anchor>
          </objectPr>
        </oleObject>
      </mc:Choice>
      <mc:Fallback>
        <oleObject progId="Equation.DSMT4" shapeId="12294" r:id="rId4"/>
      </mc:Fallback>
    </mc:AlternateContent>
    <mc:AlternateContent xmlns:mc="http://schemas.openxmlformats.org/markup-compatibility/2006">
      <mc:Choice Requires="x14">
        <oleObject progId="Equation.DSMT4" shapeId="12295" r:id="rId6">
          <objectPr defaultSize="0" autoPict="0" r:id="rId7">
            <anchor moveWithCells="1" sizeWithCells="1">
              <from>
                <xdr:col>0</xdr:col>
                <xdr:colOff>327660</xdr:colOff>
                <xdr:row>33</xdr:row>
                <xdr:rowOff>0</xdr:rowOff>
              </from>
              <to>
                <xdr:col>8</xdr:col>
                <xdr:colOff>381000</xdr:colOff>
                <xdr:row>54</xdr:row>
                <xdr:rowOff>137160</xdr:rowOff>
              </to>
            </anchor>
          </objectPr>
        </oleObject>
      </mc:Choice>
      <mc:Fallback>
        <oleObject progId="Equation.DSMT4" shapeId="12295" r:id="rId6"/>
      </mc:Fallback>
    </mc:AlternateContent>
    <mc:AlternateContent xmlns:mc="http://schemas.openxmlformats.org/markup-compatibility/2006">
      <mc:Choice Requires="x14">
        <oleObject progId="Equation.DSMT4" shapeId="12296" r:id="rId8">
          <objectPr defaultSize="0" autoPict="0" r:id="rId9">
            <anchor moveWithCells="1">
              <from>
                <xdr:col>17</xdr:col>
                <xdr:colOff>266700</xdr:colOff>
                <xdr:row>59</xdr:row>
                <xdr:rowOff>198120</xdr:rowOff>
              </from>
              <to>
                <xdr:col>23</xdr:col>
                <xdr:colOff>83820</xdr:colOff>
                <xdr:row>81</xdr:row>
                <xdr:rowOff>137160</xdr:rowOff>
              </to>
            </anchor>
          </objectPr>
        </oleObject>
      </mc:Choice>
      <mc:Fallback>
        <oleObject progId="Equation.DSMT4" shapeId="12296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7A5A-104C-4176-B4A7-1561DFCFBC9E}">
  <dimension ref="A1:AM108"/>
  <sheetViews>
    <sheetView topLeftCell="U1" zoomScaleNormal="100" workbookViewId="0">
      <selection activeCell="I110" sqref="I110"/>
    </sheetView>
  </sheetViews>
  <sheetFormatPr defaultRowHeight="15.6"/>
  <cols>
    <col min="1" max="3" width="10.6640625" style="5" customWidth="1"/>
    <col min="4" max="9" width="10.6640625" customWidth="1"/>
    <col min="10" max="10" width="4.6640625" style="1" customWidth="1"/>
    <col min="11" max="11" width="9.109375" style="5"/>
    <col min="12" max="12" width="13.88671875" style="5" bestFit="1" customWidth="1"/>
    <col min="13" max="13" width="9.109375" style="1"/>
    <col min="14" max="14" width="9.109375" style="6"/>
    <col min="15" max="15" width="14.6640625" style="5" customWidth="1"/>
    <col min="16" max="17" width="9.109375" style="5"/>
    <col min="18" max="18" width="14.6640625" style="5" customWidth="1"/>
    <col min="19" max="19" width="10.88671875" style="4" bestFit="1" customWidth="1"/>
    <col min="20" max="20" width="12.109375" style="13" bestFit="1" customWidth="1"/>
    <col min="21" max="21" width="14.6640625" customWidth="1"/>
    <col min="22" max="22" width="9.109375" style="72"/>
    <col min="23" max="23" width="12.109375" style="71" bestFit="1" customWidth="1"/>
    <col min="24" max="24" width="14.6640625" style="72" customWidth="1"/>
    <col min="26" max="26" width="13.88671875" style="13" bestFit="1" customWidth="1"/>
    <col min="27" max="27" width="14.6640625" customWidth="1"/>
    <col min="28" max="28" width="10.5546875" bestFit="1" customWidth="1"/>
    <col min="30" max="30" width="14.6640625" style="5" customWidth="1"/>
    <col min="31" max="31" width="13.88671875" style="5" bestFit="1" customWidth="1"/>
    <col min="32" max="32" width="14.5546875" style="5" bestFit="1" customWidth="1"/>
    <col min="33" max="33" width="9.5546875" style="5" bestFit="1" customWidth="1"/>
    <col min="39" max="39" width="10" bestFit="1" customWidth="1"/>
  </cols>
  <sheetData>
    <row r="1" spans="1:39" ht="20.100000000000001" customHeight="1">
      <c r="A1" s="18" t="s">
        <v>11</v>
      </c>
      <c r="B1" s="8"/>
      <c r="C1" s="19"/>
      <c r="D1" s="98" t="s">
        <v>146</v>
      </c>
      <c r="E1" s="99"/>
      <c r="F1" s="100"/>
      <c r="G1" s="98" t="s">
        <v>53</v>
      </c>
      <c r="H1" s="101"/>
      <c r="I1" s="102"/>
      <c r="K1" s="17" t="s">
        <v>104</v>
      </c>
      <c r="L1" s="8"/>
      <c r="M1" s="19"/>
      <c r="N1" s="21" t="s">
        <v>12</v>
      </c>
      <c r="P1" s="22"/>
    </row>
    <row r="2" spans="1:39" ht="20.100000000000001" customHeight="1">
      <c r="A2" s="1" t="s">
        <v>31</v>
      </c>
      <c r="B2" s="1">
        <v>1.4</v>
      </c>
      <c r="C2" s="62"/>
      <c r="D2" s="61" t="s">
        <v>13</v>
      </c>
      <c r="E2" s="67">
        <v>110.93</v>
      </c>
      <c r="F2" s="66" t="s">
        <v>7</v>
      </c>
      <c r="G2" s="61" t="s">
        <v>22</v>
      </c>
      <c r="H2" s="67">
        <v>0.60150000000000003</v>
      </c>
      <c r="I2" s="66" t="s">
        <v>147</v>
      </c>
      <c r="J2" s="20"/>
      <c r="K2" s="81" t="s">
        <v>94</v>
      </c>
      <c r="L2" s="1">
        <v>1.3620000000000001</v>
      </c>
      <c r="M2" s="22"/>
      <c r="N2" s="6" t="s">
        <v>14</v>
      </c>
      <c r="O2" s="5">
        <v>3</v>
      </c>
      <c r="P2" s="22"/>
      <c r="AG2" s="152" t="s">
        <v>179</v>
      </c>
    </row>
    <row r="3" spans="1:39" ht="20.100000000000001" customHeight="1">
      <c r="A3" s="41" t="s">
        <v>148</v>
      </c>
      <c r="B3" s="41">
        <v>1</v>
      </c>
      <c r="C3" s="64"/>
      <c r="D3" s="59" t="s">
        <v>31</v>
      </c>
      <c r="E3" s="41">
        <v>1.4</v>
      </c>
      <c r="F3" s="63"/>
      <c r="G3" s="59" t="s">
        <v>31</v>
      </c>
      <c r="H3" s="41">
        <v>1.4</v>
      </c>
      <c r="I3" s="63"/>
      <c r="J3" s="45"/>
      <c r="K3" s="6" t="s">
        <v>95</v>
      </c>
      <c r="L3" s="1">
        <v>287</v>
      </c>
      <c r="M3" s="22" t="s">
        <v>38</v>
      </c>
      <c r="N3" s="6" t="s">
        <v>17</v>
      </c>
      <c r="O3" s="15">
        <v>2.2089999999999999E-2</v>
      </c>
      <c r="P3" s="22"/>
      <c r="R3" s="42" t="s">
        <v>70</v>
      </c>
      <c r="S3" s="43">
        <f>AE19</f>
        <v>0.80881590590211072</v>
      </c>
    </row>
    <row r="4" spans="1:39" ht="20.100000000000001" customHeight="1">
      <c r="A4" s="117" t="s">
        <v>47</v>
      </c>
      <c r="B4" s="103">
        <f>SQRT($L$2)*B3/(1+($L$2-1)/2*B3^2)^(($L$2+1)/(2*($L$2-1)))</f>
        <v>0.67823196231575256</v>
      </c>
      <c r="C4" s="104"/>
      <c r="D4" s="58" t="s">
        <v>37</v>
      </c>
      <c r="E4" s="105">
        <v>287</v>
      </c>
      <c r="F4" s="63" t="s">
        <v>38</v>
      </c>
      <c r="G4" s="58" t="s">
        <v>37</v>
      </c>
      <c r="H4" s="105">
        <v>287</v>
      </c>
      <c r="I4" s="63" t="s">
        <v>38</v>
      </c>
      <c r="J4" s="47"/>
      <c r="K4" s="59" t="s">
        <v>14</v>
      </c>
      <c r="L4" s="41">
        <v>3</v>
      </c>
      <c r="M4" s="22"/>
      <c r="N4" s="6" t="s">
        <v>19</v>
      </c>
      <c r="O4" s="14">
        <f>L12</f>
        <v>575.30407000000014</v>
      </c>
      <c r="P4" s="22" t="s">
        <v>2</v>
      </c>
      <c r="R4" s="44" t="s">
        <v>71</v>
      </c>
      <c r="S4" s="43">
        <f>AD19</f>
        <v>0.83581899365711543</v>
      </c>
      <c r="AG4" s="153" t="s">
        <v>180</v>
      </c>
    </row>
    <row r="5" spans="1:39" ht="20.100000000000001" customHeight="1">
      <c r="A5" s="46"/>
      <c r="B5" s="46"/>
      <c r="C5" s="47"/>
      <c r="D5" s="59" t="s">
        <v>15</v>
      </c>
      <c r="E5" s="106">
        <f>288.15*(1+0.4/2*0.2^2)</f>
        <v>290.45519999999999</v>
      </c>
      <c r="F5" s="65" t="s">
        <v>16</v>
      </c>
      <c r="G5" s="59" t="s">
        <v>15</v>
      </c>
      <c r="H5" s="106">
        <f>288.15*(1+0.4/2*0.2^2)</f>
        <v>290.45519999999999</v>
      </c>
      <c r="I5" s="65" t="s">
        <v>16</v>
      </c>
      <c r="J5" s="41"/>
      <c r="K5" s="59" t="s">
        <v>145</v>
      </c>
      <c r="L5" s="106">
        <v>24490</v>
      </c>
      <c r="M5" s="22" t="s">
        <v>24</v>
      </c>
      <c r="N5" s="6" t="s">
        <v>73</v>
      </c>
      <c r="O5" s="14">
        <f>L8</f>
        <v>218.83</v>
      </c>
      <c r="P5" s="22" t="s">
        <v>2</v>
      </c>
    </row>
    <row r="6" spans="1:39" ht="20.100000000000001" customHeight="1">
      <c r="D6" s="59" t="s">
        <v>18</v>
      </c>
      <c r="E6" s="41">
        <f>1*(1+0.4/2*0.2^2)^3.5</f>
        <v>1.0282811211191059</v>
      </c>
      <c r="F6" s="65" t="s">
        <v>3</v>
      </c>
      <c r="G6" s="59" t="s">
        <v>18</v>
      </c>
      <c r="H6" s="41">
        <f>1*(1+0.4/2*0.2^2)^3.5</f>
        <v>1.0282811211191059</v>
      </c>
      <c r="I6" s="65" t="s">
        <v>3</v>
      </c>
      <c r="J6" s="41"/>
      <c r="K6" s="6" t="s">
        <v>97</v>
      </c>
      <c r="L6" s="27">
        <f>2*L5/(1.4*L4^2)</f>
        <v>3887.3015873015875</v>
      </c>
      <c r="M6" s="22" t="s">
        <v>24</v>
      </c>
      <c r="N6" s="6" t="s">
        <v>21</v>
      </c>
      <c r="O6" s="16">
        <f>L13</f>
        <v>147598.28960451781</v>
      </c>
      <c r="P6" s="22" t="s">
        <v>24</v>
      </c>
    </row>
    <row r="7" spans="1:39" ht="20.100000000000001" customHeight="1">
      <c r="D7" s="59" t="s">
        <v>18</v>
      </c>
      <c r="E7" s="41">
        <f>E6*101325</f>
        <v>104190.5845973934</v>
      </c>
      <c r="F7" s="65" t="s">
        <v>20</v>
      </c>
      <c r="G7" s="59" t="s">
        <v>18</v>
      </c>
      <c r="H7" s="41">
        <f>H6*101325</f>
        <v>104190.5845973934</v>
      </c>
      <c r="I7" s="65" t="s">
        <v>20</v>
      </c>
      <c r="J7" s="41"/>
      <c r="K7" s="6" t="s">
        <v>0</v>
      </c>
      <c r="L7" s="1">
        <v>22.260999999999999</v>
      </c>
      <c r="M7" s="22" t="s">
        <v>96</v>
      </c>
      <c r="N7" s="6" t="s">
        <v>21</v>
      </c>
      <c r="O7" s="16">
        <f>O6/101325</f>
        <v>1.4566818613818684</v>
      </c>
      <c r="P7" s="22" t="s">
        <v>3</v>
      </c>
    </row>
    <row r="8" spans="1:39" ht="20.100000000000001" customHeight="1">
      <c r="D8" s="59" t="s">
        <v>44</v>
      </c>
      <c r="E8" s="50">
        <v>0.5</v>
      </c>
      <c r="F8" s="64"/>
      <c r="G8" s="59" t="s">
        <v>44</v>
      </c>
      <c r="H8" s="50">
        <v>0.5</v>
      </c>
      <c r="I8" s="64"/>
      <c r="J8" s="41"/>
      <c r="K8" s="6" t="s">
        <v>99</v>
      </c>
      <c r="L8" s="27">
        <v>218.83</v>
      </c>
      <c r="M8" s="22" t="s">
        <v>16</v>
      </c>
      <c r="N8" s="6" t="s">
        <v>93</v>
      </c>
      <c r="O8" s="16">
        <f>L6</f>
        <v>3887.3015873015875</v>
      </c>
      <c r="P8" s="22" t="s">
        <v>24</v>
      </c>
    </row>
    <row r="9" spans="1:39" ht="20.100000000000001" customHeight="1">
      <c r="D9" s="59" t="s">
        <v>47</v>
      </c>
      <c r="E9" s="48">
        <f>SQRT($L$2)*E8/(1+($L$2-1)/2*E8^2)^(($L$2+1)/(2*($L$2-1)))</f>
        <v>0.50507289274472966</v>
      </c>
      <c r="F9" s="64"/>
      <c r="G9" s="59" t="s">
        <v>47</v>
      </c>
      <c r="H9" s="48">
        <f>SQRT($L$2)*H8/(1+($L$2-1)/2*H8^2)^(($L$2+1)/(2*($L$2-1)))</f>
        <v>0.50507289274472966</v>
      </c>
      <c r="I9" s="64"/>
      <c r="J9" s="41"/>
      <c r="K9" s="6" t="s">
        <v>98</v>
      </c>
      <c r="L9" s="27">
        <v>296.55</v>
      </c>
      <c r="M9" s="22" t="s">
        <v>4</v>
      </c>
      <c r="N9" s="6" t="s">
        <v>93</v>
      </c>
      <c r="O9" s="16">
        <f>O8/101325</f>
        <v>3.8364683812500244E-2</v>
      </c>
      <c r="P9" s="22" t="s">
        <v>3</v>
      </c>
    </row>
    <row r="10" spans="1:39" s="10" customFormat="1" ht="20.100000000000001" customHeight="1">
      <c r="A10" s="5"/>
      <c r="B10" s="5"/>
      <c r="C10" s="5"/>
      <c r="D10" s="107" t="s">
        <v>51</v>
      </c>
      <c r="E10" s="108">
        <f>E2*SQRT($E$4*$E$5)/(E7*E9)</f>
        <v>0.60862109912871543</v>
      </c>
      <c r="F10" s="109" t="s">
        <v>149</v>
      </c>
      <c r="G10" s="110" t="s">
        <v>13</v>
      </c>
      <c r="H10" s="111">
        <f>H2*E7/SQRT(H4*E5)*H9</f>
        <v>109.63207666563112</v>
      </c>
      <c r="I10" s="112" t="s">
        <v>7</v>
      </c>
      <c r="J10" s="47"/>
      <c r="K10" s="118" t="s">
        <v>5</v>
      </c>
      <c r="L10" s="56">
        <f>1+(L2-1)/2*L4^2</f>
        <v>2.6290000000000004</v>
      </c>
      <c r="M10" s="60"/>
      <c r="N10" s="6" t="s">
        <v>74</v>
      </c>
      <c r="O10" s="16">
        <f>L14</f>
        <v>889.65000000000009</v>
      </c>
      <c r="P10" s="22" t="s">
        <v>4</v>
      </c>
      <c r="Q10" s="5"/>
      <c r="R10" s="5"/>
      <c r="S10" s="4"/>
      <c r="T10" s="13"/>
      <c r="U10"/>
      <c r="V10" s="72"/>
      <c r="W10" s="71"/>
      <c r="X10" s="72"/>
      <c r="Y10"/>
      <c r="Z10" s="13"/>
      <c r="AA10"/>
      <c r="AB10"/>
      <c r="AC10"/>
      <c r="AD10" s="5"/>
      <c r="AE10" s="5"/>
      <c r="AF10" s="5"/>
      <c r="AG10" s="5"/>
      <c r="AH10"/>
      <c r="AI10"/>
      <c r="AJ10"/>
      <c r="AK10"/>
      <c r="AL10"/>
      <c r="AM10"/>
    </row>
    <row r="11" spans="1:39" ht="20.100000000000001" customHeight="1">
      <c r="D11" s="59"/>
      <c r="E11" s="41"/>
      <c r="F11" s="65"/>
      <c r="J11" s="47"/>
      <c r="K11" s="118" t="s">
        <v>6</v>
      </c>
      <c r="L11" s="57">
        <f>L10^(L2/(L2-1))</f>
        <v>37.969343589565625</v>
      </c>
      <c r="M11" s="60"/>
      <c r="N11" s="6" t="s">
        <v>25</v>
      </c>
      <c r="O11" s="70">
        <v>0.70799999999999996</v>
      </c>
      <c r="P11" s="22" t="s">
        <v>26</v>
      </c>
      <c r="AJ11" s="10"/>
      <c r="AK11" s="10"/>
      <c r="AL11" s="10"/>
      <c r="AM11" s="10"/>
    </row>
    <row r="12" spans="1:39" ht="20.100000000000001" customHeight="1">
      <c r="D12" s="61" t="s">
        <v>67</v>
      </c>
      <c r="E12" s="67"/>
      <c r="F12" s="66"/>
      <c r="J12" s="41"/>
      <c r="K12" s="6" t="s">
        <v>101</v>
      </c>
      <c r="L12" s="27">
        <f>L8*L10</f>
        <v>575.30407000000014</v>
      </c>
      <c r="M12" s="22" t="s">
        <v>2</v>
      </c>
      <c r="N12" s="6" t="s">
        <v>13</v>
      </c>
      <c r="O12" s="4">
        <f>L20</f>
        <v>38.450051278010832</v>
      </c>
      <c r="P12" s="35" t="s">
        <v>7</v>
      </c>
      <c r="AI12" s="10"/>
    </row>
    <row r="13" spans="1:39" ht="20.100000000000001" customHeight="1">
      <c r="D13" s="59" t="s">
        <v>60</v>
      </c>
      <c r="E13" s="41">
        <f>E10/1</f>
        <v>0.60862109912871543</v>
      </c>
      <c r="F13" s="65" t="s">
        <v>1</v>
      </c>
      <c r="J13" s="47"/>
      <c r="K13" s="6" t="s">
        <v>102</v>
      </c>
      <c r="L13" s="27">
        <f>L6*L11</f>
        <v>147598.28960451781</v>
      </c>
      <c r="M13" s="22" t="s">
        <v>20</v>
      </c>
      <c r="N13" s="17" t="s">
        <v>27</v>
      </c>
      <c r="O13" s="18">
        <v>-14</v>
      </c>
      <c r="P13" s="19"/>
      <c r="Q13" s="17" t="s">
        <v>28</v>
      </c>
      <c r="R13" s="18">
        <v>14</v>
      </c>
      <c r="S13" s="19"/>
      <c r="T13" s="17" t="s">
        <v>29</v>
      </c>
      <c r="U13" s="18">
        <v>0</v>
      </c>
      <c r="V13" s="74"/>
      <c r="W13" s="17" t="s">
        <v>68</v>
      </c>
      <c r="X13" s="18">
        <v>0</v>
      </c>
      <c r="Y13" s="74"/>
      <c r="Z13" s="17" t="s">
        <v>30</v>
      </c>
      <c r="AA13" s="18">
        <v>0</v>
      </c>
      <c r="AB13" s="19"/>
      <c r="AC13" s="12"/>
      <c r="AD13" s="12"/>
      <c r="AE13" s="10"/>
      <c r="AF13"/>
      <c r="AG13"/>
    </row>
    <row r="14" spans="1:39" ht="20.100000000000001" customHeight="1">
      <c r="D14" s="59"/>
      <c r="E14" s="41"/>
      <c r="F14" s="65"/>
      <c r="J14" s="47"/>
      <c r="K14" s="29" t="s">
        <v>103</v>
      </c>
      <c r="L14" s="119">
        <f>L4*L9</f>
        <v>889.65000000000009</v>
      </c>
      <c r="M14" s="35" t="s">
        <v>4</v>
      </c>
      <c r="N14" s="21" t="s">
        <v>32</v>
      </c>
      <c r="O14" s="11">
        <f>O13</f>
        <v>-14</v>
      </c>
      <c r="P14" s="22"/>
      <c r="Q14" s="21" t="s">
        <v>33</v>
      </c>
      <c r="R14" s="11">
        <f>O14+R13</f>
        <v>0</v>
      </c>
      <c r="S14" s="22"/>
      <c r="T14" s="21" t="s">
        <v>34</v>
      </c>
      <c r="U14" s="11">
        <f>R14+U13</f>
        <v>0</v>
      </c>
      <c r="V14" s="75"/>
      <c r="W14" s="21" t="s">
        <v>35</v>
      </c>
      <c r="X14" s="11">
        <f>U14+X13</f>
        <v>0</v>
      </c>
      <c r="Y14" s="75"/>
      <c r="Z14" s="21" t="s">
        <v>36</v>
      </c>
      <c r="AA14" s="11">
        <f>X14+AA13</f>
        <v>0</v>
      </c>
      <c r="AB14" s="22"/>
      <c r="AC14" s="5"/>
      <c r="AE14"/>
      <c r="AF14"/>
      <c r="AG14"/>
    </row>
    <row r="15" spans="1:39" ht="20.100000000000001" customHeight="1">
      <c r="D15" s="61" t="s">
        <v>66</v>
      </c>
      <c r="E15" s="67"/>
      <c r="F15" s="66"/>
      <c r="J15" s="67"/>
      <c r="N15" s="21" t="s">
        <v>39</v>
      </c>
      <c r="O15" s="11">
        <v>-30.972510400000001</v>
      </c>
      <c r="P15" s="22" t="s">
        <v>40</v>
      </c>
      <c r="Q15" s="21" t="s">
        <v>41</v>
      </c>
      <c r="R15" s="11">
        <v>37.639870799999997</v>
      </c>
      <c r="S15" s="22"/>
      <c r="T15" s="21" t="s">
        <v>42</v>
      </c>
      <c r="U15" s="11">
        <v>40.1908472</v>
      </c>
      <c r="V15" s="75"/>
      <c r="W15" s="21" t="s">
        <v>86</v>
      </c>
      <c r="X15" s="11">
        <v>47.407779099999999</v>
      </c>
      <c r="Y15" s="75"/>
      <c r="Z15" s="21" t="s">
        <v>43</v>
      </c>
      <c r="AA15" s="11">
        <v>90</v>
      </c>
      <c r="AB15" s="22"/>
      <c r="AC15" s="5"/>
      <c r="AE15"/>
      <c r="AF15"/>
      <c r="AG15"/>
    </row>
    <row r="16" spans="1:39" ht="20.100000000000001" customHeight="1">
      <c r="D16" s="113" t="s">
        <v>52</v>
      </c>
      <c r="E16" s="114">
        <f>SQRT(4*E10/3.14159)</f>
        <v>0.88029603300180581</v>
      </c>
      <c r="F16" s="115" t="s">
        <v>1</v>
      </c>
      <c r="J16" s="41"/>
      <c r="K16" s="17" t="s">
        <v>53</v>
      </c>
      <c r="L16" s="8"/>
      <c r="M16" s="19"/>
      <c r="N16" s="6" t="s">
        <v>45</v>
      </c>
      <c r="O16" s="1">
        <v>2.3409188200000002</v>
      </c>
      <c r="P16" s="22"/>
      <c r="Q16" s="6" t="s">
        <v>44</v>
      </c>
      <c r="R16" s="23">
        <v>1.8093250999999999</v>
      </c>
      <c r="S16" s="22"/>
      <c r="T16" s="6" t="s">
        <v>8</v>
      </c>
      <c r="U16" s="23">
        <v>1.57559195</v>
      </c>
      <c r="V16" s="75"/>
      <c r="W16" s="6" t="s">
        <v>80</v>
      </c>
      <c r="X16" s="23">
        <v>1.3386401999999999</v>
      </c>
      <c r="Y16" s="75"/>
      <c r="Z16" s="24" t="s">
        <v>46</v>
      </c>
      <c r="AA16" s="23">
        <v>0.76556175000000004</v>
      </c>
      <c r="AB16" s="22"/>
      <c r="AC16" s="5"/>
      <c r="AE16"/>
      <c r="AF16"/>
      <c r="AG16"/>
    </row>
    <row r="17" spans="1:36" ht="20.100000000000001" customHeight="1">
      <c r="J17" s="45"/>
      <c r="K17" s="6" t="s">
        <v>157</v>
      </c>
      <c r="L17" s="1">
        <v>0.70799999999999996</v>
      </c>
      <c r="M17" s="22" t="s">
        <v>23</v>
      </c>
      <c r="N17" s="6" t="s">
        <v>48</v>
      </c>
      <c r="O17" s="103">
        <f>SQRT($L$2)*O16/(1+($L$2-1)/2*O16^2)^(($L$2+1)/(2*($L$2-1)))</f>
        <v>0.28851090641479854</v>
      </c>
      <c r="P17" s="22"/>
      <c r="Q17" s="6" t="s">
        <v>49</v>
      </c>
      <c r="R17" s="103">
        <f>SQRT($L$2)*R16/(1+($L$2-1)/2*R16^2)^(($L$2+1)/(2*($L$2-1)))</f>
        <v>0.46270745173704858</v>
      </c>
      <c r="S17" s="22"/>
      <c r="T17" s="6" t="s">
        <v>50</v>
      </c>
      <c r="U17" s="103">
        <f>SQRT($L$2)*U16/(1+($L$2-1)/2*U16^2)^(($L$2+1)/(2*($L$2-1)))</f>
        <v>0.54794189459656872</v>
      </c>
      <c r="V17" s="75"/>
      <c r="W17" s="6" t="s">
        <v>81</v>
      </c>
      <c r="X17" s="103">
        <f>SQRT($L$2)*X16/(1+($L$2-1)/2*X16^2)^(($L$2+1)/(2*($L$2-1)))</f>
        <v>0.624788258999456</v>
      </c>
      <c r="Y17" s="75"/>
      <c r="Z17" s="6" t="s">
        <v>166</v>
      </c>
      <c r="AA17" s="103">
        <f>SQRT($L$2)*AA16/(1+($L$2-1)/2*AA16^2)^(($L$2+1)/(2*($L$2-1)))</f>
        <v>0.64300817262144283</v>
      </c>
      <c r="AB17" s="22"/>
      <c r="AC17" s="5"/>
      <c r="AE17"/>
      <c r="AF17"/>
      <c r="AG17"/>
      <c r="AJ17" s="97"/>
    </row>
    <row r="18" spans="1:36" ht="20.100000000000001" customHeight="1">
      <c r="J18" s="45"/>
      <c r="K18" s="6" t="s">
        <v>14</v>
      </c>
      <c r="L18" s="1">
        <f>L4</f>
        <v>3</v>
      </c>
      <c r="M18" s="22"/>
      <c r="N18" s="120" t="s">
        <v>153</v>
      </c>
      <c r="O18" s="121">
        <v>1</v>
      </c>
      <c r="P18" s="122"/>
      <c r="Q18" s="120" t="s">
        <v>153</v>
      </c>
      <c r="R18" s="121">
        <v>1</v>
      </c>
      <c r="S18" s="122"/>
      <c r="T18" s="120" t="s">
        <v>153</v>
      </c>
      <c r="U18" s="121">
        <f>R18</f>
        <v>1</v>
      </c>
      <c r="V18" s="127"/>
      <c r="W18" s="120" t="s">
        <v>153</v>
      </c>
      <c r="X18" s="121">
        <f>U18</f>
        <v>1</v>
      </c>
      <c r="Y18" s="127"/>
      <c r="Z18" s="120" t="s">
        <v>153</v>
      </c>
      <c r="AA18" s="121">
        <f>U18</f>
        <v>1</v>
      </c>
      <c r="AB18" s="122"/>
      <c r="AC18" s="13"/>
      <c r="AD18"/>
      <c r="AE18" s="12" t="s">
        <v>175</v>
      </c>
      <c r="AF18"/>
      <c r="AG18"/>
    </row>
    <row r="19" spans="1:36" ht="20.100000000000001" customHeight="1">
      <c r="J19" s="47"/>
      <c r="K19" s="59" t="s">
        <v>47</v>
      </c>
      <c r="L19" s="48">
        <f>SQRT($L$2)*L18/(1+($L$2-1)/2*L18^2)^(($L$2+1)/(2*($L$2-1)))</f>
        <v>0.14951060965436855</v>
      </c>
      <c r="M19" s="22"/>
      <c r="N19" s="6" t="s">
        <v>151</v>
      </c>
      <c r="O19" s="25">
        <v>0.91358492999999996</v>
      </c>
      <c r="P19" s="22"/>
      <c r="Q19" s="6" t="s">
        <v>151</v>
      </c>
      <c r="R19" s="1">
        <v>0.94962298999999994</v>
      </c>
      <c r="S19" s="22"/>
      <c r="T19" s="6" t="s">
        <v>151</v>
      </c>
      <c r="U19" s="1">
        <v>0.99547280000000005</v>
      </c>
      <c r="V19" s="75"/>
      <c r="W19" s="6" t="s">
        <v>151</v>
      </c>
      <c r="X19" s="1">
        <v>0.99601603000000005</v>
      </c>
      <c r="Y19" s="75"/>
      <c r="Z19" s="6" t="s">
        <v>151</v>
      </c>
      <c r="AA19" s="1">
        <v>0.97166456000000001</v>
      </c>
      <c r="AB19" s="22"/>
      <c r="AC19" s="145" t="s">
        <v>176</v>
      </c>
      <c r="AD19" s="55">
        <f>O19*R19*U19*X19*AA19</f>
        <v>0.83581899365711543</v>
      </c>
      <c r="AE19" s="12">
        <f>1-0.075*(O2-1)^1.35</f>
        <v>0.80881590590211072</v>
      </c>
      <c r="AF19" s="12" t="s">
        <v>161</v>
      </c>
      <c r="AG19" s="153" t="s">
        <v>181</v>
      </c>
    </row>
    <row r="20" spans="1:36" ht="20.100000000000001" customHeight="1">
      <c r="J20" s="47"/>
      <c r="K20" s="29" t="s">
        <v>13</v>
      </c>
      <c r="L20" s="114">
        <f>L13*L17/SQRT(L3*L12)*L19</f>
        <v>38.450051278010832</v>
      </c>
      <c r="M20" s="35" t="s">
        <v>7</v>
      </c>
      <c r="N20" s="6" t="s">
        <v>152</v>
      </c>
      <c r="O20" s="25">
        <v>1.3198704999999999</v>
      </c>
      <c r="P20" s="22"/>
      <c r="Q20" s="6" t="s">
        <v>152</v>
      </c>
      <c r="R20" s="1">
        <v>1.25075165</v>
      </c>
      <c r="S20" s="22"/>
      <c r="T20" s="6" t="s">
        <v>152</v>
      </c>
      <c r="U20" s="1">
        <v>1.0988051400000001</v>
      </c>
      <c r="V20" s="75"/>
      <c r="W20" s="6" t="s">
        <v>152</v>
      </c>
      <c r="X20" s="1">
        <v>1.0943760300000001</v>
      </c>
      <c r="Y20" s="75"/>
      <c r="Z20" s="6" t="s">
        <v>152</v>
      </c>
      <c r="AA20" s="1">
        <v>1.1973299399999999</v>
      </c>
      <c r="AB20" s="22"/>
      <c r="AC20" s="5"/>
      <c r="AE20" s="12">
        <f>800/(O2^4+935)</f>
        <v>0.78740157480314965</v>
      </c>
      <c r="AF20" s="12" t="s">
        <v>160</v>
      </c>
      <c r="AG20"/>
    </row>
    <row r="21" spans="1:36" ht="20.100000000000001" customHeight="1">
      <c r="J21" s="51"/>
      <c r="N21" s="123" t="s">
        <v>150</v>
      </c>
      <c r="O21" s="124">
        <v>2.5956116300000001</v>
      </c>
      <c r="P21" s="125"/>
      <c r="Q21" s="123" t="s">
        <v>150</v>
      </c>
      <c r="R21" s="126">
        <v>2.2036911199999998</v>
      </c>
      <c r="S21" s="125"/>
      <c r="T21" s="123" t="s">
        <v>150</v>
      </c>
      <c r="U21" s="126">
        <v>1.41902694</v>
      </c>
      <c r="V21" s="128"/>
      <c r="W21" s="123" t="s">
        <v>150</v>
      </c>
      <c r="X21" s="126">
        <v>1.3983885300000001</v>
      </c>
      <c r="Y21" s="128"/>
      <c r="Z21" s="123" t="s">
        <v>150</v>
      </c>
      <c r="AA21" s="126">
        <v>1.91333296</v>
      </c>
      <c r="AB21" s="125"/>
      <c r="AC21" s="5"/>
      <c r="AE21"/>
      <c r="AF21"/>
      <c r="AG21"/>
    </row>
    <row r="22" spans="1:36" ht="20.100000000000001" customHeight="1">
      <c r="A22" s="116"/>
      <c r="B22" s="49"/>
      <c r="C22" s="47"/>
      <c r="J22" s="41"/>
      <c r="N22" s="6" t="s">
        <v>54</v>
      </c>
      <c r="O22" s="68">
        <f>O4*O18</f>
        <v>575.30407000000014</v>
      </c>
      <c r="P22" s="22" t="s">
        <v>2</v>
      </c>
      <c r="Q22" s="6" t="s">
        <v>55</v>
      </c>
      <c r="R22" s="68">
        <f>O22*R18</f>
        <v>575.30407000000014</v>
      </c>
      <c r="S22" s="22" t="s">
        <v>2</v>
      </c>
      <c r="T22" s="6" t="s">
        <v>9</v>
      </c>
      <c r="U22" s="68">
        <f>R22*U18</f>
        <v>575.30407000000014</v>
      </c>
      <c r="V22" s="22" t="s">
        <v>2</v>
      </c>
      <c r="W22" s="6" t="s">
        <v>82</v>
      </c>
      <c r="X22" s="68">
        <f>U22*X18</f>
        <v>575.30407000000014</v>
      </c>
      <c r="Y22" s="22" t="s">
        <v>2</v>
      </c>
      <c r="Z22" s="6" t="s">
        <v>56</v>
      </c>
      <c r="AA22" s="68">
        <f>X22*AA18</f>
        <v>575.30407000000014</v>
      </c>
      <c r="AB22" s="22" t="s">
        <v>2</v>
      </c>
      <c r="AC22" s="5"/>
      <c r="AE22"/>
      <c r="AF22"/>
      <c r="AG22"/>
      <c r="AH22" s="5"/>
      <c r="AI22" s="5"/>
      <c r="AJ22" s="5"/>
    </row>
    <row r="23" spans="1:36" ht="20.100000000000001" customHeight="1">
      <c r="J23" s="67"/>
      <c r="N23" s="6" t="s">
        <v>155</v>
      </c>
      <c r="O23" s="27">
        <f>O6*O19</f>
        <v>134843.57307646313</v>
      </c>
      <c r="P23" s="28" t="s">
        <v>24</v>
      </c>
      <c r="Q23" s="6" t="s">
        <v>154</v>
      </c>
      <c r="R23" s="27">
        <f>O23*R19</f>
        <v>128050.55704715441</v>
      </c>
      <c r="S23" s="28" t="s">
        <v>24</v>
      </c>
      <c r="T23" s="6" t="s">
        <v>10</v>
      </c>
      <c r="U23" s="27">
        <f>R23*U19</f>
        <v>127470.84656529053</v>
      </c>
      <c r="V23" s="28" t="s">
        <v>24</v>
      </c>
      <c r="W23" s="6" t="s">
        <v>164</v>
      </c>
      <c r="X23" s="27">
        <f>U23*X19</f>
        <v>126963.00653669982</v>
      </c>
      <c r="Y23" s="28" t="s">
        <v>24</v>
      </c>
      <c r="Z23" s="6" t="s">
        <v>167</v>
      </c>
      <c r="AA23" s="27">
        <f>X23*AA19</f>
        <v>123365.45388275955</v>
      </c>
      <c r="AB23" s="28" t="s">
        <v>24</v>
      </c>
      <c r="AC23" s="5"/>
      <c r="AE23"/>
      <c r="AF23"/>
      <c r="AG23"/>
    </row>
    <row r="24" spans="1:36" ht="20.100000000000001" customHeight="1">
      <c r="J24" s="41"/>
      <c r="N24" s="6" t="s">
        <v>155</v>
      </c>
      <c r="O24" s="2">
        <f>O23/101325</f>
        <v>1.3308025963628238</v>
      </c>
      <c r="P24" s="26" t="s">
        <v>3</v>
      </c>
      <c r="Q24" s="6" t="s">
        <v>154</v>
      </c>
      <c r="R24" s="2">
        <f>R23/101325</f>
        <v>1.2637607406578277</v>
      </c>
      <c r="S24" s="26" t="s">
        <v>3</v>
      </c>
      <c r="T24" s="6" t="s">
        <v>10</v>
      </c>
      <c r="U24" s="2">
        <f>U23/101325</f>
        <v>1.2580394430327217</v>
      </c>
      <c r="V24" s="26" t="s">
        <v>3</v>
      </c>
      <c r="W24" s="6" t="s">
        <v>164</v>
      </c>
      <c r="X24" s="2">
        <f>X23/101325</f>
        <v>1.2530274516328628</v>
      </c>
      <c r="Y24" s="26" t="s">
        <v>3</v>
      </c>
      <c r="Z24" s="6" t="s">
        <v>167</v>
      </c>
      <c r="AA24" s="2">
        <f>AA23/101325</f>
        <v>1.217522367458767</v>
      </c>
      <c r="AB24" s="26" t="s">
        <v>3</v>
      </c>
      <c r="AC24" s="5"/>
      <c r="AD24" s="153"/>
      <c r="AE24"/>
      <c r="AF24"/>
      <c r="AG24"/>
    </row>
    <row r="25" spans="1:36" ht="20.100000000000001" customHeight="1">
      <c r="J25" s="41"/>
      <c r="N25" s="6" t="s">
        <v>72</v>
      </c>
      <c r="O25" s="54">
        <f>O5*O20</f>
        <v>288.82726151500003</v>
      </c>
      <c r="P25" s="53" t="s">
        <v>2</v>
      </c>
      <c r="Q25" s="6" t="s">
        <v>76</v>
      </c>
      <c r="R25" s="54">
        <f>O25*R20</f>
        <v>361.25117390486781</v>
      </c>
      <c r="S25" s="53" t="s">
        <v>2</v>
      </c>
      <c r="T25" s="6" t="s">
        <v>78</v>
      </c>
      <c r="U25" s="54">
        <f>R25*U20</f>
        <v>396.94464671770265</v>
      </c>
      <c r="V25" s="53" t="s">
        <v>2</v>
      </c>
      <c r="W25" s="6" t="s">
        <v>83</v>
      </c>
      <c r="X25" s="54">
        <f>U25*X20</f>
        <v>434.40670660467197</v>
      </c>
      <c r="Y25" s="53" t="s">
        <v>2</v>
      </c>
      <c r="Z25" s="6" t="s">
        <v>87</v>
      </c>
      <c r="AA25" s="54">
        <f>X25*AA20</f>
        <v>520.12815595456948</v>
      </c>
      <c r="AB25" s="53" t="s">
        <v>2</v>
      </c>
      <c r="AC25" s="5"/>
      <c r="AE25"/>
      <c r="AF25"/>
      <c r="AG25"/>
    </row>
    <row r="26" spans="1:36" ht="20.100000000000001" customHeight="1">
      <c r="J26" s="67"/>
      <c r="N26" s="6" t="s">
        <v>89</v>
      </c>
      <c r="O26" s="27">
        <f>O8*O21</f>
        <v>10089.925209317462</v>
      </c>
      <c r="P26" s="28" t="s">
        <v>24</v>
      </c>
      <c r="Q26" s="6" t="s">
        <v>100</v>
      </c>
      <c r="R26" s="27">
        <f>O26*R21</f>
        <v>22235.078585237028</v>
      </c>
      <c r="S26" s="28" t="s">
        <v>24</v>
      </c>
      <c r="T26" s="6" t="s">
        <v>90</v>
      </c>
      <c r="U26" s="27">
        <f>R26*U21</f>
        <v>31552.175525468429</v>
      </c>
      <c r="V26" s="28" t="s">
        <v>24</v>
      </c>
      <c r="W26" s="6" t="s">
        <v>91</v>
      </c>
      <c r="X26" s="27">
        <f>U26*X21</f>
        <v>44122.200351361775</v>
      </c>
      <c r="Y26" s="28" t="s">
        <v>24</v>
      </c>
      <c r="Z26" s="6" t="s">
        <v>92</v>
      </c>
      <c r="AA26" s="27">
        <f>X26*AA21</f>
        <v>84420.460199984067</v>
      </c>
      <c r="AB26" s="28" t="s">
        <v>24</v>
      </c>
      <c r="AC26" s="5"/>
      <c r="AD26"/>
      <c r="AE26"/>
      <c r="AF26"/>
      <c r="AG26"/>
    </row>
    <row r="27" spans="1:36" ht="20.100000000000001" customHeight="1">
      <c r="E27" s="49"/>
      <c r="J27" s="47"/>
      <c r="N27" s="6" t="s">
        <v>89</v>
      </c>
      <c r="O27" s="2">
        <f>O26/101325</f>
        <v>9.9579819484998389E-2</v>
      </c>
      <c r="P27" s="28" t="s">
        <v>3</v>
      </c>
      <c r="Q27" s="6" t="s">
        <v>100</v>
      </c>
      <c r="R27" s="2">
        <f>R26/101325</f>
        <v>0.21944316393029389</v>
      </c>
      <c r="S27" s="28" t="s">
        <v>3</v>
      </c>
      <c r="T27" s="6" t="s">
        <v>90</v>
      </c>
      <c r="U27" s="2">
        <f>U26/101325</f>
        <v>0.31139576141592329</v>
      </c>
      <c r="V27" s="28" t="s">
        <v>3</v>
      </c>
      <c r="W27" s="6" t="s">
        <v>91</v>
      </c>
      <c r="X27" s="2">
        <f>X26/101325</f>
        <v>0.43545226105464374</v>
      </c>
      <c r="Y27" s="28" t="s">
        <v>3</v>
      </c>
      <c r="Z27" s="6" t="s">
        <v>92</v>
      </c>
      <c r="AA27" s="2">
        <f>AA26/101325</f>
        <v>0.83316516358237425</v>
      </c>
      <c r="AB27" s="28" t="s">
        <v>3</v>
      </c>
      <c r="AC27" s="5"/>
      <c r="AD27" s="46"/>
      <c r="AE27"/>
      <c r="AF27"/>
      <c r="AG27"/>
    </row>
    <row r="28" spans="1:36" ht="20.100000000000001" customHeight="1">
      <c r="N28" s="6" t="s">
        <v>75</v>
      </c>
      <c r="O28" s="16">
        <f>O16*SQRT($L$2*$L$3*O25)</f>
        <v>786.56559593866143</v>
      </c>
      <c r="P28" s="53" t="s">
        <v>4</v>
      </c>
      <c r="Q28" s="6" t="s">
        <v>77</v>
      </c>
      <c r="R28" s="16">
        <f>R16*SQRT($L$2*$L$3*R25)</f>
        <v>679.9089274982914</v>
      </c>
      <c r="S28" s="53" t="s">
        <v>4</v>
      </c>
      <c r="T28" s="6" t="s">
        <v>79</v>
      </c>
      <c r="U28" s="16">
        <f>U16*SQRT($L$2*$L$3*U25)</f>
        <v>620.63781039234675</v>
      </c>
      <c r="V28" s="53" t="s">
        <v>4</v>
      </c>
      <c r="W28" s="6" t="s">
        <v>84</v>
      </c>
      <c r="X28" s="16">
        <f>X16*SQRT($L$2*$L$3*X25)</f>
        <v>551.62206006834049</v>
      </c>
      <c r="Y28" s="53" t="s">
        <v>4</v>
      </c>
      <c r="Z28" s="6" t="s">
        <v>88</v>
      </c>
      <c r="AA28" s="16">
        <f>AA16*SQRT($L$2*$L$3*AA25)</f>
        <v>345.19532916921332</v>
      </c>
      <c r="AB28" s="53" t="s">
        <v>4</v>
      </c>
      <c r="AC28" s="16"/>
      <c r="AE28"/>
      <c r="AF28"/>
      <c r="AG28"/>
    </row>
    <row r="29" spans="1:36" ht="20.100000000000001" customHeight="1">
      <c r="N29" s="29" t="s">
        <v>57</v>
      </c>
      <c r="O29" s="146">
        <f>$O$12*SQRT($L$3*$O$4)/(O23*O17)</f>
        <v>0.40160037329508858</v>
      </c>
      <c r="P29" s="30" t="s">
        <v>26</v>
      </c>
      <c r="Q29" s="29" t="s">
        <v>51</v>
      </c>
      <c r="R29" s="146">
        <f>$O$12*SQRT($L$3*$O$4)/(R23*R17)</f>
        <v>0.26369301698375253</v>
      </c>
      <c r="S29" s="30" t="s">
        <v>26</v>
      </c>
      <c r="T29" s="29" t="s">
        <v>58</v>
      </c>
      <c r="U29" s="146">
        <f>$O$12*SQRT($L$3*$O$4)/(U23*U17)</f>
        <v>0.22368724354029793</v>
      </c>
      <c r="V29" s="30" t="s">
        <v>26</v>
      </c>
      <c r="W29" s="29" t="s">
        <v>85</v>
      </c>
      <c r="X29" s="146">
        <f>$O$12*SQRT($L$3*$O$4)/(X23*X17)</f>
        <v>0.19695932040321118</v>
      </c>
      <c r="Y29" s="30" t="s">
        <v>26</v>
      </c>
      <c r="Z29" s="29" t="s">
        <v>168</v>
      </c>
      <c r="AA29" s="146">
        <f>$O$12*SQRT($L$3*$O$4)/(AA23*AA17)</f>
        <v>0.19695932225457458</v>
      </c>
      <c r="AB29" s="30" t="s">
        <v>26</v>
      </c>
      <c r="AC29" s="16"/>
      <c r="AE29"/>
      <c r="AF29"/>
      <c r="AG29"/>
    </row>
    <row r="30" spans="1:36" ht="20.100000000000001" customHeight="1">
      <c r="N30" s="17" t="s">
        <v>59</v>
      </c>
      <c r="O30" s="8"/>
      <c r="P30" s="19"/>
      <c r="Q30" s="7"/>
      <c r="R30" s="8"/>
      <c r="S30" s="31"/>
      <c r="T30" s="32"/>
      <c r="U30" s="33"/>
      <c r="V30" s="76"/>
      <c r="W30" s="32"/>
      <c r="X30" s="33"/>
      <c r="Y30" s="76"/>
      <c r="Z30"/>
      <c r="AA30" s="5"/>
      <c r="AB30" s="5"/>
      <c r="AC30" s="5"/>
      <c r="AE30"/>
      <c r="AF30"/>
      <c r="AG30"/>
    </row>
    <row r="31" spans="1:36" ht="20.100000000000001" customHeight="1">
      <c r="A31" s="116"/>
      <c r="B31" s="49"/>
      <c r="C31" s="47"/>
      <c r="N31" s="6" t="s">
        <v>115</v>
      </c>
      <c r="O31" s="2">
        <v>1</v>
      </c>
      <c r="P31" s="34"/>
      <c r="Q31" s="6" t="s">
        <v>108</v>
      </c>
      <c r="R31" s="2">
        <f>O38</f>
        <v>0.56723216467786952</v>
      </c>
      <c r="S31" s="34"/>
      <c r="T31" s="6" t="s">
        <v>112</v>
      </c>
      <c r="U31" s="2">
        <f>R38</f>
        <v>0.3724477846339726</v>
      </c>
      <c r="V31" s="77"/>
      <c r="W31" s="6" t="s">
        <v>113</v>
      </c>
      <c r="X31" s="2">
        <f>U38</f>
        <v>0.3724477846339726</v>
      </c>
      <c r="Y31" s="77"/>
      <c r="Z31" s="5" t="s">
        <v>69</v>
      </c>
      <c r="AA31" s="40">
        <f>AA29/O11</f>
        <v>0.2781911331279302</v>
      </c>
      <c r="AB31" s="5"/>
      <c r="AC31" s="5"/>
      <c r="AE31"/>
      <c r="AF31"/>
      <c r="AG31"/>
    </row>
    <row r="32" spans="1:36" ht="20.100000000000001" customHeight="1">
      <c r="N32" s="81" t="s">
        <v>123</v>
      </c>
      <c r="O32" s="2">
        <f>ABS(O15)</f>
        <v>30.972510400000001</v>
      </c>
      <c r="P32" s="34" t="s">
        <v>40</v>
      </c>
      <c r="Q32" s="81" t="s">
        <v>125</v>
      </c>
      <c r="R32" s="2">
        <f>ABS(R15)</f>
        <v>37.639870799999997</v>
      </c>
      <c r="S32" s="34" t="s">
        <v>40</v>
      </c>
      <c r="T32" s="81" t="s">
        <v>127</v>
      </c>
      <c r="U32" s="2">
        <f>ABS(U15)</f>
        <v>40.1908472</v>
      </c>
      <c r="V32" s="77" t="s">
        <v>40</v>
      </c>
      <c r="W32" s="81" t="s">
        <v>165</v>
      </c>
      <c r="X32" s="2">
        <f>ABS(X15)</f>
        <v>47.407779099999999</v>
      </c>
      <c r="Y32" s="77" t="s">
        <v>40</v>
      </c>
      <c r="Z32" s="5" t="s">
        <v>156</v>
      </c>
      <c r="AA32" s="5">
        <f>1/AA31</f>
        <v>3.5946508745846173</v>
      </c>
      <c r="AB32" s="5"/>
      <c r="AC32" s="5"/>
      <c r="AE32"/>
      <c r="AF32"/>
      <c r="AG32"/>
    </row>
    <row r="33" spans="14:33" ht="20.100000000000001" customHeight="1">
      <c r="N33" s="82" t="s">
        <v>124</v>
      </c>
      <c r="O33" s="2">
        <f>RADIANS(O32)</f>
        <v>0.54057228408818592</v>
      </c>
      <c r="P33" s="34" t="s">
        <v>61</v>
      </c>
      <c r="Q33" s="81" t="s">
        <v>126</v>
      </c>
      <c r="R33" s="2">
        <f>RADIANS(R32)</f>
        <v>0.65693967548527199</v>
      </c>
      <c r="S33" s="34" t="s">
        <v>61</v>
      </c>
      <c r="T33" s="81" t="s">
        <v>128</v>
      </c>
      <c r="U33" s="2">
        <f>RADIANS(U32)</f>
        <v>0.70146261280594391</v>
      </c>
      <c r="V33" s="77" t="s">
        <v>61</v>
      </c>
      <c r="W33" s="81" t="s">
        <v>165</v>
      </c>
      <c r="X33" s="2">
        <f>RADIANS(X32)</f>
        <v>0.82742183635315403</v>
      </c>
      <c r="Y33" s="77" t="s">
        <v>61</v>
      </c>
      <c r="Z33"/>
      <c r="AA33" s="40"/>
      <c r="AB33" s="5"/>
      <c r="AC33" s="5"/>
      <c r="AE33"/>
      <c r="AF33"/>
      <c r="AG33"/>
    </row>
    <row r="34" spans="14:33" ht="20.100000000000001" customHeight="1">
      <c r="N34" s="6" t="s">
        <v>129</v>
      </c>
      <c r="O34" s="2">
        <f>SIN(O33)</f>
        <v>0.51462676046486355</v>
      </c>
      <c r="P34" s="34"/>
      <c r="Q34" s="6" t="s">
        <v>130</v>
      </c>
      <c r="R34" s="2">
        <f>SIN(R33)</f>
        <v>0.61069635205759032</v>
      </c>
      <c r="S34" s="34"/>
      <c r="T34" s="6" t="s">
        <v>131</v>
      </c>
      <c r="U34" s="2">
        <f>SIN(U33)</f>
        <v>0.64533566574970813</v>
      </c>
      <c r="V34" s="77"/>
      <c r="W34" s="6" t="s">
        <v>132</v>
      </c>
      <c r="X34" s="2">
        <f>SIN(X33)</f>
        <v>0.73618898039984115</v>
      </c>
      <c r="Y34" s="77"/>
      <c r="Z34"/>
      <c r="AA34" s="40"/>
      <c r="AB34" s="5"/>
      <c r="AC34" s="5"/>
      <c r="AE34"/>
      <c r="AF34"/>
      <c r="AG34"/>
    </row>
    <row r="35" spans="14:33" ht="20.100000000000001" customHeight="1">
      <c r="N35" s="6" t="s">
        <v>62</v>
      </c>
      <c r="O35" s="2">
        <f>O31/O34</f>
        <v>1.9431558496816173</v>
      </c>
      <c r="P35" s="34"/>
      <c r="Q35" s="6" t="s">
        <v>133</v>
      </c>
      <c r="R35" s="2">
        <f>R31/R34</f>
        <v>0.92882848041702071</v>
      </c>
      <c r="S35" s="34"/>
      <c r="T35" s="6" t="s">
        <v>134</v>
      </c>
      <c r="U35" s="2">
        <f>U31/U34</f>
        <v>0.57713807619990676</v>
      </c>
      <c r="V35" s="77"/>
      <c r="W35" s="6" t="s">
        <v>135</v>
      </c>
      <c r="X35" s="2">
        <f>X31/X34</f>
        <v>0.50591328388491719</v>
      </c>
      <c r="Y35" s="77"/>
      <c r="Z35"/>
      <c r="AA35" s="40"/>
      <c r="AB35" s="5"/>
      <c r="AC35" s="5"/>
      <c r="AE35"/>
      <c r="AF35"/>
      <c r="AG35"/>
    </row>
    <row r="36" spans="14:33" ht="20.100000000000001" customHeight="1">
      <c r="N36" s="81" t="s">
        <v>114</v>
      </c>
      <c r="O36" s="2">
        <f>O32-ABS(O13)</f>
        <v>16.972510400000001</v>
      </c>
      <c r="P36" s="34" t="s">
        <v>40</v>
      </c>
      <c r="Q36" s="81" t="s">
        <v>117</v>
      </c>
      <c r="R36" s="2">
        <f>R32-ABS(R13)</f>
        <v>23.639870799999997</v>
      </c>
      <c r="S36" s="34" t="s">
        <v>40</v>
      </c>
      <c r="T36" s="81" t="s">
        <v>119</v>
      </c>
      <c r="U36" s="2">
        <f>U32-ABS(U13)</f>
        <v>40.1908472</v>
      </c>
      <c r="V36" s="77" t="s">
        <v>40</v>
      </c>
      <c r="W36" s="81" t="s">
        <v>121</v>
      </c>
      <c r="X36" s="2">
        <f>X32-ABS(X13)</f>
        <v>47.407779099999999</v>
      </c>
      <c r="Y36" s="77" t="s">
        <v>40</v>
      </c>
      <c r="Z36"/>
      <c r="AA36" s="40"/>
      <c r="AB36" s="5"/>
      <c r="AC36" s="5"/>
      <c r="AE36"/>
      <c r="AF36"/>
      <c r="AG36"/>
    </row>
    <row r="37" spans="14:33" ht="20.100000000000001" customHeight="1">
      <c r="N37" s="82" t="s">
        <v>116</v>
      </c>
      <c r="O37" s="2">
        <f>RADIANS(O36)</f>
        <v>0.29622618880897983</v>
      </c>
      <c r="P37" s="34" t="s">
        <v>61</v>
      </c>
      <c r="Q37" s="82" t="s">
        <v>118</v>
      </c>
      <c r="R37" s="2">
        <f>RADIANS(R36)</f>
        <v>0.4125935802060659</v>
      </c>
      <c r="S37" s="34" t="s">
        <v>61</v>
      </c>
      <c r="T37" s="82" t="s">
        <v>120</v>
      </c>
      <c r="U37" s="2">
        <f>RADIANS(U36)</f>
        <v>0.70146261280594391</v>
      </c>
      <c r="V37" s="77" t="s">
        <v>61</v>
      </c>
      <c r="W37" s="82" t="s">
        <v>122</v>
      </c>
      <c r="X37" s="2">
        <f>RADIANS(X36)</f>
        <v>0.82742183635315403</v>
      </c>
      <c r="Y37" s="77" t="s">
        <v>61</v>
      </c>
      <c r="Z37"/>
      <c r="AA37" s="40"/>
      <c r="AB37" s="5"/>
      <c r="AC37" s="5"/>
      <c r="AE37"/>
      <c r="AF37"/>
      <c r="AG37"/>
    </row>
    <row r="38" spans="14:33" ht="20.100000000000001" customHeight="1">
      <c r="N38" s="6" t="s">
        <v>157</v>
      </c>
      <c r="O38" s="147">
        <f>O35*SIN(O37)</f>
        <v>0.56723216467786952</v>
      </c>
      <c r="P38" s="34"/>
      <c r="Q38" s="6" t="s">
        <v>51</v>
      </c>
      <c r="R38" s="147">
        <f>R35*SIN(R37)</f>
        <v>0.3724477846339726</v>
      </c>
      <c r="S38" s="34"/>
      <c r="T38" s="6" t="s">
        <v>58</v>
      </c>
      <c r="U38" s="147">
        <f>U35*SIN(U37)</f>
        <v>0.3724477846339726</v>
      </c>
      <c r="V38" s="77"/>
      <c r="W38" s="6" t="s">
        <v>85</v>
      </c>
      <c r="X38" s="147">
        <f>X35*SIN(X37)</f>
        <v>0.37244778463397255</v>
      </c>
      <c r="Y38" s="77"/>
      <c r="Z38"/>
      <c r="AA38" s="40"/>
      <c r="AB38" s="5"/>
      <c r="AC38" s="5"/>
      <c r="AE38"/>
      <c r="AF38"/>
      <c r="AG38"/>
    </row>
    <row r="39" spans="14:33" ht="20.100000000000001" customHeight="1">
      <c r="N39" s="29" t="s">
        <v>63</v>
      </c>
      <c r="O39" s="9"/>
      <c r="P39" s="35"/>
      <c r="Q39" s="29"/>
      <c r="R39" s="9"/>
      <c r="S39" s="36"/>
      <c r="T39" s="37"/>
      <c r="U39" s="3"/>
      <c r="V39" s="78"/>
      <c r="W39" s="37"/>
      <c r="X39" s="3"/>
      <c r="Y39" s="78"/>
      <c r="Z39"/>
      <c r="AA39" s="40"/>
      <c r="AB39" s="5"/>
      <c r="AC39" s="5"/>
      <c r="AE39"/>
      <c r="AF39"/>
      <c r="AG39"/>
    </row>
    <row r="40" spans="14:33" ht="20.100000000000001" customHeight="1">
      <c r="N40" s="148">
        <f>O29/O11</f>
        <v>0.56723216567102908</v>
      </c>
      <c r="O40" s="38" t="s">
        <v>64</v>
      </c>
      <c r="P40" s="19"/>
      <c r="Q40" s="1"/>
      <c r="R40" s="1"/>
      <c r="S40" s="2"/>
      <c r="X40" s="40"/>
      <c r="Y40" s="5"/>
      <c r="Z40" s="5"/>
      <c r="AD40"/>
      <c r="AE40"/>
    </row>
    <row r="41" spans="14:33" ht="20.100000000000001" customHeight="1">
      <c r="N41" s="149">
        <f>(O6*O3)/(O23*O17)</f>
        <v>8.3807821857188949E-2</v>
      </c>
      <c r="O41" s="39" t="s">
        <v>65</v>
      </c>
      <c r="P41" s="35"/>
      <c r="Q41" s="1"/>
      <c r="R41" s="1"/>
      <c r="S41" s="2"/>
      <c r="AD41"/>
      <c r="AE41"/>
    </row>
    <row r="42" spans="14:33" ht="20.100000000000001" customHeight="1">
      <c r="N42" s="32" t="s">
        <v>136</v>
      </c>
      <c r="O42" s="8"/>
      <c r="P42" s="31"/>
      <c r="Q42" s="32" t="s">
        <v>136</v>
      </c>
      <c r="R42" s="8"/>
      <c r="S42" s="31"/>
      <c r="AD42"/>
      <c r="AE42"/>
    </row>
    <row r="43" spans="14:33" ht="20.100000000000001" customHeight="1">
      <c r="N43" s="6" t="s">
        <v>57</v>
      </c>
      <c r="O43" s="147">
        <f>R49</f>
        <v>0.56723216467786952</v>
      </c>
      <c r="P43" s="5" t="s">
        <v>26</v>
      </c>
      <c r="Q43" s="6" t="s">
        <v>51</v>
      </c>
      <c r="R43" s="147">
        <f>R38</f>
        <v>0.3724477846339726</v>
      </c>
      <c r="S43" s="22" t="s">
        <v>26</v>
      </c>
      <c r="AD43"/>
      <c r="AE43"/>
    </row>
    <row r="44" spans="14:33" ht="20.100000000000001" customHeight="1">
      <c r="N44" s="81" t="s">
        <v>114</v>
      </c>
      <c r="O44" s="2">
        <f>O36</f>
        <v>16.972510400000001</v>
      </c>
      <c r="P44" s="34" t="s">
        <v>40</v>
      </c>
      <c r="Q44" s="81" t="s">
        <v>117</v>
      </c>
      <c r="R44" s="2">
        <f>R36</f>
        <v>23.639870799999997</v>
      </c>
      <c r="S44" s="34" t="s">
        <v>40</v>
      </c>
    </row>
    <row r="45" spans="14:33" ht="20.100000000000001" customHeight="1">
      <c r="N45" s="82" t="s">
        <v>116</v>
      </c>
      <c r="O45" s="2">
        <f>RADIANS(O44)</f>
        <v>0.29622618880897983</v>
      </c>
      <c r="P45" s="34" t="s">
        <v>61</v>
      </c>
      <c r="Q45" s="82" t="s">
        <v>118</v>
      </c>
      <c r="R45" s="2">
        <f>RADIANS(R44)</f>
        <v>0.4125935802060659</v>
      </c>
      <c r="S45" s="34" t="s">
        <v>61</v>
      </c>
    </row>
    <row r="46" spans="14:33" ht="20.100000000000001" customHeight="1">
      <c r="N46" s="6" t="s">
        <v>62</v>
      </c>
      <c r="O46" s="1">
        <f>O43/SIN(O37)</f>
        <v>1.943155849681617</v>
      </c>
      <c r="P46" s="26"/>
      <c r="Q46" s="6" t="s">
        <v>133</v>
      </c>
      <c r="R46" s="1">
        <f>R43/SIN(R37)</f>
        <v>0.92882848041702071</v>
      </c>
      <c r="S46" s="26"/>
    </row>
    <row r="47" spans="14:33" ht="20.100000000000001" customHeight="1">
      <c r="N47" s="81" t="s">
        <v>123</v>
      </c>
      <c r="O47" s="2">
        <f>O32</f>
        <v>30.972510400000001</v>
      </c>
      <c r="P47" s="34" t="s">
        <v>40</v>
      </c>
      <c r="Q47" s="81" t="s">
        <v>125</v>
      </c>
      <c r="R47" s="2">
        <f>R32</f>
        <v>37.639870799999997</v>
      </c>
      <c r="S47" s="34" t="s">
        <v>40</v>
      </c>
    </row>
    <row r="48" spans="14:33" ht="20.100000000000001" customHeight="1">
      <c r="N48" s="81" t="s">
        <v>137</v>
      </c>
      <c r="O48" s="2">
        <f>RADIANS(O47)</f>
        <v>0.54057228408818592</v>
      </c>
      <c r="P48" s="34" t="s">
        <v>61</v>
      </c>
      <c r="Q48" s="81" t="s">
        <v>126</v>
      </c>
      <c r="R48" s="2">
        <f>RADIANS(R47)</f>
        <v>0.65693967548527199</v>
      </c>
      <c r="S48" s="34" t="s">
        <v>61</v>
      </c>
    </row>
    <row r="49" spans="14:26" ht="20.100000000000001" customHeight="1">
      <c r="N49" s="29" t="s">
        <v>115</v>
      </c>
      <c r="O49" s="146">
        <f>O46*SIN(O48)</f>
        <v>0.99999999999999989</v>
      </c>
      <c r="P49" s="36"/>
      <c r="Q49" s="29" t="s">
        <v>108</v>
      </c>
      <c r="R49" s="146">
        <f>R46*SIN(R48)</f>
        <v>0.56723216467786952</v>
      </c>
      <c r="S49" s="35" t="s">
        <v>26</v>
      </c>
    </row>
    <row r="50" spans="14:26" ht="20.100000000000001" customHeight="1">
      <c r="N50" s="132" t="s">
        <v>159</v>
      </c>
      <c r="O50" s="8"/>
      <c r="P50" s="133"/>
      <c r="Q50" s="32"/>
      <c r="R50" s="8"/>
      <c r="S50" s="133"/>
    </row>
    <row r="51" spans="14:26" ht="20.100000000000001" customHeight="1">
      <c r="N51" s="134" t="s">
        <v>162</v>
      </c>
      <c r="O51" s="11">
        <v>23.046872799999999</v>
      </c>
      <c r="P51" s="135"/>
      <c r="Q51" s="134"/>
      <c r="R51" s="11"/>
      <c r="S51" s="135"/>
    </row>
    <row r="52" spans="14:26" ht="20.100000000000001" customHeight="1">
      <c r="N52" s="21" t="s">
        <v>57</v>
      </c>
      <c r="O52" s="69">
        <f>'Design Pt M=5'!O38</f>
        <v>0.4016572983789517</v>
      </c>
      <c r="P52" s="12" t="s">
        <v>26</v>
      </c>
      <c r="Q52" s="21"/>
      <c r="R52" s="69"/>
      <c r="S52" s="11"/>
    </row>
    <row r="53" spans="14:26" ht="20.100000000000001" customHeight="1">
      <c r="N53" s="137" t="s">
        <v>169</v>
      </c>
      <c r="O53" s="139">
        <f>'Design Pt M=5'!O31</f>
        <v>1</v>
      </c>
      <c r="P53" s="138"/>
      <c r="Q53" s="21"/>
      <c r="R53" s="69"/>
      <c r="S53" s="135"/>
      <c r="V53" s="73"/>
      <c r="W53" s="73"/>
      <c r="X53" s="73"/>
      <c r="Y53" s="5"/>
    </row>
    <row r="54" spans="14:26" ht="20.100000000000001" customHeight="1">
      <c r="Q54" s="134"/>
      <c r="R54" s="135"/>
      <c r="S54" s="135"/>
      <c r="V54" s="73"/>
      <c r="W54" s="73"/>
      <c r="X54" s="73"/>
      <c r="Y54" s="5"/>
    </row>
    <row r="55" spans="14:26" ht="20.100000000000001" customHeight="1">
      <c r="N55" s="17" t="s">
        <v>171</v>
      </c>
      <c r="O55" s="18"/>
      <c r="P55" s="19"/>
      <c r="S55" s="135"/>
      <c r="Z55" s="5"/>
    </row>
    <row r="56" spans="14:26" ht="20.100000000000001" customHeight="1">
      <c r="N56" s="134" t="s">
        <v>163</v>
      </c>
      <c r="O56" s="135">
        <f>-O15</f>
        <v>30.972510400000001</v>
      </c>
      <c r="P56" s="136"/>
      <c r="Q56" s="134"/>
      <c r="R56" s="135"/>
      <c r="S56" s="135"/>
      <c r="Z56" s="5"/>
    </row>
    <row r="57" spans="14:26" ht="20.100000000000001" customHeight="1">
      <c r="N57" s="6" t="s">
        <v>105</v>
      </c>
      <c r="O57" s="23">
        <f>O53*TAN((90-O51)*PI()/180)</f>
        <v>2.3505041843671206</v>
      </c>
      <c r="P57" s="26" t="s">
        <v>1</v>
      </c>
      <c r="Q57" s="134"/>
      <c r="R57" s="135"/>
      <c r="S57" s="135"/>
      <c r="Z57" s="5"/>
    </row>
    <row r="58" spans="14:26" ht="20.100000000000001" customHeight="1">
      <c r="N58" s="6" t="s">
        <v>139</v>
      </c>
      <c r="O58" s="1">
        <f>O57*TAN(ABS(O13)*PI()/180)-O53</f>
        <v>-0.4139534860372065</v>
      </c>
      <c r="P58" s="26"/>
      <c r="Q58" s="134"/>
      <c r="R58" s="135"/>
      <c r="S58" s="135"/>
      <c r="Z58" s="5"/>
    </row>
    <row r="59" spans="14:26" ht="20.100000000000001" customHeight="1">
      <c r="N59" s="6" t="s">
        <v>140</v>
      </c>
      <c r="O59" s="1">
        <f>(TAN((90-O56)*PI()/180))*TAN(ABS(O13)*PI()/180)-1</f>
        <v>-0.58459719992265824</v>
      </c>
      <c r="P59" s="22"/>
      <c r="Q59" s="134"/>
      <c r="R59" s="135"/>
      <c r="S59" s="135"/>
      <c r="Z59" s="5"/>
    </row>
    <row r="60" spans="14:26" ht="20.100000000000001" customHeight="1">
      <c r="N60" s="6" t="s">
        <v>172</v>
      </c>
      <c r="O60" s="23">
        <f>O58/O59</f>
        <v>0.70810035712106079</v>
      </c>
      <c r="P60" s="22" t="s">
        <v>1</v>
      </c>
      <c r="Q60" s="134"/>
      <c r="R60" s="135"/>
      <c r="S60" s="135"/>
      <c r="Z60" s="5"/>
    </row>
    <row r="61" spans="14:26" ht="20.100000000000001" customHeight="1">
      <c r="N61" s="137" t="s">
        <v>173</v>
      </c>
      <c r="O61" s="139">
        <f>O60*1</f>
        <v>0.70810035712106079</v>
      </c>
      <c r="P61" s="144" t="s">
        <v>26</v>
      </c>
      <c r="Q61" s="134"/>
      <c r="R61" s="135"/>
      <c r="S61" s="135"/>
      <c r="Z61" s="5"/>
    </row>
    <row r="62" spans="14:26" ht="20.100000000000001" customHeight="1">
      <c r="O62" s="23"/>
      <c r="P62" s="22"/>
      <c r="Q62" s="134"/>
      <c r="R62" s="135"/>
      <c r="S62" s="135"/>
      <c r="Z62" s="5"/>
    </row>
    <row r="63" spans="14:26" ht="20.100000000000001" customHeight="1">
      <c r="N63" s="21" t="s">
        <v>174</v>
      </c>
      <c r="O63" s="23"/>
      <c r="P63" s="22"/>
      <c r="Q63" s="134"/>
      <c r="R63" s="135"/>
      <c r="S63" s="135"/>
      <c r="Z63" s="5"/>
    </row>
    <row r="64" spans="14:26" ht="20.100000000000001" customHeight="1">
      <c r="N64" s="6" t="s">
        <v>173</v>
      </c>
      <c r="O64" s="23">
        <f>O61</f>
        <v>0.70810035712106079</v>
      </c>
      <c r="P64" s="22" t="s">
        <v>23</v>
      </c>
      <c r="Q64" s="134"/>
      <c r="R64" s="135"/>
      <c r="S64" s="135"/>
      <c r="Z64" s="5"/>
    </row>
    <row r="65" spans="14:34" ht="20.100000000000001" customHeight="1">
      <c r="N65" s="6" t="s">
        <v>14</v>
      </c>
      <c r="O65" s="1">
        <f>O2</f>
        <v>3</v>
      </c>
      <c r="P65" s="22"/>
      <c r="Q65" s="134"/>
      <c r="R65" s="135"/>
      <c r="S65" s="135"/>
      <c r="Z65" s="5"/>
    </row>
    <row r="66" spans="14:34" ht="20.100000000000001" customHeight="1">
      <c r="N66" s="59" t="s">
        <v>47</v>
      </c>
      <c r="O66" s="48">
        <f>SQRT($L$2)*O65/(1+($L$2-1)/2*O65^2)^(($L$2+1)/(2*($L$2-1)))</f>
        <v>0.14951060965436855</v>
      </c>
      <c r="P66" s="22"/>
      <c r="Q66" s="134"/>
      <c r="R66" s="135"/>
      <c r="S66" s="135"/>
      <c r="Z66" s="5"/>
    </row>
    <row r="67" spans="14:34" ht="20.100000000000001" customHeight="1">
      <c r="N67" s="137" t="s">
        <v>13</v>
      </c>
      <c r="O67" s="143">
        <f>L13*O61/SQRT(L3*L12)*O66</f>
        <v>38.455501470738099</v>
      </c>
      <c r="P67" s="144" t="s">
        <v>7</v>
      </c>
      <c r="Q67" s="134"/>
      <c r="R67" s="135"/>
      <c r="S67" s="135"/>
      <c r="Z67" s="5"/>
    </row>
    <row r="68" spans="14:34" ht="20.100000000000001" customHeight="1">
      <c r="O68" s="23"/>
      <c r="P68" s="22"/>
      <c r="Q68" s="140"/>
      <c r="R68" s="135"/>
      <c r="S68" s="135"/>
      <c r="Z68" s="5"/>
    </row>
    <row r="69" spans="14:34" ht="20.100000000000001" customHeight="1">
      <c r="N69" s="17" t="s">
        <v>144</v>
      </c>
      <c r="O69" s="141"/>
      <c r="P69" s="142"/>
      <c r="Q69" s="140"/>
      <c r="R69" s="135"/>
      <c r="S69" s="135"/>
      <c r="V69" s="79"/>
      <c r="W69" s="80"/>
      <c r="X69" s="79"/>
      <c r="Y69" s="5"/>
      <c r="Z69" s="5"/>
      <c r="AH69" s="5"/>
    </row>
    <row r="70" spans="14:34" ht="20.100000000000001" customHeight="1">
      <c r="N70" s="6" t="s">
        <v>141</v>
      </c>
      <c r="O70" s="23">
        <f>O53-O60</f>
        <v>0.29189964287893921</v>
      </c>
      <c r="P70" s="26"/>
      <c r="Q70" s="140"/>
      <c r="R70" s="135"/>
      <c r="S70" s="135"/>
      <c r="V70" s="79"/>
      <c r="W70" s="80"/>
      <c r="X70" s="79"/>
      <c r="Y70" s="5"/>
      <c r="Z70" s="5"/>
      <c r="AH70" s="5"/>
    </row>
    <row r="71" spans="14:34" ht="20.100000000000001" customHeight="1">
      <c r="N71" s="6" t="s">
        <v>170</v>
      </c>
      <c r="O71" s="27">
        <f>O26/O8-1</f>
        <v>1.5956116300000005</v>
      </c>
      <c r="P71" s="26"/>
      <c r="Q71" s="140"/>
      <c r="R71" s="135"/>
      <c r="S71" s="135"/>
      <c r="V71" s="79"/>
      <c r="W71" s="80"/>
      <c r="X71" s="79"/>
      <c r="Y71" s="5"/>
      <c r="Z71" s="5"/>
      <c r="AH71" s="5"/>
    </row>
    <row r="72" spans="14:34" ht="20.100000000000001" customHeight="1">
      <c r="O72" s="27"/>
      <c r="P72" s="26"/>
      <c r="Q72" s="140"/>
      <c r="R72" s="135"/>
      <c r="S72" s="135"/>
      <c r="Z72" s="5"/>
      <c r="AA72" s="5"/>
      <c r="AD72"/>
      <c r="AH72" s="5"/>
    </row>
    <row r="73" spans="14:34" ht="20.100000000000001" customHeight="1">
      <c r="N73" s="21" t="s">
        <v>142</v>
      </c>
      <c r="O73" s="69">
        <f>2/($B$2*L4^2*O11)*(O71)*O70</f>
        <v>0.10442078400378492</v>
      </c>
      <c r="P73" s="136"/>
      <c r="Q73" s="140"/>
      <c r="R73" s="135"/>
      <c r="S73" s="135"/>
      <c r="Z73" s="5"/>
      <c r="AA73" s="5"/>
      <c r="AD73"/>
      <c r="AH73" s="5"/>
    </row>
    <row r="74" spans="14:34" ht="20.100000000000001" customHeight="1">
      <c r="N74" s="138" t="s">
        <v>177</v>
      </c>
      <c r="O74" s="150">
        <f>O73*L5*O11</f>
        <v>1810.5436201789062</v>
      </c>
      <c r="P74" s="151" t="s">
        <v>178</v>
      </c>
      <c r="Q74" s="140"/>
      <c r="Z74" s="5"/>
      <c r="AA74" s="5"/>
      <c r="AD74"/>
      <c r="AH74" s="5"/>
    </row>
    <row r="75" spans="14:34" ht="20.100000000000001" customHeight="1" thickBot="1">
      <c r="N75" s="5"/>
      <c r="O75" s="40"/>
      <c r="P75" s="4"/>
      <c r="Q75" s="140"/>
      <c r="R75" s="135"/>
      <c r="S75" s="135"/>
      <c r="Z75"/>
      <c r="AA75" s="5"/>
      <c r="AD75"/>
      <c r="AH75" s="5"/>
    </row>
    <row r="76" spans="14:34" ht="20.100000000000001" customHeight="1">
      <c r="N76" s="86" t="s">
        <v>107</v>
      </c>
      <c r="O76" s="87"/>
      <c r="P76" s="87"/>
      <c r="Q76" s="88"/>
      <c r="Z76"/>
      <c r="AA76" s="5"/>
      <c r="AD76"/>
      <c r="AH76" s="5"/>
    </row>
    <row r="77" spans="14:34" ht="20.100000000000001" customHeight="1">
      <c r="N77" s="89"/>
      <c r="O77" s="52"/>
      <c r="P77" s="52"/>
      <c r="Q77" s="90"/>
      <c r="Z77"/>
      <c r="AA77" s="5"/>
      <c r="AD77"/>
    </row>
    <row r="78" spans="14:34" ht="20.100000000000001" customHeight="1">
      <c r="N78" s="91" t="s">
        <v>108</v>
      </c>
      <c r="O78" s="92">
        <v>0.5</v>
      </c>
      <c r="P78" s="52"/>
      <c r="Q78" s="84"/>
      <c r="Z78"/>
      <c r="AA78" s="5"/>
      <c r="AD78"/>
    </row>
    <row r="79" spans="14:34" ht="20.100000000000001" customHeight="1">
      <c r="N79" s="91" t="s">
        <v>105</v>
      </c>
      <c r="O79" s="92">
        <v>0</v>
      </c>
      <c r="P79" s="52"/>
      <c r="Q79" s="84"/>
      <c r="Z79"/>
      <c r="AA79" s="5"/>
      <c r="AD79"/>
    </row>
    <row r="80" spans="14:34" ht="20.100000000000001" customHeight="1">
      <c r="N80" s="91" t="s">
        <v>112</v>
      </c>
      <c r="O80" s="92">
        <v>0.5</v>
      </c>
      <c r="P80" s="93"/>
      <c r="Q80" s="90"/>
      <c r="Z80" s="5"/>
    </row>
    <row r="81" spans="14:30" ht="20.100000000000001" customHeight="1">
      <c r="N81" s="91" t="s">
        <v>106</v>
      </c>
      <c r="O81" s="92">
        <f>O31*TAN((90-ABS(O15))*PI()/180)</f>
        <v>1.6660896302876047</v>
      </c>
      <c r="P81" s="93"/>
      <c r="Q81" s="90"/>
      <c r="Z81" s="5"/>
    </row>
    <row r="82" spans="14:30" ht="20.100000000000001" customHeight="1">
      <c r="N82" s="91" t="s">
        <v>109</v>
      </c>
      <c r="O82" s="92">
        <f>O31/COS((90-ABS(O15))*PI()/180)</f>
        <v>1.9431558496816173</v>
      </c>
      <c r="P82" s="93"/>
      <c r="Q82" s="90"/>
      <c r="Z82"/>
      <c r="AA82" s="5"/>
      <c r="AD82"/>
    </row>
    <row r="83" spans="14:30" ht="20.100000000000001" customHeight="1">
      <c r="N83" s="91" t="s">
        <v>109</v>
      </c>
      <c r="O83" s="92">
        <f>O81/SIN((90-ABS(O15))*PI()/180)</f>
        <v>1.943155849681617</v>
      </c>
      <c r="P83" s="93"/>
      <c r="Q83" s="90"/>
      <c r="Z83"/>
      <c r="AA83" s="5"/>
      <c r="AD83"/>
    </row>
    <row r="84" spans="14:30" ht="20.100000000000001" customHeight="1">
      <c r="N84" s="91" t="s">
        <v>57</v>
      </c>
      <c r="O84" s="92">
        <f>O82*SIN((ABS(O15)-ABS(O13))*PI()/180)</f>
        <v>0.56723216467786952</v>
      </c>
      <c r="P84" s="93"/>
      <c r="Q84" s="90"/>
      <c r="Z84"/>
      <c r="AA84" s="5"/>
      <c r="AD84"/>
    </row>
    <row r="85" spans="14:30" ht="20.100000000000001" customHeight="1">
      <c r="N85" s="91"/>
      <c r="O85" s="93" t="s">
        <v>110</v>
      </c>
      <c r="P85" s="92">
        <f>TAN(ABS(45)*PI()/180)</f>
        <v>0.99999999999999989</v>
      </c>
      <c r="Q85" s="90"/>
      <c r="Z85"/>
      <c r="AA85" s="5"/>
      <c r="AD85"/>
    </row>
    <row r="86" spans="14:30" ht="20.100000000000001" customHeight="1">
      <c r="N86" s="91" t="s">
        <v>45</v>
      </c>
      <c r="O86" s="92">
        <f>TAN(ABS(O15)*PI()/180)</f>
        <v>0.600207805043104</v>
      </c>
      <c r="Q86" s="90"/>
      <c r="Z86"/>
      <c r="AA86" s="5"/>
      <c r="AD86"/>
    </row>
    <row r="87" spans="14:30" ht="20.100000000000001" customHeight="1">
      <c r="N87" s="91" t="s">
        <v>44</v>
      </c>
      <c r="O87" s="92">
        <f>TAN((ABS(O13)+ABS(R15))*PI()/180)</f>
        <v>1.2634911928319434</v>
      </c>
      <c r="P87" s="93"/>
      <c r="Q87" s="90"/>
      <c r="Z87"/>
      <c r="AA87" s="5"/>
      <c r="AD87"/>
    </row>
    <row r="88" spans="14:30" ht="20.100000000000001" customHeight="1">
      <c r="N88" s="91" t="s">
        <v>111</v>
      </c>
      <c r="O88" s="92">
        <f>1/(O86-O87)*((O80-O87*O81)-(O78-O86*O79))</f>
        <v>3.173740837011866</v>
      </c>
      <c r="P88" s="93"/>
      <c r="Q88" s="90"/>
      <c r="Z88"/>
      <c r="AA88" s="5"/>
      <c r="AD88"/>
    </row>
    <row r="89" spans="14:30" ht="20.100000000000001" customHeight="1">
      <c r="N89" s="91" t="s">
        <v>113</v>
      </c>
      <c r="O89" s="92">
        <f>O78+O86*(O88-O79)</f>
        <v>2.404904021558556</v>
      </c>
      <c r="P89" s="93"/>
      <c r="Q89" s="90"/>
      <c r="Z89"/>
      <c r="AA89" s="5"/>
      <c r="AD89"/>
    </row>
    <row r="90" spans="14:30" ht="20.100000000000001" customHeight="1" thickBot="1">
      <c r="N90" s="94" t="s">
        <v>113</v>
      </c>
      <c r="O90" s="95">
        <f>O80+O87*(O88-O81)</f>
        <v>2.404904021558556</v>
      </c>
      <c r="P90" s="96"/>
      <c r="Q90" s="85"/>
      <c r="Z90"/>
      <c r="AA90" s="5"/>
      <c r="AD90"/>
    </row>
    <row r="91" spans="14:30" ht="20.100000000000001" customHeight="1"/>
    <row r="92" spans="14:30" ht="20.100000000000001" customHeight="1">
      <c r="N92" s="17" t="s">
        <v>158</v>
      </c>
      <c r="O92" s="8"/>
      <c r="P92" s="19"/>
    </row>
    <row r="93" spans="14:30" ht="20.100000000000001" customHeight="1">
      <c r="O93" s="1"/>
      <c r="P93" s="22"/>
    </row>
    <row r="94" spans="14:30" ht="20.100000000000001" customHeight="1">
      <c r="N94" s="6" t="s">
        <v>143</v>
      </c>
      <c r="O94" s="1"/>
      <c r="P94" s="22"/>
    </row>
    <row r="95" spans="14:30" ht="20.100000000000001" customHeight="1">
      <c r="N95" s="6" t="s">
        <v>105</v>
      </c>
      <c r="O95" s="1">
        <f>O11*TAN((90-15.7962)*PI()/180)</f>
        <v>2.5026524809141191</v>
      </c>
      <c r="P95" s="26" t="s">
        <v>1</v>
      </c>
    </row>
    <row r="96" spans="14:30" ht="20.100000000000001" customHeight="1">
      <c r="N96" s="6" t="s">
        <v>139</v>
      </c>
      <c r="O96" s="1">
        <f>(O95*TAN(ABS(O13)*PI()/180)-O49)</f>
        <v>-0.37601865512315125</v>
      </c>
      <c r="P96" s="26"/>
    </row>
    <row r="97" spans="14:16" ht="20.100000000000001" customHeight="1">
      <c r="N97" s="6" t="s">
        <v>140</v>
      </c>
      <c r="O97" s="1">
        <f>(TAN(ABS(90-18.7334)*PI()/180)*TAN(ABS(O13)*PI()/180)-1)</f>
        <v>-0.26480366112052367</v>
      </c>
      <c r="P97" s="22"/>
    </row>
    <row r="98" spans="14:16" ht="20.100000000000001" customHeight="1">
      <c r="N98" s="29" t="s">
        <v>138</v>
      </c>
      <c r="O98" s="9">
        <f>O96/O97</f>
        <v>1.4199903941358605</v>
      </c>
      <c r="P98" s="35" t="s">
        <v>1</v>
      </c>
    </row>
    <row r="99" spans="14:16" ht="20.100000000000001" customHeight="1"/>
    <row r="100" spans="14:16" ht="20.100000000000001" customHeight="1"/>
    <row r="101" spans="14:16" ht="15.75" customHeight="1"/>
    <row r="102" spans="14:16" ht="15.75" customHeight="1"/>
    <row r="103" spans="14:16" ht="15.75" customHeight="1"/>
    <row r="104" spans="14:16" ht="15.75" customHeight="1"/>
    <row r="105" spans="14:16" ht="15.75" customHeight="1"/>
    <row r="106" spans="14:16" ht="15.75" customHeight="1"/>
    <row r="107" spans="14:16" ht="15.75" customHeight="1"/>
    <row r="108" spans="14:16" ht="15.75" customHeight="1"/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30721" r:id="rId4">
          <objectPr defaultSize="0" autoPict="0" r:id="rId5">
            <anchor moveWithCells="1" sizeWithCells="1">
              <from>
                <xdr:col>0</xdr:col>
                <xdr:colOff>297180</xdr:colOff>
                <xdr:row>17</xdr:row>
                <xdr:rowOff>0</xdr:rowOff>
              </from>
              <to>
                <xdr:col>7</xdr:col>
                <xdr:colOff>441960</xdr:colOff>
                <xdr:row>32</xdr:row>
                <xdr:rowOff>68580</xdr:rowOff>
              </to>
            </anchor>
          </objectPr>
        </oleObject>
      </mc:Choice>
      <mc:Fallback>
        <oleObject progId="Equation.DSMT4" shapeId="30721" r:id="rId4"/>
      </mc:Fallback>
    </mc:AlternateContent>
    <mc:AlternateContent xmlns:mc="http://schemas.openxmlformats.org/markup-compatibility/2006">
      <mc:Choice Requires="x14">
        <oleObject progId="Equation.DSMT4" shapeId="30722" r:id="rId6">
          <objectPr defaultSize="0" autoPict="0" r:id="rId7">
            <anchor moveWithCells="1" sizeWithCells="1">
              <from>
                <xdr:col>0</xdr:col>
                <xdr:colOff>327660</xdr:colOff>
                <xdr:row>33</xdr:row>
                <xdr:rowOff>30480</xdr:rowOff>
              </from>
              <to>
                <xdr:col>8</xdr:col>
                <xdr:colOff>381000</xdr:colOff>
                <xdr:row>54</xdr:row>
                <xdr:rowOff>160020</xdr:rowOff>
              </to>
            </anchor>
          </objectPr>
        </oleObject>
      </mc:Choice>
      <mc:Fallback>
        <oleObject progId="Equation.DSMT4" shapeId="30722" r:id="rId6"/>
      </mc:Fallback>
    </mc:AlternateContent>
    <mc:AlternateContent xmlns:mc="http://schemas.openxmlformats.org/markup-compatibility/2006">
      <mc:Choice Requires="x14">
        <oleObject progId="Equation.DSMT4" shapeId="30723" r:id="rId8">
          <objectPr defaultSize="0" autoPict="0" r:id="rId9">
            <anchor moveWithCells="1">
              <from>
                <xdr:col>16</xdr:col>
                <xdr:colOff>152400</xdr:colOff>
                <xdr:row>49</xdr:row>
                <xdr:rowOff>190500</xdr:rowOff>
              </from>
              <to>
                <xdr:col>22</xdr:col>
                <xdr:colOff>228600</xdr:colOff>
                <xdr:row>68</xdr:row>
                <xdr:rowOff>0</xdr:rowOff>
              </to>
            </anchor>
          </objectPr>
        </oleObject>
      </mc:Choice>
      <mc:Fallback>
        <oleObject progId="Equation.DSMT4" shapeId="30723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Pt M=5</vt:lpstr>
      <vt:lpstr>Off-Design M = 4</vt:lpstr>
      <vt:lpstr>Sheet3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CHINMAY GEDAM</cp:lastModifiedBy>
  <dcterms:created xsi:type="dcterms:W3CDTF">2020-09-29T16:09:24Z</dcterms:created>
  <dcterms:modified xsi:type="dcterms:W3CDTF">2022-03-12T18:23:17Z</dcterms:modified>
</cp:coreProperties>
</file>